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drawings/drawing5.xml" ContentType="application/vnd.openxmlformats-officedocument.drawing+xml"/>
  <Override PartName="/xl/drawings/drawing6.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9.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10.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14.xml" ContentType="application/vnd.openxmlformats-officedocument.themeOverrid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15.xml" ContentType="application/vnd.openxmlformats-officedocument.themeOverride+xml"/>
  <Override PartName="/xl/charts/chart71.xml" ContentType="application/vnd.openxmlformats-officedocument.drawingml.chart+xml"/>
  <Override PartName="/xl/theme/themeOverride16.xml" ContentType="application/vnd.openxmlformats-officedocument.themeOverride+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17.xml" ContentType="application/vnd.openxmlformats-officedocument.themeOverride+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18.xml" ContentType="application/vnd.openxmlformats-officedocument.themeOverride+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19.xml" ContentType="application/vnd.openxmlformats-officedocument.themeOverride+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20.xml" ContentType="application/vnd.openxmlformats-officedocument.themeOverride+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21.xml" ContentType="application/vnd.openxmlformats-officedocument.themeOverride+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22.xml" ContentType="application/vnd.openxmlformats-officedocument.themeOverride+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23.xml" ContentType="application/vnd.openxmlformats-officedocument.themeOverride+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24.xml" ContentType="application/vnd.openxmlformats-officedocument.themeOverride+xml"/>
  <Override PartName="/xl/charts/chart82.xml" ContentType="application/vnd.openxmlformats-officedocument.drawingml.chart+xml"/>
  <Override PartName="/xl/theme/themeOverride25.xml" ContentType="application/vnd.openxmlformats-officedocument.themeOverride+xml"/>
  <Override PartName="/xl/charts/chart83.xml" ContentType="application/vnd.openxmlformats-officedocument.drawingml.chart+xml"/>
  <Override PartName="/xl/theme/themeOverride26.xml" ContentType="application/vnd.openxmlformats-officedocument.themeOverride+xml"/>
  <Override PartName="/xl/charts/chart84.xml" ContentType="application/vnd.openxmlformats-officedocument.drawingml.chart+xml"/>
  <Override PartName="/xl/theme/themeOverride27.xml" ContentType="application/vnd.openxmlformats-officedocument.themeOverride+xml"/>
  <Override PartName="/xl/charts/chart85.xml" ContentType="application/vnd.openxmlformats-officedocument.drawingml.chart+xml"/>
  <Override PartName="/xl/theme/themeOverride28.xml" ContentType="application/vnd.openxmlformats-officedocument.themeOverride+xml"/>
  <Override PartName="/xl/charts/chart86.xml" ContentType="application/vnd.openxmlformats-officedocument.drawingml.chart+xml"/>
  <Override PartName="/xl/theme/themeOverride29.xml" ContentType="application/vnd.openxmlformats-officedocument.themeOverride+xml"/>
  <Override PartName="/xl/charts/chart87.xml" ContentType="application/vnd.openxmlformats-officedocument.drawingml.chart+xml"/>
  <Override PartName="/xl/theme/themeOverride30.xml" ContentType="application/vnd.openxmlformats-officedocument.themeOverride+xml"/>
  <Override PartName="/xl/charts/chart88.xml" ContentType="application/vnd.openxmlformats-officedocument.drawingml.chart+xml"/>
  <Override PartName="/xl/theme/themeOverride31.xml" ContentType="application/vnd.openxmlformats-officedocument.themeOverride+xml"/>
  <Override PartName="/xl/charts/chart89.xml" ContentType="application/vnd.openxmlformats-officedocument.drawingml.chart+xml"/>
  <Override PartName="/xl/theme/themeOverride3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drawings/drawing18.xml" ContentType="application/vnd.openxmlformats-officedocument.drawing+xml"/>
  <Override PartName="/xl/charts/chart92.xml" ContentType="application/vnd.openxmlformats-officedocument.drawingml.chart+xml"/>
  <Override PartName="/xl/charts/style81.xml" ContentType="application/vnd.ms-office.chartstyle+xml"/>
  <Override PartName="/xl/charts/colors81.xml" ContentType="application/vnd.ms-office.chartcolorstyle+xml"/>
  <Override PartName="/xl/charts/chart93.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19.xml" ContentType="application/vnd.openxmlformats-officedocument.drawing+xml"/>
  <Override PartName="/xl/charts/chart94.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33.xml" ContentType="application/vnd.openxmlformats-officedocument.themeOverride+xml"/>
  <Override PartName="/xl/charts/chart95.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34.xml" ContentType="application/vnd.openxmlformats-officedocument.themeOverride+xml"/>
  <Override PartName="/xl/charts/chart96.xml" ContentType="application/vnd.openxmlformats-officedocument.drawingml.chart+xml"/>
  <Override PartName="/xl/charts/style85.xml" ContentType="application/vnd.ms-office.chartstyle+xml"/>
  <Override PartName="/xl/charts/colors85.xml" ContentType="application/vnd.ms-office.chartcolorstyle+xml"/>
  <Override PartName="/xl/charts/chart97.xml" ContentType="application/vnd.openxmlformats-officedocument.drawingml.chart+xml"/>
  <Override PartName="/xl/charts/style86.xml" ContentType="application/vnd.ms-office.chartstyle+xml"/>
  <Override PartName="/xl/charts/colors86.xml" ContentType="application/vnd.ms-office.chartcolorstyle+xml"/>
  <Override PartName="/xl/charts/chart98.xml" ContentType="application/vnd.openxmlformats-officedocument.drawingml.chart+xml"/>
  <Override PartName="/xl/charts/style87.xml" ContentType="application/vnd.ms-office.chartstyle+xml"/>
  <Override PartName="/xl/charts/colors87.xml" ContentType="application/vnd.ms-office.chartcolorstyle+xml"/>
  <Override PartName="/xl/charts/chart99.xml" ContentType="application/vnd.openxmlformats-officedocument.drawingml.chart+xml"/>
  <Override PartName="/xl/charts/style88.xml" ContentType="application/vnd.ms-office.chartstyle+xml"/>
  <Override PartName="/xl/charts/colors88.xml" ContentType="application/vnd.ms-office.chartcolorstyle+xml"/>
  <Override PartName="/xl/charts/chart100.xml" ContentType="application/vnd.openxmlformats-officedocument.drawingml.chart+xml"/>
  <Override PartName="/xl/charts/chart101.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35.xml" ContentType="application/vnd.openxmlformats-officedocument.themeOverride+xml"/>
  <Override PartName="/xl/charts/chart102.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36.xml" ContentType="application/vnd.openxmlformats-officedocument.themeOverride+xml"/>
  <Override PartName="/xl/charts/chart103.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104.xml" ContentType="application/vnd.openxmlformats-officedocument.drawingml.chart+xml"/>
  <Override PartName="/xl/charts/style92.xml" ContentType="application/vnd.ms-office.chartstyle+xml"/>
  <Override PartName="/xl/charts/colors92.xml" ContentType="application/vnd.ms-office.chartcolorstyle+xml"/>
  <Override PartName="/xl/charts/chart105.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26.xml" ContentType="application/vnd.openxmlformats-officedocument.drawing+xml"/>
  <Override PartName="/xl/charts/chart106.xml" ContentType="application/vnd.openxmlformats-officedocument.drawingml.chart+xml"/>
  <Override PartName="/xl/charts/style94.xml" ContentType="application/vnd.ms-office.chartstyle+xml"/>
  <Override PartName="/xl/charts/colors94.xml" ContentType="application/vnd.ms-office.chartcolorstyle+xml"/>
  <Override PartName="/xl/charts/chart107.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27.xml" ContentType="application/vnd.openxmlformats-officedocument.drawing+xml"/>
  <Override PartName="/xl/charts/chart108.xml" ContentType="application/vnd.openxmlformats-officedocument.drawingml.chart+xml"/>
  <Override PartName="/xl/charts/style96.xml" ContentType="application/vnd.ms-office.chartstyle+xml"/>
  <Override PartName="/xl/charts/colors96.xml" ContentType="application/vnd.ms-office.chartcolorstyle+xml"/>
  <Override PartName="/xl/charts/chart109.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28.xml" ContentType="application/vnd.openxmlformats-officedocument.drawing+xml"/>
  <Override PartName="/xl/charts/chart110.xml" ContentType="application/vnd.openxmlformats-officedocument.drawingml.chart+xml"/>
  <Override PartName="/xl/charts/style98.xml" ContentType="application/vnd.ms-office.chartstyle+xml"/>
  <Override PartName="/xl/charts/colors98.xml" ContentType="application/vnd.ms-office.chartcolorstyle+xml"/>
  <Override PartName="/xl/charts/chart111.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29.xml" ContentType="application/vnd.openxmlformats-officedocument.drawing+xml"/>
  <Override PartName="/xl/charts/chart112.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13.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30.xml" ContentType="application/vnd.openxmlformats-officedocument.drawing+xml"/>
  <Override PartName="/xl/charts/chart114.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15.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31.xml" ContentType="application/vnd.openxmlformats-officedocument.drawing+xml"/>
  <Override PartName="/xl/charts/chart116.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17.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32.xml" ContentType="application/vnd.openxmlformats-officedocument.drawing+xml"/>
  <Override PartName="/xl/charts/chart118.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19.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20.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21.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22.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23.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33.xml" ContentType="application/vnd.openxmlformats-officedocument.drawing+xml"/>
  <Override PartName="/xl/charts/chart124.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25.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26.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27.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34.xml" ContentType="application/vnd.openxmlformats-officedocument.drawing+xml"/>
  <Override PartName="/xl/charts/chart128.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29.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30.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31.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32.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33.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34.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35.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35.xml" ContentType="application/vnd.openxmlformats-officedocument.drawing+xml"/>
  <Override PartName="/xl/charts/chart136.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37.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38.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39.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36.xml" ContentType="application/vnd.openxmlformats-officedocument.drawing+xml"/>
  <Override PartName="/xl/charts/chart140.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41.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42.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43.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37.xml" ContentType="application/vnd.openxmlformats-officedocument.drawing+xml"/>
  <Override PartName="/xl/charts/chart144.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45.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46.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47.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38.xml" ContentType="application/vnd.openxmlformats-officedocument.drawing+xml"/>
  <Override PartName="/xl/charts/chart148.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49.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50.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51.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39.xml" ContentType="application/vnd.openxmlformats-officedocument.drawing+xml"/>
  <Override PartName="/xl/charts/chart152.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53.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54.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55.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56.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57.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40.xml" ContentType="application/vnd.openxmlformats-officedocument.drawing+xml"/>
  <Override PartName="/xl/charts/chart158.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59.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60.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61.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62.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63.xml" ContentType="application/vnd.openxmlformats-officedocument.drawingml.chart+xml"/>
  <Override PartName="/xl/charts/style151.xml" ContentType="application/vnd.ms-office.chartstyle+xml"/>
  <Override PartName="/xl/charts/colors151.xml" ContentType="application/vnd.ms-office.chartcolorstyle+xml"/>
  <Override PartName="/xl/drawings/drawing41.xml" ContentType="application/vnd.openxmlformats-officedocument.drawing+xml"/>
  <Override PartName="/xl/charts/chart164.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65.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66.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67.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68.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69.xml" ContentType="application/vnd.openxmlformats-officedocument.drawingml.chart+xml"/>
  <Override PartName="/xl/charts/style157.xml" ContentType="application/vnd.ms-office.chartstyle+xml"/>
  <Override PartName="/xl/charts/colors157.xml" ContentType="application/vnd.ms-office.chartcolorstyle+xml"/>
  <Override PartName="/xl/drawings/drawing42.xml" ContentType="application/vnd.openxmlformats-officedocument.drawing+xml"/>
  <Override PartName="/xl/charts/chart170.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71.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72.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73.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74.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75.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76.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77.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78.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79.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80.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81.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82.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83.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84.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85.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86.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87.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88.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89.xml" ContentType="application/vnd.openxmlformats-officedocument.drawingml.chart+xml"/>
  <Override PartName="/xl/charts/style177.xml" ContentType="application/vnd.ms-office.chartstyle+xml"/>
  <Override PartName="/xl/charts/colors177.xml" ContentType="application/vnd.ms-office.chartcolorstyle+xml"/>
  <Override PartName="/xl/drawings/drawing43.xml" ContentType="application/vnd.openxmlformats-officedocument.drawing+xml"/>
  <Override PartName="/xl/charts/chart190.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91.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92.xml" ContentType="application/vnd.openxmlformats-officedocument.drawingml.chart+xml"/>
  <Override PartName="/xl/charts/style180.xml" ContentType="application/vnd.ms-office.chartstyle+xml"/>
  <Override PartName="/xl/charts/colors180.xml" ContentType="application/vnd.ms-office.chartcolorstyle+xml"/>
  <Override PartName="/xl/charts/chart193.xml" ContentType="application/vnd.openxmlformats-officedocument.drawingml.chart+xml"/>
  <Override PartName="/xl/charts/style181.xml" ContentType="application/vnd.ms-office.chartstyle+xml"/>
  <Override PartName="/xl/charts/colors181.xml" ContentType="application/vnd.ms-office.chartcolorstyle+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EstaPasta_de_trabalho" defaultThemeVersion="164011"/>
  <mc:AlternateContent xmlns:mc="http://schemas.openxmlformats.org/markup-compatibility/2006">
    <mc:Choice Requires="x15">
      <x15ac:absPath xmlns:x15ac="http://schemas.microsoft.com/office/spreadsheetml/2010/11/ac" url="I:\CGRH\GAB-CGRH\Carlos Eduardo - Trabalho\MeusDocumentos\GESTÃO CGRH\"/>
    </mc:Choice>
  </mc:AlternateContent>
  <bookViews>
    <workbookView showHorizontalScroll="0" showVerticalScroll="0" xWindow="0" yWindow="0" windowWidth="21570" windowHeight="8055"/>
  </bookViews>
  <sheets>
    <sheet name="PGERAL (2)" sheetId="9" r:id="rId1"/>
    <sheet name="PGERAL (3)" sheetId="17" r:id="rId2"/>
    <sheet name="PQPEXMME" sheetId="1" r:id="rId3"/>
    <sheet name="PQPSERVIDORES" sheetId="16" r:id="rId4"/>
    <sheet name="DETALHEIDADE" sheetId="19" r:id="rId5"/>
    <sheet name="PQPEXMMEDET" sheetId="5" r:id="rId6"/>
    <sheet name="PQDEXMMEGRAF" sheetId="6" r:id="rId7"/>
    <sheet name="PQESTAGIO" sheetId="15" r:id="rId8"/>
    <sheet name="PEVOLUÇÃO" sheetId="2" r:id="rId9"/>
    <sheet name="PEVGLOBAL" sheetId="7" r:id="rId10"/>
    <sheet name="PEVSIT" sheetId="8" r:id="rId11"/>
    <sheet name="PCOMISSÃO" sheetId="3" r:id="rId12"/>
    <sheet name="NOMEADOSFUNÇÃO" sheetId="18" r:id="rId13"/>
    <sheet name="PCOMID" sheetId="13" r:id="rId14"/>
    <sheet name="PCOMUNIDADES" sheetId="12" r:id="rId15"/>
    <sheet name="PCOMVUNITARIO" sheetId="10" r:id="rId16"/>
    <sheet name="PCOMCUSTOS" sheetId="11" r:id="rId17"/>
    <sheet name="PINDICADOR" sheetId="4" r:id="rId18"/>
    <sheet name="PINDESCRI" sheetId="14" r:id="rId19"/>
    <sheet name="PCO" sheetId="20" r:id="rId20"/>
    <sheet name="PCOICO" sheetId="21" r:id="rId21"/>
    <sheet name="PCOVD" sheetId="24" r:id="rId22"/>
    <sheet name="PCOVCO" sheetId="25" r:id="rId23"/>
    <sheet name="VDCATEGORIAFUNCIONAL" sheetId="26" r:id="rId24"/>
    <sheet name="VDTEMPOSERVIÇO" sheetId="27" r:id="rId25"/>
    <sheet name="VDGENERO" sheetId="28" r:id="rId26"/>
    <sheet name="VDIDADE" sheetId="29" r:id="rId27"/>
    <sheet name="VDESCOLARIDADE" sheetId="42" r:id="rId28"/>
    <sheet name="VDNIVELCARGO" sheetId="43" r:id="rId29"/>
    <sheet name="VDLOTAÇÃO" sheetId="44" r:id="rId30"/>
    <sheet name="VDDESLIGAMENTO" sheetId="45" r:id="rId31"/>
    <sheet name="VCOPLANEJAMENTOESTRATEGICO" sheetId="46" r:id="rId32"/>
    <sheet name="VCOMOTIVAÇÃO" sheetId="47" r:id="rId33"/>
    <sheet name="VCOLIDERANÇA" sheetId="48" r:id="rId34"/>
    <sheet name="VCOEQUIPE" sheetId="49" r:id="rId35"/>
    <sheet name="VCOSALARIO" sheetId="50" r:id="rId36"/>
    <sheet name="VCORELACIONAMENTO" sheetId="51" r:id="rId37"/>
    <sheet name="VCOQUALIDADEVIDA" sheetId="52" r:id="rId38"/>
    <sheet name="VCOSOCIOAMBIENTAL" sheetId="53" r:id="rId39"/>
    <sheet name="VCOCOMINICAÇÃO" sheetId="54" r:id="rId40"/>
    <sheet name="VCOESTRUTURAFISICA" sheetId="55" r:id="rId41"/>
    <sheet name="VCOPANDEMIA" sheetId="56" r:id="rId42"/>
  </sheets>
  <externalReferences>
    <externalReference r:id="rId43"/>
    <externalReference r:id="rId44"/>
    <externalReference r:id="rId45"/>
    <externalReference r:id="rId46"/>
  </externalReferences>
  <definedNames>
    <definedName name="_xlnm._FilterDatabase" localSheetId="3" hidden="1">PQPSERVIDORES!$A$3:$I$3</definedName>
    <definedName name="APOSENTADORIA">[1]LISTA2!$H$5:$H$7</definedName>
    <definedName name="COR">[1]LISTA2!$E$5:$E$10</definedName>
    <definedName name="IR">[1]LISTA2!$D$5:$D$7</definedName>
    <definedName name="LOCAL_DE_EXERCÍCIO">[1]LISTA2!$G$5:$G$34</definedName>
    <definedName name="OPÇÃO">[1]LISTA2!$F$5:$F$7</definedName>
    <definedName name="SEXO">[1]LISTA2!$C$5:$C$7</definedName>
    <definedName name="SITUAÇÃO">[1]LISTA2!$A$5:$A$41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4" i="29" l="1"/>
  <c r="A12" i="56" l="1"/>
  <c r="B12" i="56"/>
  <c r="E12" i="56"/>
  <c r="I12" i="56"/>
  <c r="J12" i="56"/>
  <c r="M12" i="56"/>
  <c r="B13" i="56"/>
  <c r="C13" i="56"/>
  <c r="D13" i="56"/>
  <c r="E13" i="56"/>
  <c r="F13" i="56"/>
  <c r="G13" i="56"/>
  <c r="J13" i="56"/>
  <c r="K13" i="56"/>
  <c r="L13" i="56"/>
  <c r="M13" i="56"/>
  <c r="N13" i="56"/>
  <c r="O13" i="56"/>
  <c r="A14" i="56"/>
  <c r="B14" i="56"/>
  <c r="C14" i="56"/>
  <c r="D14" i="56"/>
  <c r="E14" i="56"/>
  <c r="F14" i="56"/>
  <c r="G14" i="56"/>
  <c r="I14" i="56"/>
  <c r="J14" i="56"/>
  <c r="K14" i="56"/>
  <c r="L14" i="56"/>
  <c r="M14" i="56"/>
  <c r="N14" i="56"/>
  <c r="O14" i="56"/>
  <c r="A15" i="56"/>
  <c r="B15" i="56"/>
  <c r="C15" i="56"/>
  <c r="D15" i="56"/>
  <c r="E15" i="56"/>
  <c r="F15" i="56"/>
  <c r="G15" i="56"/>
  <c r="I15" i="56"/>
  <c r="J15" i="56"/>
  <c r="K15" i="56"/>
  <c r="L15" i="56"/>
  <c r="M15" i="56"/>
  <c r="N15" i="56"/>
  <c r="O15" i="56"/>
  <c r="A16" i="56"/>
  <c r="B16" i="56"/>
  <c r="C16" i="56"/>
  <c r="D16" i="56"/>
  <c r="E16" i="56"/>
  <c r="F16" i="56"/>
  <c r="G16" i="56"/>
  <c r="I16" i="56"/>
  <c r="J16" i="56"/>
  <c r="K16" i="56"/>
  <c r="L16" i="56"/>
  <c r="M16" i="56"/>
  <c r="N16" i="56"/>
  <c r="O16" i="56"/>
  <c r="A17" i="56"/>
  <c r="B17" i="56"/>
  <c r="C17" i="56"/>
  <c r="E17" i="56"/>
  <c r="F17" i="56"/>
  <c r="I17" i="56"/>
  <c r="J17" i="56"/>
  <c r="K17" i="56"/>
  <c r="M17" i="56"/>
  <c r="N17" i="56"/>
  <c r="A36" i="56"/>
  <c r="B36" i="56"/>
  <c r="E36" i="56"/>
  <c r="I36" i="56"/>
  <c r="J36" i="56"/>
  <c r="M36" i="56"/>
  <c r="B37" i="56"/>
  <c r="C37" i="56"/>
  <c r="D37" i="56"/>
  <c r="E37" i="56"/>
  <c r="F37" i="56"/>
  <c r="G37" i="56"/>
  <c r="J37" i="56"/>
  <c r="K37" i="56"/>
  <c r="L37" i="56"/>
  <c r="M37" i="56"/>
  <c r="N37" i="56"/>
  <c r="O37" i="56"/>
  <c r="A38" i="56"/>
  <c r="B38" i="56"/>
  <c r="C38" i="56"/>
  <c r="D38" i="56"/>
  <c r="E38" i="56"/>
  <c r="F38" i="56"/>
  <c r="G38" i="56"/>
  <c r="I38" i="56"/>
  <c r="J38" i="56"/>
  <c r="K38" i="56"/>
  <c r="L38" i="56"/>
  <c r="M38" i="56"/>
  <c r="N38" i="56"/>
  <c r="O38" i="56"/>
  <c r="A39" i="56"/>
  <c r="B39" i="56"/>
  <c r="C39" i="56"/>
  <c r="D39" i="56"/>
  <c r="E39" i="56"/>
  <c r="F39" i="56"/>
  <c r="G39" i="56"/>
  <c r="I39" i="56"/>
  <c r="J39" i="56"/>
  <c r="K39" i="56"/>
  <c r="L39" i="56"/>
  <c r="M39" i="56"/>
  <c r="N39" i="56"/>
  <c r="O39" i="56"/>
  <c r="A40" i="56"/>
  <c r="B40" i="56"/>
  <c r="C40" i="56"/>
  <c r="D40" i="56"/>
  <c r="E40" i="56"/>
  <c r="F40" i="56"/>
  <c r="G40" i="56"/>
  <c r="I40" i="56"/>
  <c r="J40" i="56"/>
  <c r="K40" i="56"/>
  <c r="L40" i="56"/>
  <c r="M40" i="56"/>
  <c r="N40" i="56"/>
  <c r="O40" i="56"/>
  <c r="A41" i="56"/>
  <c r="B41" i="56"/>
  <c r="C41" i="56"/>
  <c r="E41" i="56"/>
  <c r="F41" i="56"/>
  <c r="I41" i="56"/>
  <c r="J41" i="56"/>
  <c r="K41" i="56"/>
  <c r="M41" i="56"/>
  <c r="N41" i="56"/>
  <c r="A12" i="55"/>
  <c r="B12" i="55"/>
  <c r="E12" i="55"/>
  <c r="I12" i="55"/>
  <c r="J12" i="55"/>
  <c r="M12" i="55"/>
  <c r="B13" i="55"/>
  <c r="C13" i="55"/>
  <c r="D13" i="55"/>
  <c r="E13" i="55"/>
  <c r="F13" i="55"/>
  <c r="G13" i="55"/>
  <c r="J13" i="55"/>
  <c r="K13" i="55"/>
  <c r="L13" i="55"/>
  <c r="M13" i="55"/>
  <c r="N13" i="55"/>
  <c r="O13" i="55"/>
  <c r="A14" i="55"/>
  <c r="B14" i="55"/>
  <c r="C14" i="55"/>
  <c r="D14" i="55"/>
  <c r="E14" i="55"/>
  <c r="F14" i="55"/>
  <c r="G14" i="55"/>
  <c r="I14" i="55"/>
  <c r="J14" i="55"/>
  <c r="K14" i="55"/>
  <c r="L14" i="55"/>
  <c r="M14" i="55"/>
  <c r="N14" i="55"/>
  <c r="O14" i="55"/>
  <c r="A15" i="55"/>
  <c r="B15" i="55"/>
  <c r="C15" i="55"/>
  <c r="D15" i="55"/>
  <c r="E15" i="55"/>
  <c r="F15" i="55"/>
  <c r="G15" i="55"/>
  <c r="I15" i="55"/>
  <c r="J15" i="55"/>
  <c r="K15" i="55"/>
  <c r="L15" i="55"/>
  <c r="M15" i="55"/>
  <c r="N15" i="55"/>
  <c r="O15" i="55"/>
  <c r="A16" i="55"/>
  <c r="B16" i="55"/>
  <c r="C16" i="55"/>
  <c r="D16" i="55"/>
  <c r="E16" i="55"/>
  <c r="F16" i="55"/>
  <c r="G16" i="55"/>
  <c r="I16" i="55"/>
  <c r="J16" i="55"/>
  <c r="K16" i="55"/>
  <c r="L16" i="55"/>
  <c r="M16" i="55"/>
  <c r="N16" i="55"/>
  <c r="O16" i="55"/>
  <c r="A17" i="55"/>
  <c r="B17" i="55"/>
  <c r="C17" i="55"/>
  <c r="E17" i="55"/>
  <c r="F17" i="55"/>
  <c r="I17" i="55"/>
  <c r="J17" i="55"/>
  <c r="K17" i="55"/>
  <c r="M17" i="55"/>
  <c r="N17" i="55"/>
  <c r="A52" i="55"/>
  <c r="B52" i="55"/>
  <c r="E52" i="55"/>
  <c r="I52" i="55"/>
  <c r="J52" i="55"/>
  <c r="M52" i="55"/>
  <c r="B53" i="55"/>
  <c r="C53" i="55"/>
  <c r="D53" i="55"/>
  <c r="E53" i="55"/>
  <c r="F53" i="55"/>
  <c r="G53" i="55"/>
  <c r="J53" i="55"/>
  <c r="K53" i="55"/>
  <c r="L53" i="55"/>
  <c r="M53" i="55"/>
  <c r="N53" i="55"/>
  <c r="O53" i="55"/>
  <c r="A54" i="55"/>
  <c r="B54" i="55"/>
  <c r="C54" i="55"/>
  <c r="D54" i="55"/>
  <c r="E54" i="55"/>
  <c r="F54" i="55"/>
  <c r="G54" i="55"/>
  <c r="I54" i="55"/>
  <c r="J54" i="55"/>
  <c r="K54" i="55"/>
  <c r="L54" i="55"/>
  <c r="M54" i="55"/>
  <c r="N54" i="55"/>
  <c r="O54" i="55"/>
  <c r="A55" i="55"/>
  <c r="B55" i="55"/>
  <c r="C55" i="55"/>
  <c r="D55" i="55"/>
  <c r="E55" i="55"/>
  <c r="F55" i="55"/>
  <c r="G55" i="55"/>
  <c r="I55" i="55"/>
  <c r="J55" i="55"/>
  <c r="K55" i="55"/>
  <c r="L55" i="55"/>
  <c r="M55" i="55"/>
  <c r="N55" i="55"/>
  <c r="O55" i="55"/>
  <c r="A56" i="55"/>
  <c r="B56" i="55"/>
  <c r="C56" i="55"/>
  <c r="D56" i="55"/>
  <c r="E56" i="55"/>
  <c r="F56" i="55"/>
  <c r="G56" i="55"/>
  <c r="I56" i="55"/>
  <c r="J56" i="55"/>
  <c r="K56" i="55"/>
  <c r="L56" i="55"/>
  <c r="M56" i="55"/>
  <c r="N56" i="55"/>
  <c r="O56" i="55"/>
  <c r="A57" i="55"/>
  <c r="B57" i="55"/>
  <c r="C57" i="55"/>
  <c r="E57" i="55"/>
  <c r="F57" i="55"/>
  <c r="I57" i="55"/>
  <c r="J57" i="55"/>
  <c r="K57" i="55"/>
  <c r="M57" i="55"/>
  <c r="N57" i="55"/>
  <c r="A92" i="55"/>
  <c r="B92" i="55"/>
  <c r="E92" i="55"/>
  <c r="I92" i="55"/>
  <c r="J92" i="55"/>
  <c r="M92" i="55"/>
  <c r="B93" i="55"/>
  <c r="C93" i="55"/>
  <c r="D93" i="55"/>
  <c r="E93" i="55"/>
  <c r="F93" i="55"/>
  <c r="G93" i="55"/>
  <c r="J93" i="55"/>
  <c r="K93" i="55"/>
  <c r="L93" i="55"/>
  <c r="M93" i="55"/>
  <c r="N93" i="55"/>
  <c r="O93" i="55"/>
  <c r="A94" i="55"/>
  <c r="B94" i="55"/>
  <c r="C94" i="55"/>
  <c r="D94" i="55"/>
  <c r="E94" i="55"/>
  <c r="F94" i="55"/>
  <c r="G94" i="55"/>
  <c r="I94" i="55"/>
  <c r="J94" i="55"/>
  <c r="K94" i="55"/>
  <c r="L94" i="55"/>
  <c r="M94" i="55"/>
  <c r="N94" i="55"/>
  <c r="O94" i="55"/>
  <c r="A95" i="55"/>
  <c r="B95" i="55"/>
  <c r="C95" i="55"/>
  <c r="D95" i="55"/>
  <c r="E95" i="55"/>
  <c r="F95" i="55"/>
  <c r="G95" i="55"/>
  <c r="I95" i="55"/>
  <c r="J95" i="55"/>
  <c r="K95" i="55"/>
  <c r="L95" i="55"/>
  <c r="M95" i="55"/>
  <c r="N95" i="55"/>
  <c r="O95" i="55"/>
  <c r="A96" i="55"/>
  <c r="B96" i="55"/>
  <c r="C96" i="55"/>
  <c r="D96" i="55"/>
  <c r="E96" i="55"/>
  <c r="F96" i="55"/>
  <c r="G96" i="55"/>
  <c r="I96" i="55"/>
  <c r="J96" i="55"/>
  <c r="K96" i="55"/>
  <c r="L96" i="55"/>
  <c r="M96" i="55"/>
  <c r="N96" i="55"/>
  <c r="O96" i="55"/>
  <c r="A97" i="55"/>
  <c r="B97" i="55"/>
  <c r="C97" i="55"/>
  <c r="E97" i="55"/>
  <c r="F97" i="55"/>
  <c r="I97" i="55"/>
  <c r="J97" i="55"/>
  <c r="K97" i="55"/>
  <c r="M97" i="55"/>
  <c r="N97" i="55"/>
  <c r="A131" i="55"/>
  <c r="B131" i="55"/>
  <c r="E131" i="55"/>
  <c r="I131" i="55"/>
  <c r="J131" i="55"/>
  <c r="M131" i="55"/>
  <c r="B132" i="55"/>
  <c r="C132" i="55"/>
  <c r="D132" i="55"/>
  <c r="E132" i="55"/>
  <c r="F132" i="55"/>
  <c r="G132" i="55"/>
  <c r="J132" i="55"/>
  <c r="K132" i="55"/>
  <c r="L132" i="55"/>
  <c r="M132" i="55"/>
  <c r="N132" i="55"/>
  <c r="O132" i="55"/>
  <c r="A133" i="55"/>
  <c r="B133" i="55"/>
  <c r="C133" i="55"/>
  <c r="D133" i="55"/>
  <c r="E133" i="55"/>
  <c r="F133" i="55"/>
  <c r="G133" i="55"/>
  <c r="I133" i="55"/>
  <c r="J133" i="55"/>
  <c r="K133" i="55"/>
  <c r="L133" i="55"/>
  <c r="M133" i="55"/>
  <c r="N133" i="55"/>
  <c r="O133" i="55"/>
  <c r="A134" i="55"/>
  <c r="B134" i="55"/>
  <c r="C134" i="55"/>
  <c r="D134" i="55"/>
  <c r="E134" i="55"/>
  <c r="F134" i="55"/>
  <c r="G134" i="55"/>
  <c r="I134" i="55"/>
  <c r="J134" i="55"/>
  <c r="K134" i="55"/>
  <c r="L134" i="55"/>
  <c r="M134" i="55"/>
  <c r="N134" i="55"/>
  <c r="O134" i="55"/>
  <c r="A135" i="55"/>
  <c r="B135" i="55"/>
  <c r="C135" i="55"/>
  <c r="D135" i="55"/>
  <c r="E135" i="55"/>
  <c r="F135" i="55"/>
  <c r="G135" i="55"/>
  <c r="I135" i="55"/>
  <c r="J135" i="55"/>
  <c r="K135" i="55"/>
  <c r="L135" i="55"/>
  <c r="M135" i="55"/>
  <c r="N135" i="55"/>
  <c r="O135" i="55"/>
  <c r="A136" i="55"/>
  <c r="B136" i="55"/>
  <c r="C136" i="55"/>
  <c r="E136" i="55"/>
  <c r="F136" i="55"/>
  <c r="I136" i="55"/>
  <c r="J136" i="55"/>
  <c r="K136" i="55"/>
  <c r="M136" i="55"/>
  <c r="N136" i="55"/>
  <c r="A171" i="55"/>
  <c r="B171" i="55"/>
  <c r="E171" i="55"/>
  <c r="I171" i="55"/>
  <c r="J171" i="55"/>
  <c r="M171" i="55"/>
  <c r="B172" i="55"/>
  <c r="C172" i="55"/>
  <c r="D172" i="55"/>
  <c r="E172" i="55"/>
  <c r="F172" i="55"/>
  <c r="G172" i="55"/>
  <c r="J172" i="55"/>
  <c r="K172" i="55"/>
  <c r="L172" i="55"/>
  <c r="M172" i="55"/>
  <c r="N172" i="55"/>
  <c r="O172" i="55"/>
  <c r="A173" i="55"/>
  <c r="B173" i="55"/>
  <c r="C173" i="55"/>
  <c r="D173" i="55"/>
  <c r="E173" i="55"/>
  <c r="F173" i="55"/>
  <c r="G173" i="55"/>
  <c r="I173" i="55"/>
  <c r="J173" i="55"/>
  <c r="K173" i="55"/>
  <c r="L173" i="55"/>
  <c r="M173" i="55"/>
  <c r="N173" i="55"/>
  <c r="O173" i="55"/>
  <c r="A174" i="55"/>
  <c r="B174" i="55"/>
  <c r="C174" i="55"/>
  <c r="D174" i="55"/>
  <c r="E174" i="55"/>
  <c r="F174" i="55"/>
  <c r="G174" i="55"/>
  <c r="I174" i="55"/>
  <c r="J174" i="55"/>
  <c r="K174" i="55"/>
  <c r="L174" i="55"/>
  <c r="M174" i="55"/>
  <c r="N174" i="55"/>
  <c r="O174" i="55"/>
  <c r="A175" i="55"/>
  <c r="B175" i="55"/>
  <c r="C175" i="55"/>
  <c r="D175" i="55"/>
  <c r="E175" i="55"/>
  <c r="F175" i="55"/>
  <c r="G175" i="55"/>
  <c r="I175" i="55"/>
  <c r="J175" i="55"/>
  <c r="K175" i="55"/>
  <c r="L175" i="55"/>
  <c r="M175" i="55"/>
  <c r="N175" i="55"/>
  <c r="O175" i="55"/>
  <c r="A176" i="55"/>
  <c r="B176" i="55"/>
  <c r="C176" i="55"/>
  <c r="E176" i="55"/>
  <c r="F176" i="55"/>
  <c r="I176" i="55"/>
  <c r="J176" i="55"/>
  <c r="K176" i="55"/>
  <c r="M176" i="55"/>
  <c r="N176" i="55"/>
  <c r="A12" i="54"/>
  <c r="B12" i="54"/>
  <c r="E12" i="54"/>
  <c r="I12" i="54"/>
  <c r="J12" i="54"/>
  <c r="M12" i="54"/>
  <c r="Q12" i="54"/>
  <c r="R12" i="54"/>
  <c r="U12" i="54"/>
  <c r="B13" i="54"/>
  <c r="C13" i="54"/>
  <c r="D13" i="54"/>
  <c r="E13" i="54"/>
  <c r="F13" i="54"/>
  <c r="G13" i="54"/>
  <c r="J13" i="54"/>
  <c r="K13" i="54"/>
  <c r="L13" i="54"/>
  <c r="M13" i="54"/>
  <c r="N13" i="54"/>
  <c r="O13" i="54"/>
  <c r="R13" i="54"/>
  <c r="S13" i="54"/>
  <c r="T13" i="54"/>
  <c r="U13" i="54"/>
  <c r="V13" i="54"/>
  <c r="W13" i="54"/>
  <c r="A14" i="54"/>
  <c r="B14" i="54"/>
  <c r="C14" i="54"/>
  <c r="D14" i="54"/>
  <c r="E14" i="54"/>
  <c r="F14" i="54"/>
  <c r="G14" i="54"/>
  <c r="I14" i="54"/>
  <c r="J14" i="54"/>
  <c r="K14" i="54"/>
  <c r="L14" i="54"/>
  <c r="M14" i="54"/>
  <c r="N14" i="54"/>
  <c r="O14" i="54"/>
  <c r="Q14" i="54"/>
  <c r="R14" i="54"/>
  <c r="S14" i="54"/>
  <c r="T14" i="54"/>
  <c r="U14" i="54"/>
  <c r="V14" i="54"/>
  <c r="W14" i="54"/>
  <c r="A15" i="54"/>
  <c r="B15" i="54"/>
  <c r="C15" i="54"/>
  <c r="D15" i="54"/>
  <c r="E15" i="54"/>
  <c r="F15" i="54"/>
  <c r="G15" i="54"/>
  <c r="I15" i="54"/>
  <c r="J15" i="54"/>
  <c r="K15" i="54"/>
  <c r="L15" i="54"/>
  <c r="M15" i="54"/>
  <c r="N15" i="54"/>
  <c r="O15" i="54"/>
  <c r="Q15" i="54"/>
  <c r="R15" i="54"/>
  <c r="S15" i="54"/>
  <c r="T15" i="54"/>
  <c r="U15" i="54"/>
  <c r="V15" i="54"/>
  <c r="W15" i="54"/>
  <c r="A16" i="54"/>
  <c r="B16" i="54"/>
  <c r="C16" i="54"/>
  <c r="D16" i="54"/>
  <c r="E16" i="54"/>
  <c r="F16" i="54"/>
  <c r="G16" i="54"/>
  <c r="I16" i="54"/>
  <c r="J16" i="54"/>
  <c r="K16" i="54"/>
  <c r="L16" i="54"/>
  <c r="M16" i="54"/>
  <c r="N16" i="54"/>
  <c r="O16" i="54"/>
  <c r="Q16" i="54"/>
  <c r="R16" i="54"/>
  <c r="S16" i="54"/>
  <c r="T16" i="54"/>
  <c r="U16" i="54"/>
  <c r="V16" i="54"/>
  <c r="W16" i="54"/>
  <c r="A17" i="54"/>
  <c r="B17" i="54"/>
  <c r="C17" i="54"/>
  <c r="E17" i="54"/>
  <c r="F17" i="54"/>
  <c r="I17" i="54"/>
  <c r="J17" i="54"/>
  <c r="K17" i="54"/>
  <c r="M17" i="54"/>
  <c r="N17" i="54"/>
  <c r="Q17" i="54"/>
  <c r="R17" i="54"/>
  <c r="S17" i="54"/>
  <c r="U17" i="54"/>
  <c r="V17" i="54"/>
  <c r="A12" i="53"/>
  <c r="B12" i="53"/>
  <c r="E12" i="53"/>
  <c r="I12" i="53"/>
  <c r="J12" i="53"/>
  <c r="M12" i="53"/>
  <c r="Q12" i="53"/>
  <c r="R12" i="53"/>
  <c r="U12" i="53"/>
  <c r="B13" i="53"/>
  <c r="C13" i="53"/>
  <c r="D13" i="53"/>
  <c r="E13" i="53"/>
  <c r="F13" i="53"/>
  <c r="G13" i="53"/>
  <c r="J13" i="53"/>
  <c r="K13" i="53"/>
  <c r="L13" i="53"/>
  <c r="M13" i="53"/>
  <c r="N13" i="53"/>
  <c r="O13" i="53"/>
  <c r="R13" i="53"/>
  <c r="S13" i="53"/>
  <c r="T13" i="53"/>
  <c r="U13" i="53"/>
  <c r="V13" i="53"/>
  <c r="W13" i="53"/>
  <c r="A14" i="53"/>
  <c r="B14" i="53"/>
  <c r="C14" i="53"/>
  <c r="D14" i="53"/>
  <c r="E14" i="53"/>
  <c r="F14" i="53"/>
  <c r="G14" i="53"/>
  <c r="I14" i="53"/>
  <c r="J14" i="53"/>
  <c r="K14" i="53"/>
  <c r="L14" i="53"/>
  <c r="M14" i="53"/>
  <c r="N14" i="53"/>
  <c r="O14" i="53"/>
  <c r="Q14" i="53"/>
  <c r="R14" i="53"/>
  <c r="S14" i="53"/>
  <c r="T14" i="53"/>
  <c r="U14" i="53"/>
  <c r="V14" i="53"/>
  <c r="W14" i="53"/>
  <c r="A15" i="53"/>
  <c r="B15" i="53"/>
  <c r="C15" i="53"/>
  <c r="D15" i="53"/>
  <c r="E15" i="53"/>
  <c r="F15" i="53"/>
  <c r="G15" i="53"/>
  <c r="I15" i="53"/>
  <c r="J15" i="53"/>
  <c r="K15" i="53"/>
  <c r="L15" i="53"/>
  <c r="M15" i="53"/>
  <c r="N15" i="53"/>
  <c r="O15" i="53"/>
  <c r="Q15" i="53"/>
  <c r="R15" i="53"/>
  <c r="S15" i="53"/>
  <c r="T15" i="53"/>
  <c r="U15" i="53"/>
  <c r="V15" i="53"/>
  <c r="W15" i="53"/>
  <c r="A16" i="53"/>
  <c r="B16" i="53"/>
  <c r="C16" i="53"/>
  <c r="D16" i="53"/>
  <c r="E16" i="53"/>
  <c r="F16" i="53"/>
  <c r="G16" i="53"/>
  <c r="I16" i="53"/>
  <c r="J16" i="53"/>
  <c r="K16" i="53"/>
  <c r="L16" i="53"/>
  <c r="M16" i="53"/>
  <c r="N16" i="53"/>
  <c r="O16" i="53"/>
  <c r="Q16" i="53"/>
  <c r="R16" i="53"/>
  <c r="S16" i="53"/>
  <c r="T16" i="53"/>
  <c r="U16" i="53"/>
  <c r="V16" i="53"/>
  <c r="W16" i="53"/>
  <c r="A17" i="53"/>
  <c r="B17" i="53"/>
  <c r="C17" i="53"/>
  <c r="E17" i="53"/>
  <c r="F17" i="53"/>
  <c r="I17" i="53"/>
  <c r="J17" i="53"/>
  <c r="K17" i="53"/>
  <c r="M17" i="53"/>
  <c r="N17" i="53"/>
  <c r="Q17" i="53"/>
  <c r="R17" i="53"/>
  <c r="S17" i="53"/>
  <c r="U17" i="53"/>
  <c r="V17" i="53"/>
  <c r="A12" i="52"/>
  <c r="B12" i="52"/>
  <c r="E12" i="52"/>
  <c r="I12" i="52"/>
  <c r="J12" i="52"/>
  <c r="M12" i="52"/>
  <c r="Q12" i="52"/>
  <c r="R12" i="52"/>
  <c r="U12" i="52"/>
  <c r="B13" i="52"/>
  <c r="C13" i="52"/>
  <c r="D13" i="52"/>
  <c r="E13" i="52"/>
  <c r="F13" i="52"/>
  <c r="G13" i="52"/>
  <c r="J13" i="52"/>
  <c r="K13" i="52"/>
  <c r="L13" i="52"/>
  <c r="M13" i="52"/>
  <c r="N13" i="52"/>
  <c r="O13" i="52"/>
  <c r="R13" i="52"/>
  <c r="S13" i="52"/>
  <c r="T13" i="52"/>
  <c r="U13" i="52"/>
  <c r="V13" i="52"/>
  <c r="W13" i="52"/>
  <c r="A14" i="52"/>
  <c r="B14" i="52"/>
  <c r="C14" i="52"/>
  <c r="D14" i="52"/>
  <c r="E14" i="52"/>
  <c r="F14" i="52"/>
  <c r="G14" i="52"/>
  <c r="I14" i="52"/>
  <c r="J14" i="52"/>
  <c r="K14" i="52"/>
  <c r="L14" i="52"/>
  <c r="M14" i="52"/>
  <c r="N14" i="52"/>
  <c r="O14" i="52"/>
  <c r="Q14" i="52"/>
  <c r="R14" i="52"/>
  <c r="S14" i="52"/>
  <c r="T14" i="52"/>
  <c r="U14" i="52"/>
  <c r="V14" i="52"/>
  <c r="W14" i="52"/>
  <c r="A15" i="52"/>
  <c r="B15" i="52"/>
  <c r="C15" i="52"/>
  <c r="D15" i="52"/>
  <c r="E15" i="52"/>
  <c r="F15" i="52"/>
  <c r="G15" i="52"/>
  <c r="I15" i="52"/>
  <c r="J15" i="52"/>
  <c r="K15" i="52"/>
  <c r="L15" i="52"/>
  <c r="M15" i="52"/>
  <c r="N15" i="52"/>
  <c r="O15" i="52"/>
  <c r="Q15" i="52"/>
  <c r="R15" i="52"/>
  <c r="S15" i="52"/>
  <c r="T15" i="52"/>
  <c r="U15" i="52"/>
  <c r="V15" i="52"/>
  <c r="W15" i="52"/>
  <c r="A16" i="52"/>
  <c r="B16" i="52"/>
  <c r="C16" i="52"/>
  <c r="D16" i="52"/>
  <c r="E16" i="52"/>
  <c r="F16" i="52"/>
  <c r="G16" i="52"/>
  <c r="I16" i="52"/>
  <c r="J16" i="52"/>
  <c r="K16" i="52"/>
  <c r="L16" i="52"/>
  <c r="M16" i="52"/>
  <c r="N16" i="52"/>
  <c r="O16" i="52"/>
  <c r="Q16" i="52"/>
  <c r="R16" i="52"/>
  <c r="S16" i="52"/>
  <c r="T16" i="52"/>
  <c r="U16" i="52"/>
  <c r="V16" i="52"/>
  <c r="W16" i="52"/>
  <c r="A17" i="52"/>
  <c r="B17" i="52"/>
  <c r="C17" i="52"/>
  <c r="E17" i="52"/>
  <c r="F17" i="52"/>
  <c r="I17" i="52"/>
  <c r="J17" i="52"/>
  <c r="K17" i="52"/>
  <c r="M17" i="52"/>
  <c r="N17" i="52"/>
  <c r="Q17" i="52"/>
  <c r="R17" i="52"/>
  <c r="S17" i="52"/>
  <c r="U17" i="52"/>
  <c r="V17" i="52"/>
  <c r="A12" i="51"/>
  <c r="B12" i="51"/>
  <c r="E12" i="51"/>
  <c r="J12" i="51"/>
  <c r="K12" i="51"/>
  <c r="N12" i="51"/>
  <c r="B13" i="51"/>
  <c r="C13" i="51"/>
  <c r="D13" i="51"/>
  <c r="E13" i="51"/>
  <c r="F13" i="51"/>
  <c r="G13" i="51"/>
  <c r="K13" i="51"/>
  <c r="L13" i="51"/>
  <c r="M13" i="51"/>
  <c r="N13" i="51"/>
  <c r="O13" i="51"/>
  <c r="P13" i="51"/>
  <c r="A14" i="51"/>
  <c r="B14" i="51"/>
  <c r="C14" i="51"/>
  <c r="D14" i="51"/>
  <c r="E14" i="51"/>
  <c r="F14" i="51"/>
  <c r="G14" i="51"/>
  <c r="J14" i="51"/>
  <c r="K14" i="51"/>
  <c r="L14" i="51"/>
  <c r="M14" i="51"/>
  <c r="N14" i="51"/>
  <c r="O14" i="51"/>
  <c r="P14" i="51"/>
  <c r="A15" i="51"/>
  <c r="B15" i="51"/>
  <c r="C15" i="51"/>
  <c r="D15" i="51"/>
  <c r="E15" i="51"/>
  <c r="F15" i="51"/>
  <c r="G15" i="51"/>
  <c r="J15" i="51"/>
  <c r="K15" i="51"/>
  <c r="L15" i="51"/>
  <c r="M15" i="51"/>
  <c r="N15" i="51"/>
  <c r="O15" i="51"/>
  <c r="P15" i="51"/>
  <c r="A16" i="51"/>
  <c r="B16" i="51"/>
  <c r="C16" i="51"/>
  <c r="D16" i="51"/>
  <c r="E16" i="51"/>
  <c r="F16" i="51"/>
  <c r="G16" i="51"/>
  <c r="J16" i="51"/>
  <c r="K16" i="51"/>
  <c r="L16" i="51"/>
  <c r="M16" i="51"/>
  <c r="N16" i="51"/>
  <c r="O16" i="51"/>
  <c r="P16" i="51"/>
  <c r="A17" i="51"/>
  <c r="B17" i="51"/>
  <c r="C17" i="51"/>
  <c r="E17" i="51"/>
  <c r="F17" i="51"/>
  <c r="J17" i="51"/>
  <c r="K17" i="51"/>
  <c r="L17" i="51"/>
  <c r="N17" i="51"/>
  <c r="O17" i="51"/>
  <c r="A12" i="50"/>
  <c r="B12" i="50"/>
  <c r="E12" i="50"/>
  <c r="J12" i="50"/>
  <c r="K12" i="50"/>
  <c r="N12" i="50"/>
  <c r="B13" i="50"/>
  <c r="C13" i="50"/>
  <c r="D13" i="50"/>
  <c r="E13" i="50"/>
  <c r="F13" i="50"/>
  <c r="G13" i="50"/>
  <c r="K13" i="50"/>
  <c r="L13" i="50"/>
  <c r="M13" i="50"/>
  <c r="N13" i="50"/>
  <c r="O13" i="50"/>
  <c r="P13" i="50"/>
  <c r="A14" i="50"/>
  <c r="B14" i="50"/>
  <c r="C14" i="50"/>
  <c r="D14" i="50"/>
  <c r="E14" i="50"/>
  <c r="F14" i="50"/>
  <c r="G14" i="50"/>
  <c r="J14" i="50"/>
  <c r="K14" i="50"/>
  <c r="L14" i="50"/>
  <c r="M14" i="50"/>
  <c r="N14" i="50"/>
  <c r="O14" i="50"/>
  <c r="P14" i="50"/>
  <c r="A15" i="50"/>
  <c r="B15" i="50"/>
  <c r="C15" i="50"/>
  <c r="D15" i="50"/>
  <c r="E15" i="50"/>
  <c r="F15" i="50"/>
  <c r="G15" i="50"/>
  <c r="J15" i="50"/>
  <c r="K15" i="50"/>
  <c r="L15" i="50"/>
  <c r="M15" i="50"/>
  <c r="N15" i="50"/>
  <c r="O15" i="50"/>
  <c r="P15" i="50"/>
  <c r="A16" i="50"/>
  <c r="B16" i="50"/>
  <c r="C16" i="50"/>
  <c r="D16" i="50"/>
  <c r="E16" i="50"/>
  <c r="F16" i="50"/>
  <c r="G16" i="50"/>
  <c r="J16" i="50"/>
  <c r="K16" i="50"/>
  <c r="L16" i="50"/>
  <c r="M16" i="50"/>
  <c r="N16" i="50"/>
  <c r="O16" i="50"/>
  <c r="P16" i="50"/>
  <c r="A17" i="50"/>
  <c r="B17" i="50"/>
  <c r="C17" i="50"/>
  <c r="E17" i="50"/>
  <c r="F17" i="50"/>
  <c r="J17" i="50"/>
  <c r="K17" i="50"/>
  <c r="L17" i="50"/>
  <c r="N17" i="50"/>
  <c r="O17" i="50"/>
  <c r="A12" i="49"/>
  <c r="B12" i="49"/>
  <c r="E12" i="49"/>
  <c r="J12" i="49"/>
  <c r="K12" i="49"/>
  <c r="N12" i="49"/>
  <c r="B13" i="49"/>
  <c r="C13" i="49"/>
  <c r="D13" i="49"/>
  <c r="E13" i="49"/>
  <c r="F13" i="49"/>
  <c r="G13" i="49"/>
  <c r="K13" i="49"/>
  <c r="L13" i="49"/>
  <c r="M13" i="49"/>
  <c r="N13" i="49"/>
  <c r="O13" i="49"/>
  <c r="P13" i="49"/>
  <c r="A14" i="49"/>
  <c r="B14" i="49"/>
  <c r="C14" i="49"/>
  <c r="D14" i="49"/>
  <c r="E14" i="49"/>
  <c r="F14" i="49"/>
  <c r="G14" i="49"/>
  <c r="J14" i="49"/>
  <c r="K14" i="49"/>
  <c r="L14" i="49"/>
  <c r="M14" i="49"/>
  <c r="N14" i="49"/>
  <c r="O14" i="49"/>
  <c r="P14" i="49"/>
  <c r="A15" i="49"/>
  <c r="B15" i="49"/>
  <c r="C15" i="49"/>
  <c r="D15" i="49"/>
  <c r="E15" i="49"/>
  <c r="F15" i="49"/>
  <c r="G15" i="49"/>
  <c r="J15" i="49"/>
  <c r="K15" i="49"/>
  <c r="L15" i="49"/>
  <c r="M15" i="49"/>
  <c r="N15" i="49"/>
  <c r="O15" i="49"/>
  <c r="P15" i="49"/>
  <c r="A16" i="49"/>
  <c r="B16" i="49"/>
  <c r="C16" i="49"/>
  <c r="D16" i="49"/>
  <c r="E16" i="49"/>
  <c r="F16" i="49"/>
  <c r="G16" i="49"/>
  <c r="J16" i="49"/>
  <c r="K16" i="49"/>
  <c r="L16" i="49"/>
  <c r="M16" i="49"/>
  <c r="N16" i="49"/>
  <c r="O16" i="49"/>
  <c r="P16" i="49"/>
  <c r="A17" i="49"/>
  <c r="B17" i="49"/>
  <c r="C17" i="49"/>
  <c r="E17" i="49"/>
  <c r="F17" i="49"/>
  <c r="J17" i="49"/>
  <c r="K17" i="49"/>
  <c r="L17" i="49"/>
  <c r="N17" i="49"/>
  <c r="O17" i="49"/>
  <c r="A12" i="48"/>
  <c r="B12" i="48"/>
  <c r="E12" i="48"/>
  <c r="J12" i="48"/>
  <c r="K12" i="48"/>
  <c r="N12" i="48"/>
  <c r="B13" i="48"/>
  <c r="C13" i="48"/>
  <c r="D13" i="48"/>
  <c r="E13" i="48"/>
  <c r="F13" i="48"/>
  <c r="G13" i="48"/>
  <c r="K13" i="48"/>
  <c r="L13" i="48"/>
  <c r="M13" i="48"/>
  <c r="N13" i="48"/>
  <c r="O13" i="48"/>
  <c r="P13" i="48"/>
  <c r="A14" i="48"/>
  <c r="B14" i="48"/>
  <c r="C14" i="48"/>
  <c r="D14" i="48"/>
  <c r="E14" i="48"/>
  <c r="F14" i="48"/>
  <c r="G14" i="48"/>
  <c r="J14" i="48"/>
  <c r="K14" i="48"/>
  <c r="L14" i="48"/>
  <c r="M14" i="48"/>
  <c r="N14" i="48"/>
  <c r="O14" i="48"/>
  <c r="P14" i="48"/>
  <c r="A15" i="48"/>
  <c r="B15" i="48"/>
  <c r="C15" i="48"/>
  <c r="D15" i="48"/>
  <c r="E15" i="48"/>
  <c r="F15" i="48"/>
  <c r="G15" i="48"/>
  <c r="J15" i="48"/>
  <c r="K15" i="48"/>
  <c r="L15" i="48"/>
  <c r="M15" i="48"/>
  <c r="N15" i="48"/>
  <c r="O15" i="48"/>
  <c r="P15" i="48"/>
  <c r="A16" i="48"/>
  <c r="B16" i="48"/>
  <c r="C16" i="48"/>
  <c r="D16" i="48"/>
  <c r="E16" i="48"/>
  <c r="F16" i="48"/>
  <c r="G16" i="48"/>
  <c r="J16" i="48"/>
  <c r="K16" i="48"/>
  <c r="L16" i="48"/>
  <c r="M16" i="48"/>
  <c r="N16" i="48"/>
  <c r="O16" i="48"/>
  <c r="P16" i="48"/>
  <c r="A17" i="48"/>
  <c r="B17" i="48"/>
  <c r="C17" i="48"/>
  <c r="E17" i="48"/>
  <c r="F17" i="48"/>
  <c r="J17" i="48"/>
  <c r="K17" i="48"/>
  <c r="L17" i="48"/>
  <c r="N17" i="48"/>
  <c r="O17" i="48"/>
  <c r="A12" i="47"/>
  <c r="B12" i="47"/>
  <c r="E12" i="47"/>
  <c r="J12" i="47"/>
  <c r="K12" i="47"/>
  <c r="N12" i="47"/>
  <c r="B13" i="47"/>
  <c r="C13" i="47"/>
  <c r="D13" i="47"/>
  <c r="E13" i="47"/>
  <c r="F13" i="47"/>
  <c r="G13" i="47"/>
  <c r="K13" i="47"/>
  <c r="L13" i="47"/>
  <c r="M13" i="47"/>
  <c r="N13" i="47"/>
  <c r="O13" i="47"/>
  <c r="P13" i="47"/>
  <c r="A14" i="47"/>
  <c r="B14" i="47"/>
  <c r="C14" i="47"/>
  <c r="D14" i="47"/>
  <c r="E14" i="47"/>
  <c r="F14" i="47"/>
  <c r="G14" i="47"/>
  <c r="J14" i="47"/>
  <c r="K14" i="47"/>
  <c r="L14" i="47"/>
  <c r="M14" i="47"/>
  <c r="N14" i="47"/>
  <c r="O14" i="47"/>
  <c r="P14" i="47"/>
  <c r="A15" i="47"/>
  <c r="B15" i="47"/>
  <c r="C15" i="47"/>
  <c r="D15" i="47"/>
  <c r="E15" i="47"/>
  <c r="F15" i="47"/>
  <c r="G15" i="47"/>
  <c r="J15" i="47"/>
  <c r="K15" i="47"/>
  <c r="L15" i="47"/>
  <c r="M15" i="47"/>
  <c r="N15" i="47"/>
  <c r="O15" i="47"/>
  <c r="P15" i="47"/>
  <c r="A16" i="47"/>
  <c r="B16" i="47"/>
  <c r="C16" i="47"/>
  <c r="D16" i="47"/>
  <c r="E16" i="47"/>
  <c r="F16" i="47"/>
  <c r="G16" i="47"/>
  <c r="J16" i="47"/>
  <c r="K16" i="47"/>
  <c r="L16" i="47"/>
  <c r="M16" i="47"/>
  <c r="N16" i="47"/>
  <c r="O16" i="47"/>
  <c r="P16" i="47"/>
  <c r="A17" i="47"/>
  <c r="B17" i="47"/>
  <c r="C17" i="47"/>
  <c r="E17" i="47"/>
  <c r="F17" i="47"/>
  <c r="J17" i="47"/>
  <c r="K17" i="47"/>
  <c r="L17" i="47"/>
  <c r="N17" i="47"/>
  <c r="O17" i="47"/>
  <c r="A51" i="47"/>
  <c r="B51" i="47"/>
  <c r="E51" i="47"/>
  <c r="J51" i="47"/>
  <c r="K51" i="47"/>
  <c r="N51" i="47"/>
  <c r="B52" i="47"/>
  <c r="C52" i="47"/>
  <c r="D52" i="47"/>
  <c r="E52" i="47"/>
  <c r="F52" i="47"/>
  <c r="G52" i="47"/>
  <c r="K52" i="47"/>
  <c r="L52" i="47"/>
  <c r="M52" i="47"/>
  <c r="N52" i="47"/>
  <c r="O52" i="47"/>
  <c r="P52" i="47"/>
  <c r="A53" i="47"/>
  <c r="B53" i="47"/>
  <c r="C53" i="47"/>
  <c r="D53" i="47"/>
  <c r="E53" i="47"/>
  <c r="F53" i="47"/>
  <c r="G53" i="47"/>
  <c r="J53" i="47"/>
  <c r="K53" i="47"/>
  <c r="L53" i="47"/>
  <c r="M53" i="47"/>
  <c r="N53" i="47"/>
  <c r="O53" i="47"/>
  <c r="P53" i="47"/>
  <c r="A54" i="47"/>
  <c r="B54" i="47"/>
  <c r="C54" i="47"/>
  <c r="D54" i="47"/>
  <c r="E54" i="47"/>
  <c r="F54" i="47"/>
  <c r="G54" i="47"/>
  <c r="J54" i="47"/>
  <c r="K54" i="47"/>
  <c r="L54" i="47"/>
  <c r="M54" i="47"/>
  <c r="N54" i="47"/>
  <c r="O54" i="47"/>
  <c r="P54" i="47"/>
  <c r="A55" i="47"/>
  <c r="B55" i="47"/>
  <c r="C55" i="47"/>
  <c r="D55" i="47"/>
  <c r="E55" i="47"/>
  <c r="F55" i="47"/>
  <c r="G55" i="47"/>
  <c r="J55" i="47"/>
  <c r="K55" i="47"/>
  <c r="L55" i="47"/>
  <c r="M55" i="47"/>
  <c r="N55" i="47"/>
  <c r="O55" i="47"/>
  <c r="P55" i="47"/>
  <c r="A56" i="47"/>
  <c r="B56" i="47"/>
  <c r="C56" i="47"/>
  <c r="E56" i="47"/>
  <c r="F56" i="47"/>
  <c r="J56" i="47"/>
  <c r="K56" i="47"/>
  <c r="L56" i="47"/>
  <c r="N56" i="47"/>
  <c r="O56" i="47"/>
  <c r="A12" i="46"/>
  <c r="B12" i="46"/>
  <c r="E12" i="46"/>
  <c r="J12" i="46"/>
  <c r="K12" i="46"/>
  <c r="N12" i="46"/>
  <c r="B13" i="46"/>
  <c r="C13" i="46"/>
  <c r="D13" i="46"/>
  <c r="E13" i="46"/>
  <c r="F13" i="46"/>
  <c r="G13" i="46"/>
  <c r="K13" i="46"/>
  <c r="L13" i="46"/>
  <c r="M13" i="46"/>
  <c r="N13" i="46"/>
  <c r="O13" i="46"/>
  <c r="P13" i="46"/>
  <c r="A14" i="46"/>
  <c r="B14" i="46"/>
  <c r="C14" i="46"/>
  <c r="D14" i="46"/>
  <c r="E14" i="46"/>
  <c r="F14" i="46"/>
  <c r="G14" i="46"/>
  <c r="J14" i="46"/>
  <c r="K14" i="46"/>
  <c r="L14" i="46"/>
  <c r="M14" i="46"/>
  <c r="N14" i="46"/>
  <c r="O14" i="46"/>
  <c r="P14" i="46"/>
  <c r="A15" i="46"/>
  <c r="B15" i="46"/>
  <c r="C15" i="46"/>
  <c r="D15" i="46"/>
  <c r="E15" i="46"/>
  <c r="F15" i="46"/>
  <c r="G15" i="46"/>
  <c r="J15" i="46"/>
  <c r="K15" i="46"/>
  <c r="L15" i="46"/>
  <c r="M15" i="46"/>
  <c r="N15" i="46"/>
  <c r="O15" i="46"/>
  <c r="P15" i="46"/>
  <c r="A16" i="46"/>
  <c r="B16" i="46"/>
  <c r="C16" i="46"/>
  <c r="D16" i="46"/>
  <c r="E16" i="46"/>
  <c r="F16" i="46"/>
  <c r="G16" i="46"/>
  <c r="J16" i="46"/>
  <c r="K16" i="46"/>
  <c r="L16" i="46"/>
  <c r="M16" i="46"/>
  <c r="N16" i="46"/>
  <c r="O16" i="46"/>
  <c r="P16" i="46"/>
  <c r="A17" i="46"/>
  <c r="B17" i="46"/>
  <c r="C17" i="46"/>
  <c r="E17" i="46"/>
  <c r="F17" i="46"/>
  <c r="J17" i="46"/>
  <c r="K17" i="46"/>
  <c r="L17" i="46"/>
  <c r="N17" i="46"/>
  <c r="O17" i="46"/>
  <c r="A12" i="45"/>
  <c r="B12" i="45"/>
  <c r="D12" i="45"/>
  <c r="G12" i="45"/>
  <c r="H12" i="45"/>
  <c r="J12" i="45"/>
  <c r="M12" i="45"/>
  <c r="N12" i="45"/>
  <c r="P12" i="45"/>
  <c r="B13" i="45"/>
  <c r="C13" i="45"/>
  <c r="D13" i="45"/>
  <c r="E13" i="45"/>
  <c r="H13" i="45"/>
  <c r="I13" i="45"/>
  <c r="J13" i="45"/>
  <c r="K13" i="45"/>
  <c r="N13" i="45"/>
  <c r="O13" i="45"/>
  <c r="P13" i="45"/>
  <c r="Q13" i="45"/>
  <c r="A14" i="45"/>
  <c r="B14" i="45"/>
  <c r="C14" i="45"/>
  <c r="D14" i="45"/>
  <c r="E14" i="45"/>
  <c r="G14" i="45"/>
  <c r="H14" i="45"/>
  <c r="I14" i="45"/>
  <c r="J14" i="45"/>
  <c r="K14" i="45"/>
  <c r="M14" i="45"/>
  <c r="N14" i="45"/>
  <c r="O14" i="45"/>
  <c r="P14" i="45"/>
  <c r="Q14" i="45"/>
  <c r="A15" i="45"/>
  <c r="B15" i="45"/>
  <c r="C15" i="45"/>
  <c r="D15" i="45"/>
  <c r="E15" i="45"/>
  <c r="G15" i="45"/>
  <c r="H15" i="45"/>
  <c r="I15" i="45"/>
  <c r="J15" i="45"/>
  <c r="K15" i="45"/>
  <c r="M15" i="45"/>
  <c r="N15" i="45"/>
  <c r="O15" i="45"/>
  <c r="P15" i="45"/>
  <c r="Q15" i="45"/>
  <c r="A16" i="45"/>
  <c r="B16" i="45"/>
  <c r="C16" i="45"/>
  <c r="D16" i="45"/>
  <c r="E16" i="45"/>
  <c r="G16" i="45"/>
  <c r="H16" i="45"/>
  <c r="I16" i="45"/>
  <c r="J16" i="45"/>
  <c r="K16" i="45"/>
  <c r="M16" i="45"/>
  <c r="N16" i="45"/>
  <c r="O16" i="45"/>
  <c r="P16" i="45"/>
  <c r="Q16" i="45"/>
  <c r="G17" i="45"/>
  <c r="H17" i="45"/>
  <c r="I17" i="45"/>
  <c r="J17" i="45"/>
  <c r="K17" i="45"/>
  <c r="M17" i="45"/>
  <c r="N17" i="45"/>
  <c r="O17" i="45"/>
  <c r="P17" i="45"/>
  <c r="Q17" i="45"/>
  <c r="F10" i="44"/>
  <c r="F11" i="44"/>
  <c r="A12" i="44"/>
  <c r="B12" i="44"/>
  <c r="D12" i="44"/>
  <c r="B13" i="44"/>
  <c r="C13" i="44"/>
  <c r="D13" i="44"/>
  <c r="E13" i="44"/>
  <c r="A14" i="44"/>
  <c r="B14" i="44"/>
  <c r="C14" i="44"/>
  <c r="D14" i="44"/>
  <c r="E14" i="44"/>
  <c r="A15" i="44"/>
  <c r="B15" i="44"/>
  <c r="C15" i="44"/>
  <c r="D15" i="44"/>
  <c r="E15" i="44"/>
  <c r="A16" i="44"/>
  <c r="B16" i="44"/>
  <c r="C16" i="44"/>
  <c r="D16" i="44"/>
  <c r="E16" i="44"/>
  <c r="F31" i="44"/>
  <c r="F32" i="44"/>
  <c r="F33" i="44"/>
  <c r="F34" i="44"/>
  <c r="F35" i="44"/>
  <c r="F36" i="44"/>
  <c r="F37" i="44"/>
  <c r="F38" i="44"/>
  <c r="F39" i="44"/>
  <c r="F40" i="44"/>
  <c r="F41" i="44"/>
  <c r="F42" i="44"/>
  <c r="F43" i="44"/>
  <c r="F44" i="44"/>
  <c r="F45" i="44"/>
  <c r="F46" i="44"/>
  <c r="F47" i="44"/>
  <c r="F48" i="44"/>
  <c r="F49" i="44"/>
  <c r="A12" i="43"/>
  <c r="B12" i="43"/>
  <c r="D12" i="43"/>
  <c r="B13" i="43"/>
  <c r="C13" i="43"/>
  <c r="D13" i="43"/>
  <c r="E13" i="43"/>
  <c r="A14" i="43"/>
  <c r="B14" i="43"/>
  <c r="C14" i="43"/>
  <c r="D14" i="43"/>
  <c r="E14" i="43"/>
  <c r="A15" i="43"/>
  <c r="B15" i="43"/>
  <c r="C15" i="43"/>
  <c r="D15" i="43"/>
  <c r="E15" i="43"/>
  <c r="A16" i="43"/>
  <c r="B16" i="43"/>
  <c r="C16" i="43"/>
  <c r="D16" i="43"/>
  <c r="E16" i="43"/>
  <c r="A17" i="43"/>
  <c r="B17" i="43"/>
  <c r="C17" i="43"/>
  <c r="D17" i="43"/>
  <c r="E17" i="43"/>
  <c r="A12" i="42"/>
  <c r="B12" i="42"/>
  <c r="D12" i="42"/>
  <c r="B13" i="42"/>
  <c r="C13" i="42"/>
  <c r="D13" i="42"/>
  <c r="E13" i="42"/>
  <c r="A14" i="42"/>
  <c r="B14" i="42"/>
  <c r="C14" i="42"/>
  <c r="D14" i="42"/>
  <c r="E14" i="42"/>
  <c r="A15" i="42"/>
  <c r="B15" i="42"/>
  <c r="C15" i="42"/>
  <c r="D15" i="42"/>
  <c r="E15" i="42"/>
  <c r="A16" i="42"/>
  <c r="B16" i="42"/>
  <c r="C16" i="42"/>
  <c r="D16" i="42"/>
  <c r="E16" i="42"/>
  <c r="A17" i="42"/>
  <c r="B17" i="42"/>
  <c r="C17" i="42"/>
  <c r="D17" i="42"/>
  <c r="E17" i="42"/>
  <c r="A18" i="42"/>
  <c r="B18" i="42"/>
  <c r="C18" i="42"/>
  <c r="D18" i="42"/>
  <c r="E18" i="42"/>
  <c r="A19" i="42"/>
  <c r="B19" i="42"/>
  <c r="C19" i="42"/>
  <c r="D19" i="42"/>
  <c r="E19" i="42"/>
  <c r="A12" i="29"/>
  <c r="B12" i="29"/>
  <c r="D12" i="29"/>
  <c r="B13" i="29"/>
  <c r="C13" i="29"/>
  <c r="D13" i="29"/>
  <c r="E13" i="29"/>
  <c r="A14" i="29"/>
  <c r="B14" i="29"/>
  <c r="C14" i="29"/>
  <c r="E14" i="29"/>
  <c r="A15" i="29"/>
  <c r="B15" i="29"/>
  <c r="C15" i="29"/>
  <c r="D15" i="29"/>
  <c r="E15" i="29"/>
  <c r="A16" i="29"/>
  <c r="B16" i="29"/>
  <c r="C16" i="29"/>
  <c r="D16" i="29"/>
  <c r="E16" i="29"/>
  <c r="A17" i="29"/>
  <c r="B17" i="29"/>
  <c r="C17" i="29"/>
  <c r="D17" i="29"/>
  <c r="E17" i="29"/>
  <c r="A18" i="29"/>
  <c r="B18" i="29"/>
  <c r="C18" i="29"/>
  <c r="D18" i="29"/>
  <c r="E18" i="29"/>
  <c r="A19" i="29"/>
  <c r="B19" i="29"/>
  <c r="C19" i="29"/>
  <c r="D19" i="29"/>
  <c r="E19" i="29"/>
  <c r="E13" i="27"/>
  <c r="D13" i="27"/>
  <c r="D12" i="27"/>
  <c r="B13" i="27"/>
  <c r="C13" i="27"/>
  <c r="A12" i="28"/>
  <c r="B12" i="28"/>
  <c r="D12" i="28"/>
  <c r="B13" i="28"/>
  <c r="C13" i="28"/>
  <c r="D13" i="28"/>
  <c r="E13" i="28"/>
  <c r="A14" i="28"/>
  <c r="B14" i="28"/>
  <c r="C14" i="28"/>
  <c r="D14" i="28"/>
  <c r="E14" i="28"/>
  <c r="A15" i="28"/>
  <c r="B15" i="28"/>
  <c r="C15" i="28"/>
  <c r="D15" i="28"/>
  <c r="E15" i="28"/>
  <c r="A16" i="28"/>
  <c r="B16" i="28"/>
  <c r="C16" i="28"/>
  <c r="D16" i="28"/>
  <c r="E16" i="28"/>
  <c r="A12" i="27"/>
  <c r="B12" i="27"/>
  <c r="A14" i="27"/>
  <c r="B14" i="27"/>
  <c r="C14" i="27"/>
  <c r="D14" i="27"/>
  <c r="E14" i="27"/>
  <c r="A15" i="27"/>
  <c r="B15" i="27"/>
  <c r="C15" i="27"/>
  <c r="D15" i="27"/>
  <c r="E15" i="27"/>
  <c r="A16" i="27"/>
  <c r="B16" i="27"/>
  <c r="C16" i="27"/>
  <c r="D16" i="27"/>
  <c r="E16" i="27"/>
  <c r="A17" i="27"/>
  <c r="B17" i="27"/>
  <c r="C17" i="27"/>
  <c r="D17" i="27"/>
  <c r="E17" i="27"/>
  <c r="A18" i="27"/>
  <c r="B18" i="27"/>
  <c r="C18" i="27"/>
  <c r="D18" i="27"/>
  <c r="E18" i="27"/>
  <c r="A19" i="27"/>
  <c r="B19" i="27"/>
  <c r="C19" i="27"/>
  <c r="D19" i="27"/>
  <c r="E19" i="27"/>
  <c r="A12" i="26"/>
  <c r="B12" i="26"/>
  <c r="D12" i="26"/>
  <c r="B13" i="26"/>
  <c r="C13" i="26"/>
  <c r="D13" i="26"/>
  <c r="E13" i="26"/>
  <c r="A14" i="26"/>
  <c r="B14" i="26"/>
  <c r="C14" i="26"/>
  <c r="D14" i="26"/>
  <c r="E14" i="26"/>
  <c r="A15" i="26"/>
  <c r="B15" i="26"/>
  <c r="C15" i="26"/>
  <c r="D15" i="26"/>
  <c r="E15" i="26"/>
  <c r="A16" i="26"/>
  <c r="B16" i="26"/>
  <c r="C16" i="26"/>
  <c r="D16" i="26"/>
  <c r="E16" i="26"/>
  <c r="A17" i="26"/>
  <c r="B17" i="26"/>
  <c r="C17" i="26"/>
  <c r="D17" i="26"/>
  <c r="E17" i="26"/>
  <c r="A18" i="26"/>
  <c r="B18" i="26"/>
  <c r="C18" i="26"/>
  <c r="D18" i="26"/>
  <c r="E18" i="26"/>
  <c r="A19" i="26"/>
  <c r="B19" i="26"/>
  <c r="C19" i="26"/>
  <c r="D19" i="26"/>
  <c r="E19" i="26"/>
  <c r="A21" i="26"/>
  <c r="B21" i="26"/>
  <c r="D21" i="26"/>
  <c r="A22" i="26"/>
  <c r="B22" i="26"/>
  <c r="D22" i="26"/>
  <c r="C9" i="21" l="1"/>
  <c r="G9" i="21"/>
  <c r="I9" i="21"/>
  <c r="M9" i="21"/>
  <c r="A13" i="21"/>
  <c r="C13" i="21"/>
  <c r="D13" i="21"/>
  <c r="I13" i="21"/>
  <c r="J13" i="21"/>
  <c r="D14" i="21"/>
  <c r="E14" i="21"/>
  <c r="F14" i="21"/>
  <c r="G14" i="21"/>
  <c r="J14" i="21"/>
  <c r="K14" i="21"/>
  <c r="L14" i="21"/>
  <c r="M14" i="21"/>
  <c r="A15" i="21"/>
  <c r="D15" i="21"/>
  <c r="E15" i="21"/>
  <c r="F15" i="21"/>
  <c r="G15" i="21"/>
  <c r="J15" i="21"/>
  <c r="K15" i="21"/>
  <c r="L15" i="21"/>
  <c r="M15" i="21"/>
  <c r="A16" i="21"/>
  <c r="D16" i="21"/>
  <c r="E16" i="21"/>
  <c r="F16" i="21"/>
  <c r="J16" i="21"/>
  <c r="K16" i="21"/>
  <c r="L16" i="21"/>
  <c r="A17" i="21"/>
  <c r="D17" i="21"/>
  <c r="E17" i="21"/>
  <c r="F17" i="21"/>
  <c r="J17" i="21"/>
  <c r="K17" i="21"/>
  <c r="L17" i="21"/>
  <c r="A18" i="21"/>
  <c r="D18" i="21"/>
  <c r="E18" i="21"/>
  <c r="J18" i="21"/>
  <c r="K18" i="21"/>
  <c r="A20" i="21"/>
  <c r="C20" i="21"/>
  <c r="D20" i="21"/>
  <c r="I20" i="21"/>
  <c r="J20" i="21"/>
  <c r="D21" i="21"/>
  <c r="E21" i="21"/>
  <c r="F21" i="21"/>
  <c r="G21" i="21"/>
  <c r="J21" i="21"/>
  <c r="K21" i="21"/>
  <c r="L21" i="21"/>
  <c r="M21" i="21"/>
  <c r="A22" i="21"/>
  <c r="D22" i="21"/>
  <c r="E22" i="21"/>
  <c r="F22" i="21"/>
  <c r="G22" i="21"/>
  <c r="J22" i="21"/>
  <c r="K22" i="21"/>
  <c r="L22" i="21"/>
  <c r="M22" i="21"/>
  <c r="A23" i="21"/>
  <c r="D23" i="21"/>
  <c r="E23" i="21"/>
  <c r="F23" i="21"/>
  <c r="J23" i="21"/>
  <c r="K23" i="21"/>
  <c r="L23" i="21"/>
  <c r="A24" i="21"/>
  <c r="D24" i="21"/>
  <c r="E24" i="21"/>
  <c r="F24" i="21"/>
  <c r="J24" i="21"/>
  <c r="K24" i="21"/>
  <c r="L24" i="21"/>
  <c r="A25" i="21"/>
  <c r="D25" i="21"/>
  <c r="E25" i="21"/>
  <c r="J25" i="21"/>
  <c r="K25" i="21"/>
  <c r="A27" i="21"/>
  <c r="C27" i="21"/>
  <c r="D27" i="21"/>
  <c r="I27" i="21"/>
  <c r="J27" i="21"/>
  <c r="D28" i="21"/>
  <c r="E28" i="21"/>
  <c r="F28" i="21"/>
  <c r="G28" i="21"/>
  <c r="J28" i="21"/>
  <c r="K28" i="21"/>
  <c r="L28" i="21"/>
  <c r="M28" i="21"/>
  <c r="A29" i="21"/>
  <c r="D29" i="21"/>
  <c r="E29" i="21"/>
  <c r="F29" i="21"/>
  <c r="G29" i="21"/>
  <c r="J29" i="21"/>
  <c r="K29" i="21"/>
  <c r="L29" i="21"/>
  <c r="M29" i="21"/>
  <c r="A30" i="21"/>
  <c r="D30" i="21"/>
  <c r="E30" i="21"/>
  <c r="F30" i="21"/>
  <c r="J30" i="21"/>
  <c r="K30" i="21"/>
  <c r="L30" i="21"/>
  <c r="A31" i="21"/>
  <c r="D31" i="21"/>
  <c r="E31" i="21"/>
  <c r="F31" i="21"/>
  <c r="J31" i="21"/>
  <c r="K31" i="21"/>
  <c r="L31" i="21"/>
  <c r="A32" i="21"/>
  <c r="D32" i="21"/>
  <c r="E32" i="21"/>
  <c r="J32" i="21"/>
  <c r="K32" i="21"/>
  <c r="A34" i="21"/>
  <c r="C34" i="21"/>
  <c r="D34" i="21"/>
  <c r="I34" i="21"/>
  <c r="J34" i="21"/>
  <c r="D35" i="21"/>
  <c r="E35" i="21"/>
  <c r="F35" i="21"/>
  <c r="G35" i="21"/>
  <c r="J35" i="21"/>
  <c r="K35" i="21"/>
  <c r="L35" i="21"/>
  <c r="M35" i="21"/>
  <c r="A36" i="21"/>
  <c r="D36" i="21"/>
  <c r="E36" i="21"/>
  <c r="F36" i="21"/>
  <c r="G36" i="21"/>
  <c r="J36" i="21"/>
  <c r="K36" i="21"/>
  <c r="L36" i="21"/>
  <c r="M36" i="21"/>
  <c r="A37" i="21"/>
  <c r="D37" i="21"/>
  <c r="E37" i="21"/>
  <c r="F37" i="21"/>
  <c r="J37" i="21"/>
  <c r="K37" i="21"/>
  <c r="L37" i="21"/>
  <c r="A38" i="21"/>
  <c r="D38" i="21"/>
  <c r="E38" i="21"/>
  <c r="F38" i="21"/>
  <c r="J38" i="21"/>
  <c r="K38" i="21"/>
  <c r="L38" i="21"/>
  <c r="A39" i="21"/>
  <c r="D39" i="21"/>
  <c r="E39" i="21"/>
  <c r="J39" i="21"/>
  <c r="K39" i="21"/>
  <c r="A41" i="21"/>
  <c r="C41" i="21"/>
  <c r="D41" i="21"/>
  <c r="I41" i="21"/>
  <c r="J41" i="21"/>
  <c r="D42" i="21"/>
  <c r="E42" i="21"/>
  <c r="F42" i="21"/>
  <c r="G42" i="21"/>
  <c r="J42" i="21"/>
  <c r="K42" i="21"/>
  <c r="L42" i="21"/>
  <c r="M42" i="21"/>
  <c r="A43" i="21"/>
  <c r="D43" i="21"/>
  <c r="E43" i="21"/>
  <c r="F43" i="21"/>
  <c r="G43" i="21"/>
  <c r="J43" i="21"/>
  <c r="K43" i="21"/>
  <c r="L43" i="21"/>
  <c r="M43" i="21"/>
  <c r="A44" i="21"/>
  <c r="D44" i="21"/>
  <c r="E44" i="21"/>
  <c r="F44" i="21"/>
  <c r="J44" i="21"/>
  <c r="K44" i="21"/>
  <c r="L44" i="21"/>
  <c r="A45" i="21"/>
  <c r="D45" i="21"/>
  <c r="E45" i="21"/>
  <c r="F45" i="21"/>
  <c r="J45" i="21"/>
  <c r="K45" i="21"/>
  <c r="L45" i="21"/>
  <c r="A46" i="21"/>
  <c r="D46" i="21"/>
  <c r="E46" i="21"/>
  <c r="J46" i="21"/>
  <c r="K46" i="21"/>
  <c r="A48" i="21"/>
  <c r="C48" i="21"/>
  <c r="D48" i="21"/>
  <c r="I48" i="21"/>
  <c r="J48" i="21"/>
  <c r="D49" i="21"/>
  <c r="E49" i="21"/>
  <c r="F49" i="21"/>
  <c r="G49" i="21"/>
  <c r="J49" i="21"/>
  <c r="K49" i="21"/>
  <c r="L49" i="21"/>
  <c r="M49" i="21"/>
  <c r="A50" i="21"/>
  <c r="D50" i="21"/>
  <c r="E50" i="21"/>
  <c r="F50" i="21"/>
  <c r="G50" i="21"/>
  <c r="J50" i="21"/>
  <c r="K50" i="21"/>
  <c r="L50" i="21"/>
  <c r="M50" i="21"/>
  <c r="A51" i="21"/>
  <c r="D51" i="21"/>
  <c r="E51" i="21"/>
  <c r="F51" i="21"/>
  <c r="J51" i="21"/>
  <c r="K51" i="21"/>
  <c r="L51" i="21"/>
  <c r="A52" i="21"/>
  <c r="D52" i="21"/>
  <c r="E52" i="21"/>
  <c r="F52" i="21"/>
  <c r="J52" i="21"/>
  <c r="K52" i="21"/>
  <c r="L52" i="21"/>
  <c r="A53" i="21"/>
  <c r="D53" i="21"/>
  <c r="E53" i="21"/>
  <c r="J53" i="21"/>
  <c r="K53" i="21"/>
  <c r="A55" i="21"/>
  <c r="C55" i="21"/>
  <c r="D55" i="21"/>
  <c r="I55" i="21"/>
  <c r="J55" i="21"/>
  <c r="D56" i="21"/>
  <c r="E56" i="21"/>
  <c r="F56" i="21"/>
  <c r="G56" i="21"/>
  <c r="J56" i="21"/>
  <c r="K56" i="21"/>
  <c r="L56" i="21"/>
  <c r="M56" i="21"/>
  <c r="A57" i="21"/>
  <c r="D57" i="21"/>
  <c r="E57" i="21"/>
  <c r="F57" i="21"/>
  <c r="G57" i="21"/>
  <c r="J57" i="21"/>
  <c r="K57" i="21"/>
  <c r="L57" i="21"/>
  <c r="M57" i="21"/>
  <c r="A58" i="21"/>
  <c r="D58" i="21"/>
  <c r="E58" i="21"/>
  <c r="F58" i="21"/>
  <c r="J58" i="21"/>
  <c r="K58" i="21"/>
  <c r="L58" i="21"/>
  <c r="A59" i="21"/>
  <c r="D59" i="21"/>
  <c r="E59" i="21"/>
  <c r="F59" i="21"/>
  <c r="J59" i="21"/>
  <c r="K59" i="21"/>
  <c r="L59" i="21"/>
  <c r="A60" i="21"/>
  <c r="D60" i="21"/>
  <c r="E60" i="21"/>
  <c r="J60" i="21"/>
  <c r="K60" i="21"/>
  <c r="A62" i="21"/>
  <c r="C62" i="21"/>
  <c r="D62" i="21"/>
  <c r="I62" i="21"/>
  <c r="J62" i="21"/>
  <c r="D63" i="21"/>
  <c r="E63" i="21"/>
  <c r="F63" i="21"/>
  <c r="G63" i="21"/>
  <c r="J63" i="21"/>
  <c r="K63" i="21"/>
  <c r="L63" i="21"/>
  <c r="M63" i="21"/>
  <c r="A64" i="21"/>
  <c r="D64" i="21"/>
  <c r="E64" i="21"/>
  <c r="F64" i="21"/>
  <c r="G64" i="21"/>
  <c r="J64" i="21"/>
  <c r="K64" i="21"/>
  <c r="L64" i="21"/>
  <c r="M64" i="21"/>
  <c r="A65" i="21"/>
  <c r="D65" i="21"/>
  <c r="E65" i="21"/>
  <c r="F65" i="21"/>
  <c r="J65" i="21"/>
  <c r="K65" i="21"/>
  <c r="L65" i="21"/>
  <c r="A66" i="21"/>
  <c r="D66" i="21"/>
  <c r="E66" i="21"/>
  <c r="F66" i="21"/>
  <c r="J66" i="21"/>
  <c r="K66" i="21"/>
  <c r="L66" i="21"/>
  <c r="A67" i="21"/>
  <c r="D67" i="21"/>
  <c r="E67" i="21"/>
  <c r="J67" i="21"/>
  <c r="K67" i="21"/>
  <c r="A69" i="21"/>
  <c r="C69" i="21"/>
  <c r="D69" i="21"/>
  <c r="I69" i="21"/>
  <c r="J69" i="21"/>
  <c r="D70" i="21"/>
  <c r="E70" i="21"/>
  <c r="F70" i="21"/>
  <c r="G70" i="21"/>
  <c r="J70" i="21"/>
  <c r="K70" i="21"/>
  <c r="L70" i="21"/>
  <c r="M70" i="21"/>
  <c r="A71" i="21"/>
  <c r="D71" i="21"/>
  <c r="E71" i="21"/>
  <c r="F71" i="21"/>
  <c r="G71" i="21"/>
  <c r="J71" i="21"/>
  <c r="K71" i="21"/>
  <c r="L71" i="21"/>
  <c r="M71" i="21"/>
  <c r="A72" i="21"/>
  <c r="D72" i="21"/>
  <c r="E72" i="21"/>
  <c r="F72" i="21"/>
  <c r="J72" i="21"/>
  <c r="K72" i="21"/>
  <c r="L72" i="21"/>
  <c r="A73" i="21"/>
  <c r="D73" i="21"/>
  <c r="E73" i="21"/>
  <c r="F73" i="21"/>
  <c r="J73" i="21"/>
  <c r="K73" i="21"/>
  <c r="L73" i="21"/>
  <c r="A74" i="21"/>
  <c r="D74" i="21"/>
  <c r="E74" i="21"/>
  <c r="J74" i="21"/>
  <c r="K74" i="21"/>
  <c r="A76" i="21"/>
  <c r="C76" i="21"/>
  <c r="D76" i="21"/>
  <c r="I76" i="21"/>
  <c r="J76" i="21"/>
  <c r="D77" i="21"/>
  <c r="E77" i="21"/>
  <c r="F77" i="21"/>
  <c r="G77" i="21"/>
  <c r="J77" i="21"/>
  <c r="K77" i="21"/>
  <c r="L77" i="21"/>
  <c r="M77" i="21"/>
  <c r="A78" i="21"/>
  <c r="D78" i="21"/>
  <c r="E78" i="21"/>
  <c r="F78" i="21"/>
  <c r="G78" i="21"/>
  <c r="J78" i="21"/>
  <c r="K78" i="21"/>
  <c r="L78" i="21"/>
  <c r="M78" i="21"/>
  <c r="A79" i="21"/>
  <c r="D79" i="21"/>
  <c r="E79" i="21"/>
  <c r="F79" i="21"/>
  <c r="J79" i="21"/>
  <c r="K79" i="21"/>
  <c r="L79" i="21"/>
  <c r="A80" i="21"/>
  <c r="D80" i="21"/>
  <c r="E80" i="21"/>
  <c r="F80" i="21"/>
  <c r="J80" i="21"/>
  <c r="K80" i="21"/>
  <c r="L80" i="21"/>
  <c r="A81" i="21"/>
  <c r="D81" i="21"/>
  <c r="E81" i="21"/>
  <c r="J81" i="21"/>
  <c r="K81" i="21"/>
  <c r="A83" i="21"/>
  <c r="C83" i="21"/>
  <c r="D83" i="21"/>
  <c r="I83" i="21"/>
  <c r="J83" i="21"/>
  <c r="D84" i="21"/>
  <c r="E84" i="21"/>
  <c r="F84" i="21"/>
  <c r="G84" i="21"/>
  <c r="J84" i="21"/>
  <c r="K84" i="21"/>
  <c r="L84" i="21"/>
  <c r="M84" i="21"/>
  <c r="A85" i="21"/>
  <c r="D85" i="21"/>
  <c r="E85" i="21"/>
  <c r="F85" i="21"/>
  <c r="G85" i="21"/>
  <c r="J85" i="21"/>
  <c r="K85" i="21"/>
  <c r="L85" i="21"/>
  <c r="M85" i="21"/>
  <c r="A86" i="21"/>
  <c r="D86" i="21"/>
  <c r="E86" i="21"/>
  <c r="F86" i="21"/>
  <c r="J86" i="21"/>
  <c r="K86" i="21"/>
  <c r="L86" i="21"/>
  <c r="A87" i="21"/>
  <c r="D87" i="21"/>
  <c r="E87" i="21"/>
  <c r="F87" i="21"/>
  <c r="J87" i="21"/>
  <c r="K87" i="21"/>
  <c r="L87" i="21"/>
  <c r="A88" i="21"/>
  <c r="D88" i="21"/>
  <c r="E88" i="21"/>
  <c r="J88" i="21"/>
  <c r="K88" i="21"/>
  <c r="A90" i="21"/>
  <c r="C90" i="21"/>
  <c r="D90" i="21"/>
  <c r="I90" i="21"/>
  <c r="J90" i="21"/>
  <c r="D91" i="21"/>
  <c r="E91" i="21"/>
  <c r="F91" i="21"/>
  <c r="G91" i="21"/>
  <c r="J91" i="21"/>
  <c r="K91" i="21"/>
  <c r="L91" i="21"/>
  <c r="M91" i="21"/>
  <c r="A92" i="21"/>
  <c r="D92" i="21"/>
  <c r="E92" i="21"/>
  <c r="F92" i="21"/>
  <c r="G92" i="21"/>
  <c r="J92" i="21"/>
  <c r="K92" i="21"/>
  <c r="L92" i="21"/>
  <c r="M92" i="21"/>
  <c r="A93" i="21"/>
  <c r="D93" i="21"/>
  <c r="E93" i="21"/>
  <c r="F93" i="21"/>
  <c r="J93" i="21"/>
  <c r="K93" i="21"/>
  <c r="L93" i="21"/>
  <c r="A94" i="21"/>
  <c r="D94" i="21"/>
  <c r="E94" i="21"/>
  <c r="F94" i="21"/>
  <c r="J94" i="21"/>
  <c r="K94" i="21"/>
  <c r="L94" i="21"/>
  <c r="A95" i="21"/>
  <c r="D95" i="21"/>
  <c r="E95" i="21"/>
  <c r="J95" i="21"/>
  <c r="K95" i="21"/>
  <c r="A97" i="21"/>
  <c r="C97" i="21"/>
  <c r="D97" i="21"/>
  <c r="I97" i="21"/>
  <c r="J97" i="21"/>
  <c r="D98" i="21"/>
  <c r="E98" i="21"/>
  <c r="F98" i="21"/>
  <c r="G98" i="21"/>
  <c r="J98" i="21"/>
  <c r="K98" i="21"/>
  <c r="L98" i="21"/>
  <c r="M98" i="21"/>
  <c r="A99" i="21"/>
  <c r="D99" i="21"/>
  <c r="E99" i="21"/>
  <c r="F99" i="21"/>
  <c r="G99" i="21"/>
  <c r="J99" i="21"/>
  <c r="K99" i="21"/>
  <c r="L99" i="21"/>
  <c r="M99" i="21"/>
  <c r="A100" i="21"/>
  <c r="D100" i="21"/>
  <c r="E100" i="21"/>
  <c r="F100" i="21"/>
  <c r="J100" i="21"/>
  <c r="K100" i="21"/>
  <c r="L100" i="21"/>
  <c r="A101" i="21"/>
  <c r="D101" i="21"/>
  <c r="E101" i="21"/>
  <c r="F101" i="21"/>
  <c r="J101" i="21"/>
  <c r="K101" i="21"/>
  <c r="L101" i="21"/>
  <c r="A102" i="21"/>
  <c r="D102" i="21"/>
  <c r="E102" i="21"/>
  <c r="J102" i="21"/>
  <c r="K102" i="21"/>
  <c r="A104" i="21"/>
  <c r="C104" i="21"/>
  <c r="D104" i="21"/>
  <c r="I104" i="21"/>
  <c r="J104" i="21"/>
  <c r="D105" i="21"/>
  <c r="E105" i="21"/>
  <c r="F105" i="21"/>
  <c r="G105" i="21"/>
  <c r="J105" i="21"/>
  <c r="K105" i="21"/>
  <c r="L105" i="21"/>
  <c r="M105" i="21"/>
  <c r="A106" i="21"/>
  <c r="D106" i="21"/>
  <c r="E106" i="21"/>
  <c r="F106" i="21"/>
  <c r="G106" i="21"/>
  <c r="J106" i="21"/>
  <c r="K106" i="21"/>
  <c r="L106" i="21"/>
  <c r="M106" i="21"/>
  <c r="A107" i="21"/>
  <c r="D107" i="21"/>
  <c r="E107" i="21"/>
  <c r="F107" i="21"/>
  <c r="J107" i="21"/>
  <c r="K107" i="21"/>
  <c r="L107" i="21"/>
  <c r="A108" i="21"/>
  <c r="D108" i="21"/>
  <c r="E108" i="21"/>
  <c r="F108" i="21"/>
  <c r="J108" i="21"/>
  <c r="K108" i="21"/>
  <c r="L108" i="21"/>
  <c r="A109" i="21"/>
  <c r="D109" i="21"/>
  <c r="E109" i="21"/>
  <c r="J109" i="21"/>
  <c r="K109" i="21"/>
  <c r="A110" i="21"/>
  <c r="C110" i="21"/>
  <c r="D110" i="21"/>
  <c r="E110" i="21"/>
  <c r="F110" i="21"/>
  <c r="G110" i="21"/>
  <c r="I110" i="21"/>
  <c r="J110" i="21"/>
  <c r="K110" i="21"/>
  <c r="L110" i="21"/>
  <c r="M110" i="21"/>
  <c r="A111" i="21"/>
  <c r="C111" i="21"/>
  <c r="D111" i="21"/>
  <c r="I111" i="21"/>
  <c r="J111" i="21"/>
  <c r="D112" i="21"/>
  <c r="E112" i="21"/>
  <c r="F112" i="21"/>
  <c r="G112" i="21"/>
  <c r="J112" i="21"/>
  <c r="K112" i="21"/>
  <c r="L112" i="21"/>
  <c r="M112" i="21"/>
  <c r="A113" i="21"/>
  <c r="D113" i="21"/>
  <c r="E113" i="21"/>
  <c r="F113" i="21"/>
  <c r="G113" i="21"/>
  <c r="J113" i="21"/>
  <c r="K113" i="21"/>
  <c r="L113" i="21"/>
  <c r="M113" i="21"/>
  <c r="A114" i="21"/>
  <c r="D114" i="21"/>
  <c r="E114" i="21"/>
  <c r="F114" i="21"/>
  <c r="J114" i="21"/>
  <c r="K114" i="21"/>
  <c r="L114" i="21"/>
  <c r="A115" i="21"/>
  <c r="D115" i="21"/>
  <c r="E115" i="21"/>
  <c r="F115" i="21"/>
  <c r="J115" i="21"/>
  <c r="K115" i="21"/>
  <c r="L115" i="21"/>
  <c r="A116" i="21"/>
  <c r="D116" i="21"/>
  <c r="E116" i="21"/>
  <c r="J116" i="21"/>
  <c r="K116" i="21"/>
  <c r="A118" i="21"/>
  <c r="C118" i="21"/>
  <c r="D118" i="21"/>
  <c r="I118" i="21"/>
  <c r="J118" i="21"/>
  <c r="D119" i="21"/>
  <c r="E119" i="21"/>
  <c r="F119" i="21"/>
  <c r="G119" i="21"/>
  <c r="J119" i="21"/>
  <c r="K119" i="21"/>
  <c r="L119" i="21"/>
  <c r="M119" i="21"/>
  <c r="A120" i="21"/>
  <c r="D120" i="21"/>
  <c r="E120" i="21"/>
  <c r="F120" i="21"/>
  <c r="G120" i="21"/>
  <c r="J120" i="21"/>
  <c r="K120" i="21"/>
  <c r="L120" i="21"/>
  <c r="M120" i="21"/>
  <c r="A121" i="21"/>
  <c r="D121" i="21"/>
  <c r="E121" i="21"/>
  <c r="F121" i="21"/>
  <c r="J121" i="21"/>
  <c r="K121" i="21"/>
  <c r="L121" i="21"/>
  <c r="A122" i="21"/>
  <c r="D122" i="21"/>
  <c r="E122" i="21"/>
  <c r="F122" i="21"/>
  <c r="J122" i="21"/>
  <c r="K122" i="21"/>
  <c r="L122" i="21"/>
  <c r="A123" i="21"/>
  <c r="D123" i="21"/>
  <c r="E123" i="21"/>
  <c r="J123" i="21"/>
  <c r="K123" i="21"/>
  <c r="A125" i="21"/>
  <c r="C125" i="21"/>
  <c r="D125" i="21"/>
  <c r="I125" i="21"/>
  <c r="J125" i="21"/>
  <c r="D126" i="21"/>
  <c r="E126" i="21"/>
  <c r="F126" i="21"/>
  <c r="G126" i="21"/>
  <c r="J126" i="21"/>
  <c r="K126" i="21"/>
  <c r="L126" i="21"/>
  <c r="M126" i="21"/>
  <c r="A127" i="21"/>
  <c r="D127" i="21"/>
  <c r="E127" i="21"/>
  <c r="F127" i="21"/>
  <c r="G127" i="21"/>
  <c r="J127" i="21"/>
  <c r="K127" i="21"/>
  <c r="L127" i="21"/>
  <c r="M127" i="21"/>
  <c r="A128" i="21"/>
  <c r="D128" i="21"/>
  <c r="E128" i="21"/>
  <c r="F128" i="21"/>
  <c r="J128" i="21"/>
  <c r="K128" i="21"/>
  <c r="L128" i="21"/>
  <c r="A129" i="21"/>
  <c r="D129" i="21"/>
  <c r="E129" i="21"/>
  <c r="F129" i="21"/>
  <c r="J129" i="21"/>
  <c r="K129" i="21"/>
  <c r="L129" i="21"/>
  <c r="A130" i="21"/>
  <c r="D130" i="21"/>
  <c r="E130" i="21"/>
  <c r="J130" i="21"/>
  <c r="K130" i="21"/>
  <c r="A132" i="21"/>
  <c r="C132" i="21"/>
  <c r="D132" i="21"/>
  <c r="I132" i="21"/>
  <c r="J132" i="21"/>
  <c r="D133" i="21"/>
  <c r="E133" i="21"/>
  <c r="F133" i="21"/>
  <c r="G133" i="21"/>
  <c r="J133" i="21"/>
  <c r="K133" i="21"/>
  <c r="L133" i="21"/>
  <c r="M133" i="21"/>
  <c r="A134" i="21"/>
  <c r="D134" i="21"/>
  <c r="E134" i="21"/>
  <c r="F134" i="21"/>
  <c r="G134" i="21"/>
  <c r="J134" i="21"/>
  <c r="K134" i="21"/>
  <c r="L134" i="21"/>
  <c r="M134" i="21"/>
  <c r="A135" i="21"/>
  <c r="D135" i="21"/>
  <c r="E135" i="21"/>
  <c r="F135" i="21"/>
  <c r="J135" i="21"/>
  <c r="K135" i="21"/>
  <c r="L135" i="21"/>
  <c r="A136" i="21"/>
  <c r="D136" i="21"/>
  <c r="E136" i="21"/>
  <c r="F136" i="21"/>
  <c r="J136" i="21"/>
  <c r="K136" i="21"/>
  <c r="L136" i="21"/>
  <c r="A137" i="21"/>
  <c r="D137" i="21"/>
  <c r="E137" i="21"/>
  <c r="J137" i="21"/>
  <c r="K137" i="21"/>
  <c r="A139" i="21"/>
  <c r="C139" i="21"/>
  <c r="D139" i="21"/>
  <c r="I139" i="21"/>
  <c r="J139" i="21"/>
  <c r="D140" i="21"/>
  <c r="E140" i="21"/>
  <c r="F140" i="21"/>
  <c r="G140" i="21"/>
  <c r="J140" i="21"/>
  <c r="K140" i="21"/>
  <c r="L140" i="21"/>
  <c r="M140" i="21"/>
  <c r="A141" i="21"/>
  <c r="D141" i="21"/>
  <c r="E141" i="21"/>
  <c r="F141" i="21"/>
  <c r="G141" i="21"/>
  <c r="J141" i="21"/>
  <c r="K141" i="21"/>
  <c r="L141" i="21"/>
  <c r="M141" i="21"/>
  <c r="A142" i="21"/>
  <c r="D142" i="21"/>
  <c r="E142" i="21"/>
  <c r="F142" i="21"/>
  <c r="J142" i="21"/>
  <c r="K142" i="21"/>
  <c r="L142" i="21"/>
  <c r="A143" i="21"/>
  <c r="D143" i="21"/>
  <c r="E143" i="21"/>
  <c r="F143" i="21"/>
  <c r="J143" i="21"/>
  <c r="K143" i="21"/>
  <c r="L143" i="21"/>
  <c r="A144" i="21"/>
  <c r="D144" i="21"/>
  <c r="E144" i="21"/>
  <c r="F144" i="21"/>
  <c r="G144" i="21"/>
  <c r="J144" i="21"/>
  <c r="K144" i="21"/>
  <c r="L144" i="21"/>
  <c r="M144" i="21"/>
  <c r="A145" i="21"/>
  <c r="C145" i="21"/>
  <c r="D145" i="21"/>
  <c r="E145" i="21"/>
  <c r="F145" i="21"/>
  <c r="G145" i="21"/>
  <c r="I145" i="21"/>
  <c r="J145" i="21"/>
  <c r="K145" i="21"/>
  <c r="L145" i="21"/>
  <c r="M145" i="21"/>
  <c r="A146" i="21"/>
  <c r="C146" i="21"/>
  <c r="D146" i="21"/>
  <c r="I146" i="21"/>
  <c r="J146" i="21"/>
  <c r="D147" i="21"/>
  <c r="E147" i="21"/>
  <c r="F147" i="21"/>
  <c r="G147" i="21"/>
  <c r="J147" i="21"/>
  <c r="K147" i="21"/>
  <c r="L147" i="21"/>
  <c r="M147" i="21"/>
  <c r="A148" i="21"/>
  <c r="D148" i="21"/>
  <c r="E148" i="21"/>
  <c r="F148" i="21"/>
  <c r="G148" i="21"/>
  <c r="J148" i="21"/>
  <c r="K148" i="21"/>
  <c r="L148" i="21"/>
  <c r="M148" i="21"/>
  <c r="A149" i="21"/>
  <c r="D149" i="21"/>
  <c r="E149" i="21"/>
  <c r="F149" i="21"/>
  <c r="J149" i="21"/>
  <c r="K149" i="21"/>
  <c r="L149" i="21"/>
  <c r="A150" i="21"/>
  <c r="D150" i="21"/>
  <c r="E150" i="21"/>
  <c r="F150" i="21"/>
  <c r="J150" i="21"/>
  <c r="K150" i="21"/>
  <c r="L150" i="21"/>
  <c r="A151" i="21"/>
  <c r="D151" i="21"/>
  <c r="E151" i="21"/>
  <c r="J151" i="21"/>
  <c r="K151" i="21"/>
  <c r="A153" i="21"/>
  <c r="C153" i="21"/>
  <c r="D153" i="21"/>
  <c r="I153" i="21"/>
  <c r="J153" i="21"/>
  <c r="D154" i="21"/>
  <c r="E154" i="21"/>
  <c r="F154" i="21"/>
  <c r="G154" i="21"/>
  <c r="J154" i="21"/>
  <c r="K154" i="21"/>
  <c r="L154" i="21"/>
  <c r="M154" i="21"/>
  <c r="A155" i="21"/>
  <c r="D155" i="21"/>
  <c r="E155" i="21"/>
  <c r="F155" i="21"/>
  <c r="G155" i="21"/>
  <c r="J155" i="21"/>
  <c r="K155" i="21"/>
  <c r="L155" i="21"/>
  <c r="M155" i="21"/>
  <c r="A156" i="21"/>
  <c r="D156" i="21"/>
  <c r="E156" i="21"/>
  <c r="F156" i="21"/>
  <c r="J156" i="21"/>
  <c r="K156" i="21"/>
  <c r="L156" i="21"/>
  <c r="A157" i="21"/>
  <c r="D157" i="21"/>
  <c r="E157" i="21"/>
  <c r="F157" i="21"/>
  <c r="J157" i="21"/>
  <c r="K157" i="21"/>
  <c r="L157" i="21"/>
  <c r="A158" i="21"/>
  <c r="D158" i="21"/>
  <c r="E158" i="21"/>
  <c r="J158" i="21"/>
  <c r="K158" i="21"/>
  <c r="A160" i="21"/>
  <c r="C160" i="21"/>
  <c r="D160" i="21"/>
  <c r="I160" i="21"/>
  <c r="J160" i="21"/>
  <c r="D161" i="21"/>
  <c r="E161" i="21"/>
  <c r="F161" i="21"/>
  <c r="G161" i="21"/>
  <c r="J161" i="21"/>
  <c r="K161" i="21"/>
  <c r="L161" i="21"/>
  <c r="M161" i="21"/>
  <c r="A162" i="21"/>
  <c r="D162" i="21"/>
  <c r="E162" i="21"/>
  <c r="F162" i="21"/>
  <c r="G162" i="21"/>
  <c r="J162" i="21"/>
  <c r="K162" i="21"/>
  <c r="L162" i="21"/>
  <c r="M162" i="21"/>
  <c r="A163" i="21"/>
  <c r="D163" i="21"/>
  <c r="E163" i="21"/>
  <c r="F163" i="21"/>
  <c r="J163" i="21"/>
  <c r="K163" i="21"/>
  <c r="L163" i="21"/>
  <c r="A164" i="21"/>
  <c r="D164" i="21"/>
  <c r="E164" i="21"/>
  <c r="F164" i="21"/>
  <c r="J164" i="21"/>
  <c r="K164" i="21"/>
  <c r="L164" i="21"/>
  <c r="A165" i="21"/>
  <c r="D165" i="21"/>
  <c r="E165" i="21"/>
  <c r="J165" i="21"/>
  <c r="K165" i="21"/>
  <c r="A167" i="21"/>
  <c r="C167" i="21"/>
  <c r="D167" i="21"/>
  <c r="I167" i="21"/>
  <c r="J167" i="21"/>
  <c r="D168" i="21"/>
  <c r="E168" i="21"/>
  <c r="F168" i="21"/>
  <c r="G168" i="21"/>
  <c r="J168" i="21"/>
  <c r="K168" i="21"/>
  <c r="L168" i="21"/>
  <c r="M168" i="21"/>
  <c r="A169" i="21"/>
  <c r="D169" i="21"/>
  <c r="E169" i="21"/>
  <c r="F169" i="21"/>
  <c r="G169" i="21"/>
  <c r="J169" i="21"/>
  <c r="K169" i="21"/>
  <c r="L169" i="21"/>
  <c r="M169" i="21"/>
  <c r="A170" i="21"/>
  <c r="D170" i="21"/>
  <c r="E170" i="21"/>
  <c r="F170" i="21"/>
  <c r="J170" i="21"/>
  <c r="K170" i="21"/>
  <c r="L170" i="21"/>
  <c r="A171" i="21"/>
  <c r="D171" i="21"/>
  <c r="E171" i="21"/>
  <c r="F171" i="21"/>
  <c r="J171" i="21"/>
  <c r="K171" i="21"/>
  <c r="L171" i="21"/>
  <c r="A172" i="21"/>
  <c r="D172" i="21"/>
  <c r="E172" i="21"/>
  <c r="J172" i="21"/>
  <c r="K172" i="21"/>
  <c r="A174" i="21"/>
  <c r="C174" i="21"/>
  <c r="D174" i="21"/>
  <c r="I174" i="21"/>
  <c r="J174" i="21"/>
  <c r="D175" i="21"/>
  <c r="E175" i="21"/>
  <c r="F175" i="21"/>
  <c r="G175" i="21"/>
  <c r="J175" i="21"/>
  <c r="K175" i="21"/>
  <c r="L175" i="21"/>
  <c r="M175" i="21"/>
  <c r="A176" i="21"/>
  <c r="D176" i="21"/>
  <c r="E176" i="21"/>
  <c r="F176" i="21"/>
  <c r="G176" i="21"/>
  <c r="J176" i="21"/>
  <c r="K176" i="21"/>
  <c r="L176" i="21"/>
  <c r="M176" i="21"/>
  <c r="A177" i="21"/>
  <c r="D177" i="21"/>
  <c r="E177" i="21"/>
  <c r="F177" i="21"/>
  <c r="J177" i="21"/>
  <c r="K177" i="21"/>
  <c r="L177" i="21"/>
  <c r="A178" i="21"/>
  <c r="D178" i="21"/>
  <c r="E178" i="21"/>
  <c r="F178" i="21"/>
  <c r="J178" i="21"/>
  <c r="K178" i="21"/>
  <c r="L178" i="21"/>
  <c r="A179" i="21"/>
  <c r="D179" i="21"/>
  <c r="E179" i="21"/>
  <c r="J179" i="21"/>
  <c r="K179" i="21"/>
  <c r="A181" i="21"/>
  <c r="C181" i="21"/>
  <c r="D181" i="21"/>
  <c r="I181" i="21"/>
  <c r="J181" i="21"/>
  <c r="D182" i="21"/>
  <c r="E182" i="21"/>
  <c r="F182" i="21"/>
  <c r="G182" i="21"/>
  <c r="J182" i="21"/>
  <c r="K182" i="21"/>
  <c r="L182" i="21"/>
  <c r="M182" i="21"/>
  <c r="A183" i="21"/>
  <c r="D183" i="21"/>
  <c r="E183" i="21"/>
  <c r="F183" i="21"/>
  <c r="G183" i="21"/>
  <c r="J183" i="21"/>
  <c r="K183" i="21"/>
  <c r="L183" i="21"/>
  <c r="M183" i="21"/>
  <c r="A184" i="21"/>
  <c r="D184" i="21"/>
  <c r="E184" i="21"/>
  <c r="F184" i="21"/>
  <c r="J184" i="21"/>
  <c r="K184" i="21"/>
  <c r="L184" i="21"/>
  <c r="A185" i="21"/>
  <c r="D185" i="21"/>
  <c r="E185" i="21"/>
  <c r="F185" i="21"/>
  <c r="J185" i="21"/>
  <c r="K185" i="21"/>
  <c r="L185" i="21"/>
  <c r="A186" i="21"/>
  <c r="D186" i="21"/>
  <c r="E186" i="21"/>
  <c r="J186" i="21"/>
  <c r="K186" i="21"/>
  <c r="A188" i="21"/>
  <c r="C188" i="21"/>
  <c r="D188" i="21"/>
  <c r="I188" i="21"/>
  <c r="J188" i="21"/>
  <c r="D189" i="21"/>
  <c r="E189" i="21"/>
  <c r="F189" i="21"/>
  <c r="G189" i="21"/>
  <c r="J189" i="21"/>
  <c r="K189" i="21"/>
  <c r="L189" i="21"/>
  <c r="M189" i="21"/>
  <c r="A190" i="21"/>
  <c r="D190" i="21"/>
  <c r="E190" i="21"/>
  <c r="F190" i="21"/>
  <c r="G190" i="21"/>
  <c r="J190" i="21"/>
  <c r="K190" i="21"/>
  <c r="L190" i="21"/>
  <c r="M190" i="21"/>
  <c r="A191" i="21"/>
  <c r="D191" i="21"/>
  <c r="E191" i="21"/>
  <c r="F191" i="21"/>
  <c r="J191" i="21"/>
  <c r="K191" i="21"/>
  <c r="L191" i="21"/>
  <c r="A192" i="21"/>
  <c r="D192" i="21"/>
  <c r="E192" i="21"/>
  <c r="F192" i="21"/>
  <c r="J192" i="21"/>
  <c r="K192" i="21"/>
  <c r="L192" i="21"/>
  <c r="A193" i="21"/>
  <c r="D193" i="21"/>
  <c r="E193" i="21"/>
  <c r="J193" i="21"/>
  <c r="K193" i="21"/>
  <c r="A195" i="21"/>
  <c r="C195" i="21"/>
  <c r="D195" i="21"/>
  <c r="I195" i="21"/>
  <c r="J195" i="21"/>
  <c r="D196" i="21"/>
  <c r="E196" i="21"/>
  <c r="F196" i="21"/>
  <c r="G196" i="21"/>
  <c r="J196" i="21"/>
  <c r="K196" i="21"/>
  <c r="L196" i="21"/>
  <c r="M196" i="21"/>
  <c r="A197" i="21"/>
  <c r="D197" i="21"/>
  <c r="E197" i="21"/>
  <c r="F197" i="21"/>
  <c r="G197" i="21"/>
  <c r="J197" i="21"/>
  <c r="K197" i="21"/>
  <c r="L197" i="21"/>
  <c r="M197" i="21"/>
  <c r="A198" i="21"/>
  <c r="D198" i="21"/>
  <c r="E198" i="21"/>
  <c r="F198" i="21"/>
  <c r="J198" i="21"/>
  <c r="K198" i="21"/>
  <c r="L198" i="21"/>
  <c r="A199" i="21"/>
  <c r="D199" i="21"/>
  <c r="E199" i="21"/>
  <c r="F199" i="21"/>
  <c r="J199" i="21"/>
  <c r="K199" i="21"/>
  <c r="L199" i="21"/>
  <c r="A200" i="21"/>
  <c r="D200" i="21"/>
  <c r="E200" i="21"/>
  <c r="J200" i="21"/>
  <c r="K200" i="21"/>
  <c r="A202" i="21"/>
  <c r="C202" i="21"/>
  <c r="D202" i="21"/>
  <c r="I202" i="21"/>
  <c r="J202" i="21"/>
  <c r="D203" i="21"/>
  <c r="E203" i="21"/>
  <c r="F203" i="21"/>
  <c r="G203" i="21"/>
  <c r="J203" i="21"/>
  <c r="K203" i="21"/>
  <c r="L203" i="21"/>
  <c r="M203" i="21"/>
  <c r="A204" i="21"/>
  <c r="D204" i="21"/>
  <c r="E204" i="21"/>
  <c r="F204" i="21"/>
  <c r="G204" i="21"/>
  <c r="J204" i="21"/>
  <c r="K204" i="21"/>
  <c r="L204" i="21"/>
  <c r="M204" i="21"/>
  <c r="A205" i="21"/>
  <c r="D205" i="21"/>
  <c r="E205" i="21"/>
  <c r="F205" i="21"/>
  <c r="J205" i="21"/>
  <c r="K205" i="21"/>
  <c r="L205" i="21"/>
  <c r="A206" i="21"/>
  <c r="D206" i="21"/>
  <c r="E206" i="21"/>
  <c r="F206" i="21"/>
  <c r="J206" i="21"/>
  <c r="K206" i="21"/>
  <c r="L206" i="21"/>
  <c r="A207" i="21"/>
  <c r="D207" i="21"/>
  <c r="E207" i="21"/>
  <c r="J207" i="21"/>
  <c r="K207" i="21"/>
  <c r="A209" i="21"/>
  <c r="C209" i="21"/>
  <c r="D209" i="21"/>
  <c r="I209" i="21"/>
  <c r="J209" i="21"/>
  <c r="D210" i="21"/>
  <c r="E210" i="21"/>
  <c r="F210" i="21"/>
  <c r="G210" i="21"/>
  <c r="J210" i="21"/>
  <c r="K210" i="21"/>
  <c r="L210" i="21"/>
  <c r="M210" i="21"/>
  <c r="A211" i="21"/>
  <c r="D211" i="21"/>
  <c r="E211" i="21"/>
  <c r="F211" i="21"/>
  <c r="G211" i="21"/>
  <c r="J211" i="21"/>
  <c r="K211" i="21"/>
  <c r="L211" i="21"/>
  <c r="M211" i="21"/>
  <c r="A212" i="21"/>
  <c r="D212" i="21"/>
  <c r="E212" i="21"/>
  <c r="F212" i="21"/>
  <c r="J212" i="21"/>
  <c r="K212" i="21"/>
  <c r="L212" i="21"/>
  <c r="A213" i="21"/>
  <c r="D213" i="21"/>
  <c r="E213" i="21"/>
  <c r="F213" i="21"/>
  <c r="J213" i="21"/>
  <c r="K213" i="21"/>
  <c r="L213" i="21"/>
  <c r="A214" i="21"/>
  <c r="D214" i="21"/>
  <c r="E214" i="21"/>
  <c r="J214" i="21"/>
  <c r="K214" i="21"/>
  <c r="A216" i="21"/>
  <c r="C216" i="21"/>
  <c r="D216" i="21"/>
  <c r="I216" i="21"/>
  <c r="J216" i="21"/>
  <c r="D217" i="21"/>
  <c r="E217" i="21"/>
  <c r="F217" i="21"/>
  <c r="G217" i="21"/>
  <c r="J217" i="21"/>
  <c r="K217" i="21"/>
  <c r="L217" i="21"/>
  <c r="M217" i="21"/>
  <c r="A218" i="21"/>
  <c r="D218" i="21"/>
  <c r="E218" i="21"/>
  <c r="F218" i="21"/>
  <c r="G218" i="21"/>
  <c r="J218" i="21"/>
  <c r="K218" i="21"/>
  <c r="L218" i="21"/>
  <c r="M218" i="21"/>
  <c r="A219" i="21"/>
  <c r="D219" i="21"/>
  <c r="E219" i="21"/>
  <c r="F219" i="21"/>
  <c r="J219" i="21"/>
  <c r="K219" i="21"/>
  <c r="L219" i="21"/>
  <c r="A220" i="21"/>
  <c r="D220" i="21"/>
  <c r="E220" i="21"/>
  <c r="F220" i="21"/>
  <c r="J220" i="21"/>
  <c r="K220" i="21"/>
  <c r="L220" i="21"/>
  <c r="A221" i="21"/>
  <c r="D221" i="21"/>
  <c r="E221" i="21"/>
  <c r="J221" i="21"/>
  <c r="K221" i="21"/>
  <c r="A223" i="21"/>
  <c r="C223" i="21"/>
  <c r="D223" i="21"/>
  <c r="I223" i="21"/>
  <c r="J223" i="21"/>
  <c r="D224" i="21"/>
  <c r="E224" i="21"/>
  <c r="F224" i="21"/>
  <c r="G224" i="21"/>
  <c r="J224" i="21"/>
  <c r="K224" i="21"/>
  <c r="L224" i="21"/>
  <c r="M224" i="21"/>
  <c r="A225" i="21"/>
  <c r="D225" i="21"/>
  <c r="E225" i="21"/>
  <c r="F225" i="21"/>
  <c r="G225" i="21"/>
  <c r="J225" i="21"/>
  <c r="K225" i="21"/>
  <c r="L225" i="21"/>
  <c r="M225" i="21"/>
  <c r="A226" i="21"/>
  <c r="D226" i="21"/>
  <c r="E226" i="21"/>
  <c r="F226" i="21"/>
  <c r="J226" i="21"/>
  <c r="K226" i="21"/>
  <c r="L226" i="21"/>
  <c r="A227" i="21"/>
  <c r="D227" i="21"/>
  <c r="E227" i="21"/>
  <c r="F227" i="21"/>
  <c r="J227" i="21"/>
  <c r="K227" i="21"/>
  <c r="L227" i="21"/>
  <c r="A228" i="21"/>
  <c r="D228" i="21"/>
  <c r="E228" i="21"/>
  <c r="J228" i="21"/>
  <c r="K228" i="21"/>
  <c r="A230" i="21"/>
  <c r="C230" i="21"/>
  <c r="D230" i="21"/>
  <c r="I230" i="21"/>
  <c r="J230" i="21"/>
  <c r="D231" i="21"/>
  <c r="E231" i="21"/>
  <c r="F231" i="21"/>
  <c r="G231" i="21"/>
  <c r="J231" i="21"/>
  <c r="K231" i="21"/>
  <c r="L231" i="21"/>
  <c r="M231" i="21"/>
  <c r="A232" i="21"/>
  <c r="D232" i="21"/>
  <c r="E232" i="21"/>
  <c r="F232" i="21"/>
  <c r="G232" i="21"/>
  <c r="J232" i="21"/>
  <c r="K232" i="21"/>
  <c r="L232" i="21"/>
  <c r="M232" i="21"/>
  <c r="A233" i="21"/>
  <c r="D233" i="21"/>
  <c r="E233" i="21"/>
  <c r="F233" i="21"/>
  <c r="J233" i="21"/>
  <c r="K233" i="21"/>
  <c r="L233" i="21"/>
  <c r="A234" i="21"/>
  <c r="D234" i="21"/>
  <c r="E234" i="21"/>
  <c r="F234" i="21"/>
  <c r="J234" i="21"/>
  <c r="K234" i="21"/>
  <c r="L234" i="21"/>
  <c r="A235" i="21"/>
  <c r="D235" i="21"/>
  <c r="E235" i="21"/>
  <c r="J235" i="21"/>
  <c r="K235" i="21"/>
  <c r="A237" i="21"/>
  <c r="C237" i="21"/>
  <c r="D237" i="21"/>
  <c r="I237" i="21"/>
  <c r="J237" i="21"/>
  <c r="D238" i="21"/>
  <c r="E238" i="21"/>
  <c r="F238" i="21"/>
  <c r="G238" i="21"/>
  <c r="J238" i="21"/>
  <c r="K238" i="21"/>
  <c r="L238" i="21"/>
  <c r="M238" i="21"/>
  <c r="A239" i="21"/>
  <c r="D239" i="21"/>
  <c r="E239" i="21"/>
  <c r="F239" i="21"/>
  <c r="G239" i="21"/>
  <c r="J239" i="21"/>
  <c r="K239" i="21"/>
  <c r="L239" i="21"/>
  <c r="M239" i="21"/>
  <c r="A240" i="21"/>
  <c r="D240" i="21"/>
  <c r="E240" i="21"/>
  <c r="F240" i="21"/>
  <c r="J240" i="21"/>
  <c r="K240" i="21"/>
  <c r="L240" i="21"/>
  <c r="A241" i="21"/>
  <c r="D241" i="21"/>
  <c r="E241" i="21"/>
  <c r="F241" i="21"/>
  <c r="J241" i="21"/>
  <c r="K241" i="21"/>
  <c r="L241" i="21"/>
  <c r="A242" i="21"/>
  <c r="D242" i="21"/>
  <c r="E242" i="21"/>
  <c r="J242" i="21"/>
  <c r="K242" i="21"/>
  <c r="A244" i="21"/>
  <c r="C244" i="21"/>
  <c r="D244" i="21"/>
  <c r="I244" i="21"/>
  <c r="J244" i="21"/>
  <c r="D245" i="21"/>
  <c r="E245" i="21"/>
  <c r="F245" i="21"/>
  <c r="G245" i="21"/>
  <c r="J245" i="21"/>
  <c r="K245" i="21"/>
  <c r="L245" i="21"/>
  <c r="M245" i="21"/>
  <c r="A246" i="21"/>
  <c r="D246" i="21"/>
  <c r="E246" i="21"/>
  <c r="F246" i="21"/>
  <c r="G246" i="21"/>
  <c r="J246" i="21"/>
  <c r="K246" i="21"/>
  <c r="L246" i="21"/>
  <c r="M246" i="21"/>
  <c r="A247" i="21"/>
  <c r="D247" i="21"/>
  <c r="E247" i="21"/>
  <c r="F247" i="21"/>
  <c r="J247" i="21"/>
  <c r="K247" i="21"/>
  <c r="L247" i="21"/>
  <c r="A248" i="21"/>
  <c r="D248" i="21"/>
  <c r="E248" i="21"/>
  <c r="F248" i="21"/>
  <c r="J248" i="21"/>
  <c r="K248" i="21"/>
  <c r="L248" i="21"/>
  <c r="A249" i="21"/>
  <c r="D249" i="21"/>
  <c r="E249" i="21"/>
  <c r="J249" i="21"/>
  <c r="K249" i="21"/>
  <c r="A251" i="21"/>
  <c r="C251" i="21"/>
  <c r="D251" i="21"/>
  <c r="I251" i="21"/>
  <c r="J251" i="21"/>
  <c r="D252" i="21"/>
  <c r="E252" i="21"/>
  <c r="F252" i="21"/>
  <c r="G252" i="21"/>
  <c r="J252" i="21"/>
  <c r="K252" i="21"/>
  <c r="L252" i="21"/>
  <c r="M252" i="21"/>
  <c r="A253" i="21"/>
  <c r="D253" i="21"/>
  <c r="E253" i="21"/>
  <c r="F253" i="21"/>
  <c r="G253" i="21"/>
  <c r="J253" i="21"/>
  <c r="K253" i="21"/>
  <c r="L253" i="21"/>
  <c r="M253" i="21"/>
  <c r="A254" i="21"/>
  <c r="D254" i="21"/>
  <c r="E254" i="21"/>
  <c r="F254" i="21"/>
  <c r="J254" i="21"/>
  <c r="K254" i="21"/>
  <c r="L254" i="21"/>
  <c r="A255" i="21"/>
  <c r="D255" i="21"/>
  <c r="E255" i="21"/>
  <c r="F255" i="21"/>
  <c r="J255" i="21"/>
  <c r="K255" i="21"/>
  <c r="L255" i="21"/>
  <c r="A256" i="21"/>
  <c r="D256" i="21"/>
  <c r="E256" i="21"/>
  <c r="J256" i="21"/>
  <c r="K256" i="21"/>
  <c r="A258" i="21"/>
  <c r="C258" i="21"/>
  <c r="D258" i="21"/>
  <c r="I258" i="21"/>
  <c r="J258" i="21"/>
  <c r="D259" i="21"/>
  <c r="E259" i="21"/>
  <c r="F259" i="21"/>
  <c r="G259" i="21"/>
  <c r="J259" i="21"/>
  <c r="K259" i="21"/>
  <c r="L259" i="21"/>
  <c r="M259" i="21"/>
  <c r="A260" i="21"/>
  <c r="D260" i="21"/>
  <c r="E260" i="21"/>
  <c r="F260" i="21"/>
  <c r="G260" i="21"/>
  <c r="J260" i="21"/>
  <c r="K260" i="21"/>
  <c r="L260" i="21"/>
  <c r="M260" i="21"/>
  <c r="A261" i="21"/>
  <c r="D261" i="21"/>
  <c r="E261" i="21"/>
  <c r="F261" i="21"/>
  <c r="J261" i="21"/>
  <c r="K261" i="21"/>
  <c r="L261" i="21"/>
  <c r="A262" i="21"/>
  <c r="D262" i="21"/>
  <c r="E262" i="21"/>
  <c r="F262" i="21"/>
  <c r="J262" i="21"/>
  <c r="K262" i="21"/>
  <c r="L262" i="21"/>
  <c r="A263" i="21"/>
  <c r="D263" i="21"/>
  <c r="E263" i="21"/>
  <c r="J263" i="21"/>
  <c r="K263" i="21"/>
  <c r="A265" i="21"/>
  <c r="C265" i="21"/>
  <c r="D265" i="21"/>
  <c r="I265" i="21"/>
  <c r="J265" i="21"/>
  <c r="D266" i="21"/>
  <c r="E266" i="21"/>
  <c r="F266" i="21"/>
  <c r="G266" i="21"/>
  <c r="J266" i="21"/>
  <c r="K266" i="21"/>
  <c r="L266" i="21"/>
  <c r="M266" i="21"/>
  <c r="A267" i="21"/>
  <c r="D267" i="21"/>
  <c r="E267" i="21"/>
  <c r="F267" i="21"/>
  <c r="G267" i="21"/>
  <c r="J267" i="21"/>
  <c r="K267" i="21"/>
  <c r="L267" i="21"/>
  <c r="M267" i="21"/>
  <c r="A268" i="21"/>
  <c r="D268" i="21"/>
  <c r="E268" i="21"/>
  <c r="F268" i="21"/>
  <c r="J268" i="21"/>
  <c r="K268" i="21"/>
  <c r="L268" i="21"/>
  <c r="A269" i="21"/>
  <c r="D269" i="21"/>
  <c r="E269" i="21"/>
  <c r="F269" i="21"/>
  <c r="J269" i="21"/>
  <c r="K269" i="21"/>
  <c r="L269" i="21"/>
  <c r="A270" i="21"/>
  <c r="D270" i="21"/>
  <c r="E270" i="21"/>
  <c r="J270" i="21"/>
  <c r="K270" i="21"/>
  <c r="A272" i="21"/>
  <c r="C272" i="21"/>
  <c r="D272" i="21"/>
  <c r="I272" i="21"/>
  <c r="J272" i="21"/>
  <c r="D273" i="21"/>
  <c r="E273" i="21"/>
  <c r="F273" i="21"/>
  <c r="G273" i="21"/>
  <c r="J273" i="21"/>
  <c r="K273" i="21"/>
  <c r="L273" i="21"/>
  <c r="M273" i="21"/>
  <c r="A274" i="21"/>
  <c r="D274" i="21"/>
  <c r="E274" i="21"/>
  <c r="F274" i="21"/>
  <c r="G274" i="21"/>
  <c r="J274" i="21"/>
  <c r="K274" i="21"/>
  <c r="L274" i="21"/>
  <c r="M274" i="21"/>
  <c r="A275" i="21"/>
  <c r="D275" i="21"/>
  <c r="E275" i="21"/>
  <c r="F275" i="21"/>
  <c r="J275" i="21"/>
  <c r="K275" i="21"/>
  <c r="L275" i="21"/>
  <c r="A276" i="21"/>
  <c r="D276" i="21"/>
  <c r="E276" i="21"/>
  <c r="F276" i="21"/>
  <c r="J276" i="21"/>
  <c r="K276" i="21"/>
  <c r="L276" i="21"/>
  <c r="A277" i="21"/>
  <c r="D277" i="21"/>
  <c r="E277" i="21"/>
  <c r="J277" i="21"/>
  <c r="K277" i="21"/>
  <c r="A279" i="21"/>
  <c r="C279" i="21"/>
  <c r="D279" i="21"/>
  <c r="I279" i="21"/>
  <c r="J279" i="21"/>
  <c r="D280" i="21"/>
  <c r="E280" i="21"/>
  <c r="F280" i="21"/>
  <c r="G280" i="21"/>
  <c r="J280" i="21"/>
  <c r="K280" i="21"/>
  <c r="L280" i="21"/>
  <c r="M280" i="21"/>
  <c r="A281" i="21"/>
  <c r="D281" i="21"/>
  <c r="E281" i="21"/>
  <c r="F281" i="21"/>
  <c r="G281" i="21"/>
  <c r="J281" i="21"/>
  <c r="K281" i="21"/>
  <c r="L281" i="21"/>
  <c r="M281" i="21"/>
  <c r="A282" i="21"/>
  <c r="D282" i="21"/>
  <c r="E282" i="21"/>
  <c r="F282" i="21"/>
  <c r="J282" i="21"/>
  <c r="K282" i="21"/>
  <c r="L282" i="21"/>
  <c r="A283" i="21"/>
  <c r="D283" i="21"/>
  <c r="E283" i="21"/>
  <c r="F283" i="21"/>
  <c r="J283" i="21"/>
  <c r="K283" i="21"/>
  <c r="L283" i="21"/>
  <c r="A284" i="21"/>
  <c r="D284" i="21"/>
  <c r="E284" i="21"/>
  <c r="J284" i="21"/>
  <c r="K284" i="21"/>
  <c r="X48" i="19" l="1"/>
  <c r="Y55" i="19" s="1"/>
  <c r="E355" i="18" l="1"/>
  <c r="J354" i="18"/>
  <c r="K354" i="18" s="1"/>
  <c r="E354" i="18"/>
  <c r="E353" i="18"/>
  <c r="J352" i="18"/>
  <c r="K352" i="18" s="1"/>
  <c r="E352" i="18"/>
  <c r="E351" i="18"/>
  <c r="J350" i="18"/>
  <c r="K350" i="18" s="1"/>
  <c r="E350" i="18"/>
  <c r="J349" i="18"/>
  <c r="K349" i="18" s="1"/>
  <c r="E349" i="18"/>
  <c r="E348" i="18"/>
  <c r="I348" i="18" s="1"/>
  <c r="E347" i="18"/>
  <c r="E346" i="18"/>
  <c r="J345" i="18"/>
  <c r="K345" i="18" s="1"/>
  <c r="E345" i="18"/>
  <c r="J344" i="18"/>
  <c r="K344" i="18" s="1"/>
  <c r="E344" i="18"/>
  <c r="I344" i="18" s="1"/>
  <c r="J343" i="18"/>
  <c r="K343" i="18" s="1"/>
  <c r="E343" i="18"/>
  <c r="I343" i="18" s="1"/>
  <c r="E342" i="18"/>
  <c r="G342" i="18" s="1"/>
  <c r="E341" i="18"/>
  <c r="J340" i="18"/>
  <c r="K340" i="18" s="1"/>
  <c r="E340" i="18"/>
  <c r="I340" i="18" s="1"/>
  <c r="J339" i="18"/>
  <c r="K339" i="18" s="1"/>
  <c r="E339" i="18"/>
  <c r="I339" i="18" s="1"/>
  <c r="E338" i="18"/>
  <c r="J337" i="18"/>
  <c r="K337" i="18" s="1"/>
  <c r="E337" i="18"/>
  <c r="L337" i="18" s="1"/>
  <c r="J336" i="18"/>
  <c r="K336" i="18" s="1"/>
  <c r="E336" i="18"/>
  <c r="I336" i="18" s="1"/>
  <c r="E335" i="18"/>
  <c r="L335" i="18" s="1"/>
  <c r="E334" i="18"/>
  <c r="J333" i="18"/>
  <c r="K333" i="18" s="1"/>
  <c r="E333" i="18"/>
  <c r="I333" i="18" s="1"/>
  <c r="E332" i="18"/>
  <c r="L332" i="18" s="1"/>
  <c r="E330" i="18"/>
  <c r="L330" i="18" s="1"/>
  <c r="E329" i="18"/>
  <c r="G329" i="18" s="1"/>
  <c r="E328" i="18"/>
  <c r="E327" i="18"/>
  <c r="J326" i="18"/>
  <c r="K326" i="18" s="1"/>
  <c r="E326" i="18"/>
  <c r="L326" i="18" s="1"/>
  <c r="J325" i="18"/>
  <c r="K325" i="18" s="1"/>
  <c r="E325" i="18"/>
  <c r="I325" i="18" s="1"/>
  <c r="J321" i="18"/>
  <c r="K321" i="18" s="1"/>
  <c r="E321" i="18"/>
  <c r="J320" i="18"/>
  <c r="K320" i="18" s="1"/>
  <c r="E320" i="18"/>
  <c r="E319" i="18"/>
  <c r="J318" i="18"/>
  <c r="K318" i="18" s="1"/>
  <c r="E318" i="18"/>
  <c r="J317" i="18"/>
  <c r="K317" i="18" s="1"/>
  <c r="E317" i="18"/>
  <c r="J316" i="18"/>
  <c r="K316" i="18" s="1"/>
  <c r="E316" i="18"/>
  <c r="E315" i="18"/>
  <c r="J314" i="18"/>
  <c r="K314" i="18" s="1"/>
  <c r="E314" i="18"/>
  <c r="J313" i="18"/>
  <c r="K313" i="18" s="1"/>
  <c r="E313" i="18"/>
  <c r="J312" i="18"/>
  <c r="K312" i="18" s="1"/>
  <c r="E312" i="18"/>
  <c r="E311" i="18"/>
  <c r="J310" i="18"/>
  <c r="K310" i="18" s="1"/>
  <c r="E310" i="18"/>
  <c r="J309" i="18"/>
  <c r="K309" i="18" s="1"/>
  <c r="E309" i="18"/>
  <c r="J308" i="18"/>
  <c r="K308" i="18" s="1"/>
  <c r="E308" i="18"/>
  <c r="J307" i="18"/>
  <c r="K307" i="18" s="1"/>
  <c r="E307" i="18"/>
  <c r="E306" i="18"/>
  <c r="J305" i="18"/>
  <c r="K305" i="18" s="1"/>
  <c r="E305" i="18"/>
  <c r="J304" i="18"/>
  <c r="K304" i="18" s="1"/>
  <c r="E304" i="18"/>
  <c r="E303" i="18"/>
  <c r="L303" i="18" s="1"/>
  <c r="E302" i="18"/>
  <c r="E300" i="18"/>
  <c r="H300" i="18" s="1"/>
  <c r="E299" i="18"/>
  <c r="E298" i="18"/>
  <c r="L298" i="18" s="1"/>
  <c r="E297" i="18"/>
  <c r="J296" i="18"/>
  <c r="K296" i="18" s="1"/>
  <c r="E296" i="18"/>
  <c r="J295" i="18"/>
  <c r="K295" i="18" s="1"/>
  <c r="E295" i="18"/>
  <c r="E291" i="18"/>
  <c r="E290" i="18"/>
  <c r="J289" i="18"/>
  <c r="K289" i="18" s="1"/>
  <c r="E289" i="18"/>
  <c r="G289" i="18" s="1"/>
  <c r="J288" i="18"/>
  <c r="K288" i="18" s="1"/>
  <c r="E288" i="18"/>
  <c r="G288" i="18" s="1"/>
  <c r="E287" i="18"/>
  <c r="J286" i="18"/>
  <c r="K286" i="18" s="1"/>
  <c r="E286" i="18"/>
  <c r="J285" i="18"/>
  <c r="K285" i="18" s="1"/>
  <c r="E285" i="18"/>
  <c r="J284" i="18"/>
  <c r="K284" i="18" s="1"/>
  <c r="E284" i="18"/>
  <c r="J283" i="18"/>
  <c r="K283" i="18" s="1"/>
  <c r="E283" i="18"/>
  <c r="E282" i="18"/>
  <c r="J281" i="18"/>
  <c r="K281" i="18" s="1"/>
  <c r="E281" i="18"/>
  <c r="G281" i="18" s="1"/>
  <c r="E280" i="18"/>
  <c r="J279" i="18"/>
  <c r="K279" i="18" s="1"/>
  <c r="E279" i="18"/>
  <c r="J278" i="18"/>
  <c r="K278" i="18" s="1"/>
  <c r="E278" i="18"/>
  <c r="E277" i="18"/>
  <c r="E276" i="18"/>
  <c r="I276" i="18" s="1"/>
  <c r="J274" i="18"/>
  <c r="K274" i="18" s="1"/>
  <c r="E274" i="18"/>
  <c r="E273" i="18"/>
  <c r="G273" i="18" s="1"/>
  <c r="J272" i="18"/>
  <c r="K272" i="18" s="1"/>
  <c r="E272" i="18"/>
  <c r="E271" i="18"/>
  <c r="I271" i="18" s="1"/>
  <c r="J270" i="18"/>
  <c r="K270" i="18" s="1"/>
  <c r="E270" i="18"/>
  <c r="I270" i="18" s="1"/>
  <c r="E269" i="18"/>
  <c r="J267" i="18"/>
  <c r="K267" i="18" s="1"/>
  <c r="E267" i="18"/>
  <c r="G267" i="18" s="1"/>
  <c r="E266" i="18"/>
  <c r="I266" i="18" s="1"/>
  <c r="E265" i="18"/>
  <c r="G265" i="18" s="1"/>
  <c r="E262" i="18"/>
  <c r="E261" i="18"/>
  <c r="L261" i="18" s="1"/>
  <c r="E260" i="18"/>
  <c r="L260" i="18" s="1"/>
  <c r="E259" i="18"/>
  <c r="L259" i="18" s="1"/>
  <c r="J257" i="18"/>
  <c r="K257" i="18" s="1"/>
  <c r="E257" i="18"/>
  <c r="J256" i="18"/>
  <c r="K256" i="18" s="1"/>
  <c r="E256" i="18"/>
  <c r="I256" i="18" s="1"/>
  <c r="J255" i="18"/>
  <c r="K255" i="18" s="1"/>
  <c r="E255" i="18"/>
  <c r="E251" i="18"/>
  <c r="J250" i="18"/>
  <c r="K250" i="18" s="1"/>
  <c r="E250" i="18"/>
  <c r="E249" i="18"/>
  <c r="J248" i="18"/>
  <c r="K248" i="18" s="1"/>
  <c r="E248" i="18"/>
  <c r="I248" i="18" s="1"/>
  <c r="J247" i="18"/>
  <c r="K247" i="18" s="1"/>
  <c r="E247" i="18"/>
  <c r="J246" i="18"/>
  <c r="K246" i="18" s="1"/>
  <c r="E246" i="18"/>
  <c r="E245" i="18"/>
  <c r="E244" i="18"/>
  <c r="I244" i="18" s="1"/>
  <c r="J243" i="18"/>
  <c r="K243" i="18" s="1"/>
  <c r="E243" i="18"/>
  <c r="J242" i="18"/>
  <c r="K242" i="18" s="1"/>
  <c r="E242" i="18"/>
  <c r="J241" i="18"/>
  <c r="K241" i="18" s="1"/>
  <c r="E241" i="18"/>
  <c r="I241" i="18" s="1"/>
  <c r="J240" i="18"/>
  <c r="K240" i="18" s="1"/>
  <c r="E240" i="18"/>
  <c r="I240" i="18" s="1"/>
  <c r="E239" i="18"/>
  <c r="E238" i="18"/>
  <c r="J237" i="18"/>
  <c r="K237" i="18" s="1"/>
  <c r="E237" i="18"/>
  <c r="I237" i="18" s="1"/>
  <c r="J236" i="18"/>
  <c r="K236" i="18" s="1"/>
  <c r="E236" i="18"/>
  <c r="I236" i="18" s="1"/>
  <c r="J235" i="18"/>
  <c r="K235" i="18" s="1"/>
  <c r="E235" i="18"/>
  <c r="I235" i="18" s="1"/>
  <c r="J234" i="18"/>
  <c r="K234" i="18" s="1"/>
  <c r="E234" i="18"/>
  <c r="L234" i="18" s="1"/>
  <c r="E233" i="18"/>
  <c r="L233" i="18" s="1"/>
  <c r="E232" i="18"/>
  <c r="G232" i="18" s="1"/>
  <c r="E231" i="18"/>
  <c r="J230" i="18"/>
  <c r="K230" i="18" s="1"/>
  <c r="E230" i="18"/>
  <c r="E229" i="18"/>
  <c r="I229" i="18" s="1"/>
  <c r="E227" i="18"/>
  <c r="L227" i="18" s="1"/>
  <c r="E226" i="18"/>
  <c r="L226" i="18" s="1"/>
  <c r="E224" i="18"/>
  <c r="L224" i="18" s="1"/>
  <c r="E223" i="18"/>
  <c r="L223" i="18" s="1"/>
  <c r="E221" i="18"/>
  <c r="G221" i="18" s="1"/>
  <c r="J220" i="18"/>
  <c r="K220" i="18" s="1"/>
  <c r="E220" i="18"/>
  <c r="I220" i="18" s="1"/>
  <c r="J219" i="18"/>
  <c r="K219" i="18" s="1"/>
  <c r="E219" i="18"/>
  <c r="I219" i="18" s="1"/>
  <c r="E215" i="18"/>
  <c r="E214" i="18"/>
  <c r="E213" i="18"/>
  <c r="L213" i="18" s="1"/>
  <c r="J212" i="18"/>
  <c r="K212" i="18" s="1"/>
  <c r="E212" i="18"/>
  <c r="E208" i="18"/>
  <c r="E207" i="18"/>
  <c r="J206" i="18"/>
  <c r="K206" i="18" s="1"/>
  <c r="E206" i="18"/>
  <c r="E202" i="18"/>
  <c r="L202" i="18" s="1"/>
  <c r="E201" i="18"/>
  <c r="E200" i="18"/>
  <c r="G200" i="18" s="1"/>
  <c r="J199" i="18"/>
  <c r="K199" i="18" s="1"/>
  <c r="E199" i="18"/>
  <c r="G199" i="18" s="1"/>
  <c r="E194" i="18"/>
  <c r="L194" i="18" s="1"/>
  <c r="E193" i="18"/>
  <c r="E192" i="18"/>
  <c r="E191" i="18"/>
  <c r="E190" i="18"/>
  <c r="L190" i="18" s="1"/>
  <c r="E189" i="18"/>
  <c r="E188" i="18"/>
  <c r="E187" i="18"/>
  <c r="J186" i="18"/>
  <c r="K186" i="18" s="1"/>
  <c r="E186" i="18"/>
  <c r="E182" i="18"/>
  <c r="J181" i="18"/>
  <c r="K181" i="18" s="1"/>
  <c r="E181" i="18"/>
  <c r="J180" i="18"/>
  <c r="K180" i="18" s="1"/>
  <c r="E180" i="18"/>
  <c r="J179" i="18"/>
  <c r="K179" i="18" s="1"/>
  <c r="E179" i="18"/>
  <c r="J178" i="18"/>
  <c r="K178" i="18" s="1"/>
  <c r="E178" i="18"/>
  <c r="H178" i="18" s="1"/>
  <c r="E177" i="18"/>
  <c r="G177" i="18" s="1"/>
  <c r="E176" i="18"/>
  <c r="I176" i="18" s="1"/>
  <c r="E175" i="18"/>
  <c r="F175" i="18" s="1"/>
  <c r="E174" i="18"/>
  <c r="H174" i="18" s="1"/>
  <c r="E173" i="18"/>
  <c r="E172" i="18"/>
  <c r="H172" i="18" s="1"/>
  <c r="E171" i="18"/>
  <c r="H171" i="18" s="1"/>
  <c r="E170" i="18"/>
  <c r="H170" i="18" s="1"/>
  <c r="J169" i="18"/>
  <c r="K169" i="18" s="1"/>
  <c r="E169" i="18"/>
  <c r="E165" i="18"/>
  <c r="E164" i="18"/>
  <c r="E163" i="18"/>
  <c r="E161" i="18"/>
  <c r="E160" i="18"/>
  <c r="L160" i="18" s="1"/>
  <c r="J159" i="18"/>
  <c r="K159" i="18" s="1"/>
  <c r="E159" i="18"/>
  <c r="J158" i="18"/>
  <c r="K158" i="18" s="1"/>
  <c r="E158" i="18"/>
  <c r="J157" i="18"/>
  <c r="K157" i="18" s="1"/>
  <c r="E157" i="18"/>
  <c r="E156" i="18"/>
  <c r="F156" i="18" s="1"/>
  <c r="E155" i="18"/>
  <c r="J154" i="18"/>
  <c r="K154" i="18" s="1"/>
  <c r="E154" i="18"/>
  <c r="J153" i="18"/>
  <c r="K153" i="18" s="1"/>
  <c r="E153" i="18"/>
  <c r="H153" i="18" s="1"/>
  <c r="J152" i="18"/>
  <c r="K152" i="18" s="1"/>
  <c r="E152" i="18"/>
  <c r="E151" i="18"/>
  <c r="L151" i="18" s="1"/>
  <c r="E150" i="18"/>
  <c r="E149" i="18"/>
  <c r="E148" i="18"/>
  <c r="J147" i="18"/>
  <c r="K147" i="18" s="1"/>
  <c r="E147" i="18"/>
  <c r="L147" i="18" s="1"/>
  <c r="J146" i="18"/>
  <c r="K146" i="18" s="1"/>
  <c r="E146" i="18"/>
  <c r="G146" i="18" s="1"/>
  <c r="J145" i="18"/>
  <c r="K145" i="18" s="1"/>
  <c r="E145" i="18"/>
  <c r="L145" i="18" s="1"/>
  <c r="J144" i="18"/>
  <c r="K144" i="18" s="1"/>
  <c r="E144" i="18"/>
  <c r="I144" i="18" s="1"/>
  <c r="J143" i="18"/>
  <c r="K143" i="18" s="1"/>
  <c r="E143" i="18"/>
  <c r="H143" i="18" s="1"/>
  <c r="J142" i="18"/>
  <c r="K142" i="18" s="1"/>
  <c r="E142" i="18"/>
  <c r="I142" i="18" s="1"/>
  <c r="J140" i="18"/>
  <c r="K140" i="18" s="1"/>
  <c r="E140" i="18"/>
  <c r="L140" i="18" s="1"/>
  <c r="J139" i="18"/>
  <c r="K139" i="18" s="1"/>
  <c r="E139" i="18"/>
  <c r="J138" i="18"/>
  <c r="K138" i="18" s="1"/>
  <c r="E138" i="18"/>
  <c r="H138" i="18" s="1"/>
  <c r="J137" i="18"/>
  <c r="K137" i="18" s="1"/>
  <c r="E137" i="18"/>
  <c r="G137" i="18" s="1"/>
  <c r="J136" i="18"/>
  <c r="K136" i="18" s="1"/>
  <c r="E136" i="18"/>
  <c r="I136" i="18" s="1"/>
  <c r="E135" i="18"/>
  <c r="L135" i="18" s="1"/>
  <c r="J134" i="18"/>
  <c r="K134" i="18" s="1"/>
  <c r="E134" i="18"/>
  <c r="L134" i="18" s="1"/>
  <c r="J133" i="18"/>
  <c r="K133" i="18" s="1"/>
  <c r="E133" i="18"/>
  <c r="I133" i="18" s="1"/>
  <c r="J132" i="18"/>
  <c r="K132" i="18" s="1"/>
  <c r="E132" i="18"/>
  <c r="G132" i="18" s="1"/>
  <c r="E131" i="18"/>
  <c r="E130" i="18"/>
  <c r="L130" i="18" s="1"/>
  <c r="J128" i="18"/>
  <c r="K128" i="18" s="1"/>
  <c r="E128" i="18"/>
  <c r="J126" i="18"/>
  <c r="K126" i="18" s="1"/>
  <c r="E126" i="18"/>
  <c r="J125" i="18"/>
  <c r="K125" i="18" s="1"/>
  <c r="E125" i="18"/>
  <c r="F125" i="18" s="1"/>
  <c r="J124" i="18"/>
  <c r="K124" i="18" s="1"/>
  <c r="E124" i="18"/>
  <c r="F124" i="18" s="1"/>
  <c r="J123" i="18"/>
  <c r="K123" i="18" s="1"/>
  <c r="E123" i="18"/>
  <c r="L123" i="18" s="1"/>
  <c r="J122" i="18"/>
  <c r="K122" i="18" s="1"/>
  <c r="E122" i="18"/>
  <c r="J121" i="18"/>
  <c r="K121" i="18" s="1"/>
  <c r="E121" i="18"/>
  <c r="F121" i="18" s="1"/>
  <c r="J120" i="18"/>
  <c r="K120" i="18" s="1"/>
  <c r="E120" i="18"/>
  <c r="J119" i="18"/>
  <c r="K119" i="18" s="1"/>
  <c r="E119" i="18"/>
  <c r="I119" i="18" s="1"/>
  <c r="J118" i="18"/>
  <c r="K118" i="18" s="1"/>
  <c r="E118" i="18"/>
  <c r="E117" i="18"/>
  <c r="E116" i="18"/>
  <c r="I116" i="18" s="1"/>
  <c r="E115" i="18"/>
  <c r="I115" i="18" s="1"/>
  <c r="J114" i="18"/>
  <c r="K114" i="18" s="1"/>
  <c r="E114" i="18"/>
  <c r="I114" i="18" s="1"/>
  <c r="E113" i="18"/>
  <c r="I113" i="18" s="1"/>
  <c r="E112" i="18"/>
  <c r="H112" i="18" s="1"/>
  <c r="E111" i="18"/>
  <c r="E110" i="18"/>
  <c r="J109" i="18"/>
  <c r="K109" i="18" s="1"/>
  <c r="E109" i="18"/>
  <c r="J108" i="18"/>
  <c r="K108" i="18" s="1"/>
  <c r="E108" i="18"/>
  <c r="J107" i="18"/>
  <c r="K107" i="18" s="1"/>
  <c r="E107" i="18"/>
  <c r="E106" i="18"/>
  <c r="I106" i="18" s="1"/>
  <c r="J105" i="18"/>
  <c r="K105" i="18" s="1"/>
  <c r="E105" i="18"/>
  <c r="J104" i="18"/>
  <c r="K104" i="18" s="1"/>
  <c r="E104" i="18"/>
  <c r="F104" i="18" s="1"/>
  <c r="J103" i="18"/>
  <c r="K103" i="18" s="1"/>
  <c r="E103" i="18"/>
  <c r="J102" i="18"/>
  <c r="K102" i="18" s="1"/>
  <c r="E102" i="18"/>
  <c r="J101" i="18"/>
  <c r="K101" i="18" s="1"/>
  <c r="E101" i="18"/>
  <c r="J100" i="18"/>
  <c r="K100" i="18" s="1"/>
  <c r="E100" i="18"/>
  <c r="E99" i="18"/>
  <c r="J98" i="18"/>
  <c r="K98" i="18" s="1"/>
  <c r="E98" i="18"/>
  <c r="G98" i="18" s="1"/>
  <c r="E97" i="18"/>
  <c r="E95" i="18"/>
  <c r="J94" i="18"/>
  <c r="K94" i="18" s="1"/>
  <c r="E94" i="18"/>
  <c r="J93" i="18"/>
  <c r="K93" i="18" s="1"/>
  <c r="E93" i="18"/>
  <c r="J92" i="18"/>
  <c r="K92" i="18" s="1"/>
  <c r="E92" i="18"/>
  <c r="E91" i="18"/>
  <c r="E90" i="18"/>
  <c r="I90" i="18" s="1"/>
  <c r="J89" i="18"/>
  <c r="K89" i="18" s="1"/>
  <c r="E89" i="18"/>
  <c r="E88" i="18"/>
  <c r="E87" i="18"/>
  <c r="E86" i="18"/>
  <c r="E85" i="18"/>
  <c r="I85" i="18" s="1"/>
  <c r="E84" i="18"/>
  <c r="I84" i="18" s="1"/>
  <c r="E83" i="18"/>
  <c r="H83" i="18" s="1"/>
  <c r="J82" i="18"/>
  <c r="K82" i="18" s="1"/>
  <c r="E82" i="18"/>
  <c r="E81" i="18"/>
  <c r="E80" i="18"/>
  <c r="I80" i="18" s="1"/>
  <c r="E79" i="18"/>
  <c r="I79" i="18" s="1"/>
  <c r="E78" i="18"/>
  <c r="I78" i="18" s="1"/>
  <c r="E77" i="18"/>
  <c r="G77" i="18" s="1"/>
  <c r="E76" i="18"/>
  <c r="H76" i="18" s="1"/>
  <c r="E75" i="18"/>
  <c r="I75" i="18" s="1"/>
  <c r="E74" i="18"/>
  <c r="J73" i="18"/>
  <c r="K73" i="18" s="1"/>
  <c r="E73" i="18"/>
  <c r="J72" i="18"/>
  <c r="K72" i="18" s="1"/>
  <c r="E72" i="18"/>
  <c r="J71" i="18"/>
  <c r="K71" i="18" s="1"/>
  <c r="E71" i="18"/>
  <c r="L71" i="18" s="1"/>
  <c r="J70" i="18"/>
  <c r="K70" i="18" s="1"/>
  <c r="E70" i="18"/>
  <c r="E66" i="18"/>
  <c r="L66" i="18" s="1"/>
  <c r="E65" i="18"/>
  <c r="J64" i="18"/>
  <c r="K64" i="18" s="1"/>
  <c r="E64" i="18"/>
  <c r="E63" i="18"/>
  <c r="E62" i="18"/>
  <c r="E61" i="18"/>
  <c r="I61" i="18" s="1"/>
  <c r="E60" i="18"/>
  <c r="J59" i="18"/>
  <c r="K59" i="18" s="1"/>
  <c r="E59" i="18"/>
  <c r="G59" i="18" s="1"/>
  <c r="E58" i="18"/>
  <c r="E57" i="18"/>
  <c r="E56" i="18"/>
  <c r="E55" i="18"/>
  <c r="J54" i="18"/>
  <c r="K54" i="18" s="1"/>
  <c r="E54" i="18"/>
  <c r="F54" i="18" s="1"/>
  <c r="E53" i="18"/>
  <c r="E52" i="18"/>
  <c r="E51" i="18"/>
  <c r="H51" i="18" s="1"/>
  <c r="E50" i="18"/>
  <c r="E49" i="18"/>
  <c r="J48" i="18"/>
  <c r="K48" i="18" s="1"/>
  <c r="E48" i="18"/>
  <c r="E47" i="18"/>
  <c r="E46" i="18"/>
  <c r="H46" i="18" s="1"/>
  <c r="E45" i="18"/>
  <c r="E44" i="18"/>
  <c r="F44" i="18" s="1"/>
  <c r="E43" i="18"/>
  <c r="F43" i="18" s="1"/>
  <c r="E42" i="18"/>
  <c r="J41" i="18"/>
  <c r="K41" i="18" s="1"/>
  <c r="E41" i="18"/>
  <c r="H41" i="18" s="1"/>
  <c r="E40" i="18"/>
  <c r="I40" i="18" s="1"/>
  <c r="J39" i="18"/>
  <c r="K39" i="18" s="1"/>
  <c r="E39" i="18"/>
  <c r="H39" i="18" s="1"/>
  <c r="E38" i="18"/>
  <c r="E37" i="18"/>
  <c r="E36" i="18"/>
  <c r="I36" i="18" s="1"/>
  <c r="E35" i="18"/>
  <c r="F35" i="18" s="1"/>
  <c r="E34" i="18"/>
  <c r="J33" i="18"/>
  <c r="K33" i="18" s="1"/>
  <c r="E33" i="18"/>
  <c r="E32" i="18"/>
  <c r="I32" i="18" s="1"/>
  <c r="E31" i="18"/>
  <c r="I31" i="18" s="1"/>
  <c r="E30" i="18"/>
  <c r="H30" i="18" s="1"/>
  <c r="E29" i="18"/>
  <c r="I29" i="18" s="1"/>
  <c r="E28" i="18"/>
  <c r="H28" i="18" s="1"/>
  <c r="E27" i="18"/>
  <c r="I27" i="18" s="1"/>
  <c r="E26" i="18"/>
  <c r="L26" i="18" s="1"/>
  <c r="E25" i="18"/>
  <c r="E24" i="18"/>
  <c r="G24" i="18" s="1"/>
  <c r="E23" i="18"/>
  <c r="J22" i="18"/>
  <c r="K22" i="18" s="1"/>
  <c r="E22" i="18"/>
  <c r="J21" i="18"/>
  <c r="K21" i="18" s="1"/>
  <c r="E21" i="18"/>
  <c r="E20" i="18"/>
  <c r="L20" i="18" s="1"/>
  <c r="E19" i="18"/>
  <c r="E18" i="18"/>
  <c r="L18" i="18" s="1"/>
  <c r="E17" i="18"/>
  <c r="E16" i="18"/>
  <c r="L16" i="18" s="1"/>
  <c r="I12" i="18"/>
  <c r="E12" i="18"/>
  <c r="F12" i="18" s="1"/>
  <c r="I11" i="18"/>
  <c r="E11" i="18"/>
  <c r="I10" i="18"/>
  <c r="E10" i="18"/>
  <c r="F10" i="18" s="1"/>
  <c r="J9" i="18"/>
  <c r="K9" i="18" s="1"/>
  <c r="I9" i="18"/>
  <c r="E9" i="18"/>
  <c r="F130" i="18" l="1"/>
  <c r="H177" i="18"/>
  <c r="G101" i="18"/>
  <c r="I232" i="18"/>
  <c r="G38" i="18"/>
  <c r="H40" i="18"/>
  <c r="L232" i="18"/>
  <c r="G154" i="18"/>
  <c r="G319" i="18"/>
  <c r="L319" i="18"/>
  <c r="I37" i="18"/>
  <c r="H37" i="18"/>
  <c r="G150" i="18"/>
  <c r="F102" i="18"/>
  <c r="L208" i="18"/>
  <c r="G219" i="18"/>
  <c r="I30" i="18"/>
  <c r="I77" i="18"/>
  <c r="I83" i="18"/>
  <c r="I98" i="18"/>
  <c r="F106" i="18"/>
  <c r="G108" i="18"/>
  <c r="I112" i="18"/>
  <c r="I123" i="18"/>
  <c r="H200" i="18"/>
  <c r="G317" i="18"/>
  <c r="H65" i="18"/>
  <c r="L101" i="18"/>
  <c r="H108" i="18"/>
  <c r="G143" i="18"/>
  <c r="L229" i="18"/>
  <c r="G300" i="18"/>
  <c r="H317" i="18"/>
  <c r="G335" i="18"/>
  <c r="H44" i="18"/>
  <c r="F37" i="18"/>
  <c r="F38" i="18"/>
  <c r="F101" i="18"/>
  <c r="G233" i="18"/>
  <c r="G235" i="18"/>
  <c r="G259" i="18"/>
  <c r="H319" i="18"/>
  <c r="I335" i="18"/>
  <c r="L339" i="18"/>
  <c r="G11" i="18"/>
  <c r="F32" i="18"/>
  <c r="F39" i="18"/>
  <c r="H43" i="18"/>
  <c r="H55" i="18"/>
  <c r="I102" i="18"/>
  <c r="H115" i="18"/>
  <c r="F151" i="18"/>
  <c r="G152" i="18"/>
  <c r="H154" i="18"/>
  <c r="H163" i="18"/>
  <c r="I223" i="18"/>
  <c r="G269" i="18"/>
  <c r="G307" i="18"/>
  <c r="G326" i="18"/>
  <c r="G337" i="18"/>
  <c r="G339" i="18"/>
  <c r="G151" i="18"/>
  <c r="L269" i="18"/>
  <c r="H307" i="18"/>
  <c r="I35" i="18"/>
  <c r="L75" i="18"/>
  <c r="G123" i="18"/>
  <c r="G124" i="18"/>
  <c r="G138" i="18"/>
  <c r="I151" i="18"/>
  <c r="F174" i="18"/>
  <c r="G202" i="18"/>
  <c r="L221" i="18"/>
  <c r="G224" i="18"/>
  <c r="L36" i="18"/>
  <c r="L333" i="18"/>
  <c r="H56" i="18"/>
  <c r="F61" i="18"/>
  <c r="H62" i="18"/>
  <c r="G76" i="18"/>
  <c r="I101" i="18"/>
  <c r="I104" i="18"/>
  <c r="G119" i="18"/>
  <c r="F120" i="18"/>
  <c r="F126" i="18"/>
  <c r="F135" i="18"/>
  <c r="G136" i="18"/>
  <c r="G140" i="18"/>
  <c r="G145" i="18"/>
  <c r="G147" i="18"/>
  <c r="L163" i="18"/>
  <c r="G175" i="18"/>
  <c r="F176" i="18"/>
  <c r="L200" i="18"/>
  <c r="G236" i="18"/>
  <c r="G245" i="18"/>
  <c r="G251" i="18"/>
  <c r="I259" i="18"/>
  <c r="G272" i="18"/>
  <c r="G282" i="18"/>
  <c r="G310" i="18"/>
  <c r="I326" i="18"/>
  <c r="G332" i="18"/>
  <c r="G333" i="18"/>
  <c r="I337" i="18"/>
  <c r="L342" i="18"/>
  <c r="G31" i="18"/>
  <c r="F36" i="18"/>
  <c r="F49" i="18"/>
  <c r="H50" i="18"/>
  <c r="G16" i="18"/>
  <c r="G18" i="18"/>
  <c r="G20" i="18"/>
  <c r="G26" i="18"/>
  <c r="G36" i="18"/>
  <c r="L39" i="18"/>
  <c r="G41" i="18"/>
  <c r="H45" i="18"/>
  <c r="H49" i="18"/>
  <c r="H61" i="18"/>
  <c r="F75" i="18"/>
  <c r="H78" i="18"/>
  <c r="G120" i="18"/>
  <c r="L120" i="18"/>
  <c r="G135" i="18"/>
  <c r="H140" i="18"/>
  <c r="H145" i="18"/>
  <c r="H147" i="18"/>
  <c r="G176" i="18"/>
  <c r="L245" i="18"/>
  <c r="L251" i="18"/>
  <c r="L282" i="18"/>
  <c r="H310" i="18"/>
  <c r="I332" i="18"/>
  <c r="H36" i="18"/>
  <c r="L119" i="18"/>
  <c r="I120" i="18"/>
  <c r="I135" i="18"/>
  <c r="L136" i="18"/>
  <c r="I140" i="18"/>
  <c r="I145" i="18"/>
  <c r="I147" i="18"/>
  <c r="H176" i="18"/>
  <c r="G27" i="18"/>
  <c r="I28" i="18"/>
  <c r="G29" i="18"/>
  <c r="I34" i="18"/>
  <c r="L34" i="18"/>
  <c r="F34" i="18"/>
  <c r="I42" i="18"/>
  <c r="G42" i="18"/>
  <c r="L42" i="18"/>
  <c r="L47" i="18"/>
  <c r="H47" i="18"/>
  <c r="L52" i="18"/>
  <c r="H52" i="18"/>
  <c r="I53" i="18"/>
  <c r="L53" i="18"/>
  <c r="F53" i="18"/>
  <c r="L57" i="18"/>
  <c r="H57" i="18"/>
  <c r="G89" i="18"/>
  <c r="L89" i="18"/>
  <c r="H89" i="18"/>
  <c r="H93" i="18"/>
  <c r="L93" i="18"/>
  <c r="L33" i="18"/>
  <c r="H33" i="18"/>
  <c r="L48" i="18"/>
  <c r="F48" i="18"/>
  <c r="I58" i="18"/>
  <c r="F58" i="18"/>
  <c r="L73" i="18"/>
  <c r="I73" i="18"/>
  <c r="L97" i="18"/>
  <c r="I97" i="18"/>
  <c r="I99" i="18"/>
  <c r="G99" i="18"/>
  <c r="L11" i="18"/>
  <c r="L24" i="18"/>
  <c r="H27" i="18"/>
  <c r="H29" i="18"/>
  <c r="H31" i="18"/>
  <c r="H32" i="18"/>
  <c r="F33" i="18"/>
  <c r="G34" i="18"/>
  <c r="I38" i="18"/>
  <c r="H38" i="18"/>
  <c r="L38" i="18"/>
  <c r="F42" i="18"/>
  <c r="L43" i="18"/>
  <c r="I44" i="18"/>
  <c r="G44" i="18"/>
  <c r="L44" i="18"/>
  <c r="F47" i="18"/>
  <c r="G48" i="18"/>
  <c r="I49" i="18"/>
  <c r="G49" i="18"/>
  <c r="L49" i="18"/>
  <c r="F52" i="18"/>
  <c r="G53" i="18"/>
  <c r="G54" i="18"/>
  <c r="H54" i="18"/>
  <c r="F57" i="18"/>
  <c r="G58" i="18"/>
  <c r="F59" i="18"/>
  <c r="H73" i="18"/>
  <c r="I89" i="18"/>
  <c r="I93" i="18"/>
  <c r="H99" i="18"/>
  <c r="H110" i="18"/>
  <c r="G110" i="18"/>
  <c r="I117" i="18"/>
  <c r="H117" i="18"/>
  <c r="I131" i="18"/>
  <c r="L131" i="18"/>
  <c r="G33" i="18"/>
  <c r="H34" i="18"/>
  <c r="H42" i="18"/>
  <c r="L45" i="18"/>
  <c r="I46" i="18"/>
  <c r="G46" i="18"/>
  <c r="L46" i="18"/>
  <c r="H48" i="18"/>
  <c r="L50" i="18"/>
  <c r="I51" i="18"/>
  <c r="G51" i="18"/>
  <c r="L51" i="18"/>
  <c r="H53" i="18"/>
  <c r="L55" i="18"/>
  <c r="I56" i="18"/>
  <c r="G56" i="18"/>
  <c r="L56" i="18"/>
  <c r="H58" i="18"/>
  <c r="H59" i="18"/>
  <c r="L60" i="18"/>
  <c r="F60" i="18"/>
  <c r="L62" i="18"/>
  <c r="I63" i="18"/>
  <c r="H63" i="18"/>
  <c r="G64" i="18"/>
  <c r="F64" i="18"/>
  <c r="L65" i="18"/>
  <c r="I66" i="18"/>
  <c r="H66" i="18"/>
  <c r="G66" i="18"/>
  <c r="H71" i="18"/>
  <c r="I71" i="18"/>
  <c r="G88" i="18"/>
  <c r="L88" i="18"/>
  <c r="F88" i="18"/>
  <c r="I100" i="18"/>
  <c r="L100" i="18"/>
  <c r="G100" i="18"/>
  <c r="G111" i="18"/>
  <c r="I111" i="18"/>
  <c r="F27" i="18"/>
  <c r="L27" i="18"/>
  <c r="F28" i="18"/>
  <c r="F29" i="18"/>
  <c r="L29" i="18"/>
  <c r="F30" i="18"/>
  <c r="F31" i="18"/>
  <c r="L31" i="18"/>
  <c r="H35" i="18"/>
  <c r="G39" i="18"/>
  <c r="I39" i="18"/>
  <c r="L41" i="18"/>
  <c r="F41" i="18"/>
  <c r="F45" i="18"/>
  <c r="F46" i="18"/>
  <c r="F50" i="18"/>
  <c r="F51" i="18"/>
  <c r="F55" i="18"/>
  <c r="F56" i="18"/>
  <c r="H60" i="18"/>
  <c r="F62" i="18"/>
  <c r="F63" i="18"/>
  <c r="H64" i="18"/>
  <c r="F65" i="18"/>
  <c r="F66" i="18"/>
  <c r="I88" i="18"/>
  <c r="H95" i="18"/>
  <c r="I95" i="18"/>
  <c r="H107" i="18"/>
  <c r="G107" i="18"/>
  <c r="L155" i="18"/>
  <c r="I173" i="18"/>
  <c r="F173" i="18"/>
  <c r="G173" i="18"/>
  <c r="F179" i="18"/>
  <c r="L231" i="18"/>
  <c r="I231" i="18"/>
  <c r="L262" i="18"/>
  <c r="I262" i="18"/>
  <c r="L124" i="18"/>
  <c r="L126" i="18"/>
  <c r="G126" i="18"/>
  <c r="L132" i="18"/>
  <c r="G149" i="18"/>
  <c r="H152" i="18"/>
  <c r="G153" i="18"/>
  <c r="G155" i="18"/>
  <c r="H160" i="18"/>
  <c r="G160" i="18"/>
  <c r="H173" i="18"/>
  <c r="G215" i="18"/>
  <c r="L215" i="18"/>
  <c r="L230" i="18"/>
  <c r="G230" i="18"/>
  <c r="I230" i="18"/>
  <c r="G354" i="18"/>
  <c r="H109" i="18"/>
  <c r="L144" i="18"/>
  <c r="H155" i="18"/>
  <c r="G157" i="18"/>
  <c r="H159" i="18"/>
  <c r="G159" i="18"/>
  <c r="L165" i="18"/>
  <c r="G165" i="18"/>
  <c r="G192" i="18"/>
  <c r="L192" i="18"/>
  <c r="H316" i="18"/>
  <c r="G316" i="18"/>
  <c r="H318" i="18"/>
  <c r="G318" i="18"/>
  <c r="G75" i="18"/>
  <c r="I76" i="18"/>
  <c r="G109" i="18"/>
  <c r="G115" i="18"/>
  <c r="G116" i="18"/>
  <c r="I124" i="18"/>
  <c r="I126" i="18"/>
  <c r="F132" i="18"/>
  <c r="H136" i="18"/>
  <c r="L138" i="18"/>
  <c r="I138" i="18"/>
  <c r="L143" i="18"/>
  <c r="I143" i="18"/>
  <c r="G144" i="18"/>
  <c r="H157" i="18"/>
  <c r="H158" i="18"/>
  <c r="G158" i="18"/>
  <c r="F161" i="18"/>
  <c r="I161" i="18"/>
  <c r="H165" i="18"/>
  <c r="G180" i="18"/>
  <c r="H180" i="18"/>
  <c r="F180" i="18"/>
  <c r="L239" i="18"/>
  <c r="G239" i="18"/>
  <c r="L98" i="18"/>
  <c r="I156" i="18"/>
  <c r="G163" i="18"/>
  <c r="I175" i="18"/>
  <c r="H175" i="18"/>
  <c r="I177" i="18"/>
  <c r="F177" i="18"/>
  <c r="G190" i="18"/>
  <c r="H199" i="18"/>
  <c r="G213" i="18"/>
  <c r="I224" i="18"/>
  <c r="G250" i="18"/>
  <c r="F250" i="18"/>
  <c r="L265" i="18"/>
  <c r="I265" i="18"/>
  <c r="L347" i="18"/>
  <c r="G347" i="18"/>
  <c r="G350" i="18"/>
  <c r="G178" i="18"/>
  <c r="H182" i="18"/>
  <c r="G188" i="18"/>
  <c r="H208" i="18"/>
  <c r="G212" i="18"/>
  <c r="L219" i="18"/>
  <c r="L235" i="18"/>
  <c r="L277" i="18"/>
  <c r="L327" i="18"/>
  <c r="I327" i="18"/>
  <c r="G327" i="18"/>
  <c r="L338" i="18"/>
  <c r="I338" i="18"/>
  <c r="I174" i="18"/>
  <c r="G174" i="18"/>
  <c r="F178" i="18"/>
  <c r="F181" i="18"/>
  <c r="G182" i="18"/>
  <c r="L188" i="18"/>
  <c r="G194" i="18"/>
  <c r="H202" i="18"/>
  <c r="G208" i="18"/>
  <c r="L236" i="18"/>
  <c r="L255" i="18"/>
  <c r="I255" i="18"/>
  <c r="L273" i="18"/>
  <c r="G277" i="18"/>
  <c r="H309" i="18"/>
  <c r="G309" i="18"/>
  <c r="L311" i="18"/>
  <c r="H311" i="18"/>
  <c r="G311" i="18"/>
  <c r="L328" i="18"/>
  <c r="I328" i="18"/>
  <c r="G328" i="18"/>
  <c r="L334" i="18"/>
  <c r="I334" i="18"/>
  <c r="G349" i="18"/>
  <c r="G298" i="18"/>
  <c r="L300" i="18"/>
  <c r="G303" i="18"/>
  <c r="G308" i="18"/>
  <c r="G351" i="18"/>
  <c r="G355" i="18"/>
  <c r="H298" i="18"/>
  <c r="H303" i="18"/>
  <c r="H308" i="18"/>
  <c r="L308" i="18"/>
  <c r="L351" i="18"/>
  <c r="L355" i="18"/>
  <c r="H352" i="18"/>
  <c r="G352" i="18"/>
  <c r="F352" i="18"/>
  <c r="L352" i="18"/>
  <c r="G325" i="18"/>
  <c r="L325" i="18"/>
  <c r="F330" i="18"/>
  <c r="H330" i="18"/>
  <c r="H341" i="18"/>
  <c r="L341" i="18"/>
  <c r="G341" i="18"/>
  <c r="F341" i="18"/>
  <c r="H345" i="18"/>
  <c r="G345" i="18"/>
  <c r="F345" i="18"/>
  <c r="L345" i="18"/>
  <c r="I352" i="18"/>
  <c r="H353" i="18"/>
  <c r="L353" i="18"/>
  <c r="G353" i="18"/>
  <c r="F353" i="18"/>
  <c r="H329" i="18"/>
  <c r="F329" i="18"/>
  <c r="H344" i="18"/>
  <c r="G344" i="18"/>
  <c r="F344" i="18"/>
  <c r="L344" i="18"/>
  <c r="G336" i="18"/>
  <c r="L336" i="18"/>
  <c r="H327" i="18"/>
  <c r="F327" i="18"/>
  <c r="I329" i="18"/>
  <c r="G330" i="18"/>
  <c r="H332" i="18"/>
  <c r="F332" i="18"/>
  <c r="F334" i="18"/>
  <c r="H334" i="18"/>
  <c r="F338" i="18"/>
  <c r="H338" i="18"/>
  <c r="H340" i="18"/>
  <c r="F340" i="18"/>
  <c r="I341" i="18"/>
  <c r="I345" i="18"/>
  <c r="H346" i="18"/>
  <c r="L346" i="18"/>
  <c r="G346" i="18"/>
  <c r="F346" i="18"/>
  <c r="I353" i="18"/>
  <c r="H325" i="18"/>
  <c r="F325" i="18"/>
  <c r="F336" i="18"/>
  <c r="H336" i="18"/>
  <c r="H348" i="18"/>
  <c r="L348" i="18"/>
  <c r="G348" i="18"/>
  <c r="F348" i="18"/>
  <c r="H326" i="18"/>
  <c r="F326" i="18"/>
  <c r="F328" i="18"/>
  <c r="H328" i="18"/>
  <c r="L329" i="18"/>
  <c r="I330" i="18"/>
  <c r="F333" i="18"/>
  <c r="H333" i="18"/>
  <c r="G334" i="18"/>
  <c r="H335" i="18"/>
  <c r="F335" i="18"/>
  <c r="F337" i="18"/>
  <c r="H337" i="18"/>
  <c r="G338" i="18"/>
  <c r="H339" i="18"/>
  <c r="F339" i="18"/>
  <c r="G340" i="18"/>
  <c r="L340" i="18"/>
  <c r="H343" i="18"/>
  <c r="G343" i="18"/>
  <c r="F343" i="18"/>
  <c r="L343" i="18"/>
  <c r="I346" i="18"/>
  <c r="H342" i="18"/>
  <c r="H347" i="18"/>
  <c r="H349" i="18"/>
  <c r="H350" i="18"/>
  <c r="H351" i="18"/>
  <c r="H354" i="18"/>
  <c r="H355" i="18"/>
  <c r="I342" i="18"/>
  <c r="I349" i="18"/>
  <c r="I350" i="18"/>
  <c r="L350" i="18"/>
  <c r="I351" i="18"/>
  <c r="I354" i="18"/>
  <c r="L354" i="18"/>
  <c r="I355" i="18"/>
  <c r="I347" i="18"/>
  <c r="L349" i="18"/>
  <c r="F342" i="18"/>
  <c r="F347" i="18"/>
  <c r="F349" i="18"/>
  <c r="F350" i="18"/>
  <c r="F351" i="18"/>
  <c r="F354" i="18"/>
  <c r="F355" i="18"/>
  <c r="H295" i="18"/>
  <c r="G295" i="18"/>
  <c r="F295" i="18"/>
  <c r="L295" i="18"/>
  <c r="I295" i="18"/>
  <c r="I304" i="18"/>
  <c r="L304" i="18"/>
  <c r="I305" i="18"/>
  <c r="L305" i="18"/>
  <c r="I306" i="18"/>
  <c r="I315" i="18"/>
  <c r="F296" i="18"/>
  <c r="F299" i="18"/>
  <c r="F302" i="18"/>
  <c r="F304" i="18"/>
  <c r="F312" i="18"/>
  <c r="F313" i="18"/>
  <c r="F314" i="18"/>
  <c r="F315" i="18"/>
  <c r="F320" i="18"/>
  <c r="F321" i="18"/>
  <c r="I297" i="18"/>
  <c r="I299" i="18"/>
  <c r="I312" i="18"/>
  <c r="L312" i="18"/>
  <c r="I313" i="18"/>
  <c r="L313" i="18"/>
  <c r="I314" i="18"/>
  <c r="L314" i="18"/>
  <c r="L320" i="18"/>
  <c r="I321" i="18"/>
  <c r="F297" i="18"/>
  <c r="F306" i="18"/>
  <c r="G296" i="18"/>
  <c r="G297" i="18"/>
  <c r="L297" i="18"/>
  <c r="I298" i="18"/>
  <c r="G299" i="18"/>
  <c r="L299" i="18"/>
  <c r="I300" i="18"/>
  <c r="G302" i="18"/>
  <c r="L302" i="18"/>
  <c r="I303" i="18"/>
  <c r="G305" i="18"/>
  <c r="G306" i="18"/>
  <c r="L306" i="18"/>
  <c r="I307" i="18"/>
  <c r="L307" i="18"/>
  <c r="I308" i="18"/>
  <c r="I309" i="18"/>
  <c r="L309" i="18"/>
  <c r="I310" i="18"/>
  <c r="L310" i="18"/>
  <c r="I311" i="18"/>
  <c r="G312" i="18"/>
  <c r="G313" i="18"/>
  <c r="G314" i="18"/>
  <c r="G315" i="18"/>
  <c r="L315" i="18"/>
  <c r="I316" i="18"/>
  <c r="L316" i="18"/>
  <c r="I317" i="18"/>
  <c r="L317" i="18"/>
  <c r="I318" i="18"/>
  <c r="L318" i="18"/>
  <c r="I319" i="18"/>
  <c r="G320" i="18"/>
  <c r="G321" i="18"/>
  <c r="I296" i="18"/>
  <c r="L296" i="18"/>
  <c r="I302" i="18"/>
  <c r="I320" i="18"/>
  <c r="L321" i="18"/>
  <c r="F305" i="18"/>
  <c r="G304" i="18"/>
  <c r="H296" i="18"/>
  <c r="H297" i="18"/>
  <c r="F298" i="18"/>
  <c r="H299" i="18"/>
  <c r="F300" i="18"/>
  <c r="H302" i="18"/>
  <c r="F303" i="18"/>
  <c r="H304" i="18"/>
  <c r="H305" i="18"/>
  <c r="H306" i="18"/>
  <c r="F307" i="18"/>
  <c r="F308" i="18"/>
  <c r="F309" i="18"/>
  <c r="F310" i="18"/>
  <c r="F311" i="18"/>
  <c r="H312" i="18"/>
  <c r="H313" i="18"/>
  <c r="H314" i="18"/>
  <c r="H315" i="18"/>
  <c r="F316" i="18"/>
  <c r="F317" i="18"/>
  <c r="F318" i="18"/>
  <c r="F319" i="18"/>
  <c r="H320" i="18"/>
  <c r="H321" i="18"/>
  <c r="G260" i="18"/>
  <c r="I260" i="18"/>
  <c r="G261" i="18"/>
  <c r="F262" i="18"/>
  <c r="H262" i="18"/>
  <c r="G255" i="18"/>
  <c r="H259" i="18"/>
  <c r="F259" i="18"/>
  <c r="I261" i="18"/>
  <c r="G262" i="18"/>
  <c r="H265" i="18"/>
  <c r="F265" i="18"/>
  <c r="F266" i="18"/>
  <c r="H266" i="18"/>
  <c r="L266" i="18"/>
  <c r="G266" i="18"/>
  <c r="F271" i="18"/>
  <c r="H271" i="18"/>
  <c r="L271" i="18"/>
  <c r="G271" i="18"/>
  <c r="H257" i="18"/>
  <c r="F257" i="18"/>
  <c r="F260" i="18"/>
  <c r="H260" i="18"/>
  <c r="H256" i="18"/>
  <c r="F256" i="18"/>
  <c r="G257" i="18"/>
  <c r="L257" i="18"/>
  <c r="H261" i="18"/>
  <c r="F261" i="18"/>
  <c r="H255" i="18"/>
  <c r="F255" i="18"/>
  <c r="G256" i="18"/>
  <c r="L256" i="18"/>
  <c r="I257" i="18"/>
  <c r="F270" i="18"/>
  <c r="H270" i="18"/>
  <c r="G270" i="18"/>
  <c r="L270" i="18"/>
  <c r="I269" i="18"/>
  <c r="I272" i="18"/>
  <c r="L272" i="18"/>
  <c r="I273" i="18"/>
  <c r="G274" i="18"/>
  <c r="G276" i="18"/>
  <c r="L276" i="18"/>
  <c r="I277" i="18"/>
  <c r="G278" i="18"/>
  <c r="G279" i="18"/>
  <c r="G280" i="18"/>
  <c r="L280" i="18"/>
  <c r="I281" i="18"/>
  <c r="L281" i="18"/>
  <c r="I282" i="18"/>
  <c r="G283" i="18"/>
  <c r="G284" i="18"/>
  <c r="G285" i="18"/>
  <c r="G286" i="18"/>
  <c r="G287" i="18"/>
  <c r="L287" i="18"/>
  <c r="I288" i="18"/>
  <c r="L288" i="18"/>
  <c r="I289" i="18"/>
  <c r="L289" i="18"/>
  <c r="I290" i="18"/>
  <c r="G291" i="18"/>
  <c r="L291" i="18"/>
  <c r="I267" i="18"/>
  <c r="L267" i="18"/>
  <c r="F267" i="18"/>
  <c r="F269" i="18"/>
  <c r="F272" i="18"/>
  <c r="F273" i="18"/>
  <c r="H274" i="18"/>
  <c r="H276" i="18"/>
  <c r="F277" i="18"/>
  <c r="H278" i="18"/>
  <c r="H279" i="18"/>
  <c r="H280" i="18"/>
  <c r="F281" i="18"/>
  <c r="F282" i="18"/>
  <c r="H283" i="18"/>
  <c r="H284" i="18"/>
  <c r="H285" i="18"/>
  <c r="H286" i="18"/>
  <c r="H287" i="18"/>
  <c r="F288" i="18"/>
  <c r="F289" i="18"/>
  <c r="F290" i="18"/>
  <c r="H291" i="18"/>
  <c r="I274" i="18"/>
  <c r="L274" i="18"/>
  <c r="I278" i="18"/>
  <c r="L278" i="18"/>
  <c r="I279" i="18"/>
  <c r="L279" i="18"/>
  <c r="I280" i="18"/>
  <c r="I283" i="18"/>
  <c r="L283" i="18"/>
  <c r="I284" i="18"/>
  <c r="L284" i="18"/>
  <c r="I285" i="18"/>
  <c r="L285" i="18"/>
  <c r="I286" i="18"/>
  <c r="L286" i="18"/>
  <c r="I287" i="18"/>
  <c r="G290" i="18"/>
  <c r="L290" i="18"/>
  <c r="I291" i="18"/>
  <c r="H267" i="18"/>
  <c r="H269" i="18"/>
  <c r="H272" i="18"/>
  <c r="H273" i="18"/>
  <c r="F274" i="18"/>
  <c r="F276" i="18"/>
  <c r="H277" i="18"/>
  <c r="F278" i="18"/>
  <c r="F279" i="18"/>
  <c r="F280" i="18"/>
  <c r="H281" i="18"/>
  <c r="H282" i="18"/>
  <c r="F283" i="18"/>
  <c r="F284" i="18"/>
  <c r="F285" i="18"/>
  <c r="F286" i="18"/>
  <c r="F287" i="18"/>
  <c r="H288" i="18"/>
  <c r="H289" i="18"/>
  <c r="H290" i="18"/>
  <c r="F291" i="18"/>
  <c r="G226" i="18"/>
  <c r="F227" i="18"/>
  <c r="H227" i="18"/>
  <c r="H238" i="18"/>
  <c r="L238" i="18"/>
  <c r="G238" i="18"/>
  <c r="F238" i="18"/>
  <c r="H242" i="18"/>
  <c r="G242" i="18"/>
  <c r="F242" i="18"/>
  <c r="F220" i="18"/>
  <c r="H220" i="18"/>
  <c r="I226" i="18"/>
  <c r="G227" i="18"/>
  <c r="H229" i="18"/>
  <c r="F229" i="18"/>
  <c r="I233" i="18"/>
  <c r="G234" i="18"/>
  <c r="H237" i="18"/>
  <c r="F237" i="18"/>
  <c r="I242" i="18"/>
  <c r="H243" i="18"/>
  <c r="G243" i="18"/>
  <c r="F243" i="18"/>
  <c r="L243" i="18"/>
  <c r="H247" i="18"/>
  <c r="G247" i="18"/>
  <c r="F247" i="18"/>
  <c r="L247" i="18"/>
  <c r="F221" i="18"/>
  <c r="H221" i="18"/>
  <c r="H234" i="18"/>
  <c r="F234" i="18"/>
  <c r="L242" i="18"/>
  <c r="H246" i="18"/>
  <c r="G246" i="18"/>
  <c r="F246" i="18"/>
  <c r="L246" i="18"/>
  <c r="H223" i="18"/>
  <c r="F223" i="18"/>
  <c r="F231" i="18"/>
  <c r="H231" i="18"/>
  <c r="I238" i="18"/>
  <c r="I246" i="18"/>
  <c r="F219" i="18"/>
  <c r="H219" i="18"/>
  <c r="G220" i="18"/>
  <c r="L220" i="18"/>
  <c r="I221" i="18"/>
  <c r="G223" i="18"/>
  <c r="F224" i="18"/>
  <c r="H224" i="18"/>
  <c r="I227" i="18"/>
  <c r="G229" i="18"/>
  <c r="F230" i="18"/>
  <c r="H230" i="18"/>
  <c r="G231" i="18"/>
  <c r="H232" i="18"/>
  <c r="F232" i="18"/>
  <c r="I234" i="18"/>
  <c r="H236" i="18"/>
  <c r="F236" i="18"/>
  <c r="G237" i="18"/>
  <c r="L237" i="18"/>
  <c r="H240" i="18"/>
  <c r="G240" i="18"/>
  <c r="F240" i="18"/>
  <c r="L240" i="18"/>
  <c r="I243" i="18"/>
  <c r="H244" i="18"/>
  <c r="L244" i="18"/>
  <c r="G244" i="18"/>
  <c r="F244" i="18"/>
  <c r="I247" i="18"/>
  <c r="H248" i="18"/>
  <c r="G248" i="18"/>
  <c r="F248" i="18"/>
  <c r="L248" i="18"/>
  <c r="H226" i="18"/>
  <c r="F226" i="18"/>
  <c r="F233" i="18"/>
  <c r="H233" i="18"/>
  <c r="H235" i="18"/>
  <c r="F235" i="18"/>
  <c r="H241" i="18"/>
  <c r="G241" i="18"/>
  <c r="F241" i="18"/>
  <c r="L241" i="18"/>
  <c r="I249" i="18"/>
  <c r="H239" i="18"/>
  <c r="H245" i="18"/>
  <c r="F249" i="18"/>
  <c r="H250" i="18"/>
  <c r="H251" i="18"/>
  <c r="I239" i="18"/>
  <c r="I245" i="18"/>
  <c r="G249" i="18"/>
  <c r="L249" i="18"/>
  <c r="I250" i="18"/>
  <c r="L250" i="18"/>
  <c r="I251" i="18"/>
  <c r="F239" i="18"/>
  <c r="F245" i="18"/>
  <c r="H249" i="18"/>
  <c r="F251" i="18"/>
  <c r="I214" i="18"/>
  <c r="H212" i="18"/>
  <c r="H213" i="18"/>
  <c r="F214" i="18"/>
  <c r="H215" i="18"/>
  <c r="I212" i="18"/>
  <c r="L212" i="18"/>
  <c r="I213" i="18"/>
  <c r="G214" i="18"/>
  <c r="L214" i="18"/>
  <c r="I215" i="18"/>
  <c r="F212" i="18"/>
  <c r="F213" i="18"/>
  <c r="H214" i="18"/>
  <c r="F215" i="18"/>
  <c r="L206" i="18"/>
  <c r="F206" i="18"/>
  <c r="I206" i="18"/>
  <c r="G206" i="18"/>
  <c r="G207" i="18"/>
  <c r="L207" i="18"/>
  <c r="I208" i="18"/>
  <c r="I207" i="18"/>
  <c r="F207" i="18"/>
  <c r="H206" i="18"/>
  <c r="H207" i="18"/>
  <c r="F208" i="18"/>
  <c r="I199" i="18"/>
  <c r="L199" i="18"/>
  <c r="I200" i="18"/>
  <c r="G201" i="18"/>
  <c r="L201" i="18"/>
  <c r="I202" i="18"/>
  <c r="I201" i="18"/>
  <c r="F201" i="18"/>
  <c r="F199" i="18"/>
  <c r="F200" i="18"/>
  <c r="H201" i="18"/>
  <c r="F202" i="18"/>
  <c r="I186" i="18"/>
  <c r="L186" i="18"/>
  <c r="I191" i="18"/>
  <c r="I193" i="18"/>
  <c r="F186" i="18"/>
  <c r="F187" i="18"/>
  <c r="H188" i="18"/>
  <c r="F189" i="18"/>
  <c r="H190" i="18"/>
  <c r="F191" i="18"/>
  <c r="H192" i="18"/>
  <c r="F193" i="18"/>
  <c r="H194" i="18"/>
  <c r="I187" i="18"/>
  <c r="G187" i="18"/>
  <c r="L187" i="18"/>
  <c r="I190" i="18"/>
  <c r="G191" i="18"/>
  <c r="L191" i="18"/>
  <c r="I194" i="18"/>
  <c r="I189" i="18"/>
  <c r="G186" i="18"/>
  <c r="I188" i="18"/>
  <c r="G189" i="18"/>
  <c r="L189" i="18"/>
  <c r="I192" i="18"/>
  <c r="G193" i="18"/>
  <c r="L193" i="18"/>
  <c r="H186" i="18"/>
  <c r="H187" i="18"/>
  <c r="F188" i="18"/>
  <c r="H189" i="18"/>
  <c r="F190" i="18"/>
  <c r="H191" i="18"/>
  <c r="F192" i="18"/>
  <c r="H193" i="18"/>
  <c r="F194" i="18"/>
  <c r="I172" i="18"/>
  <c r="I178" i="18"/>
  <c r="G179" i="18"/>
  <c r="I180" i="18"/>
  <c r="G181" i="18"/>
  <c r="I182" i="18"/>
  <c r="I169" i="18"/>
  <c r="L169" i="18"/>
  <c r="I170" i="18"/>
  <c r="I171" i="18"/>
  <c r="F169" i="18"/>
  <c r="F170" i="18"/>
  <c r="F171" i="18"/>
  <c r="F172" i="18"/>
  <c r="H179" i="18"/>
  <c r="H181" i="18"/>
  <c r="F182" i="18"/>
  <c r="G170" i="18"/>
  <c r="G171" i="18"/>
  <c r="G172" i="18"/>
  <c r="I179" i="18"/>
  <c r="I181" i="18"/>
  <c r="G169" i="18"/>
  <c r="H169" i="18"/>
  <c r="F82" i="18"/>
  <c r="H86" i="18"/>
  <c r="F70" i="18"/>
  <c r="F72" i="18"/>
  <c r="F74" i="18"/>
  <c r="L74" i="18"/>
  <c r="H81" i="18"/>
  <c r="H91" i="18"/>
  <c r="F92" i="18"/>
  <c r="F94" i="18"/>
  <c r="H128" i="18"/>
  <c r="I128" i="18"/>
  <c r="G128" i="18"/>
  <c r="L128" i="18"/>
  <c r="F128" i="18"/>
  <c r="F148" i="18"/>
  <c r="H148" i="18"/>
  <c r="I148" i="18"/>
  <c r="G148" i="18"/>
  <c r="F80" i="18"/>
  <c r="L80" i="18"/>
  <c r="F81" i="18"/>
  <c r="L81" i="18"/>
  <c r="G82" i="18"/>
  <c r="F85" i="18"/>
  <c r="L85" i="18"/>
  <c r="F86" i="18"/>
  <c r="L86" i="18"/>
  <c r="G87" i="18"/>
  <c r="F90" i="18"/>
  <c r="L90" i="18"/>
  <c r="F91" i="18"/>
  <c r="L91" i="18"/>
  <c r="G92" i="18"/>
  <c r="G94" i="18"/>
  <c r="H164" i="18"/>
  <c r="L164" i="18"/>
  <c r="G164" i="18"/>
  <c r="I164" i="18"/>
  <c r="F164" i="18"/>
  <c r="H70" i="18"/>
  <c r="F71" i="18"/>
  <c r="H72" i="18"/>
  <c r="F73" i="18"/>
  <c r="H74" i="18"/>
  <c r="G90" i="18"/>
  <c r="G91" i="18"/>
  <c r="H92" i="18"/>
  <c r="F93" i="18"/>
  <c r="H94" i="18"/>
  <c r="F95" i="18"/>
  <c r="L95" i="18"/>
  <c r="F97" i="18"/>
  <c r="F103" i="18"/>
  <c r="F105" i="18"/>
  <c r="F146" i="18"/>
  <c r="H146" i="18"/>
  <c r="I146" i="18"/>
  <c r="L146" i="18"/>
  <c r="F150" i="18"/>
  <c r="I150" i="18"/>
  <c r="L150" i="18"/>
  <c r="H150" i="18"/>
  <c r="F87" i="18"/>
  <c r="L87" i="18"/>
  <c r="H118" i="18"/>
  <c r="L118" i="18"/>
  <c r="G118" i="18"/>
  <c r="F118" i="18"/>
  <c r="H122" i="18"/>
  <c r="L122" i="18"/>
  <c r="G122" i="18"/>
  <c r="F122" i="18"/>
  <c r="H134" i="18"/>
  <c r="F134" i="18"/>
  <c r="I134" i="18"/>
  <c r="G134" i="18"/>
  <c r="G70" i="18"/>
  <c r="G72" i="18"/>
  <c r="G74" i="18"/>
  <c r="H79" i="18"/>
  <c r="H84" i="18"/>
  <c r="H97" i="18"/>
  <c r="F98" i="18"/>
  <c r="H103" i="18"/>
  <c r="G103" i="18"/>
  <c r="L103" i="18"/>
  <c r="H105" i="18"/>
  <c r="G105" i="18"/>
  <c r="L105" i="18"/>
  <c r="I118" i="18"/>
  <c r="I122" i="18"/>
  <c r="F137" i="18"/>
  <c r="H137" i="18"/>
  <c r="I137" i="18"/>
  <c r="L137" i="18"/>
  <c r="L148" i="18"/>
  <c r="H77" i="18"/>
  <c r="F78" i="18"/>
  <c r="L78" i="18"/>
  <c r="F79" i="18"/>
  <c r="L79" i="18"/>
  <c r="G80" i="18"/>
  <c r="G81" i="18"/>
  <c r="H82" i="18"/>
  <c r="F83" i="18"/>
  <c r="L83" i="18"/>
  <c r="F84" i="18"/>
  <c r="L84" i="18"/>
  <c r="G85" i="18"/>
  <c r="G86" i="18"/>
  <c r="H87" i="18"/>
  <c r="H100" i="18"/>
  <c r="I70" i="18"/>
  <c r="L70" i="18"/>
  <c r="G71" i="18"/>
  <c r="I72" i="18"/>
  <c r="L72" i="18"/>
  <c r="G73" i="18"/>
  <c r="I74" i="18"/>
  <c r="H75" i="18"/>
  <c r="F76" i="18"/>
  <c r="L76" i="18"/>
  <c r="F77" i="18"/>
  <c r="L77" i="18"/>
  <c r="G78" i="18"/>
  <c r="G79" i="18"/>
  <c r="H80" i="18"/>
  <c r="I81" i="18"/>
  <c r="I82" i="18"/>
  <c r="L82" i="18"/>
  <c r="G83" i="18"/>
  <c r="G84" i="18"/>
  <c r="H85" i="18"/>
  <c r="I86" i="18"/>
  <c r="I87" i="18"/>
  <c r="H88" i="18"/>
  <c r="F89" i="18"/>
  <c r="H90" i="18"/>
  <c r="I91" i="18"/>
  <c r="I92" i="18"/>
  <c r="L92" i="18"/>
  <c r="G93" i="18"/>
  <c r="I94" i="18"/>
  <c r="L94" i="18"/>
  <c r="G95" i="18"/>
  <c r="G97" i="18"/>
  <c r="H98" i="18"/>
  <c r="F99" i="18"/>
  <c r="L99" i="18"/>
  <c r="F100" i="18"/>
  <c r="H101" i="18"/>
  <c r="H102" i="18"/>
  <c r="G102" i="18"/>
  <c r="L102" i="18"/>
  <c r="I103" i="18"/>
  <c r="H104" i="18"/>
  <c r="G104" i="18"/>
  <c r="L104" i="18"/>
  <c r="I105" i="18"/>
  <c r="H106" i="18"/>
  <c r="L106" i="18"/>
  <c r="G106" i="18"/>
  <c r="H113" i="18"/>
  <c r="G113" i="18"/>
  <c r="L113" i="18"/>
  <c r="F113" i="18"/>
  <c r="F114" i="18"/>
  <c r="H114" i="18"/>
  <c r="G114" i="18"/>
  <c r="L114" i="18"/>
  <c r="H121" i="18"/>
  <c r="I121" i="18"/>
  <c r="L121" i="18"/>
  <c r="G121" i="18"/>
  <c r="H125" i="18"/>
  <c r="I125" i="18"/>
  <c r="L125" i="18"/>
  <c r="G125" i="18"/>
  <c r="H130" i="18"/>
  <c r="G130" i="18"/>
  <c r="I130" i="18"/>
  <c r="F139" i="18"/>
  <c r="H139" i="18"/>
  <c r="I139" i="18"/>
  <c r="L139" i="18"/>
  <c r="G139" i="18"/>
  <c r="I107" i="18"/>
  <c r="L107" i="18"/>
  <c r="I110" i="18"/>
  <c r="F112" i="18"/>
  <c r="L112" i="18"/>
  <c r="H116" i="18"/>
  <c r="F117" i="18"/>
  <c r="L117" i="18"/>
  <c r="H119" i="18"/>
  <c r="H123" i="18"/>
  <c r="F131" i="18"/>
  <c r="H131" i="18"/>
  <c r="H133" i="18"/>
  <c r="L133" i="18"/>
  <c r="G133" i="18"/>
  <c r="F142" i="18"/>
  <c r="H142" i="18"/>
  <c r="H149" i="18"/>
  <c r="I149" i="18"/>
  <c r="L149" i="18"/>
  <c r="I108" i="18"/>
  <c r="L108" i="18"/>
  <c r="I109" i="18"/>
  <c r="L109" i="18"/>
  <c r="H111" i="18"/>
  <c r="F107" i="18"/>
  <c r="F108" i="18"/>
  <c r="F109" i="18"/>
  <c r="F110" i="18"/>
  <c r="L110" i="18"/>
  <c r="F111" i="18"/>
  <c r="L111" i="18"/>
  <c r="G112" i="18"/>
  <c r="F115" i="18"/>
  <c r="L115" i="18"/>
  <c r="F116" i="18"/>
  <c r="L116" i="18"/>
  <c r="G117" i="18"/>
  <c r="F119" i="18"/>
  <c r="H120" i="18"/>
  <c r="F123" i="18"/>
  <c r="H124" i="18"/>
  <c r="G131" i="18"/>
  <c r="H132" i="18"/>
  <c r="I132" i="18"/>
  <c r="F133" i="18"/>
  <c r="G142" i="18"/>
  <c r="L142" i="18"/>
  <c r="F144" i="18"/>
  <c r="H144" i="18"/>
  <c r="F149" i="18"/>
  <c r="H126" i="18"/>
  <c r="H135" i="18"/>
  <c r="F136" i="18"/>
  <c r="F138" i="18"/>
  <c r="F140" i="18"/>
  <c r="F143" i="18"/>
  <c r="F145" i="18"/>
  <c r="F147" i="18"/>
  <c r="H151" i="18"/>
  <c r="H161" i="18"/>
  <c r="L161" i="18"/>
  <c r="G161" i="18"/>
  <c r="H156" i="18"/>
  <c r="L156" i="18"/>
  <c r="G156" i="18"/>
  <c r="I152" i="18"/>
  <c r="L152" i="18"/>
  <c r="I153" i="18"/>
  <c r="L153" i="18"/>
  <c r="I154" i="18"/>
  <c r="L154" i="18"/>
  <c r="I155" i="18"/>
  <c r="I157" i="18"/>
  <c r="L157" i="18"/>
  <c r="I158" i="18"/>
  <c r="L158" i="18"/>
  <c r="I159" i="18"/>
  <c r="L159" i="18"/>
  <c r="I160" i="18"/>
  <c r="I163" i="18"/>
  <c r="I165" i="18"/>
  <c r="F152" i="18"/>
  <c r="F153" i="18"/>
  <c r="F154" i="18"/>
  <c r="F155" i="18"/>
  <c r="F157" i="18"/>
  <c r="F158" i="18"/>
  <c r="F159" i="18"/>
  <c r="F160" i="18"/>
  <c r="F163" i="18"/>
  <c r="F165" i="18"/>
  <c r="I22" i="18"/>
  <c r="L22" i="18"/>
  <c r="H16" i="18"/>
  <c r="F17" i="18"/>
  <c r="H18" i="18"/>
  <c r="F19" i="18"/>
  <c r="H20" i="18"/>
  <c r="F21" i="18"/>
  <c r="F22" i="18"/>
  <c r="F23" i="18"/>
  <c r="H24" i="18"/>
  <c r="F25" i="18"/>
  <c r="H26" i="18"/>
  <c r="L35" i="18"/>
  <c r="G35" i="18"/>
  <c r="L37" i="18"/>
  <c r="G37" i="18"/>
  <c r="I17" i="18"/>
  <c r="I19" i="18"/>
  <c r="I21" i="18"/>
  <c r="L21" i="18"/>
  <c r="I25" i="18"/>
  <c r="I16" i="18"/>
  <c r="G17" i="18"/>
  <c r="L17" i="18"/>
  <c r="I18" i="18"/>
  <c r="G19" i="18"/>
  <c r="L19" i="18"/>
  <c r="L40" i="18"/>
  <c r="G40" i="18"/>
  <c r="I23" i="18"/>
  <c r="I20" i="18"/>
  <c r="G21" i="18"/>
  <c r="G22" i="18"/>
  <c r="G23" i="18"/>
  <c r="L23" i="18"/>
  <c r="I24" i="18"/>
  <c r="G25" i="18"/>
  <c r="L25" i="18"/>
  <c r="I26" i="18"/>
  <c r="F16" i="18"/>
  <c r="H17" i="18"/>
  <c r="F18" i="18"/>
  <c r="H19" i="18"/>
  <c r="F20" i="18"/>
  <c r="H21" i="18"/>
  <c r="H22" i="18"/>
  <c r="H23" i="18"/>
  <c r="F24" i="18"/>
  <c r="H25" i="18"/>
  <c r="F26" i="18"/>
  <c r="L28" i="18"/>
  <c r="G28" i="18"/>
  <c r="L30" i="18"/>
  <c r="G30" i="18"/>
  <c r="L32" i="18"/>
  <c r="G32" i="18"/>
  <c r="F40" i="18"/>
  <c r="I43" i="18"/>
  <c r="I45" i="18"/>
  <c r="I47" i="18"/>
  <c r="I50" i="18"/>
  <c r="I52" i="18"/>
  <c r="I54" i="18"/>
  <c r="L54" i="18"/>
  <c r="I55" i="18"/>
  <c r="I57" i="18"/>
  <c r="L58" i="18"/>
  <c r="I59" i="18"/>
  <c r="L59" i="18"/>
  <c r="I60" i="18"/>
  <c r="G61" i="18"/>
  <c r="L61" i="18"/>
  <c r="I62" i="18"/>
  <c r="G63" i="18"/>
  <c r="L63" i="18"/>
  <c r="I64" i="18"/>
  <c r="L64" i="18"/>
  <c r="I65" i="18"/>
  <c r="I33" i="18"/>
  <c r="I41" i="18"/>
  <c r="G43" i="18"/>
  <c r="G45" i="18"/>
  <c r="G47" i="18"/>
  <c r="I48" i="18"/>
  <c r="G50" i="18"/>
  <c r="G52" i="18"/>
  <c r="G55" i="18"/>
  <c r="G57" i="18"/>
  <c r="G60" i="18"/>
  <c r="G62" i="18"/>
  <c r="G65" i="18"/>
  <c r="F9" i="18"/>
  <c r="G9" i="18"/>
  <c r="G10" i="18"/>
  <c r="L10" i="18"/>
  <c r="G12" i="18"/>
  <c r="L12" i="18"/>
  <c r="H9" i="18"/>
  <c r="H10" i="18"/>
  <c r="F11" i="18"/>
  <c r="H12" i="18"/>
  <c r="L9" i="18"/>
  <c r="H11" i="18"/>
  <c r="I30" i="15" l="1"/>
  <c r="A2" i="16" l="1"/>
  <c r="A3" i="16"/>
  <c r="B3" i="16"/>
  <c r="C3" i="16"/>
  <c r="D3" i="16"/>
  <c r="E3" i="16"/>
  <c r="F3" i="16"/>
  <c r="G3" i="16"/>
  <c r="H3" i="16"/>
  <c r="I3" i="16"/>
  <c r="A4" i="16"/>
  <c r="B4" i="16"/>
  <c r="C4" i="16"/>
  <c r="D4" i="16"/>
  <c r="E4" i="16"/>
  <c r="F4" i="16"/>
  <c r="G4" i="16"/>
  <c r="H4" i="16"/>
  <c r="I4" i="16"/>
  <c r="A5" i="16"/>
  <c r="B5" i="16"/>
  <c r="C5" i="16"/>
  <c r="D5" i="16"/>
  <c r="E5" i="16"/>
  <c r="F5" i="16"/>
  <c r="G5" i="16"/>
  <c r="H5" i="16"/>
  <c r="I5" i="16"/>
  <c r="A6" i="16"/>
  <c r="B6" i="16"/>
  <c r="C6" i="16"/>
  <c r="D6" i="16"/>
  <c r="E6" i="16"/>
  <c r="F6" i="16"/>
  <c r="G6" i="16"/>
  <c r="H6" i="16"/>
  <c r="I6" i="16"/>
  <c r="A7" i="16"/>
  <c r="B7" i="16"/>
  <c r="C7" i="16"/>
  <c r="D7" i="16"/>
  <c r="E7" i="16"/>
  <c r="F7" i="16"/>
  <c r="G7" i="16"/>
  <c r="H7" i="16"/>
  <c r="I7" i="16"/>
  <c r="A8" i="16"/>
  <c r="B8" i="16"/>
  <c r="C8" i="16"/>
  <c r="D8" i="16"/>
  <c r="E8" i="16"/>
  <c r="F8" i="16"/>
  <c r="G8" i="16"/>
  <c r="H8" i="16"/>
  <c r="I8" i="16"/>
  <c r="A9" i="16"/>
  <c r="B9" i="16"/>
  <c r="C9" i="16"/>
  <c r="D9" i="16"/>
  <c r="E9" i="16"/>
  <c r="F9" i="16"/>
  <c r="G9" i="16"/>
  <c r="H9" i="16"/>
  <c r="I9" i="16"/>
  <c r="A10" i="16"/>
  <c r="B10" i="16"/>
  <c r="C10" i="16"/>
  <c r="D10" i="16"/>
  <c r="E10" i="16"/>
  <c r="F10" i="16"/>
  <c r="G10" i="16"/>
  <c r="H10" i="16"/>
  <c r="I10" i="16"/>
  <c r="A11" i="16"/>
  <c r="B11" i="16"/>
  <c r="C11" i="16"/>
  <c r="D11" i="16"/>
  <c r="E11" i="16"/>
  <c r="F11" i="16"/>
  <c r="G11" i="16"/>
  <c r="H11" i="16"/>
  <c r="I11" i="16"/>
  <c r="A12" i="16"/>
  <c r="B12" i="16"/>
  <c r="C12" i="16"/>
  <c r="D12" i="16"/>
  <c r="E12" i="16"/>
  <c r="F12" i="16"/>
  <c r="G12" i="16"/>
  <c r="H12" i="16"/>
  <c r="I12" i="16"/>
  <c r="A13" i="16"/>
  <c r="B13" i="16"/>
  <c r="C13" i="16"/>
  <c r="D13" i="16"/>
  <c r="E13" i="16"/>
  <c r="F13" i="16"/>
  <c r="G13" i="16"/>
  <c r="H13" i="16"/>
  <c r="I13" i="16"/>
  <c r="A14" i="16"/>
  <c r="B14" i="16"/>
  <c r="C14" i="16"/>
  <c r="D14" i="16"/>
  <c r="E14" i="16"/>
  <c r="F14" i="16"/>
  <c r="G14" i="16"/>
  <c r="H14" i="16"/>
  <c r="I14" i="16"/>
  <c r="A15" i="16"/>
  <c r="B15" i="16"/>
  <c r="C15" i="16"/>
  <c r="D15" i="16"/>
  <c r="E15" i="16"/>
  <c r="F15" i="16"/>
  <c r="G15" i="16"/>
  <c r="H15" i="16"/>
  <c r="I15" i="16"/>
  <c r="A16" i="16"/>
  <c r="B16" i="16"/>
  <c r="C16" i="16"/>
  <c r="D16" i="16"/>
  <c r="E16" i="16"/>
  <c r="F16" i="16"/>
  <c r="G16" i="16"/>
  <c r="H16" i="16"/>
  <c r="I16" i="16"/>
  <c r="A17" i="16"/>
  <c r="B17" i="16"/>
  <c r="C17" i="16"/>
  <c r="D17" i="16"/>
  <c r="E17" i="16"/>
  <c r="F17" i="16"/>
  <c r="G17" i="16"/>
  <c r="H17" i="16"/>
  <c r="I17" i="16"/>
  <c r="A18" i="16"/>
  <c r="B18" i="16"/>
  <c r="C18" i="16"/>
  <c r="D18" i="16"/>
  <c r="E18" i="16"/>
  <c r="F18" i="16"/>
  <c r="G18" i="16"/>
  <c r="H18" i="16"/>
  <c r="I18" i="16"/>
  <c r="A19" i="16"/>
  <c r="B19" i="16"/>
  <c r="C19" i="16"/>
  <c r="D19" i="16"/>
  <c r="E19" i="16"/>
  <c r="F19" i="16"/>
  <c r="G19" i="16"/>
  <c r="H19" i="16"/>
  <c r="I19" i="16"/>
  <c r="A20" i="16"/>
  <c r="B20" i="16"/>
  <c r="C20" i="16"/>
  <c r="D20" i="16"/>
  <c r="E20" i="16"/>
  <c r="F20" i="16"/>
  <c r="G20" i="16"/>
  <c r="H20" i="16"/>
  <c r="I20" i="16"/>
  <c r="A21" i="16"/>
  <c r="B21" i="16"/>
  <c r="C21" i="16"/>
  <c r="D21" i="16"/>
  <c r="E21" i="16"/>
  <c r="F21" i="16"/>
  <c r="G21" i="16"/>
  <c r="H21" i="16"/>
  <c r="I21" i="16"/>
  <c r="A22" i="16"/>
  <c r="B22" i="16"/>
  <c r="C22" i="16"/>
  <c r="D22" i="16"/>
  <c r="E22" i="16"/>
  <c r="F22" i="16"/>
  <c r="G22" i="16"/>
  <c r="H22" i="16"/>
  <c r="I22" i="16"/>
  <c r="A23" i="16"/>
  <c r="B23" i="16"/>
  <c r="C23" i="16"/>
  <c r="D23" i="16"/>
  <c r="E23" i="16"/>
  <c r="F23" i="16"/>
  <c r="G23" i="16"/>
  <c r="H23" i="16"/>
  <c r="I23" i="16"/>
  <c r="A24" i="16"/>
  <c r="B24" i="16"/>
  <c r="C24" i="16"/>
  <c r="D24" i="16"/>
  <c r="E24" i="16"/>
  <c r="F24" i="16"/>
  <c r="G24" i="16"/>
  <c r="H24" i="16"/>
  <c r="I24" i="16"/>
  <c r="A25" i="16"/>
  <c r="B25" i="16"/>
  <c r="C25" i="16"/>
  <c r="D25" i="16"/>
  <c r="E25" i="16"/>
  <c r="F25" i="16"/>
  <c r="G25" i="16"/>
  <c r="H25" i="16"/>
  <c r="I25" i="16"/>
  <c r="A26" i="16"/>
  <c r="B26" i="16"/>
  <c r="C26" i="16"/>
  <c r="D26" i="16"/>
  <c r="E26" i="16"/>
  <c r="F26" i="16"/>
  <c r="G26" i="16"/>
  <c r="H26" i="16"/>
  <c r="I26" i="16"/>
  <c r="A27" i="16"/>
  <c r="B27" i="16"/>
  <c r="C27" i="16"/>
  <c r="D27" i="16"/>
  <c r="E27" i="16"/>
  <c r="F27" i="16"/>
  <c r="G27" i="16"/>
  <c r="H27" i="16"/>
  <c r="I27" i="16"/>
  <c r="A28" i="16"/>
  <c r="B28" i="16"/>
  <c r="C28" i="16"/>
  <c r="D28" i="16"/>
  <c r="E28" i="16"/>
  <c r="F28" i="16"/>
  <c r="G28" i="16"/>
  <c r="H28" i="16"/>
  <c r="I28" i="16"/>
  <c r="A29" i="16"/>
  <c r="B29" i="16"/>
  <c r="C29" i="16"/>
  <c r="D29" i="16"/>
  <c r="E29" i="16"/>
  <c r="F29" i="16"/>
  <c r="G29" i="16"/>
  <c r="H29" i="16"/>
  <c r="I29" i="16"/>
  <c r="A30" i="16"/>
  <c r="B30" i="16"/>
  <c r="C30" i="16"/>
  <c r="D30" i="16"/>
  <c r="E30" i="16"/>
  <c r="F30" i="16"/>
  <c r="G30" i="16"/>
  <c r="H30" i="16"/>
  <c r="I30" i="16"/>
  <c r="A31" i="16"/>
  <c r="B31" i="16"/>
  <c r="C31" i="16"/>
  <c r="D31" i="16"/>
  <c r="E31" i="16"/>
  <c r="F31" i="16"/>
  <c r="G31" i="16"/>
  <c r="H31" i="16"/>
  <c r="I31" i="16"/>
  <c r="A32" i="16"/>
  <c r="B32" i="16"/>
  <c r="C32" i="16"/>
  <c r="D32" i="16"/>
  <c r="E32" i="16"/>
  <c r="F32" i="16"/>
  <c r="G32" i="16"/>
  <c r="H32" i="16"/>
  <c r="I32" i="16"/>
  <c r="A33" i="16"/>
  <c r="B33" i="16"/>
  <c r="C33" i="16"/>
  <c r="D33" i="16"/>
  <c r="E33" i="16"/>
  <c r="F33" i="16"/>
  <c r="G33" i="16"/>
  <c r="H33" i="16"/>
  <c r="I33" i="16"/>
  <c r="A34" i="16"/>
  <c r="B34" i="16"/>
  <c r="C34" i="16"/>
  <c r="D34" i="16"/>
  <c r="E34" i="16"/>
  <c r="F34" i="16"/>
  <c r="G34" i="16"/>
  <c r="H34" i="16"/>
  <c r="I34" i="16"/>
  <c r="A35" i="16"/>
  <c r="B35" i="16"/>
  <c r="C35" i="16"/>
  <c r="D35" i="16"/>
  <c r="E35" i="16"/>
  <c r="F35" i="16"/>
  <c r="G35" i="16"/>
  <c r="H35" i="16"/>
  <c r="I35" i="16"/>
  <c r="A36" i="16"/>
  <c r="B36" i="16"/>
  <c r="C36" i="16"/>
  <c r="D36" i="16"/>
  <c r="E36" i="16"/>
  <c r="F36" i="16"/>
  <c r="G36" i="16"/>
  <c r="H36" i="16"/>
  <c r="I36" i="16"/>
  <c r="A37" i="16"/>
  <c r="B37" i="16"/>
  <c r="C37" i="16"/>
  <c r="D37" i="16"/>
  <c r="E37" i="16"/>
  <c r="F37" i="16"/>
  <c r="G37" i="16"/>
  <c r="H37" i="16"/>
  <c r="I37" i="16"/>
  <c r="A38" i="16"/>
  <c r="B38" i="16"/>
  <c r="C38" i="16"/>
  <c r="D38" i="16"/>
  <c r="E38" i="16"/>
  <c r="F38" i="16"/>
  <c r="G38" i="16"/>
  <c r="H38" i="16"/>
  <c r="I38" i="16"/>
  <c r="A39" i="16"/>
  <c r="B39" i="16"/>
  <c r="C39" i="16"/>
  <c r="D39" i="16"/>
  <c r="E39" i="16"/>
  <c r="F39" i="16"/>
  <c r="G39" i="16"/>
  <c r="H39" i="16"/>
  <c r="I39" i="16"/>
  <c r="A40" i="16"/>
  <c r="B40" i="16"/>
  <c r="C40" i="16"/>
  <c r="D40" i="16"/>
  <c r="E40" i="16"/>
  <c r="F40" i="16"/>
  <c r="G40" i="16"/>
  <c r="H40" i="16"/>
  <c r="I40" i="16"/>
  <c r="A41" i="16"/>
  <c r="B41" i="16"/>
  <c r="C41" i="16"/>
  <c r="D41" i="16"/>
  <c r="E41" i="16"/>
  <c r="F41" i="16"/>
  <c r="G41" i="16"/>
  <c r="H41" i="16"/>
  <c r="I41" i="16"/>
  <c r="A42" i="16"/>
  <c r="B42" i="16"/>
  <c r="C42" i="16"/>
  <c r="D42" i="16"/>
  <c r="E42" i="16"/>
  <c r="F42" i="16"/>
  <c r="G42" i="16"/>
  <c r="H42" i="16"/>
  <c r="I42" i="16"/>
  <c r="A43" i="16"/>
  <c r="B43" i="16"/>
  <c r="C43" i="16"/>
  <c r="D43" i="16"/>
  <c r="E43" i="16"/>
  <c r="F43" i="16"/>
  <c r="G43" i="16"/>
  <c r="H43" i="16"/>
  <c r="I43" i="16"/>
  <c r="A44" i="16"/>
  <c r="B44" i="16"/>
  <c r="C44" i="16"/>
  <c r="D44" i="16"/>
  <c r="E44" i="16"/>
  <c r="F44" i="16"/>
  <c r="G44" i="16"/>
  <c r="H44" i="16"/>
  <c r="I44" i="16"/>
  <c r="A45" i="16"/>
  <c r="B45" i="16"/>
  <c r="C45" i="16"/>
  <c r="D45" i="16"/>
  <c r="E45" i="16"/>
  <c r="F45" i="16"/>
  <c r="G45" i="16"/>
  <c r="H45" i="16"/>
  <c r="I45" i="16"/>
  <c r="A46" i="16"/>
  <c r="B46" i="16"/>
  <c r="C46" i="16"/>
  <c r="D46" i="16"/>
  <c r="E46" i="16"/>
  <c r="F46" i="16"/>
  <c r="G46" i="16"/>
  <c r="H46" i="16"/>
  <c r="I46" i="16"/>
  <c r="A47" i="16"/>
  <c r="B47" i="16"/>
  <c r="C47" i="16"/>
  <c r="D47" i="16"/>
  <c r="E47" i="16"/>
  <c r="F47" i="16"/>
  <c r="G47" i="16"/>
  <c r="H47" i="16"/>
  <c r="I47" i="16"/>
  <c r="A48" i="16"/>
  <c r="B48" i="16"/>
  <c r="C48" i="16"/>
  <c r="D48" i="16"/>
  <c r="E48" i="16"/>
  <c r="F48" i="16"/>
  <c r="G48" i="16"/>
  <c r="H48" i="16"/>
  <c r="I48" i="16"/>
  <c r="A49" i="16"/>
  <c r="B49" i="16"/>
  <c r="C49" i="16"/>
  <c r="D49" i="16"/>
  <c r="E49" i="16"/>
  <c r="F49" i="16"/>
  <c r="G49" i="16"/>
  <c r="H49" i="16"/>
  <c r="I49" i="16"/>
  <c r="A50" i="16"/>
  <c r="B50" i="16"/>
  <c r="C50" i="16"/>
  <c r="D50" i="16"/>
  <c r="E50" i="16"/>
  <c r="F50" i="16"/>
  <c r="G50" i="16"/>
  <c r="H50" i="16"/>
  <c r="I50" i="16"/>
  <c r="A51" i="16"/>
  <c r="B51" i="16"/>
  <c r="C51" i="16"/>
  <c r="D51" i="16"/>
  <c r="E51" i="16"/>
  <c r="F51" i="16"/>
  <c r="G51" i="16"/>
  <c r="H51" i="16"/>
  <c r="I51" i="16"/>
  <c r="A52" i="16"/>
  <c r="B52" i="16"/>
  <c r="C52" i="16"/>
  <c r="D52" i="16"/>
  <c r="E52" i="16"/>
  <c r="F52" i="16"/>
  <c r="G52" i="16"/>
  <c r="H52" i="16"/>
  <c r="I52" i="16"/>
  <c r="A53" i="16"/>
  <c r="B53" i="16"/>
  <c r="C53" i="16"/>
  <c r="D53" i="16"/>
  <c r="E53" i="16"/>
  <c r="F53" i="16"/>
  <c r="G53" i="16"/>
  <c r="H53" i="16"/>
  <c r="I53" i="16"/>
  <c r="A54" i="16"/>
  <c r="B54" i="16"/>
  <c r="C54" i="16"/>
  <c r="D54" i="16"/>
  <c r="E54" i="16"/>
  <c r="F54" i="16"/>
  <c r="G54" i="16"/>
  <c r="H54" i="16"/>
  <c r="I54" i="16"/>
  <c r="A55" i="16"/>
  <c r="B55" i="16"/>
  <c r="C55" i="16"/>
  <c r="D55" i="16"/>
  <c r="E55" i="16"/>
  <c r="F55" i="16"/>
  <c r="G55" i="16"/>
  <c r="H55" i="16"/>
  <c r="I55" i="16"/>
  <c r="A56" i="16"/>
  <c r="B56" i="16"/>
  <c r="C56" i="16"/>
  <c r="D56" i="16"/>
  <c r="E56" i="16"/>
  <c r="F56" i="16"/>
  <c r="G56" i="16"/>
  <c r="H56" i="16"/>
  <c r="I56" i="16"/>
  <c r="A57" i="16"/>
  <c r="B57" i="16"/>
  <c r="C57" i="16"/>
  <c r="D57" i="16"/>
  <c r="E57" i="16"/>
  <c r="F57" i="16"/>
  <c r="G57" i="16"/>
  <c r="H57" i="16"/>
  <c r="I57" i="16"/>
  <c r="A58" i="16"/>
  <c r="B58" i="16"/>
  <c r="C58" i="16"/>
  <c r="D58" i="16"/>
  <c r="E58" i="16"/>
  <c r="F58" i="16"/>
  <c r="G58" i="16"/>
  <c r="H58" i="16"/>
  <c r="I58" i="16"/>
  <c r="A59" i="16"/>
  <c r="B59" i="16"/>
  <c r="C59" i="16"/>
  <c r="D59" i="16"/>
  <c r="E59" i="16"/>
  <c r="F59" i="16"/>
  <c r="G59" i="16"/>
  <c r="H59" i="16"/>
  <c r="I59" i="16"/>
  <c r="A60" i="16"/>
  <c r="B60" i="16"/>
  <c r="C60" i="16"/>
  <c r="D60" i="16"/>
  <c r="E60" i="16"/>
  <c r="F60" i="16"/>
  <c r="G60" i="16"/>
  <c r="H60" i="16"/>
  <c r="I60" i="16"/>
  <c r="A61" i="16"/>
  <c r="B61" i="16"/>
  <c r="C61" i="16"/>
  <c r="D61" i="16"/>
  <c r="E61" i="16"/>
  <c r="F61" i="16"/>
  <c r="G61" i="16"/>
  <c r="H61" i="16"/>
  <c r="I61" i="16"/>
  <c r="A62" i="16"/>
  <c r="B62" i="16"/>
  <c r="C62" i="16"/>
  <c r="D62" i="16"/>
  <c r="E62" i="16"/>
  <c r="F62" i="16"/>
  <c r="G62" i="16"/>
  <c r="H62" i="16"/>
  <c r="I62" i="16"/>
  <c r="A63" i="16"/>
  <c r="B63" i="16"/>
  <c r="C63" i="16"/>
  <c r="D63" i="16"/>
  <c r="E63" i="16"/>
  <c r="F63" i="16"/>
  <c r="G63" i="16"/>
  <c r="H63" i="16"/>
  <c r="I63" i="16"/>
  <c r="A64" i="16"/>
  <c r="B64" i="16"/>
  <c r="C64" i="16"/>
  <c r="D64" i="16"/>
  <c r="E64" i="16"/>
  <c r="F64" i="16"/>
  <c r="G64" i="16"/>
  <c r="H64" i="16"/>
  <c r="I64" i="16"/>
  <c r="A65" i="16"/>
  <c r="B65" i="16"/>
  <c r="C65" i="16"/>
  <c r="D65" i="16"/>
  <c r="E65" i="16"/>
  <c r="F65" i="16"/>
  <c r="G65" i="16"/>
  <c r="H65" i="16"/>
  <c r="I65" i="16"/>
  <c r="A66" i="16"/>
  <c r="B66" i="16"/>
  <c r="C66" i="16"/>
  <c r="D66" i="16"/>
  <c r="E66" i="16"/>
  <c r="F66" i="16"/>
  <c r="G66" i="16"/>
  <c r="H66" i="16"/>
  <c r="I66" i="16"/>
  <c r="A67" i="16"/>
  <c r="B67" i="16"/>
  <c r="C67" i="16"/>
  <c r="D67" i="16"/>
  <c r="E67" i="16"/>
  <c r="F67" i="16"/>
  <c r="G67" i="16"/>
  <c r="H67" i="16"/>
  <c r="I67" i="16"/>
  <c r="A68" i="16"/>
  <c r="B68" i="16"/>
  <c r="C68" i="16"/>
  <c r="D68" i="16"/>
  <c r="E68" i="16"/>
  <c r="F68" i="16"/>
  <c r="G68" i="16"/>
  <c r="H68" i="16"/>
  <c r="I68" i="16"/>
  <c r="A69" i="16"/>
  <c r="B69" i="16"/>
  <c r="C69" i="16"/>
  <c r="D69" i="16"/>
  <c r="E69" i="16"/>
  <c r="F69" i="16"/>
  <c r="G69" i="16"/>
  <c r="H69" i="16"/>
  <c r="I69" i="16"/>
  <c r="A70" i="16"/>
  <c r="B70" i="16"/>
  <c r="C70" i="16"/>
  <c r="D70" i="16"/>
  <c r="E70" i="16"/>
  <c r="F70" i="16"/>
  <c r="G70" i="16"/>
  <c r="H70" i="16"/>
  <c r="I70" i="16"/>
  <c r="A71" i="16"/>
  <c r="B71" i="16"/>
  <c r="C71" i="16"/>
  <c r="D71" i="16"/>
  <c r="E71" i="16"/>
  <c r="F71" i="16"/>
  <c r="G71" i="16"/>
  <c r="H71" i="16"/>
  <c r="I71" i="16"/>
  <c r="A72" i="16"/>
  <c r="B72" i="16"/>
  <c r="C72" i="16"/>
  <c r="D72" i="16"/>
  <c r="E72" i="16"/>
  <c r="F72" i="16"/>
  <c r="G72" i="16"/>
  <c r="H72" i="16"/>
  <c r="I72" i="16"/>
  <c r="A73" i="16"/>
  <c r="B73" i="16"/>
  <c r="C73" i="16"/>
  <c r="D73" i="16"/>
  <c r="E73" i="16"/>
  <c r="F73" i="16"/>
  <c r="G73" i="16"/>
  <c r="H73" i="16"/>
  <c r="I73" i="16"/>
  <c r="A74" i="16"/>
  <c r="B74" i="16"/>
  <c r="C74" i="16"/>
  <c r="D74" i="16"/>
  <c r="E74" i="16"/>
  <c r="F74" i="16"/>
  <c r="G74" i="16"/>
  <c r="H74" i="16"/>
  <c r="I74" i="16"/>
  <c r="A75" i="16"/>
  <c r="B75" i="16"/>
  <c r="C75" i="16"/>
  <c r="D75" i="16"/>
  <c r="E75" i="16"/>
  <c r="F75" i="16"/>
  <c r="G75" i="16"/>
  <c r="H75" i="16"/>
  <c r="I75" i="16"/>
  <c r="A76" i="16"/>
  <c r="B76" i="16"/>
  <c r="C76" i="16"/>
  <c r="D76" i="16"/>
  <c r="E76" i="16"/>
  <c r="F76" i="16"/>
  <c r="G76" i="16"/>
  <c r="H76" i="16"/>
  <c r="I76" i="16"/>
  <c r="A77" i="16"/>
  <c r="B77" i="16"/>
  <c r="C77" i="16"/>
  <c r="D77" i="16"/>
  <c r="E77" i="16"/>
  <c r="F77" i="16"/>
  <c r="G77" i="16"/>
  <c r="H77" i="16"/>
  <c r="I77" i="16"/>
  <c r="A78" i="16"/>
  <c r="B78" i="16"/>
  <c r="C78" i="16"/>
  <c r="D78" i="16"/>
  <c r="E78" i="16"/>
  <c r="F78" i="16"/>
  <c r="G78" i="16"/>
  <c r="H78" i="16"/>
  <c r="I78" i="16"/>
  <c r="A79" i="16"/>
  <c r="B79" i="16"/>
  <c r="C79" i="16"/>
  <c r="D79" i="16"/>
  <c r="E79" i="16"/>
  <c r="F79" i="16"/>
  <c r="G79" i="16"/>
  <c r="H79" i="16"/>
  <c r="I79" i="16"/>
  <c r="A80" i="16"/>
  <c r="B80" i="16"/>
  <c r="C80" i="16"/>
  <c r="D80" i="16"/>
  <c r="E80" i="16"/>
  <c r="F80" i="16"/>
  <c r="G80" i="16"/>
  <c r="H80" i="16"/>
  <c r="I80" i="16"/>
  <c r="A81" i="16"/>
  <c r="B81" i="16"/>
  <c r="C81" i="16"/>
  <c r="D81" i="16"/>
  <c r="E81" i="16"/>
  <c r="F81" i="16"/>
  <c r="G81" i="16"/>
  <c r="H81" i="16"/>
  <c r="I81" i="16"/>
  <c r="A82" i="16"/>
  <c r="D82" i="16"/>
  <c r="E82" i="16"/>
  <c r="F82" i="16"/>
  <c r="G82" i="16"/>
  <c r="H82" i="16"/>
  <c r="I82" i="16"/>
  <c r="A83" i="16"/>
  <c r="B83" i="16"/>
  <c r="C83" i="16"/>
  <c r="D83" i="16"/>
  <c r="E83" i="16"/>
  <c r="F83" i="16"/>
  <c r="G83" i="16"/>
  <c r="H83" i="16"/>
  <c r="I83" i="16"/>
  <c r="A84" i="16"/>
  <c r="B84" i="16"/>
  <c r="C84" i="16"/>
  <c r="D84" i="16"/>
  <c r="E84" i="16"/>
  <c r="F84" i="16"/>
  <c r="G84" i="16"/>
  <c r="H84" i="16"/>
  <c r="I84" i="16"/>
  <c r="A85" i="16"/>
  <c r="B85" i="16"/>
  <c r="C85" i="16"/>
  <c r="D85" i="16"/>
  <c r="E85" i="16"/>
  <c r="F85" i="16"/>
  <c r="G85" i="16"/>
  <c r="H85" i="16"/>
  <c r="I85" i="16"/>
  <c r="A86" i="16"/>
  <c r="B86" i="16"/>
  <c r="C86" i="16"/>
  <c r="D86" i="16"/>
  <c r="E86" i="16"/>
  <c r="F86" i="16"/>
  <c r="G86" i="16"/>
  <c r="H86" i="16"/>
  <c r="I86" i="16"/>
  <c r="A87" i="16"/>
  <c r="B87" i="16"/>
  <c r="C87" i="16"/>
  <c r="D87" i="16"/>
  <c r="E87" i="16"/>
  <c r="F87" i="16"/>
  <c r="G87" i="16"/>
  <c r="H87" i="16"/>
  <c r="I87" i="16"/>
  <c r="A88" i="16"/>
  <c r="B88" i="16"/>
  <c r="C88" i="16"/>
  <c r="D88" i="16"/>
  <c r="E88" i="16"/>
  <c r="F88" i="16"/>
  <c r="G88" i="16"/>
  <c r="H88" i="16"/>
  <c r="I88" i="16"/>
  <c r="A89" i="16"/>
  <c r="B89" i="16"/>
  <c r="C89" i="16"/>
  <c r="D89" i="16"/>
  <c r="E89" i="16"/>
  <c r="F89" i="16"/>
  <c r="G89" i="16"/>
  <c r="H89" i="16"/>
  <c r="I89" i="16"/>
  <c r="A90" i="16"/>
  <c r="B90" i="16"/>
  <c r="C90" i="16"/>
  <c r="D90" i="16"/>
  <c r="E90" i="16"/>
  <c r="F90" i="16"/>
  <c r="G90" i="16"/>
  <c r="H90" i="16"/>
  <c r="I90" i="16"/>
  <c r="A91" i="16"/>
  <c r="B91" i="16"/>
  <c r="C91" i="16"/>
  <c r="D91" i="16"/>
  <c r="E91" i="16"/>
  <c r="F91" i="16"/>
  <c r="G91" i="16"/>
  <c r="H91" i="16"/>
  <c r="I91" i="16"/>
  <c r="A92" i="16"/>
  <c r="B92" i="16"/>
  <c r="C92" i="16"/>
  <c r="D92" i="16"/>
  <c r="E92" i="16"/>
  <c r="F92" i="16"/>
  <c r="G92" i="16"/>
  <c r="H92" i="16"/>
  <c r="I92" i="16"/>
  <c r="A93" i="16"/>
  <c r="B93" i="16"/>
  <c r="C93" i="16"/>
  <c r="D93" i="16"/>
  <c r="E93" i="16"/>
  <c r="F93" i="16"/>
  <c r="G93" i="16"/>
  <c r="H93" i="16"/>
  <c r="I93" i="16"/>
  <c r="A94" i="16"/>
  <c r="B94" i="16"/>
  <c r="C94" i="16"/>
  <c r="D94" i="16"/>
  <c r="E94" i="16"/>
  <c r="F94" i="16"/>
  <c r="G94" i="16"/>
  <c r="H94" i="16"/>
  <c r="I94" i="16"/>
  <c r="A95" i="16"/>
  <c r="B95" i="16"/>
  <c r="C95" i="16"/>
  <c r="D95" i="16"/>
  <c r="E95" i="16"/>
  <c r="F95" i="16"/>
  <c r="G95" i="16"/>
  <c r="H95" i="16"/>
  <c r="I95" i="16"/>
  <c r="A96" i="16"/>
  <c r="B96" i="16"/>
  <c r="C96" i="16"/>
  <c r="D96" i="16"/>
  <c r="E96" i="16"/>
  <c r="F96" i="16"/>
  <c r="G96" i="16"/>
  <c r="H96" i="16"/>
  <c r="I96" i="16"/>
  <c r="A97" i="16"/>
  <c r="B97" i="16"/>
  <c r="C97" i="16"/>
  <c r="D97" i="16"/>
  <c r="E97" i="16"/>
  <c r="F97" i="16"/>
  <c r="G97" i="16"/>
  <c r="H97" i="16"/>
  <c r="I97" i="16"/>
  <c r="A98" i="16"/>
  <c r="B98" i="16"/>
  <c r="C98" i="16"/>
  <c r="D98" i="16"/>
  <c r="E98" i="16"/>
  <c r="F98" i="16"/>
  <c r="G98" i="16"/>
  <c r="H98" i="16"/>
  <c r="I98" i="16"/>
  <c r="A99" i="16"/>
  <c r="B99" i="16"/>
  <c r="C99" i="16"/>
  <c r="D99" i="16"/>
  <c r="E99" i="16"/>
  <c r="F99" i="16"/>
  <c r="G99" i="16"/>
  <c r="H99" i="16"/>
  <c r="I99" i="16"/>
  <c r="A100" i="16"/>
  <c r="B100" i="16"/>
  <c r="C100" i="16"/>
  <c r="D100" i="16"/>
  <c r="E100" i="16"/>
  <c r="F100" i="16"/>
  <c r="G100" i="16"/>
  <c r="H100" i="16"/>
  <c r="I100" i="16"/>
  <c r="A101" i="16"/>
  <c r="B101" i="16"/>
  <c r="C101" i="16"/>
  <c r="D101" i="16"/>
  <c r="E101" i="16"/>
  <c r="F101" i="16"/>
  <c r="G101" i="16"/>
  <c r="H101" i="16"/>
  <c r="I101" i="16"/>
  <c r="A102" i="16"/>
  <c r="B102" i="16"/>
  <c r="C102" i="16"/>
  <c r="D102" i="16"/>
  <c r="E102" i="16"/>
  <c r="F102" i="16"/>
  <c r="G102" i="16"/>
  <c r="H102" i="16"/>
  <c r="I102" i="16"/>
  <c r="A103" i="16"/>
  <c r="B103" i="16"/>
  <c r="C103" i="16"/>
  <c r="D103" i="16"/>
  <c r="E103" i="16"/>
  <c r="F103" i="16"/>
  <c r="G103" i="16"/>
  <c r="H103" i="16"/>
  <c r="I103" i="16"/>
  <c r="A104" i="16"/>
  <c r="B104" i="16"/>
  <c r="C104" i="16"/>
  <c r="D104" i="16"/>
  <c r="E104" i="16"/>
  <c r="F104" i="16"/>
  <c r="G104" i="16"/>
  <c r="H104" i="16"/>
  <c r="I104" i="16"/>
  <c r="A105" i="16"/>
  <c r="B105" i="16"/>
  <c r="C105" i="16"/>
  <c r="D105" i="16"/>
  <c r="E105" i="16"/>
  <c r="F105" i="16"/>
  <c r="G105" i="16"/>
  <c r="H105" i="16"/>
  <c r="I105" i="16"/>
  <c r="A106" i="16"/>
  <c r="B106" i="16"/>
  <c r="C106" i="16"/>
  <c r="D106" i="16"/>
  <c r="E106" i="16"/>
  <c r="F106" i="16"/>
  <c r="G106" i="16"/>
  <c r="H106" i="16"/>
  <c r="I106" i="16"/>
  <c r="A107" i="16"/>
  <c r="B107" i="16"/>
  <c r="C107" i="16"/>
  <c r="D107" i="16"/>
  <c r="E107" i="16"/>
  <c r="F107" i="16"/>
  <c r="G107" i="16"/>
  <c r="H107" i="16"/>
  <c r="I107" i="16"/>
  <c r="A108" i="16"/>
  <c r="B108" i="16"/>
  <c r="C108" i="16"/>
  <c r="D108" i="16"/>
  <c r="E108" i="16"/>
  <c r="F108" i="16"/>
  <c r="G108" i="16"/>
  <c r="H108" i="16"/>
  <c r="I108" i="16"/>
  <c r="A109" i="16"/>
  <c r="B109" i="16"/>
  <c r="C109" i="16"/>
  <c r="D109" i="16"/>
  <c r="E109" i="16"/>
  <c r="F109" i="16"/>
  <c r="G109" i="16"/>
  <c r="H109" i="16"/>
  <c r="I109" i="16"/>
  <c r="A110" i="16"/>
  <c r="B110" i="16"/>
  <c r="C110" i="16"/>
  <c r="D110" i="16"/>
  <c r="E110" i="16"/>
  <c r="F110" i="16"/>
  <c r="G110" i="16"/>
  <c r="H110" i="16"/>
  <c r="I110" i="16"/>
  <c r="A111" i="16"/>
  <c r="B111" i="16"/>
  <c r="C111" i="16"/>
  <c r="D111" i="16"/>
  <c r="E111" i="16"/>
  <c r="F111" i="16"/>
  <c r="G111" i="16"/>
  <c r="H111" i="16"/>
  <c r="I111" i="16"/>
  <c r="A112" i="16"/>
  <c r="B112" i="16"/>
  <c r="C112" i="16"/>
  <c r="D112" i="16"/>
  <c r="E112" i="16"/>
  <c r="F112" i="16"/>
  <c r="G112" i="16"/>
  <c r="H112" i="16"/>
  <c r="I112" i="16"/>
  <c r="A113" i="16"/>
  <c r="B113" i="16"/>
  <c r="C113" i="16"/>
  <c r="D113" i="16"/>
  <c r="E113" i="16"/>
  <c r="F113" i="16"/>
  <c r="G113" i="16"/>
  <c r="H113" i="16"/>
  <c r="I113" i="16"/>
  <c r="A114" i="16"/>
  <c r="B114" i="16"/>
  <c r="C114" i="16"/>
  <c r="D114" i="16"/>
  <c r="E114" i="16"/>
  <c r="F114" i="16"/>
  <c r="G114" i="16"/>
  <c r="H114" i="16"/>
  <c r="I114" i="16"/>
  <c r="A115" i="16"/>
  <c r="B115" i="16"/>
  <c r="C115" i="16"/>
  <c r="D115" i="16"/>
  <c r="E115" i="16"/>
  <c r="F115" i="16"/>
  <c r="G115" i="16"/>
  <c r="H115" i="16"/>
  <c r="I115" i="16"/>
  <c r="A116" i="16"/>
  <c r="B116" i="16"/>
  <c r="C116" i="16"/>
  <c r="D116" i="16"/>
  <c r="E116" i="16"/>
  <c r="F116" i="16"/>
  <c r="G116" i="16"/>
  <c r="H116" i="16"/>
  <c r="I116" i="16"/>
  <c r="A117" i="16"/>
  <c r="B117" i="16"/>
  <c r="C117" i="16"/>
  <c r="D117" i="16"/>
  <c r="E117" i="16"/>
  <c r="F117" i="16"/>
  <c r="G117" i="16"/>
  <c r="H117" i="16"/>
  <c r="I117" i="16"/>
  <c r="A118" i="16"/>
  <c r="B118" i="16"/>
  <c r="C118" i="16"/>
  <c r="D118" i="16"/>
  <c r="E118" i="16"/>
  <c r="F118" i="16"/>
  <c r="G118" i="16"/>
  <c r="H118" i="16"/>
  <c r="I118" i="16"/>
  <c r="A119" i="16"/>
  <c r="B119" i="16"/>
  <c r="C119" i="16"/>
  <c r="D119" i="16"/>
  <c r="E119" i="16"/>
  <c r="F119" i="16"/>
  <c r="G119" i="16"/>
  <c r="H119" i="16"/>
  <c r="I119" i="16"/>
  <c r="A120" i="16"/>
  <c r="B120" i="16"/>
  <c r="C120" i="16"/>
  <c r="D120" i="16"/>
  <c r="E120" i="16"/>
  <c r="F120" i="16"/>
  <c r="G120" i="16"/>
  <c r="H120" i="16"/>
  <c r="I120" i="16"/>
  <c r="A121" i="16"/>
  <c r="B121" i="16"/>
  <c r="C121" i="16"/>
  <c r="D121" i="16"/>
  <c r="E121" i="16"/>
  <c r="F121" i="16"/>
  <c r="G121" i="16"/>
  <c r="H121" i="16"/>
  <c r="I121" i="16"/>
  <c r="A122" i="16"/>
  <c r="B122" i="16"/>
  <c r="C122" i="16"/>
  <c r="D122" i="16"/>
  <c r="E122" i="16"/>
  <c r="F122" i="16"/>
  <c r="G122" i="16"/>
  <c r="H122" i="16"/>
  <c r="I122" i="16"/>
  <c r="A123" i="16"/>
  <c r="B123" i="16"/>
  <c r="C123" i="16"/>
  <c r="D123" i="16"/>
  <c r="E123" i="16"/>
  <c r="F123" i="16"/>
  <c r="G123" i="16"/>
  <c r="H123" i="16"/>
  <c r="I123" i="16"/>
  <c r="A124" i="16"/>
  <c r="B124" i="16"/>
  <c r="C124" i="16"/>
  <c r="D124" i="16"/>
  <c r="E124" i="16"/>
  <c r="F124" i="16"/>
  <c r="G124" i="16"/>
  <c r="H124" i="16"/>
  <c r="I124" i="16"/>
  <c r="A125" i="16"/>
  <c r="B125" i="16"/>
  <c r="C125" i="16"/>
  <c r="D125" i="16"/>
  <c r="E125" i="16"/>
  <c r="F125" i="16"/>
  <c r="G125" i="16"/>
  <c r="H125" i="16"/>
  <c r="I125" i="16"/>
  <c r="A126" i="16"/>
  <c r="B126" i="16"/>
  <c r="C126" i="16"/>
  <c r="D126" i="16"/>
  <c r="E126" i="16"/>
  <c r="F126" i="16"/>
  <c r="G126" i="16"/>
  <c r="H126" i="16"/>
  <c r="I126" i="16"/>
  <c r="A127" i="16"/>
  <c r="B127" i="16"/>
  <c r="C127" i="16"/>
  <c r="D127" i="16"/>
  <c r="E127" i="16"/>
  <c r="F127" i="16"/>
  <c r="G127" i="16"/>
  <c r="H127" i="16"/>
  <c r="I127" i="16"/>
  <c r="A128" i="16"/>
  <c r="B128" i="16"/>
  <c r="C128" i="16"/>
  <c r="D128" i="16"/>
  <c r="E128" i="16"/>
  <c r="F128" i="16"/>
  <c r="G128" i="16"/>
  <c r="H128" i="16"/>
  <c r="I128" i="16"/>
  <c r="A129" i="16"/>
  <c r="B129" i="16"/>
  <c r="C129" i="16"/>
  <c r="D129" i="16"/>
  <c r="E129" i="16"/>
  <c r="F129" i="16"/>
  <c r="G129" i="16"/>
  <c r="H129" i="16"/>
  <c r="I129" i="16"/>
  <c r="A130" i="16"/>
  <c r="B130" i="16"/>
  <c r="C130" i="16"/>
  <c r="D130" i="16"/>
  <c r="E130" i="16"/>
  <c r="F130" i="16"/>
  <c r="G130" i="16"/>
  <c r="H130" i="16"/>
  <c r="I130" i="16"/>
  <c r="A131" i="16"/>
  <c r="B131" i="16"/>
  <c r="C131" i="16"/>
  <c r="D131" i="16"/>
  <c r="E131" i="16"/>
  <c r="F131" i="16"/>
  <c r="G131" i="16"/>
  <c r="H131" i="16"/>
  <c r="I131" i="16"/>
  <c r="A132" i="16"/>
  <c r="B132" i="16"/>
  <c r="C132" i="16"/>
  <c r="D132" i="16"/>
  <c r="E132" i="16"/>
  <c r="F132" i="16"/>
  <c r="G132" i="16"/>
  <c r="H132" i="16"/>
  <c r="I132" i="16"/>
  <c r="A133" i="16"/>
  <c r="B133" i="16"/>
  <c r="C133" i="16"/>
  <c r="D133" i="16"/>
  <c r="E133" i="16"/>
  <c r="F133" i="16"/>
  <c r="G133" i="16"/>
  <c r="H133" i="16"/>
  <c r="I133" i="16"/>
  <c r="A134" i="16"/>
  <c r="B134" i="16"/>
  <c r="C134" i="16"/>
  <c r="D134" i="16"/>
  <c r="E134" i="16"/>
  <c r="F134" i="16"/>
  <c r="G134" i="16"/>
  <c r="H134" i="16"/>
  <c r="I134" i="16"/>
  <c r="A135" i="16"/>
  <c r="B135" i="16"/>
  <c r="C135" i="16"/>
  <c r="D135" i="16"/>
  <c r="E135" i="16"/>
  <c r="F135" i="16"/>
  <c r="G135" i="16"/>
  <c r="H135" i="16"/>
  <c r="I135" i="16"/>
  <c r="A136" i="16"/>
  <c r="B136" i="16"/>
  <c r="C136" i="16"/>
  <c r="D136" i="16"/>
  <c r="E136" i="16"/>
  <c r="F136" i="16"/>
  <c r="G136" i="16"/>
  <c r="H136" i="16"/>
  <c r="I136" i="16"/>
  <c r="A137" i="16"/>
  <c r="B137" i="16"/>
  <c r="C137" i="16"/>
  <c r="D137" i="16"/>
  <c r="E137" i="16"/>
  <c r="F137" i="16"/>
  <c r="G137" i="16"/>
  <c r="H137" i="16"/>
  <c r="I137" i="16"/>
  <c r="A138" i="16"/>
  <c r="B138" i="16"/>
  <c r="C138" i="16"/>
  <c r="D138" i="16"/>
  <c r="E138" i="16"/>
  <c r="F138" i="16"/>
  <c r="G138" i="16"/>
  <c r="H138" i="16"/>
  <c r="I138" i="16"/>
  <c r="A139" i="16"/>
  <c r="B139" i="16"/>
  <c r="C139" i="16"/>
  <c r="D139" i="16"/>
  <c r="E139" i="16"/>
  <c r="F139" i="16"/>
  <c r="G139" i="16"/>
  <c r="H139" i="16"/>
  <c r="I139" i="16"/>
  <c r="A140" i="16"/>
  <c r="B140" i="16"/>
  <c r="C140" i="16"/>
  <c r="D140" i="16"/>
  <c r="E140" i="16"/>
  <c r="F140" i="16"/>
  <c r="G140" i="16"/>
  <c r="H140" i="16"/>
  <c r="I140" i="16"/>
  <c r="A141" i="16"/>
  <c r="B141" i="16"/>
  <c r="C141" i="16"/>
  <c r="D141" i="16"/>
  <c r="E141" i="16"/>
  <c r="F141" i="16"/>
  <c r="G141" i="16"/>
  <c r="H141" i="16"/>
  <c r="I141" i="16"/>
  <c r="A142" i="16"/>
  <c r="B142" i="16"/>
  <c r="C142" i="16"/>
  <c r="D142" i="16"/>
  <c r="E142" i="16"/>
  <c r="F142" i="16"/>
  <c r="G142" i="16"/>
  <c r="H142" i="16"/>
  <c r="I142" i="16"/>
  <c r="A143" i="16"/>
  <c r="B143" i="16"/>
  <c r="C143" i="16"/>
  <c r="D143" i="16"/>
  <c r="E143" i="16"/>
  <c r="F143" i="16"/>
  <c r="G143" i="16"/>
  <c r="H143" i="16"/>
  <c r="I143" i="16"/>
  <c r="A144" i="16"/>
  <c r="B144" i="16"/>
  <c r="C144" i="16"/>
  <c r="D144" i="16"/>
  <c r="E144" i="16"/>
  <c r="F144" i="16"/>
  <c r="G144" i="16"/>
  <c r="H144" i="16"/>
  <c r="I144" i="16"/>
  <c r="A145" i="16"/>
  <c r="B145" i="16"/>
  <c r="C145" i="16"/>
  <c r="D145" i="16"/>
  <c r="E145" i="16"/>
  <c r="F145" i="16"/>
  <c r="G145" i="16"/>
  <c r="H145" i="16"/>
  <c r="I145" i="16"/>
  <c r="A146" i="16"/>
  <c r="B146" i="16"/>
  <c r="C146" i="16"/>
  <c r="D146" i="16"/>
  <c r="E146" i="16"/>
  <c r="F146" i="16"/>
  <c r="G146" i="16"/>
  <c r="H146" i="16"/>
  <c r="I146" i="16"/>
  <c r="A147" i="16"/>
  <c r="B147" i="16"/>
  <c r="C147" i="16"/>
  <c r="D147" i="16"/>
  <c r="E147" i="16"/>
  <c r="F147" i="16"/>
  <c r="G147" i="16"/>
  <c r="H147" i="16"/>
  <c r="I147" i="16"/>
  <c r="A148" i="16"/>
  <c r="B148" i="16"/>
  <c r="C148" i="16"/>
  <c r="D148" i="16"/>
  <c r="E148" i="16"/>
  <c r="F148" i="16"/>
  <c r="G148" i="16"/>
  <c r="H148" i="16"/>
  <c r="I148" i="16"/>
  <c r="A149" i="16"/>
  <c r="B149" i="16"/>
  <c r="C149" i="16"/>
  <c r="D149" i="16"/>
  <c r="E149" i="16"/>
  <c r="F149" i="16"/>
  <c r="G149" i="16"/>
  <c r="H149" i="16"/>
  <c r="I149" i="16"/>
  <c r="A150" i="16"/>
  <c r="B150" i="16"/>
  <c r="C150" i="16"/>
  <c r="D150" i="16"/>
  <c r="E150" i="16"/>
  <c r="F150" i="16"/>
  <c r="G150" i="16"/>
  <c r="H150" i="16"/>
  <c r="I150" i="16"/>
  <c r="A151" i="16"/>
  <c r="B151" i="16"/>
  <c r="C151" i="16"/>
  <c r="D151" i="16"/>
  <c r="E151" i="16"/>
  <c r="F151" i="16"/>
  <c r="G151" i="16"/>
  <c r="H151" i="16"/>
  <c r="I151" i="16"/>
  <c r="A152" i="16"/>
  <c r="B152" i="16"/>
  <c r="C152" i="16"/>
  <c r="D152" i="16"/>
  <c r="E152" i="16"/>
  <c r="F152" i="16"/>
  <c r="G152" i="16"/>
  <c r="H152" i="16"/>
  <c r="I152" i="16"/>
  <c r="A153" i="16"/>
  <c r="B153" i="16"/>
  <c r="C153" i="16"/>
  <c r="D153" i="16"/>
  <c r="E153" i="16"/>
  <c r="F153" i="16"/>
  <c r="G153" i="16"/>
  <c r="H153" i="16"/>
  <c r="I153" i="16"/>
  <c r="A154" i="16"/>
  <c r="B154" i="16"/>
  <c r="C154" i="16"/>
  <c r="D154" i="16"/>
  <c r="E154" i="16"/>
  <c r="F154" i="16"/>
  <c r="G154" i="16"/>
  <c r="H154" i="16"/>
  <c r="I154" i="16"/>
  <c r="A155" i="16"/>
  <c r="B155" i="16"/>
  <c r="C155" i="16"/>
  <c r="D155" i="16"/>
  <c r="E155" i="16"/>
  <c r="F155" i="16"/>
  <c r="G155" i="16"/>
  <c r="H155" i="16"/>
  <c r="I155" i="16"/>
  <c r="A156" i="16"/>
  <c r="B156" i="16"/>
  <c r="C156" i="16"/>
  <c r="D156" i="16"/>
  <c r="E156" i="16"/>
  <c r="F156" i="16"/>
  <c r="G156" i="16"/>
  <c r="H156" i="16"/>
  <c r="I156" i="16"/>
  <c r="A157" i="16"/>
  <c r="B157" i="16"/>
  <c r="C157" i="16"/>
  <c r="D157" i="16"/>
  <c r="E157" i="16"/>
  <c r="F157" i="16"/>
  <c r="G157" i="16"/>
  <c r="H157" i="16"/>
  <c r="I157" i="16"/>
  <c r="A158" i="16"/>
  <c r="B158" i="16"/>
  <c r="C158" i="16"/>
  <c r="D158" i="16"/>
  <c r="E158" i="16"/>
  <c r="F158" i="16"/>
  <c r="G158" i="16"/>
  <c r="H158" i="16"/>
  <c r="I158" i="16"/>
  <c r="A159" i="16"/>
  <c r="B159" i="16"/>
  <c r="C159" i="16"/>
  <c r="D159" i="16"/>
  <c r="E159" i="16"/>
  <c r="F159" i="16"/>
  <c r="G159" i="16"/>
  <c r="H159" i="16"/>
  <c r="I159" i="16"/>
  <c r="A160" i="16"/>
  <c r="B160" i="16"/>
  <c r="C160" i="16"/>
  <c r="D160" i="16"/>
  <c r="E160" i="16"/>
  <c r="F160" i="16"/>
  <c r="G160" i="16"/>
  <c r="H160" i="16"/>
  <c r="I160" i="16"/>
  <c r="A161" i="16"/>
  <c r="B161" i="16"/>
  <c r="C161" i="16"/>
  <c r="D161" i="16"/>
  <c r="E161" i="16"/>
  <c r="F161" i="16"/>
  <c r="G161" i="16"/>
  <c r="H161" i="16"/>
  <c r="I161" i="16"/>
  <c r="A162" i="16"/>
  <c r="B162" i="16"/>
  <c r="C162" i="16"/>
  <c r="D162" i="16"/>
  <c r="E162" i="16"/>
  <c r="F162" i="16"/>
  <c r="G162" i="16"/>
  <c r="H162" i="16"/>
  <c r="I162" i="16"/>
  <c r="A163" i="16"/>
  <c r="B163" i="16"/>
  <c r="C163" i="16"/>
  <c r="D163" i="16"/>
  <c r="E163" i="16"/>
  <c r="F163" i="16"/>
  <c r="G163" i="16"/>
  <c r="H163" i="16"/>
  <c r="I163" i="16"/>
  <c r="A164" i="16"/>
  <c r="B164" i="16"/>
  <c r="C164" i="16"/>
  <c r="D164" i="16"/>
  <c r="E164" i="16"/>
  <c r="F164" i="16"/>
  <c r="G164" i="16"/>
  <c r="H164" i="16"/>
  <c r="I164" i="16"/>
  <c r="A165" i="16"/>
  <c r="B165" i="16"/>
  <c r="C165" i="16"/>
  <c r="D165" i="16"/>
  <c r="E165" i="16"/>
  <c r="F165" i="16"/>
  <c r="G165" i="16"/>
  <c r="H165" i="16"/>
  <c r="I165" i="16"/>
  <c r="A166" i="16"/>
  <c r="B166" i="16"/>
  <c r="C166" i="16"/>
  <c r="D166" i="16"/>
  <c r="E166" i="16"/>
  <c r="F166" i="16"/>
  <c r="G166" i="16"/>
  <c r="H166" i="16"/>
  <c r="I166" i="16"/>
  <c r="A167" i="16"/>
  <c r="B167" i="16"/>
  <c r="C167" i="16"/>
  <c r="D167" i="16"/>
  <c r="E167" i="16"/>
  <c r="F167" i="16"/>
  <c r="G167" i="16"/>
  <c r="H167" i="16"/>
  <c r="I167" i="16"/>
  <c r="A168" i="16"/>
  <c r="B168" i="16"/>
  <c r="C168" i="16"/>
  <c r="D168" i="16"/>
  <c r="E168" i="16"/>
  <c r="F168" i="16"/>
  <c r="G168" i="16"/>
  <c r="H168" i="16"/>
  <c r="I168" i="16"/>
  <c r="A169" i="16"/>
  <c r="B169" i="16"/>
  <c r="C169" i="16"/>
  <c r="D169" i="16"/>
  <c r="E169" i="16"/>
  <c r="F169" i="16"/>
  <c r="G169" i="16"/>
  <c r="H169" i="16"/>
  <c r="I169" i="16"/>
  <c r="A170" i="16"/>
  <c r="B170" i="16"/>
  <c r="C170" i="16"/>
  <c r="D170" i="16"/>
  <c r="E170" i="16"/>
  <c r="F170" i="16"/>
  <c r="G170" i="16"/>
  <c r="H170" i="16"/>
  <c r="I170" i="16"/>
  <c r="A171" i="16"/>
  <c r="B171" i="16"/>
  <c r="C171" i="16"/>
  <c r="D171" i="16"/>
  <c r="E171" i="16"/>
  <c r="F171" i="16"/>
  <c r="G171" i="16"/>
  <c r="H171" i="16"/>
  <c r="I171" i="16"/>
  <c r="A172" i="16"/>
  <c r="B172" i="16"/>
  <c r="C172" i="16"/>
  <c r="D172" i="16"/>
  <c r="E172" i="16"/>
  <c r="F172" i="16"/>
  <c r="G172" i="16"/>
  <c r="H172" i="16"/>
  <c r="I172" i="16"/>
  <c r="A173" i="16"/>
  <c r="B173" i="16"/>
  <c r="C173" i="16"/>
  <c r="D173" i="16"/>
  <c r="E173" i="16"/>
  <c r="F173" i="16"/>
  <c r="G173" i="16"/>
  <c r="H173" i="16"/>
  <c r="I173" i="16"/>
  <c r="A174" i="16"/>
  <c r="B174" i="16"/>
  <c r="C174" i="16"/>
  <c r="D174" i="16"/>
  <c r="E174" i="16"/>
  <c r="F174" i="16"/>
  <c r="G174" i="16"/>
  <c r="H174" i="16"/>
  <c r="I174" i="16"/>
  <c r="A175" i="16"/>
  <c r="B175" i="16"/>
  <c r="C175" i="16"/>
  <c r="D175" i="16"/>
  <c r="E175" i="16"/>
  <c r="F175" i="16"/>
  <c r="G175" i="16"/>
  <c r="H175" i="16"/>
  <c r="I175" i="16"/>
  <c r="A176" i="16"/>
  <c r="B176" i="16"/>
  <c r="C176" i="16"/>
  <c r="D176" i="16"/>
  <c r="E176" i="16"/>
  <c r="F176" i="16"/>
  <c r="G176" i="16"/>
  <c r="H176" i="16"/>
  <c r="I176" i="16"/>
  <c r="A177" i="16"/>
  <c r="B177" i="16"/>
  <c r="C177" i="16"/>
  <c r="D177" i="16"/>
  <c r="E177" i="16"/>
  <c r="F177" i="16"/>
  <c r="G177" i="16"/>
  <c r="H177" i="16"/>
  <c r="I177" i="16"/>
  <c r="A178" i="16"/>
  <c r="B178" i="16"/>
  <c r="C178" i="16"/>
  <c r="D178" i="16"/>
  <c r="E178" i="16"/>
  <c r="F178" i="16"/>
  <c r="G178" i="16"/>
  <c r="H178" i="16"/>
  <c r="I178" i="16"/>
  <c r="A179" i="16"/>
  <c r="B179" i="16"/>
  <c r="C179" i="16"/>
  <c r="D179" i="16"/>
  <c r="E179" i="16"/>
  <c r="F179" i="16"/>
  <c r="G179" i="16"/>
  <c r="H179" i="16"/>
  <c r="I179" i="16"/>
  <c r="A180" i="16"/>
  <c r="B180" i="16"/>
  <c r="C180" i="16"/>
  <c r="D180" i="16"/>
  <c r="E180" i="16"/>
  <c r="F180" i="16"/>
  <c r="G180" i="16"/>
  <c r="H180" i="16"/>
  <c r="I180" i="16"/>
  <c r="A181" i="16"/>
  <c r="B181" i="16"/>
  <c r="C181" i="16"/>
  <c r="D181" i="16"/>
  <c r="E181" i="16"/>
  <c r="F181" i="16"/>
  <c r="G181" i="16"/>
  <c r="H181" i="16"/>
  <c r="I181" i="16"/>
  <c r="A182" i="16"/>
  <c r="B182" i="16"/>
  <c r="C182" i="16"/>
  <c r="D182" i="16"/>
  <c r="E182" i="16"/>
  <c r="F182" i="16"/>
  <c r="G182" i="16"/>
  <c r="H182" i="16"/>
  <c r="I182" i="16"/>
  <c r="A183" i="16"/>
  <c r="B183" i="16"/>
  <c r="C183" i="16"/>
  <c r="D183" i="16"/>
  <c r="E183" i="16"/>
  <c r="F183" i="16"/>
  <c r="G183" i="16"/>
  <c r="H183" i="16"/>
  <c r="I183" i="16"/>
  <c r="A184" i="16"/>
  <c r="B184" i="16"/>
  <c r="C184" i="16"/>
  <c r="D184" i="16"/>
  <c r="E184" i="16"/>
  <c r="F184" i="16"/>
  <c r="G184" i="16"/>
  <c r="H184" i="16"/>
  <c r="I184" i="16"/>
  <c r="A185" i="16"/>
  <c r="B185" i="16"/>
  <c r="C185" i="16"/>
  <c r="D185" i="16"/>
  <c r="E185" i="16"/>
  <c r="F185" i="16"/>
  <c r="G185" i="16"/>
  <c r="H185" i="16"/>
  <c r="I185" i="16"/>
  <c r="A186" i="16"/>
  <c r="B186" i="16"/>
  <c r="C186" i="16"/>
  <c r="D186" i="16"/>
  <c r="E186" i="16"/>
  <c r="F186" i="16"/>
  <c r="G186" i="16"/>
  <c r="H186" i="16"/>
  <c r="I186" i="16"/>
  <c r="A187" i="16"/>
  <c r="B187" i="16"/>
  <c r="C187" i="16"/>
  <c r="D187" i="16"/>
  <c r="E187" i="16"/>
  <c r="F187" i="16"/>
  <c r="G187" i="16"/>
  <c r="H187" i="16"/>
  <c r="I187" i="16"/>
  <c r="A188" i="16"/>
  <c r="B188" i="16"/>
  <c r="C188" i="16"/>
  <c r="D188" i="16"/>
  <c r="E188" i="16"/>
  <c r="F188" i="16"/>
  <c r="G188" i="16"/>
  <c r="H188" i="16"/>
  <c r="I188" i="16"/>
  <c r="A189" i="16"/>
  <c r="B189" i="16"/>
  <c r="C189" i="16"/>
  <c r="D189" i="16"/>
  <c r="E189" i="16"/>
  <c r="F189" i="16"/>
  <c r="G189" i="16"/>
  <c r="H189" i="16"/>
  <c r="I189" i="16"/>
  <c r="A190" i="16"/>
  <c r="B190" i="16"/>
  <c r="C190" i="16"/>
  <c r="D190" i="16"/>
  <c r="E190" i="16"/>
  <c r="F190" i="16"/>
  <c r="G190" i="16"/>
  <c r="H190" i="16"/>
  <c r="I190" i="16"/>
  <c r="A191" i="16"/>
  <c r="B191" i="16"/>
  <c r="C191" i="16"/>
  <c r="D191" i="16"/>
  <c r="E191" i="16"/>
  <c r="F191" i="16"/>
  <c r="G191" i="16"/>
  <c r="H191" i="16"/>
  <c r="I191" i="16"/>
  <c r="A192" i="16"/>
  <c r="B192" i="16"/>
  <c r="C192" i="16"/>
  <c r="D192" i="16"/>
  <c r="E192" i="16"/>
  <c r="F192" i="16"/>
  <c r="G192" i="16"/>
  <c r="H192" i="16"/>
  <c r="I192" i="16"/>
  <c r="A193" i="16"/>
  <c r="B193" i="16"/>
  <c r="C193" i="16"/>
  <c r="D193" i="16"/>
  <c r="E193" i="16"/>
  <c r="F193" i="16"/>
  <c r="G193" i="16"/>
  <c r="H193" i="16"/>
  <c r="I193" i="16"/>
  <c r="A194" i="16"/>
  <c r="B194" i="16"/>
  <c r="C194" i="16"/>
  <c r="D194" i="16"/>
  <c r="E194" i="16"/>
  <c r="F194" i="16"/>
  <c r="G194" i="16"/>
  <c r="H194" i="16"/>
  <c r="I194" i="16"/>
  <c r="A195" i="16"/>
  <c r="B195" i="16"/>
  <c r="C195" i="16"/>
  <c r="D195" i="16"/>
  <c r="E195" i="16"/>
  <c r="F195" i="16"/>
  <c r="G195" i="16"/>
  <c r="H195" i="16"/>
  <c r="I195" i="16"/>
  <c r="A196" i="16"/>
  <c r="B196" i="16"/>
  <c r="C196" i="16"/>
  <c r="D196" i="16"/>
  <c r="E196" i="16"/>
  <c r="F196" i="16"/>
  <c r="G196" i="16"/>
  <c r="H196" i="16"/>
  <c r="I196" i="16"/>
  <c r="A197" i="16"/>
  <c r="B197" i="16"/>
  <c r="C197" i="16"/>
  <c r="D197" i="16"/>
  <c r="E197" i="16"/>
  <c r="F197" i="16"/>
  <c r="G197" i="16"/>
  <c r="H197" i="16"/>
  <c r="I197" i="16"/>
  <c r="A198" i="16"/>
  <c r="B198" i="16"/>
  <c r="C198" i="16"/>
  <c r="D198" i="16"/>
  <c r="E198" i="16"/>
  <c r="F198" i="16"/>
  <c r="G198" i="16"/>
  <c r="H198" i="16"/>
  <c r="I198" i="16"/>
  <c r="A199" i="16"/>
  <c r="B199" i="16"/>
  <c r="C199" i="16"/>
  <c r="D199" i="16"/>
  <c r="E199" i="16"/>
  <c r="F199" i="16"/>
  <c r="G199" i="16"/>
  <c r="H199" i="16"/>
  <c r="I199" i="16"/>
  <c r="A200" i="16"/>
  <c r="B200" i="16"/>
  <c r="C200" i="16"/>
  <c r="D200" i="16"/>
  <c r="E200" i="16"/>
  <c r="F200" i="16"/>
  <c r="G200" i="16"/>
  <c r="H200" i="16"/>
  <c r="I200" i="16"/>
  <c r="A201" i="16"/>
  <c r="B201" i="16"/>
  <c r="C201" i="16"/>
  <c r="D201" i="16"/>
  <c r="E201" i="16"/>
  <c r="F201" i="16"/>
  <c r="G201" i="16"/>
  <c r="H201" i="16"/>
  <c r="I201" i="16"/>
  <c r="A202" i="16"/>
  <c r="B202" i="16"/>
  <c r="C202" i="16"/>
  <c r="D202" i="16"/>
  <c r="E202" i="16"/>
  <c r="F202" i="16"/>
  <c r="G202" i="16"/>
  <c r="H202" i="16"/>
  <c r="I202" i="16"/>
  <c r="A203" i="16"/>
  <c r="B203" i="16"/>
  <c r="C203" i="16"/>
  <c r="D203" i="16"/>
  <c r="E203" i="16"/>
  <c r="F203" i="16"/>
  <c r="G203" i="16"/>
  <c r="H203" i="16"/>
  <c r="I203" i="16"/>
  <c r="A204" i="16"/>
  <c r="B204" i="16"/>
  <c r="C204" i="16"/>
  <c r="D204" i="16"/>
  <c r="E204" i="16"/>
  <c r="F204" i="16"/>
  <c r="G204" i="16"/>
  <c r="H204" i="16"/>
  <c r="I204" i="16"/>
  <c r="A205" i="16"/>
  <c r="B205" i="16"/>
  <c r="C205" i="16"/>
  <c r="D205" i="16"/>
  <c r="E205" i="16"/>
  <c r="F205" i="16"/>
  <c r="G205" i="16"/>
  <c r="H205" i="16"/>
  <c r="I205" i="16"/>
  <c r="A206" i="16"/>
  <c r="B206" i="16"/>
  <c r="C206" i="16"/>
  <c r="D206" i="16"/>
  <c r="E206" i="16"/>
  <c r="F206" i="16"/>
  <c r="G206" i="16"/>
  <c r="H206" i="16"/>
  <c r="I206" i="16"/>
  <c r="A207" i="16"/>
  <c r="B207" i="16"/>
  <c r="C207" i="16"/>
  <c r="D207" i="16"/>
  <c r="E207" i="16"/>
  <c r="F207" i="16"/>
  <c r="G207" i="16"/>
  <c r="H207" i="16"/>
  <c r="I207" i="16"/>
  <c r="A208" i="16"/>
  <c r="B208" i="16"/>
  <c r="C208" i="16"/>
  <c r="D208" i="16"/>
  <c r="E208" i="16"/>
  <c r="F208" i="16"/>
  <c r="G208" i="16"/>
  <c r="H208" i="16"/>
  <c r="I208" i="16"/>
  <c r="A209" i="16"/>
  <c r="B209" i="16"/>
  <c r="C209" i="16"/>
  <c r="D209" i="16"/>
  <c r="E209" i="16"/>
  <c r="F209" i="16"/>
  <c r="G209" i="16"/>
  <c r="H209" i="16"/>
  <c r="I209" i="16"/>
  <c r="A210" i="16"/>
  <c r="B210" i="16"/>
  <c r="C210" i="16"/>
  <c r="D210" i="16"/>
  <c r="E210" i="16"/>
  <c r="F210" i="16"/>
  <c r="G210" i="16"/>
  <c r="H210" i="16"/>
  <c r="I210" i="16"/>
  <c r="A211" i="16"/>
  <c r="B211" i="16"/>
  <c r="C211" i="16"/>
  <c r="D211" i="16"/>
  <c r="E211" i="16"/>
  <c r="F211" i="16"/>
  <c r="G211" i="16"/>
  <c r="H211" i="16"/>
  <c r="I211" i="16"/>
  <c r="A212" i="16"/>
  <c r="B212" i="16"/>
  <c r="C212" i="16"/>
  <c r="D212" i="16"/>
  <c r="E212" i="16"/>
  <c r="F212" i="16"/>
  <c r="G212" i="16"/>
  <c r="H212" i="16"/>
  <c r="I212" i="16"/>
  <c r="A213" i="16"/>
  <c r="B213" i="16"/>
  <c r="C213" i="16"/>
  <c r="D213" i="16"/>
  <c r="E213" i="16"/>
  <c r="F213" i="16"/>
  <c r="G213" i="16"/>
  <c r="H213" i="16"/>
  <c r="I213" i="16"/>
  <c r="A214" i="16"/>
  <c r="B214" i="16"/>
  <c r="C214" i="16"/>
  <c r="D214" i="16"/>
  <c r="E214" i="16"/>
  <c r="F214" i="16"/>
  <c r="G214" i="16"/>
  <c r="H214" i="16"/>
  <c r="I214" i="16"/>
  <c r="A215" i="16"/>
  <c r="B215" i="16"/>
  <c r="C215" i="16"/>
  <c r="D215" i="16"/>
  <c r="E215" i="16"/>
  <c r="F215" i="16"/>
  <c r="G215" i="16"/>
  <c r="H215" i="16"/>
  <c r="I215" i="16"/>
  <c r="A216" i="16"/>
  <c r="B216" i="16"/>
  <c r="C216" i="16"/>
  <c r="D216" i="16"/>
  <c r="E216" i="16"/>
  <c r="F216" i="16"/>
  <c r="G216" i="16"/>
  <c r="H216" i="16"/>
  <c r="I216" i="16"/>
  <c r="A217" i="16"/>
  <c r="B217" i="16"/>
  <c r="C217" i="16"/>
  <c r="D217" i="16"/>
  <c r="E217" i="16"/>
  <c r="F217" i="16"/>
  <c r="G217" i="16"/>
  <c r="H217" i="16"/>
  <c r="I217" i="16"/>
  <c r="A218" i="16"/>
  <c r="B218" i="16"/>
  <c r="C218" i="16"/>
  <c r="D218" i="16"/>
  <c r="E218" i="16"/>
  <c r="F218" i="16"/>
  <c r="G218" i="16"/>
  <c r="H218" i="16"/>
  <c r="I218" i="16"/>
  <c r="A219" i="16"/>
  <c r="B219" i="16"/>
  <c r="C219" i="16"/>
  <c r="D219" i="16"/>
  <c r="E219" i="16"/>
  <c r="F219" i="16"/>
  <c r="G219" i="16"/>
  <c r="H219" i="16"/>
  <c r="I219" i="16"/>
  <c r="A220" i="16"/>
  <c r="B220" i="16"/>
  <c r="C220" i="16"/>
  <c r="D220" i="16"/>
  <c r="E220" i="16"/>
  <c r="F220" i="16"/>
  <c r="G220" i="16"/>
  <c r="H220" i="16"/>
  <c r="I220" i="16"/>
  <c r="A221" i="16"/>
  <c r="B221" i="16"/>
  <c r="C221" i="16"/>
  <c r="D221" i="16"/>
  <c r="E221" i="16"/>
  <c r="F221" i="16"/>
  <c r="G221" i="16"/>
  <c r="H221" i="16"/>
  <c r="I221" i="16"/>
  <c r="A222" i="16"/>
  <c r="B222" i="16"/>
  <c r="C222" i="16"/>
  <c r="D222" i="16"/>
  <c r="E222" i="16"/>
  <c r="F222" i="16"/>
  <c r="G222" i="16"/>
  <c r="H222" i="16"/>
  <c r="I222" i="16"/>
  <c r="A223" i="16"/>
  <c r="B223" i="16"/>
  <c r="C223" i="16"/>
  <c r="D223" i="16"/>
  <c r="E223" i="16"/>
  <c r="F223" i="16"/>
  <c r="G223" i="16"/>
  <c r="H223" i="16"/>
  <c r="I223" i="16"/>
  <c r="A224" i="16"/>
  <c r="B224" i="16"/>
  <c r="C224" i="16"/>
  <c r="D224" i="16"/>
  <c r="E224" i="16"/>
  <c r="F224" i="16"/>
  <c r="G224" i="16"/>
  <c r="H224" i="16"/>
  <c r="I224" i="16"/>
  <c r="A225" i="16"/>
  <c r="B225" i="16"/>
  <c r="C225" i="16"/>
  <c r="D225" i="16"/>
  <c r="E225" i="16"/>
  <c r="F225" i="16"/>
  <c r="G225" i="16"/>
  <c r="H225" i="16"/>
  <c r="I225" i="16"/>
  <c r="A226" i="16"/>
  <c r="B226" i="16"/>
  <c r="C226" i="16"/>
  <c r="D226" i="16"/>
  <c r="E226" i="16"/>
  <c r="F226" i="16"/>
  <c r="G226" i="16"/>
  <c r="H226" i="16"/>
  <c r="I226" i="16"/>
  <c r="A227" i="16"/>
  <c r="B227" i="16"/>
  <c r="C227" i="16"/>
  <c r="D227" i="16"/>
  <c r="E227" i="16"/>
  <c r="F227" i="16"/>
  <c r="G227" i="16"/>
  <c r="H227" i="16"/>
  <c r="I227" i="16"/>
  <c r="A228" i="16"/>
  <c r="B228" i="16"/>
  <c r="C228" i="16"/>
  <c r="D228" i="16"/>
  <c r="E228" i="16"/>
  <c r="F228" i="16"/>
  <c r="G228" i="16"/>
  <c r="H228" i="16"/>
  <c r="I228" i="16"/>
  <c r="A229" i="16"/>
  <c r="B229" i="16"/>
  <c r="C229" i="16"/>
  <c r="D229" i="16"/>
  <c r="E229" i="16"/>
  <c r="F229" i="16"/>
  <c r="G229" i="16"/>
  <c r="H229" i="16"/>
  <c r="I229" i="16"/>
  <c r="A230" i="16"/>
  <c r="B230" i="16"/>
  <c r="C230" i="16"/>
  <c r="D230" i="16"/>
  <c r="E230" i="16"/>
  <c r="F230" i="16"/>
  <c r="G230" i="16"/>
  <c r="H230" i="16"/>
  <c r="I230" i="16"/>
  <c r="A231" i="16"/>
  <c r="B231" i="16"/>
  <c r="C231" i="16"/>
  <c r="D231" i="16"/>
  <c r="E231" i="16"/>
  <c r="F231" i="16"/>
  <c r="G231" i="16"/>
  <c r="H231" i="16"/>
  <c r="I231" i="16"/>
  <c r="A232" i="16"/>
  <c r="B232" i="16"/>
  <c r="C232" i="16"/>
  <c r="D232" i="16"/>
  <c r="E232" i="16"/>
  <c r="F232" i="16"/>
  <c r="G232" i="16"/>
  <c r="H232" i="16"/>
  <c r="I232" i="16"/>
  <c r="A233" i="16"/>
  <c r="B233" i="16"/>
  <c r="C233" i="16"/>
  <c r="D233" i="16"/>
  <c r="E233" i="16"/>
  <c r="F233" i="16"/>
  <c r="G233" i="16"/>
  <c r="H233" i="16"/>
  <c r="I233" i="16"/>
  <c r="A234" i="16"/>
  <c r="B234" i="16"/>
  <c r="C234" i="16"/>
  <c r="D234" i="16"/>
  <c r="E234" i="16"/>
  <c r="F234" i="16"/>
  <c r="G234" i="16"/>
  <c r="H234" i="16"/>
  <c r="I234" i="16"/>
  <c r="A235" i="16"/>
  <c r="B235" i="16"/>
  <c r="C235" i="16"/>
  <c r="D235" i="16"/>
  <c r="E235" i="16"/>
  <c r="F235" i="16"/>
  <c r="G235" i="16"/>
  <c r="H235" i="16"/>
  <c r="I235" i="16"/>
  <c r="A236" i="16"/>
  <c r="B236" i="16"/>
  <c r="C236" i="16"/>
  <c r="D236" i="16"/>
  <c r="E236" i="16"/>
  <c r="F236" i="16"/>
  <c r="G236" i="16"/>
  <c r="H236" i="16"/>
  <c r="I236" i="16"/>
  <c r="A237" i="16"/>
  <c r="B237" i="16"/>
  <c r="C237" i="16"/>
  <c r="D237" i="16"/>
  <c r="E237" i="16"/>
  <c r="F237" i="16"/>
  <c r="G237" i="16"/>
  <c r="H237" i="16"/>
  <c r="I237" i="16"/>
  <c r="A238" i="16"/>
  <c r="B238" i="16"/>
  <c r="C238" i="16"/>
  <c r="D238" i="16"/>
  <c r="E238" i="16"/>
  <c r="F238" i="16"/>
  <c r="G238" i="16"/>
  <c r="H238" i="16"/>
  <c r="I238" i="16"/>
  <c r="A239" i="16"/>
  <c r="B239" i="16"/>
  <c r="C239" i="16"/>
  <c r="D239" i="16"/>
  <c r="E239" i="16"/>
  <c r="F239" i="16"/>
  <c r="G239" i="16"/>
  <c r="H239" i="16"/>
  <c r="I239" i="16"/>
  <c r="A240" i="16"/>
  <c r="B240" i="16"/>
  <c r="C240" i="16"/>
  <c r="D240" i="16"/>
  <c r="E240" i="16"/>
  <c r="F240" i="16"/>
  <c r="G240" i="16"/>
  <c r="H240" i="16"/>
  <c r="I240" i="16"/>
  <c r="A241" i="16"/>
  <c r="B241" i="16"/>
  <c r="C241" i="16"/>
  <c r="D241" i="16"/>
  <c r="E241" i="16"/>
  <c r="F241" i="16"/>
  <c r="G241" i="16"/>
  <c r="H241" i="16"/>
  <c r="I241" i="16"/>
  <c r="A242" i="16"/>
  <c r="B242" i="16"/>
  <c r="C242" i="16"/>
  <c r="D242" i="16"/>
  <c r="E242" i="16"/>
  <c r="F242" i="16"/>
  <c r="G242" i="16"/>
  <c r="H242" i="16"/>
  <c r="I242" i="16"/>
  <c r="A243" i="16"/>
  <c r="B243" i="16"/>
  <c r="C243" i="16"/>
  <c r="D243" i="16"/>
  <c r="E243" i="16"/>
  <c r="F243" i="16"/>
  <c r="G243" i="16"/>
  <c r="H243" i="16"/>
  <c r="I243" i="16"/>
  <c r="A244" i="16"/>
  <c r="B244" i="16"/>
  <c r="C244" i="16"/>
  <c r="D244" i="16"/>
  <c r="E244" i="16"/>
  <c r="F244" i="16"/>
  <c r="G244" i="16"/>
  <c r="H244" i="16"/>
  <c r="I244" i="16"/>
  <c r="A245" i="16"/>
  <c r="B245" i="16"/>
  <c r="C245" i="16"/>
  <c r="D245" i="16"/>
  <c r="E245" i="16"/>
  <c r="F245" i="16"/>
  <c r="G245" i="16"/>
  <c r="H245" i="16"/>
  <c r="I245" i="16"/>
  <c r="A246" i="16"/>
  <c r="B246" i="16"/>
  <c r="C246" i="16"/>
  <c r="D246" i="16"/>
  <c r="E246" i="16"/>
  <c r="F246" i="16"/>
  <c r="G246" i="16"/>
  <c r="H246" i="16"/>
  <c r="I246" i="16"/>
  <c r="A247" i="16"/>
  <c r="B247" i="16"/>
  <c r="C247" i="16"/>
  <c r="D247" i="16"/>
  <c r="E247" i="16"/>
  <c r="F247" i="16"/>
  <c r="G247" i="16"/>
  <c r="H247" i="16"/>
  <c r="I247" i="16"/>
  <c r="A248" i="16"/>
  <c r="B248" i="16"/>
  <c r="C248" i="16"/>
  <c r="D248" i="16"/>
  <c r="E248" i="16"/>
  <c r="F248" i="16"/>
  <c r="G248" i="16"/>
  <c r="H248" i="16"/>
  <c r="I248" i="16"/>
  <c r="A249" i="16"/>
  <c r="B249" i="16"/>
  <c r="C249" i="16"/>
  <c r="D249" i="16"/>
  <c r="E249" i="16"/>
  <c r="F249" i="16"/>
  <c r="G249" i="16"/>
  <c r="H249" i="16"/>
  <c r="I249" i="16"/>
  <c r="A250" i="16"/>
  <c r="B250" i="16"/>
  <c r="C250" i="16"/>
  <c r="D250" i="16"/>
  <c r="E250" i="16"/>
  <c r="F250" i="16"/>
  <c r="G250" i="16"/>
  <c r="H250" i="16"/>
  <c r="I250" i="16"/>
  <c r="A251" i="16"/>
  <c r="B251" i="16"/>
  <c r="C251" i="16"/>
  <c r="D251" i="16"/>
  <c r="E251" i="16"/>
  <c r="F251" i="16"/>
  <c r="G251" i="16"/>
  <c r="H251" i="16"/>
  <c r="I251" i="16"/>
  <c r="A252" i="16"/>
  <c r="B252" i="16"/>
  <c r="C252" i="16"/>
  <c r="D252" i="16"/>
  <c r="E252" i="16"/>
  <c r="F252" i="16"/>
  <c r="G252" i="16"/>
  <c r="H252" i="16"/>
  <c r="I252" i="16"/>
  <c r="A253" i="16"/>
  <c r="B253" i="16"/>
  <c r="C253" i="16"/>
  <c r="D253" i="16"/>
  <c r="E253" i="16"/>
  <c r="F253" i="16"/>
  <c r="G253" i="16"/>
  <c r="H253" i="16"/>
  <c r="I253" i="16"/>
  <c r="A254" i="16"/>
  <c r="B254" i="16"/>
  <c r="C254" i="16"/>
  <c r="D254" i="16"/>
  <c r="E254" i="16"/>
  <c r="F254" i="16"/>
  <c r="G254" i="16"/>
  <c r="H254" i="16"/>
  <c r="I254" i="16"/>
  <c r="A255" i="16"/>
  <c r="B255" i="16"/>
  <c r="C255" i="16"/>
  <c r="D255" i="16"/>
  <c r="E255" i="16"/>
  <c r="F255" i="16"/>
  <c r="G255" i="16"/>
  <c r="H255" i="16"/>
  <c r="I255" i="16"/>
  <c r="A256" i="16"/>
  <c r="B256" i="16"/>
  <c r="C256" i="16"/>
  <c r="D256" i="16"/>
  <c r="E256" i="16"/>
  <c r="F256" i="16"/>
  <c r="G256" i="16"/>
  <c r="H256" i="16"/>
  <c r="I256" i="16"/>
  <c r="A257" i="16"/>
  <c r="B257" i="16"/>
  <c r="C257" i="16"/>
  <c r="D257" i="16"/>
  <c r="E257" i="16"/>
  <c r="F257" i="16"/>
  <c r="G257" i="16"/>
  <c r="H257" i="16"/>
  <c r="I257" i="16"/>
  <c r="A258" i="16"/>
  <c r="B258" i="16"/>
  <c r="C258" i="16"/>
  <c r="D258" i="16"/>
  <c r="E258" i="16"/>
  <c r="F258" i="16"/>
  <c r="G258" i="16"/>
  <c r="H258" i="16"/>
  <c r="I258" i="16"/>
  <c r="A259" i="16"/>
  <c r="B259" i="16"/>
  <c r="C259" i="16"/>
  <c r="D259" i="16"/>
  <c r="E259" i="16"/>
  <c r="F259" i="16"/>
  <c r="G259" i="16"/>
  <c r="H259" i="16"/>
  <c r="I259" i="16"/>
  <c r="A260" i="16"/>
  <c r="B260" i="16"/>
  <c r="C260" i="16"/>
  <c r="D260" i="16"/>
  <c r="E260" i="16"/>
  <c r="F260" i="16"/>
  <c r="G260" i="16"/>
  <c r="H260" i="16"/>
  <c r="I260" i="16"/>
  <c r="A261" i="16"/>
  <c r="B261" i="16"/>
  <c r="C261" i="16"/>
  <c r="D261" i="16"/>
  <c r="E261" i="16"/>
  <c r="F261" i="16"/>
  <c r="G261" i="16"/>
  <c r="H261" i="16"/>
  <c r="I261" i="16"/>
  <c r="A262" i="16"/>
  <c r="B262" i="16"/>
  <c r="C262" i="16"/>
  <c r="D262" i="16"/>
  <c r="E262" i="16"/>
  <c r="F262" i="16"/>
  <c r="G262" i="16"/>
  <c r="H262" i="16"/>
  <c r="I262" i="16"/>
  <c r="A263" i="16"/>
  <c r="B263" i="16"/>
  <c r="C263" i="16"/>
  <c r="D263" i="16"/>
  <c r="E263" i="16"/>
  <c r="F263" i="16"/>
  <c r="G263" i="16"/>
  <c r="H263" i="16"/>
  <c r="I263" i="16"/>
  <c r="A264" i="16"/>
  <c r="B264" i="16"/>
  <c r="C264" i="16"/>
  <c r="D264" i="16"/>
  <c r="E264" i="16"/>
  <c r="F264" i="16"/>
  <c r="G264" i="16"/>
  <c r="H264" i="16"/>
  <c r="I264" i="16"/>
  <c r="A265" i="16"/>
  <c r="B265" i="16"/>
  <c r="C265" i="16"/>
  <c r="D265" i="16"/>
  <c r="E265" i="16"/>
  <c r="F265" i="16"/>
  <c r="G265" i="16"/>
  <c r="H265" i="16"/>
  <c r="I265" i="16"/>
  <c r="A266" i="16"/>
  <c r="B266" i="16"/>
  <c r="C266" i="16"/>
  <c r="D266" i="16"/>
  <c r="E266" i="16"/>
  <c r="F266" i="16"/>
  <c r="G266" i="16"/>
  <c r="H266" i="16"/>
  <c r="I266" i="16"/>
  <c r="A267" i="16"/>
  <c r="B267" i="16"/>
  <c r="C267" i="16"/>
  <c r="D267" i="16"/>
  <c r="E267" i="16"/>
  <c r="F267" i="16"/>
  <c r="G267" i="16"/>
  <c r="H267" i="16"/>
  <c r="I267" i="16"/>
  <c r="A268" i="16"/>
  <c r="B268" i="16"/>
  <c r="C268" i="16"/>
  <c r="D268" i="16"/>
  <c r="E268" i="16"/>
  <c r="F268" i="16"/>
  <c r="G268" i="16"/>
  <c r="H268" i="16"/>
  <c r="I268" i="16"/>
  <c r="A269" i="16"/>
  <c r="B269" i="16"/>
  <c r="C269" i="16"/>
  <c r="D269" i="16"/>
  <c r="E269" i="16"/>
  <c r="F269" i="16"/>
  <c r="G269" i="16"/>
  <c r="H269" i="16"/>
  <c r="I269" i="16"/>
  <c r="A270" i="16"/>
  <c r="B270" i="16"/>
  <c r="C270" i="16"/>
  <c r="D270" i="16"/>
  <c r="E270" i="16"/>
  <c r="F270" i="16"/>
  <c r="G270" i="16"/>
  <c r="H270" i="16"/>
  <c r="I270" i="16"/>
  <c r="A271" i="16"/>
  <c r="B271" i="16"/>
  <c r="C271" i="16"/>
  <c r="D271" i="16"/>
  <c r="E271" i="16"/>
  <c r="F271" i="16"/>
  <c r="G271" i="16"/>
  <c r="H271" i="16"/>
  <c r="I271" i="16"/>
  <c r="A272" i="16"/>
  <c r="B272" i="16"/>
  <c r="C272" i="16"/>
  <c r="D272" i="16"/>
  <c r="E272" i="16"/>
  <c r="F272" i="16"/>
  <c r="G272" i="16"/>
  <c r="H272" i="16"/>
  <c r="I272" i="16"/>
  <c r="A273" i="16"/>
  <c r="B273" i="16"/>
  <c r="C273" i="16"/>
  <c r="D273" i="16"/>
  <c r="E273" i="16"/>
  <c r="F273" i="16"/>
  <c r="G273" i="16"/>
  <c r="H273" i="16"/>
  <c r="I273" i="16"/>
  <c r="A274" i="16"/>
  <c r="B274" i="16"/>
  <c r="C274" i="16"/>
  <c r="D274" i="16"/>
  <c r="E274" i="16"/>
  <c r="F274" i="16"/>
  <c r="G274" i="16"/>
  <c r="H274" i="16"/>
  <c r="I274" i="16"/>
  <c r="A275" i="16"/>
  <c r="B275" i="16"/>
  <c r="C275" i="16"/>
  <c r="D275" i="16"/>
  <c r="E275" i="16"/>
  <c r="F275" i="16"/>
  <c r="G275" i="16"/>
  <c r="H275" i="16"/>
  <c r="I275" i="16"/>
  <c r="A276" i="16"/>
  <c r="B276" i="16"/>
  <c r="C276" i="16"/>
  <c r="D276" i="16"/>
  <c r="E276" i="16"/>
  <c r="F276" i="16"/>
  <c r="G276" i="16"/>
  <c r="H276" i="16"/>
  <c r="I276" i="16"/>
  <c r="A277" i="16"/>
  <c r="B277" i="16"/>
  <c r="C277" i="16"/>
  <c r="D277" i="16"/>
  <c r="E277" i="16"/>
  <c r="F277" i="16"/>
  <c r="G277" i="16"/>
  <c r="H277" i="16"/>
  <c r="I277" i="16"/>
  <c r="A278" i="16"/>
  <c r="B278" i="16"/>
  <c r="C278" i="16"/>
  <c r="D278" i="16"/>
  <c r="E278" i="16"/>
  <c r="F278" i="16"/>
  <c r="G278" i="16"/>
  <c r="H278" i="16"/>
  <c r="I278" i="16"/>
  <c r="A279" i="16"/>
  <c r="B279" i="16"/>
  <c r="C279" i="16"/>
  <c r="D279" i="16"/>
  <c r="E279" i="16"/>
  <c r="F279" i="16"/>
  <c r="G279" i="16"/>
  <c r="H279" i="16"/>
  <c r="I279" i="16"/>
  <c r="A280" i="16"/>
  <c r="B280" i="16"/>
  <c r="C280" i="16"/>
  <c r="D280" i="16"/>
  <c r="E280" i="16"/>
  <c r="F280" i="16"/>
  <c r="G280" i="16"/>
  <c r="H280" i="16"/>
  <c r="I280" i="16"/>
  <c r="A281" i="16"/>
  <c r="B281" i="16"/>
  <c r="C281" i="16"/>
  <c r="D281" i="16"/>
  <c r="E281" i="16"/>
  <c r="F281" i="16"/>
  <c r="G281" i="16"/>
  <c r="H281" i="16"/>
  <c r="I281" i="16"/>
  <c r="A282" i="16"/>
  <c r="B282" i="16"/>
  <c r="C282" i="16"/>
  <c r="D282" i="16"/>
  <c r="E282" i="16"/>
  <c r="F282" i="16"/>
  <c r="G282" i="16"/>
  <c r="H282" i="16"/>
  <c r="I282" i="16"/>
  <c r="A283" i="16"/>
  <c r="B283" i="16"/>
  <c r="C283" i="16"/>
  <c r="D283" i="16"/>
  <c r="E283" i="16"/>
  <c r="F283" i="16"/>
  <c r="G283" i="16"/>
  <c r="H283" i="16"/>
  <c r="I283" i="16"/>
  <c r="A284" i="16"/>
  <c r="B284" i="16"/>
  <c r="C284" i="16"/>
  <c r="D284" i="16"/>
  <c r="E284" i="16"/>
  <c r="F284" i="16"/>
  <c r="G284" i="16"/>
  <c r="H284" i="16"/>
  <c r="I284" i="16"/>
  <c r="A285" i="16"/>
  <c r="B285" i="16"/>
  <c r="C285" i="16"/>
  <c r="D285" i="16"/>
  <c r="E285" i="16"/>
  <c r="F285" i="16"/>
  <c r="G285" i="16"/>
  <c r="H285" i="16"/>
  <c r="I285" i="16"/>
  <c r="A286" i="16"/>
  <c r="B286" i="16"/>
  <c r="C286" i="16"/>
  <c r="D286" i="16"/>
  <c r="E286" i="16"/>
  <c r="F286" i="16"/>
  <c r="G286" i="16"/>
  <c r="H286" i="16"/>
  <c r="I286" i="16"/>
  <c r="A287" i="16"/>
  <c r="B287" i="16"/>
  <c r="C287" i="16"/>
  <c r="D287" i="16"/>
  <c r="E287" i="16"/>
  <c r="F287" i="16"/>
  <c r="G287" i="16"/>
  <c r="H287" i="16"/>
  <c r="I287" i="16"/>
  <c r="A288" i="16"/>
  <c r="B288" i="16"/>
  <c r="C288" i="16"/>
  <c r="D288" i="16"/>
  <c r="E288" i="16"/>
  <c r="F288" i="16"/>
  <c r="G288" i="16"/>
  <c r="H288" i="16"/>
  <c r="I288" i="16"/>
  <c r="A289" i="16"/>
  <c r="B289" i="16"/>
  <c r="C289" i="16"/>
  <c r="D289" i="16"/>
  <c r="E289" i="16"/>
  <c r="F289" i="16"/>
  <c r="G289" i="16"/>
  <c r="H289" i="16"/>
  <c r="I289" i="16"/>
  <c r="A290" i="16"/>
  <c r="B290" i="16"/>
  <c r="C290" i="16"/>
  <c r="D290" i="16"/>
  <c r="E290" i="16"/>
  <c r="F290" i="16"/>
  <c r="G290" i="16"/>
  <c r="H290" i="16"/>
  <c r="I290" i="16"/>
  <c r="A291" i="16"/>
  <c r="B291" i="16"/>
  <c r="C291" i="16"/>
  <c r="D291" i="16"/>
  <c r="E291" i="16"/>
  <c r="F291" i="16"/>
  <c r="G291" i="16"/>
  <c r="H291" i="16"/>
  <c r="I291" i="16"/>
  <c r="A292" i="16"/>
  <c r="B292" i="16"/>
  <c r="C292" i="16"/>
  <c r="D292" i="16"/>
  <c r="E292" i="16"/>
  <c r="F292" i="16"/>
  <c r="G292" i="16"/>
  <c r="H292" i="16"/>
  <c r="I292" i="16"/>
  <c r="A293" i="16"/>
  <c r="B293" i="16"/>
  <c r="C293" i="16"/>
  <c r="D293" i="16"/>
  <c r="E293" i="16"/>
  <c r="F293" i="16"/>
  <c r="G293" i="16"/>
  <c r="H293" i="16"/>
  <c r="I293" i="16"/>
  <c r="A294" i="16"/>
  <c r="B294" i="16"/>
  <c r="C294" i="16"/>
  <c r="D294" i="16"/>
  <c r="E294" i="16"/>
  <c r="F294" i="16"/>
  <c r="G294" i="16"/>
  <c r="H294" i="16"/>
  <c r="I294" i="16"/>
  <c r="A295" i="16"/>
  <c r="B295" i="16"/>
  <c r="C295" i="16"/>
  <c r="D295" i="16"/>
  <c r="E295" i="16"/>
  <c r="F295" i="16"/>
  <c r="G295" i="16"/>
  <c r="H295" i="16"/>
  <c r="I295" i="16"/>
  <c r="A296" i="16"/>
  <c r="B296" i="16"/>
  <c r="C296" i="16"/>
  <c r="D296" i="16"/>
  <c r="E296" i="16"/>
  <c r="F296" i="16"/>
  <c r="G296" i="16"/>
  <c r="H296" i="16"/>
  <c r="I296" i="16"/>
  <c r="A297" i="16"/>
  <c r="B297" i="16"/>
  <c r="C297" i="16"/>
  <c r="D297" i="16"/>
  <c r="E297" i="16"/>
  <c r="F297" i="16"/>
  <c r="G297" i="16"/>
  <c r="H297" i="16"/>
  <c r="I297" i="16"/>
  <c r="A298" i="16"/>
  <c r="B298" i="16"/>
  <c r="C298" i="16"/>
  <c r="D298" i="16"/>
  <c r="E298" i="16"/>
  <c r="F298" i="16"/>
  <c r="G298" i="16"/>
  <c r="H298" i="16"/>
  <c r="I298" i="16"/>
  <c r="A299" i="16"/>
  <c r="B299" i="16"/>
  <c r="C299" i="16"/>
  <c r="D299" i="16"/>
  <c r="E299" i="16"/>
  <c r="F299" i="16"/>
  <c r="G299" i="16"/>
  <c r="H299" i="16"/>
  <c r="I299" i="16"/>
  <c r="A300" i="16"/>
  <c r="B300" i="16"/>
  <c r="C300" i="16"/>
  <c r="D300" i="16"/>
  <c r="E300" i="16"/>
  <c r="F300" i="16"/>
  <c r="G300" i="16"/>
  <c r="H300" i="16"/>
  <c r="I300" i="16"/>
  <c r="A301" i="16"/>
  <c r="B301" i="16"/>
  <c r="C301" i="16"/>
  <c r="D301" i="16"/>
  <c r="E301" i="16"/>
  <c r="F301" i="16"/>
  <c r="G301" i="16"/>
  <c r="H301" i="16"/>
  <c r="I301" i="16"/>
  <c r="A302" i="16"/>
  <c r="B302" i="16"/>
  <c r="C302" i="16"/>
  <c r="D302" i="16"/>
  <c r="E302" i="16"/>
  <c r="F302" i="16"/>
  <c r="G302" i="16"/>
  <c r="H302" i="16"/>
  <c r="I302" i="16"/>
  <c r="A303" i="16"/>
  <c r="B303" i="16"/>
  <c r="C303" i="16"/>
  <c r="D303" i="16"/>
  <c r="E303" i="16"/>
  <c r="F303" i="16"/>
  <c r="G303" i="16"/>
  <c r="H303" i="16"/>
  <c r="I303" i="16"/>
  <c r="A304" i="16"/>
  <c r="B304" i="16"/>
  <c r="C304" i="16"/>
  <c r="D304" i="16"/>
  <c r="E304" i="16"/>
  <c r="F304" i="16"/>
  <c r="G304" i="16"/>
  <c r="H304" i="16"/>
  <c r="I304" i="16"/>
  <c r="A305" i="16"/>
  <c r="B305" i="16"/>
  <c r="C305" i="16"/>
  <c r="D305" i="16"/>
  <c r="E305" i="16"/>
  <c r="F305" i="16"/>
  <c r="G305" i="16"/>
  <c r="H305" i="16"/>
  <c r="I305" i="16"/>
  <c r="A306" i="16"/>
  <c r="B306" i="16"/>
  <c r="C306" i="16"/>
  <c r="D306" i="16"/>
  <c r="E306" i="16"/>
  <c r="F306" i="16"/>
  <c r="G306" i="16"/>
  <c r="H306" i="16"/>
  <c r="I306" i="16"/>
  <c r="A307" i="16"/>
  <c r="B307" i="16"/>
  <c r="C307" i="16"/>
  <c r="D307" i="16"/>
  <c r="E307" i="16"/>
  <c r="F307" i="16"/>
  <c r="G307" i="16"/>
  <c r="H307" i="16"/>
  <c r="I307" i="16"/>
  <c r="A308" i="16"/>
  <c r="B308" i="16"/>
  <c r="C308" i="16"/>
  <c r="D308" i="16"/>
  <c r="E308" i="16"/>
  <c r="F308" i="16"/>
  <c r="G308" i="16"/>
  <c r="H308" i="16"/>
  <c r="I308" i="16"/>
  <c r="A309" i="16"/>
  <c r="B309" i="16"/>
  <c r="C309" i="16"/>
  <c r="D309" i="16"/>
  <c r="E309" i="16"/>
  <c r="F309" i="16"/>
  <c r="G309" i="16"/>
  <c r="H309" i="16"/>
  <c r="I309" i="16"/>
  <c r="A310" i="16"/>
  <c r="B310" i="16"/>
  <c r="C310" i="16"/>
  <c r="D310" i="16"/>
  <c r="E310" i="16"/>
  <c r="F310" i="16"/>
  <c r="G310" i="16"/>
  <c r="H310" i="16"/>
  <c r="I310" i="16"/>
  <c r="A311" i="16"/>
  <c r="B311" i="16"/>
  <c r="C311" i="16"/>
  <c r="D311" i="16"/>
  <c r="E311" i="16"/>
  <c r="F311" i="16"/>
  <c r="G311" i="16"/>
  <c r="H311" i="16"/>
  <c r="I311" i="16"/>
  <c r="A312" i="16"/>
  <c r="B312" i="16"/>
  <c r="C312" i="16"/>
  <c r="D312" i="16"/>
  <c r="E312" i="16"/>
  <c r="F312" i="16"/>
  <c r="G312" i="16"/>
  <c r="H312" i="16"/>
  <c r="I312" i="16"/>
  <c r="A313" i="16"/>
  <c r="B313" i="16"/>
  <c r="C313" i="16"/>
  <c r="D313" i="16"/>
  <c r="E313" i="16"/>
  <c r="F313" i="16"/>
  <c r="G313" i="16"/>
  <c r="H313" i="16"/>
  <c r="I313" i="16"/>
  <c r="A314" i="16"/>
  <c r="B314" i="16"/>
  <c r="C314" i="16"/>
  <c r="D314" i="16"/>
  <c r="E314" i="16"/>
  <c r="F314" i="16"/>
  <c r="G314" i="16"/>
  <c r="H314" i="16"/>
  <c r="I314" i="16"/>
  <c r="A315" i="16"/>
  <c r="B315" i="16"/>
  <c r="C315" i="16"/>
  <c r="D315" i="16"/>
  <c r="E315" i="16"/>
  <c r="F315" i="16"/>
  <c r="G315" i="16"/>
  <c r="H315" i="16"/>
  <c r="I315" i="16"/>
  <c r="A316" i="16"/>
  <c r="B316" i="16"/>
  <c r="C316" i="16"/>
  <c r="D316" i="16"/>
  <c r="E316" i="16"/>
  <c r="F316" i="16"/>
  <c r="G316" i="16"/>
  <c r="H316" i="16"/>
  <c r="I316" i="16"/>
  <c r="A317" i="16"/>
  <c r="B317" i="16"/>
  <c r="C317" i="16"/>
  <c r="D317" i="16"/>
  <c r="E317" i="16"/>
  <c r="F317" i="16"/>
  <c r="G317" i="16"/>
  <c r="H317" i="16"/>
  <c r="I317" i="16"/>
  <c r="A318" i="16"/>
  <c r="B318" i="16"/>
  <c r="C318" i="16"/>
  <c r="D318" i="16"/>
  <c r="E318" i="16"/>
  <c r="F318" i="16"/>
  <c r="G318" i="16"/>
  <c r="H318" i="16"/>
  <c r="I318" i="16"/>
  <c r="A319" i="16"/>
  <c r="B319" i="16"/>
  <c r="C319" i="16"/>
  <c r="D319" i="16"/>
  <c r="E319" i="16"/>
  <c r="F319" i="16"/>
  <c r="G319" i="16"/>
  <c r="H319" i="16"/>
  <c r="I319" i="16"/>
  <c r="A320" i="16"/>
  <c r="B320" i="16"/>
  <c r="C320" i="16"/>
  <c r="D320" i="16"/>
  <c r="E320" i="16"/>
  <c r="F320" i="16"/>
  <c r="G320" i="16"/>
  <c r="H320" i="16"/>
  <c r="I320" i="16"/>
  <c r="A321" i="16"/>
  <c r="B321" i="16"/>
  <c r="C321" i="16"/>
  <c r="D321" i="16"/>
  <c r="E321" i="16"/>
  <c r="F321" i="16"/>
  <c r="G321" i="16"/>
  <c r="H321" i="16"/>
  <c r="I321" i="16"/>
  <c r="A322" i="16"/>
  <c r="B322" i="16"/>
  <c r="C322" i="16"/>
  <c r="D322" i="16"/>
  <c r="E322" i="16"/>
  <c r="F322" i="16"/>
  <c r="G322" i="16"/>
  <c r="H322" i="16"/>
  <c r="I322" i="16"/>
  <c r="A323" i="16"/>
  <c r="B323" i="16"/>
  <c r="C323" i="16"/>
  <c r="D323" i="16"/>
  <c r="E323" i="16"/>
  <c r="F323" i="16"/>
  <c r="G323" i="16"/>
  <c r="H323" i="16"/>
  <c r="I323" i="16"/>
  <c r="A324" i="16"/>
  <c r="B324" i="16"/>
  <c r="C324" i="16"/>
  <c r="D324" i="16"/>
  <c r="E324" i="16"/>
  <c r="F324" i="16"/>
  <c r="G324" i="16"/>
  <c r="H324" i="16"/>
  <c r="I324" i="16"/>
  <c r="A325" i="16"/>
  <c r="B325" i="16"/>
  <c r="C325" i="16"/>
  <c r="D325" i="16"/>
  <c r="E325" i="16"/>
  <c r="F325" i="16"/>
  <c r="G325" i="16"/>
  <c r="H325" i="16"/>
  <c r="I325" i="16"/>
  <c r="A326" i="16"/>
  <c r="B326" i="16"/>
  <c r="C326" i="16"/>
  <c r="D326" i="16"/>
  <c r="E326" i="16"/>
  <c r="F326" i="16"/>
  <c r="G326" i="16"/>
  <c r="H326" i="16"/>
  <c r="I326" i="16"/>
  <c r="A327" i="16"/>
  <c r="B327" i="16"/>
  <c r="C327" i="16"/>
  <c r="D327" i="16"/>
  <c r="E327" i="16"/>
  <c r="F327" i="16"/>
  <c r="G327" i="16"/>
  <c r="H327" i="16"/>
  <c r="I327" i="16"/>
  <c r="A328" i="16"/>
  <c r="B328" i="16"/>
  <c r="C328" i="16"/>
  <c r="D328" i="16"/>
  <c r="E328" i="16"/>
  <c r="F328" i="16"/>
  <c r="G328" i="16"/>
  <c r="H328" i="16"/>
  <c r="I328" i="16"/>
  <c r="A329" i="16"/>
  <c r="B329" i="16"/>
  <c r="C329" i="16"/>
  <c r="D329" i="16"/>
  <c r="E329" i="16"/>
  <c r="F329" i="16"/>
  <c r="G329" i="16"/>
  <c r="H329" i="16"/>
  <c r="I329" i="16"/>
  <c r="A330" i="16"/>
  <c r="B330" i="16"/>
  <c r="C330" i="16"/>
  <c r="D330" i="16"/>
  <c r="E330" i="16"/>
  <c r="F330" i="16"/>
  <c r="G330" i="16"/>
  <c r="H330" i="16"/>
  <c r="I330" i="16"/>
  <c r="A331" i="16"/>
  <c r="B331" i="16"/>
  <c r="C331" i="16"/>
  <c r="D331" i="16"/>
  <c r="E331" i="16"/>
  <c r="F331" i="16"/>
  <c r="G331" i="16"/>
  <c r="H331" i="16"/>
  <c r="I331" i="16"/>
  <c r="A332" i="16"/>
  <c r="B332" i="16"/>
  <c r="C332" i="16"/>
  <c r="D332" i="16"/>
  <c r="E332" i="16"/>
  <c r="F332" i="16"/>
  <c r="G332" i="16"/>
  <c r="H332" i="16"/>
  <c r="I332" i="16"/>
  <c r="A333" i="16"/>
  <c r="B333" i="16"/>
  <c r="C333" i="16"/>
  <c r="D333" i="16"/>
  <c r="E333" i="16"/>
  <c r="F333" i="16"/>
  <c r="G333" i="16"/>
  <c r="H333" i="16"/>
  <c r="I333" i="16"/>
  <c r="A334" i="16"/>
  <c r="B334" i="16"/>
  <c r="C334" i="16"/>
  <c r="D334" i="16"/>
  <c r="E334" i="16"/>
  <c r="F334" i="16"/>
  <c r="G334" i="16"/>
  <c r="H334" i="16"/>
  <c r="I334" i="16"/>
  <c r="A335" i="16"/>
  <c r="B335" i="16"/>
  <c r="C335" i="16"/>
  <c r="D335" i="16"/>
  <c r="E335" i="16"/>
  <c r="F335" i="16"/>
  <c r="G335" i="16"/>
  <c r="H335" i="16"/>
  <c r="I335" i="16"/>
  <c r="A336" i="16"/>
  <c r="B336" i="16"/>
  <c r="C336" i="16"/>
  <c r="D336" i="16"/>
  <c r="E336" i="16"/>
  <c r="F336" i="16"/>
  <c r="G336" i="16"/>
  <c r="H336" i="16"/>
  <c r="I336" i="16"/>
  <c r="A337" i="16"/>
  <c r="B337" i="16"/>
  <c r="C337" i="16"/>
  <c r="D337" i="16"/>
  <c r="E337" i="16"/>
  <c r="F337" i="16"/>
  <c r="G337" i="16"/>
  <c r="H337" i="16"/>
  <c r="I337" i="16"/>
  <c r="A338" i="16"/>
  <c r="B338" i="16"/>
  <c r="C338" i="16"/>
  <c r="D338" i="16"/>
  <c r="E338" i="16"/>
  <c r="F338" i="16"/>
  <c r="G338" i="16"/>
  <c r="H338" i="16"/>
  <c r="I338" i="16"/>
  <c r="A339" i="16"/>
  <c r="B339" i="16"/>
  <c r="C339" i="16"/>
  <c r="D339" i="16"/>
  <c r="E339" i="16"/>
  <c r="F339" i="16"/>
  <c r="G339" i="16"/>
  <c r="H339" i="16"/>
  <c r="I339" i="16"/>
  <c r="A340" i="16"/>
  <c r="B340" i="16"/>
  <c r="C340" i="16"/>
  <c r="D340" i="16"/>
  <c r="E340" i="16"/>
  <c r="F340" i="16"/>
  <c r="G340" i="16"/>
  <c r="H340" i="16"/>
  <c r="I340" i="16"/>
  <c r="A341" i="16"/>
  <c r="B341" i="16"/>
  <c r="C341" i="16"/>
  <c r="D341" i="16"/>
  <c r="E341" i="16"/>
  <c r="F341" i="16"/>
  <c r="G341" i="16"/>
  <c r="H341" i="16"/>
  <c r="I341" i="16"/>
  <c r="A342" i="16"/>
  <c r="B342" i="16"/>
  <c r="C342" i="16"/>
  <c r="D342" i="16"/>
  <c r="E342" i="16"/>
  <c r="F342" i="16"/>
  <c r="G342" i="16"/>
  <c r="H342" i="16"/>
  <c r="I342" i="16"/>
  <c r="A343" i="16"/>
  <c r="B343" i="16"/>
  <c r="C343" i="16"/>
  <c r="D343" i="16"/>
  <c r="E343" i="16"/>
  <c r="F343" i="16"/>
  <c r="G343" i="16"/>
  <c r="H343" i="16"/>
  <c r="I343" i="16"/>
  <c r="A344" i="16"/>
  <c r="B344" i="16"/>
  <c r="C344" i="16"/>
  <c r="D344" i="16"/>
  <c r="E344" i="16"/>
  <c r="F344" i="16"/>
  <c r="G344" i="16"/>
  <c r="H344" i="16"/>
  <c r="I344" i="16"/>
  <c r="A345" i="16"/>
  <c r="B345" i="16"/>
  <c r="C345" i="16"/>
  <c r="D345" i="16"/>
  <c r="E345" i="16"/>
  <c r="F345" i="16"/>
  <c r="G345" i="16"/>
  <c r="H345" i="16"/>
  <c r="I345" i="16"/>
  <c r="A346" i="16"/>
  <c r="B346" i="16"/>
  <c r="C346" i="16"/>
  <c r="D346" i="16"/>
  <c r="E346" i="16"/>
  <c r="F346" i="16"/>
  <c r="G346" i="16"/>
  <c r="H346" i="16"/>
  <c r="I346" i="16"/>
  <c r="A347" i="16"/>
  <c r="B347" i="16"/>
  <c r="C347" i="16"/>
  <c r="D347" i="16"/>
  <c r="E347" i="16"/>
  <c r="F347" i="16"/>
  <c r="G347" i="16"/>
  <c r="H347" i="16"/>
  <c r="I347" i="16"/>
  <c r="A348" i="16"/>
  <c r="B348" i="16"/>
  <c r="C348" i="16"/>
  <c r="D348" i="16"/>
  <c r="E348" i="16"/>
  <c r="F348" i="16"/>
  <c r="G348" i="16"/>
  <c r="H348" i="16"/>
  <c r="I348" i="16"/>
  <c r="A349" i="16"/>
  <c r="B349" i="16"/>
  <c r="C349" i="16"/>
  <c r="D349" i="16"/>
  <c r="E349" i="16"/>
  <c r="F349" i="16"/>
  <c r="G349" i="16"/>
  <c r="H349" i="16"/>
  <c r="I349" i="16"/>
  <c r="A350" i="16"/>
  <c r="B350" i="16"/>
  <c r="C350" i="16"/>
  <c r="D350" i="16"/>
  <c r="E350" i="16"/>
  <c r="F350" i="16"/>
  <c r="G350" i="16"/>
  <c r="H350" i="16"/>
  <c r="I350" i="16"/>
  <c r="A351" i="16"/>
  <c r="B351" i="16"/>
  <c r="C351" i="16"/>
  <c r="D351" i="16"/>
  <c r="E351" i="16"/>
  <c r="F351" i="16"/>
  <c r="G351" i="16"/>
  <c r="H351" i="16"/>
  <c r="I351" i="16"/>
  <c r="A352" i="16"/>
  <c r="B352" i="16"/>
  <c r="C352" i="16"/>
  <c r="D352" i="16"/>
  <c r="E352" i="16"/>
  <c r="F352" i="16"/>
  <c r="G352" i="16"/>
  <c r="H352" i="16"/>
  <c r="I352" i="16"/>
  <c r="A353" i="16"/>
  <c r="B353" i="16"/>
  <c r="C353" i="16"/>
  <c r="D353" i="16"/>
  <c r="E353" i="16"/>
  <c r="F353" i="16"/>
  <c r="G353" i="16"/>
  <c r="H353" i="16"/>
  <c r="I353" i="16"/>
  <c r="A354" i="16"/>
  <c r="B354" i="16"/>
  <c r="C354" i="16"/>
  <c r="D354" i="16"/>
  <c r="E354" i="16"/>
  <c r="F354" i="16"/>
  <c r="G354" i="16"/>
  <c r="H354" i="16"/>
  <c r="I354" i="16"/>
  <c r="A355" i="16"/>
  <c r="B355" i="16"/>
  <c r="C355" i="16"/>
  <c r="D355" i="16"/>
  <c r="E355" i="16"/>
  <c r="F355" i="16"/>
  <c r="G355" i="16"/>
  <c r="H355" i="16"/>
  <c r="I355" i="16"/>
  <c r="A356" i="16"/>
  <c r="B356" i="16"/>
  <c r="C356" i="16"/>
  <c r="D356" i="16"/>
  <c r="E356" i="16"/>
  <c r="F356" i="16"/>
  <c r="G356" i="16"/>
  <c r="H356" i="16"/>
  <c r="I356" i="16"/>
  <c r="A357" i="16"/>
  <c r="B357" i="16"/>
  <c r="C357" i="16"/>
  <c r="D357" i="16"/>
  <c r="E357" i="16"/>
  <c r="F357" i="16"/>
  <c r="G357" i="16"/>
  <c r="H357" i="16"/>
  <c r="I357" i="16"/>
  <c r="A358" i="16"/>
  <c r="B358" i="16"/>
  <c r="C358" i="16"/>
  <c r="D358" i="16"/>
  <c r="E358" i="16"/>
  <c r="F358" i="16"/>
  <c r="G358" i="16"/>
  <c r="H358" i="16"/>
  <c r="I358" i="16"/>
  <c r="A359" i="16"/>
  <c r="B359" i="16"/>
  <c r="C359" i="16"/>
  <c r="D359" i="16"/>
  <c r="E359" i="16"/>
  <c r="F359" i="16"/>
  <c r="G359" i="16"/>
  <c r="H359" i="16"/>
  <c r="I359" i="16"/>
  <c r="A360" i="16"/>
  <c r="B360" i="16"/>
  <c r="C360" i="16"/>
  <c r="D360" i="16"/>
  <c r="E360" i="16"/>
  <c r="F360" i="16"/>
  <c r="G360" i="16"/>
  <c r="H360" i="16"/>
  <c r="I360" i="16"/>
  <c r="A361" i="16"/>
  <c r="B361" i="16"/>
  <c r="C361" i="16"/>
  <c r="D361" i="16"/>
  <c r="E361" i="16"/>
  <c r="F361" i="16"/>
  <c r="G361" i="16"/>
  <c r="H361" i="16"/>
  <c r="I361" i="16"/>
  <c r="A362" i="16"/>
  <c r="B362" i="16"/>
  <c r="C362" i="16"/>
  <c r="D362" i="16"/>
  <c r="E362" i="16"/>
  <c r="F362" i="16"/>
  <c r="G362" i="16"/>
  <c r="H362" i="16"/>
  <c r="I362" i="16"/>
  <c r="A363" i="16"/>
  <c r="B363" i="16"/>
  <c r="C363" i="16"/>
  <c r="D363" i="16"/>
  <c r="E363" i="16"/>
  <c r="F363" i="16"/>
  <c r="G363" i="16"/>
  <c r="H363" i="16"/>
  <c r="I363" i="16"/>
  <c r="A364" i="16"/>
  <c r="B364" i="16"/>
  <c r="C364" i="16"/>
  <c r="D364" i="16"/>
  <c r="E364" i="16"/>
  <c r="F364" i="16"/>
  <c r="G364" i="16"/>
  <c r="H364" i="16"/>
  <c r="I364" i="16"/>
  <c r="A365" i="16"/>
  <c r="B365" i="16"/>
  <c r="C365" i="16"/>
  <c r="D365" i="16"/>
  <c r="E365" i="16"/>
  <c r="F365" i="16"/>
  <c r="G365" i="16"/>
  <c r="H365" i="16"/>
  <c r="I365" i="16"/>
  <c r="A366" i="16"/>
  <c r="B366" i="16"/>
  <c r="C366" i="16"/>
  <c r="D366" i="16"/>
  <c r="E366" i="16"/>
  <c r="F366" i="16"/>
  <c r="G366" i="16"/>
  <c r="H366" i="16"/>
  <c r="I366" i="16"/>
  <c r="A367" i="16"/>
  <c r="B367" i="16"/>
  <c r="C367" i="16"/>
  <c r="D367" i="16"/>
  <c r="E367" i="16"/>
  <c r="F367" i="16"/>
  <c r="G367" i="16"/>
  <c r="H367" i="16"/>
  <c r="I367" i="16"/>
  <c r="A368" i="16"/>
  <c r="B368" i="16"/>
  <c r="C368" i="16"/>
  <c r="D368" i="16"/>
  <c r="E368" i="16"/>
  <c r="F368" i="16"/>
  <c r="G368" i="16"/>
  <c r="H368" i="16"/>
  <c r="I368" i="16"/>
  <c r="A369" i="16"/>
  <c r="B369" i="16"/>
  <c r="C369" i="16"/>
  <c r="D369" i="16"/>
  <c r="E369" i="16"/>
  <c r="F369" i="16"/>
  <c r="G369" i="16"/>
  <c r="H369" i="16"/>
  <c r="I369" i="16"/>
  <c r="A370" i="16"/>
  <c r="B370" i="16"/>
  <c r="C370" i="16"/>
  <c r="D370" i="16"/>
  <c r="E370" i="16"/>
  <c r="F370" i="16"/>
  <c r="G370" i="16"/>
  <c r="H370" i="16"/>
  <c r="I370" i="16"/>
  <c r="A371" i="16"/>
  <c r="B371" i="16"/>
  <c r="C371" i="16"/>
  <c r="D371" i="16"/>
  <c r="E371" i="16"/>
  <c r="F371" i="16"/>
  <c r="G371" i="16"/>
  <c r="H371" i="16"/>
  <c r="I371" i="16"/>
  <c r="A372" i="16"/>
  <c r="B372" i="16"/>
  <c r="C372" i="16"/>
  <c r="D372" i="16"/>
  <c r="E372" i="16"/>
  <c r="F372" i="16"/>
  <c r="G372" i="16"/>
  <c r="H372" i="16"/>
  <c r="I372" i="16"/>
  <c r="A373" i="16"/>
  <c r="B373" i="16"/>
  <c r="C373" i="16"/>
  <c r="D373" i="16"/>
  <c r="E373" i="16"/>
  <c r="F373" i="16"/>
  <c r="G373" i="16"/>
  <c r="H373" i="16"/>
  <c r="I373" i="16"/>
  <c r="A374" i="16"/>
  <c r="B374" i="16"/>
  <c r="C374" i="16"/>
  <c r="D374" i="16"/>
  <c r="E374" i="16"/>
  <c r="F374" i="16"/>
  <c r="G374" i="16"/>
  <c r="H374" i="16"/>
  <c r="I374" i="16"/>
  <c r="A375" i="16"/>
  <c r="B375" i="16"/>
  <c r="C375" i="16"/>
  <c r="D375" i="16"/>
  <c r="E375" i="16"/>
  <c r="F375" i="16"/>
  <c r="G375" i="16"/>
  <c r="H375" i="16"/>
  <c r="I375" i="16"/>
  <c r="A376" i="16"/>
  <c r="B376" i="16"/>
  <c r="C376" i="16"/>
  <c r="D376" i="16"/>
  <c r="E376" i="16"/>
  <c r="F376" i="16"/>
  <c r="G376" i="16"/>
  <c r="H376" i="16"/>
  <c r="I376" i="16"/>
  <c r="A377" i="16"/>
  <c r="B377" i="16"/>
  <c r="C377" i="16"/>
  <c r="D377" i="16"/>
  <c r="E377" i="16"/>
  <c r="F377" i="16"/>
  <c r="G377" i="16"/>
  <c r="H377" i="16"/>
  <c r="I377" i="16"/>
  <c r="A378" i="16"/>
  <c r="B378" i="16"/>
  <c r="C378" i="16"/>
  <c r="D378" i="16"/>
  <c r="E378" i="16"/>
  <c r="F378" i="16"/>
  <c r="G378" i="16"/>
  <c r="H378" i="16"/>
  <c r="I378" i="16"/>
  <c r="A379" i="16"/>
  <c r="B379" i="16"/>
  <c r="C379" i="16"/>
  <c r="D379" i="16"/>
  <c r="E379" i="16"/>
  <c r="F379" i="16"/>
  <c r="G379" i="16"/>
  <c r="H379" i="16"/>
  <c r="I379" i="16"/>
  <c r="A380" i="16"/>
  <c r="B380" i="16"/>
  <c r="C380" i="16"/>
  <c r="D380" i="16"/>
  <c r="E380" i="16"/>
  <c r="F380" i="16"/>
  <c r="G380" i="16"/>
  <c r="H380" i="16"/>
  <c r="I380" i="16"/>
  <c r="A381" i="16"/>
  <c r="B381" i="16"/>
  <c r="C381" i="16"/>
  <c r="D381" i="16"/>
  <c r="E381" i="16"/>
  <c r="F381" i="16"/>
  <c r="G381" i="16"/>
  <c r="H381" i="16"/>
  <c r="I381" i="16"/>
  <c r="A382" i="16"/>
  <c r="B382" i="16"/>
  <c r="C382" i="16"/>
  <c r="D382" i="16"/>
  <c r="E382" i="16"/>
  <c r="F382" i="16"/>
  <c r="G382" i="16"/>
  <c r="H382" i="16"/>
  <c r="I382" i="16"/>
  <c r="A383" i="16"/>
  <c r="B383" i="16"/>
  <c r="C383" i="16"/>
  <c r="D383" i="16"/>
  <c r="E383" i="16"/>
  <c r="F383" i="16"/>
  <c r="G383" i="16"/>
  <c r="H383" i="16"/>
  <c r="I383" i="16"/>
  <c r="A384" i="16"/>
  <c r="B384" i="16"/>
  <c r="C384" i="16"/>
  <c r="D384" i="16"/>
  <c r="E384" i="16"/>
  <c r="F384" i="16"/>
  <c r="G384" i="16"/>
  <c r="H384" i="16"/>
  <c r="I384" i="16"/>
  <c r="A385" i="16"/>
  <c r="B385" i="16"/>
  <c r="C385" i="16"/>
  <c r="D385" i="16"/>
  <c r="E385" i="16"/>
  <c r="F385" i="16"/>
  <c r="G385" i="16"/>
  <c r="H385" i="16"/>
  <c r="I385" i="16"/>
  <c r="A386" i="16"/>
  <c r="B386" i="16"/>
  <c r="C386" i="16"/>
  <c r="D386" i="16"/>
  <c r="E386" i="16"/>
  <c r="F386" i="16"/>
  <c r="G386" i="16"/>
  <c r="H386" i="16"/>
  <c r="I386" i="16"/>
  <c r="A387" i="16"/>
  <c r="B387" i="16"/>
  <c r="C387" i="16"/>
  <c r="D387" i="16"/>
  <c r="E387" i="16"/>
  <c r="F387" i="16"/>
  <c r="G387" i="16"/>
  <c r="H387" i="16"/>
  <c r="I387" i="16"/>
  <c r="A388" i="16"/>
  <c r="B388" i="16"/>
  <c r="C388" i="16"/>
  <c r="D388" i="16"/>
  <c r="E388" i="16"/>
  <c r="F388" i="16"/>
  <c r="G388" i="16"/>
  <c r="H388" i="16"/>
  <c r="I388" i="16"/>
  <c r="A389" i="16"/>
  <c r="B389" i="16"/>
  <c r="C389" i="16"/>
  <c r="D389" i="16"/>
  <c r="E389" i="16"/>
  <c r="F389" i="16"/>
  <c r="G389" i="16"/>
  <c r="H389" i="16"/>
  <c r="I389" i="16"/>
  <c r="A390" i="16"/>
  <c r="B390" i="16"/>
  <c r="C390" i="16"/>
  <c r="D390" i="16"/>
  <c r="E390" i="16"/>
  <c r="F390" i="16"/>
  <c r="G390" i="16"/>
  <c r="H390" i="16"/>
  <c r="I390" i="16"/>
  <c r="A391" i="16"/>
  <c r="B391" i="16"/>
  <c r="C391" i="16"/>
  <c r="D391" i="16"/>
  <c r="E391" i="16"/>
  <c r="F391" i="16"/>
  <c r="G391" i="16"/>
  <c r="H391" i="16"/>
  <c r="I391" i="16"/>
  <c r="A392" i="16"/>
  <c r="B392" i="16"/>
  <c r="C392" i="16"/>
  <c r="D392" i="16"/>
  <c r="E392" i="16"/>
  <c r="F392" i="16"/>
  <c r="G392" i="16"/>
  <c r="H392" i="16"/>
  <c r="I392" i="16"/>
  <c r="A393" i="16"/>
  <c r="B393" i="16"/>
  <c r="C393" i="16"/>
  <c r="D393" i="16"/>
  <c r="E393" i="16"/>
  <c r="F393" i="16"/>
  <c r="G393" i="16"/>
  <c r="H393" i="16"/>
  <c r="I393" i="16"/>
  <c r="A394" i="16"/>
  <c r="B394" i="16"/>
  <c r="C394" i="16"/>
  <c r="D394" i="16"/>
  <c r="E394" i="16"/>
  <c r="F394" i="16"/>
  <c r="G394" i="16"/>
  <c r="H394" i="16"/>
  <c r="I394" i="16"/>
  <c r="A395" i="16"/>
  <c r="B395" i="16"/>
  <c r="C395" i="16"/>
  <c r="D395" i="16"/>
  <c r="E395" i="16"/>
  <c r="F395" i="16"/>
  <c r="G395" i="16"/>
  <c r="H395" i="16"/>
  <c r="I395" i="16"/>
  <c r="A396" i="16"/>
  <c r="B396" i="16"/>
  <c r="C396" i="16"/>
  <c r="D396" i="16"/>
  <c r="E396" i="16"/>
  <c r="F396" i="16"/>
  <c r="G396" i="16"/>
  <c r="H396" i="16"/>
  <c r="I396" i="16"/>
  <c r="A397" i="16"/>
  <c r="B397" i="16"/>
  <c r="C397" i="16"/>
  <c r="D397" i="16"/>
  <c r="E397" i="16"/>
  <c r="F397" i="16"/>
  <c r="G397" i="16"/>
  <c r="H397" i="16"/>
  <c r="I397" i="16"/>
  <c r="A398" i="16"/>
  <c r="B398" i="16"/>
  <c r="C398" i="16"/>
  <c r="D398" i="16"/>
  <c r="E398" i="16"/>
  <c r="F398" i="16"/>
  <c r="G398" i="16"/>
  <c r="H398" i="16"/>
  <c r="I398" i="16"/>
  <c r="A399" i="16"/>
  <c r="B399" i="16"/>
  <c r="C399" i="16"/>
  <c r="D399" i="16"/>
  <c r="E399" i="16"/>
  <c r="F399" i="16"/>
  <c r="G399" i="16"/>
  <c r="H399" i="16"/>
  <c r="I399" i="16"/>
  <c r="A400" i="16"/>
  <c r="B400" i="16"/>
  <c r="C400" i="16"/>
  <c r="D400" i="16"/>
  <c r="E400" i="16"/>
  <c r="F400" i="16"/>
  <c r="G400" i="16"/>
  <c r="H400" i="16"/>
  <c r="I400" i="16"/>
  <c r="A401" i="16"/>
  <c r="B401" i="16"/>
  <c r="C401" i="16"/>
  <c r="D401" i="16"/>
  <c r="E401" i="16"/>
  <c r="F401" i="16"/>
  <c r="G401" i="16"/>
  <c r="H401" i="16"/>
  <c r="I401" i="16"/>
  <c r="A402" i="16"/>
  <c r="B402" i="16"/>
  <c r="C402" i="16"/>
  <c r="D402" i="16"/>
  <c r="E402" i="16"/>
  <c r="F402" i="16"/>
  <c r="G402" i="16"/>
  <c r="H402" i="16"/>
  <c r="I402" i="16"/>
  <c r="A403" i="16"/>
  <c r="B403" i="16"/>
  <c r="C403" i="16"/>
  <c r="D403" i="16"/>
  <c r="E403" i="16"/>
  <c r="F403" i="16"/>
  <c r="G403" i="16"/>
  <c r="H403" i="16"/>
  <c r="I403" i="16"/>
  <c r="A404" i="16"/>
  <c r="B404" i="16"/>
  <c r="C404" i="16"/>
  <c r="D404" i="16"/>
  <c r="E404" i="16"/>
  <c r="F404" i="16"/>
  <c r="G404" i="16"/>
  <c r="H404" i="16"/>
  <c r="I404" i="16"/>
  <c r="A405" i="16"/>
  <c r="B405" i="16"/>
  <c r="C405" i="16"/>
  <c r="D405" i="16"/>
  <c r="E405" i="16"/>
  <c r="F405" i="16"/>
  <c r="G405" i="16"/>
  <c r="H405" i="16"/>
  <c r="I405" i="16"/>
  <c r="A406" i="16"/>
  <c r="B406" i="16"/>
  <c r="C406" i="16"/>
  <c r="D406" i="16"/>
  <c r="E406" i="16"/>
  <c r="F406" i="16"/>
  <c r="G406" i="16"/>
  <c r="H406" i="16"/>
  <c r="I406" i="16"/>
  <c r="A407" i="16"/>
  <c r="B407" i="16"/>
  <c r="C407" i="16"/>
  <c r="D407" i="16"/>
  <c r="E407" i="16"/>
  <c r="F407" i="16"/>
  <c r="G407" i="16"/>
  <c r="H407" i="16"/>
  <c r="I407" i="16"/>
  <c r="A408" i="16"/>
  <c r="B408" i="16"/>
  <c r="C408" i="16"/>
  <c r="D408" i="16"/>
  <c r="E408" i="16"/>
  <c r="F408" i="16"/>
  <c r="G408" i="16"/>
  <c r="H408" i="16"/>
  <c r="I408" i="16"/>
  <c r="A409" i="16"/>
  <c r="B409" i="16"/>
  <c r="C409" i="16"/>
  <c r="D409" i="16"/>
  <c r="E409" i="16"/>
  <c r="F409" i="16"/>
  <c r="G409" i="16"/>
  <c r="H409" i="16"/>
  <c r="I409" i="16"/>
  <c r="A410" i="16"/>
  <c r="B410" i="16"/>
  <c r="C410" i="16"/>
  <c r="D410" i="16"/>
  <c r="E410" i="16"/>
  <c r="F410" i="16"/>
  <c r="G410" i="16"/>
  <c r="H410" i="16"/>
  <c r="I410" i="16"/>
  <c r="A411" i="16"/>
  <c r="B411" i="16"/>
  <c r="C411" i="16"/>
  <c r="D411" i="16"/>
  <c r="E411" i="16"/>
  <c r="F411" i="16"/>
  <c r="G411" i="16"/>
  <c r="H411" i="16"/>
  <c r="I411" i="16"/>
  <c r="A412" i="16"/>
  <c r="B412" i="16"/>
  <c r="C412" i="16"/>
  <c r="D412" i="16"/>
  <c r="E412" i="16"/>
  <c r="F412" i="16"/>
  <c r="G412" i="16"/>
  <c r="H412" i="16"/>
  <c r="I412" i="16"/>
  <c r="A413" i="16"/>
  <c r="B413" i="16"/>
  <c r="C413" i="16"/>
  <c r="D413" i="16"/>
  <c r="E413" i="16"/>
  <c r="F413" i="16"/>
  <c r="G413" i="16"/>
  <c r="H413" i="16"/>
  <c r="I413" i="16"/>
  <c r="A414" i="16"/>
  <c r="B414" i="16"/>
  <c r="C414" i="16"/>
  <c r="D414" i="16"/>
  <c r="E414" i="16"/>
  <c r="F414" i="16"/>
  <c r="G414" i="16"/>
  <c r="H414" i="16"/>
  <c r="I414" i="16"/>
  <c r="A415" i="16"/>
  <c r="B415" i="16"/>
  <c r="C415" i="16"/>
  <c r="D415" i="16"/>
  <c r="E415" i="16"/>
  <c r="F415" i="16"/>
  <c r="G415" i="16"/>
  <c r="H415" i="16"/>
  <c r="I415" i="16"/>
  <c r="A416" i="16"/>
  <c r="B416" i="16"/>
  <c r="C416" i="16"/>
  <c r="D416" i="16"/>
  <c r="E416" i="16"/>
  <c r="F416" i="16"/>
  <c r="G416" i="16"/>
  <c r="H416" i="16"/>
  <c r="I416" i="16"/>
  <c r="A417" i="16"/>
  <c r="B417" i="16"/>
  <c r="C417" i="16"/>
  <c r="D417" i="16"/>
  <c r="E417" i="16"/>
  <c r="F417" i="16"/>
  <c r="G417" i="16"/>
  <c r="H417" i="16"/>
  <c r="I417" i="16"/>
  <c r="A418" i="16"/>
  <c r="B418" i="16"/>
  <c r="C418" i="16"/>
  <c r="D418" i="16"/>
  <c r="E418" i="16"/>
  <c r="F418" i="16"/>
  <c r="G418" i="16"/>
  <c r="H418" i="16"/>
  <c r="I418" i="16"/>
  <c r="A419" i="16"/>
  <c r="B419" i="16"/>
  <c r="C419" i="16"/>
  <c r="D419" i="16"/>
  <c r="E419" i="16"/>
  <c r="F419" i="16"/>
  <c r="G419" i="16"/>
  <c r="H419" i="16"/>
  <c r="I419" i="16"/>
  <c r="A420" i="16"/>
  <c r="B420" i="16"/>
  <c r="C420" i="16"/>
  <c r="D420" i="16"/>
  <c r="E420" i="16"/>
  <c r="F420" i="16"/>
  <c r="G420" i="16"/>
  <c r="H420" i="16"/>
  <c r="I420" i="16"/>
  <c r="A421" i="16"/>
  <c r="B421" i="16"/>
  <c r="C421" i="16"/>
  <c r="D421" i="16"/>
  <c r="E421" i="16"/>
  <c r="F421" i="16"/>
  <c r="G421" i="16"/>
  <c r="H421" i="16"/>
  <c r="I421" i="16"/>
  <c r="A422" i="16"/>
  <c r="B422" i="16"/>
  <c r="C422" i="16"/>
  <c r="D422" i="16"/>
  <c r="E422" i="16"/>
  <c r="F422" i="16"/>
  <c r="G422" i="16"/>
  <c r="H422" i="16"/>
  <c r="I422" i="16"/>
  <c r="A423" i="16"/>
  <c r="B423" i="16"/>
  <c r="C423" i="16"/>
  <c r="D423" i="16"/>
  <c r="E423" i="16"/>
  <c r="F423" i="16"/>
  <c r="G423" i="16"/>
  <c r="H423" i="16"/>
  <c r="I423" i="16"/>
  <c r="A424" i="16"/>
  <c r="B424" i="16"/>
  <c r="C424" i="16"/>
  <c r="D424" i="16"/>
  <c r="E424" i="16"/>
  <c r="F424" i="16"/>
  <c r="G424" i="16"/>
  <c r="H424" i="16"/>
  <c r="I424" i="16"/>
  <c r="A425" i="16"/>
  <c r="B425" i="16"/>
  <c r="C425" i="16"/>
  <c r="D425" i="16"/>
  <c r="E425" i="16"/>
  <c r="F425" i="16"/>
  <c r="G425" i="16"/>
  <c r="H425" i="16"/>
  <c r="I425" i="16"/>
  <c r="A426" i="16"/>
  <c r="B426" i="16"/>
  <c r="C426" i="16"/>
  <c r="D426" i="16"/>
  <c r="E426" i="16"/>
  <c r="F426" i="16"/>
  <c r="G426" i="16"/>
  <c r="H426" i="16"/>
  <c r="I426" i="16"/>
  <c r="A427" i="16"/>
  <c r="B427" i="16"/>
  <c r="C427" i="16"/>
  <c r="D427" i="16"/>
  <c r="E427" i="16"/>
  <c r="F427" i="16"/>
  <c r="G427" i="16"/>
  <c r="H427" i="16"/>
  <c r="I427" i="16"/>
  <c r="A428" i="16"/>
  <c r="B428" i="16"/>
  <c r="C428" i="16"/>
  <c r="D428" i="16"/>
  <c r="E428" i="16"/>
  <c r="F428" i="16"/>
  <c r="G428" i="16"/>
  <c r="H428" i="16"/>
  <c r="I428" i="16"/>
  <c r="A429" i="16"/>
  <c r="B429" i="16"/>
  <c r="C429" i="16"/>
  <c r="D429" i="16"/>
  <c r="E429" i="16"/>
  <c r="F429" i="16"/>
  <c r="G429" i="16"/>
  <c r="H429" i="16"/>
  <c r="I429" i="16"/>
  <c r="A430" i="16"/>
  <c r="B430" i="16"/>
  <c r="C430" i="16"/>
  <c r="D430" i="16"/>
  <c r="E430" i="16"/>
  <c r="F430" i="16"/>
  <c r="G430" i="16"/>
  <c r="H430" i="16"/>
  <c r="I430" i="16"/>
  <c r="A431" i="16"/>
  <c r="B431" i="16"/>
  <c r="C431" i="16"/>
  <c r="D431" i="16"/>
  <c r="E431" i="16"/>
  <c r="F431" i="16"/>
  <c r="G431" i="16"/>
  <c r="H431" i="16"/>
  <c r="I431" i="16"/>
  <c r="A432" i="16"/>
  <c r="B432" i="16"/>
  <c r="C432" i="16"/>
  <c r="D432" i="16"/>
  <c r="E432" i="16"/>
  <c r="F432" i="16"/>
  <c r="G432" i="16"/>
  <c r="H432" i="16"/>
  <c r="I432" i="16"/>
  <c r="A433" i="16"/>
  <c r="B433" i="16"/>
  <c r="C433" i="16"/>
  <c r="D433" i="16"/>
  <c r="E433" i="16"/>
  <c r="F433" i="16"/>
  <c r="G433" i="16"/>
  <c r="H433" i="16"/>
  <c r="I433" i="16"/>
  <c r="A434" i="16"/>
  <c r="B434" i="16"/>
  <c r="C434" i="16"/>
  <c r="D434" i="16"/>
  <c r="E434" i="16"/>
  <c r="F434" i="16"/>
  <c r="G434" i="16"/>
  <c r="H434" i="16"/>
  <c r="I434" i="16"/>
  <c r="A435" i="16"/>
  <c r="B435" i="16"/>
  <c r="C435" i="16"/>
  <c r="D435" i="16"/>
  <c r="E435" i="16"/>
  <c r="F435" i="16"/>
  <c r="G435" i="16"/>
  <c r="H435" i="16"/>
  <c r="I435" i="16"/>
  <c r="A436" i="16"/>
  <c r="B436" i="16"/>
  <c r="C436" i="16"/>
  <c r="D436" i="16"/>
  <c r="E436" i="16"/>
  <c r="F436" i="16"/>
  <c r="G436" i="16"/>
  <c r="H436" i="16"/>
  <c r="I436" i="16"/>
  <c r="A437" i="16"/>
  <c r="B437" i="16"/>
  <c r="C437" i="16"/>
  <c r="D437" i="16"/>
  <c r="E437" i="16"/>
  <c r="F437" i="16"/>
  <c r="G437" i="16"/>
  <c r="H437" i="16"/>
  <c r="I437" i="16"/>
  <c r="A438" i="16"/>
  <c r="B438" i="16"/>
  <c r="C438" i="16"/>
  <c r="D438" i="16"/>
  <c r="E438" i="16"/>
  <c r="F438" i="16"/>
  <c r="G438" i="16"/>
  <c r="H438" i="16"/>
  <c r="I438" i="16"/>
  <c r="A439" i="16"/>
  <c r="B439" i="16"/>
  <c r="C439" i="16"/>
  <c r="D439" i="16"/>
  <c r="E439" i="16"/>
  <c r="F439" i="16"/>
  <c r="G439" i="16"/>
  <c r="H439" i="16"/>
  <c r="I439" i="16"/>
  <c r="A440" i="16"/>
  <c r="B440" i="16"/>
  <c r="C440" i="16"/>
  <c r="D440" i="16"/>
  <c r="E440" i="16"/>
  <c r="F440" i="16"/>
  <c r="G440" i="16"/>
  <c r="H440" i="16"/>
  <c r="I440" i="16"/>
  <c r="A441" i="16"/>
  <c r="B441" i="16"/>
  <c r="C441" i="16"/>
  <c r="D441" i="16"/>
  <c r="E441" i="16"/>
  <c r="F441" i="16"/>
  <c r="G441" i="16"/>
  <c r="H441" i="16"/>
  <c r="I441" i="16"/>
  <c r="A442" i="16"/>
  <c r="B442" i="16"/>
  <c r="C442" i="16"/>
  <c r="D442" i="16"/>
  <c r="E442" i="16"/>
  <c r="F442" i="16"/>
  <c r="G442" i="16"/>
  <c r="H442" i="16"/>
  <c r="I442" i="16"/>
  <c r="A443" i="16"/>
  <c r="B443" i="16"/>
  <c r="C443" i="16"/>
  <c r="D443" i="16"/>
  <c r="E443" i="16"/>
  <c r="F443" i="16"/>
  <c r="G443" i="16"/>
  <c r="H443" i="16"/>
  <c r="I443" i="16"/>
  <c r="A444" i="16"/>
  <c r="B444" i="16"/>
  <c r="C444" i="16"/>
  <c r="D444" i="16"/>
  <c r="E444" i="16"/>
  <c r="F444" i="16"/>
  <c r="G444" i="16"/>
  <c r="H444" i="16"/>
  <c r="I444" i="16"/>
  <c r="A445" i="16"/>
  <c r="B445" i="16"/>
  <c r="C445" i="16"/>
  <c r="D445" i="16"/>
  <c r="E445" i="16"/>
  <c r="F445" i="16"/>
  <c r="G445" i="16"/>
  <c r="H445" i="16"/>
  <c r="I445" i="16"/>
  <c r="A446" i="16"/>
  <c r="B446" i="16"/>
  <c r="C446" i="16"/>
  <c r="D446" i="16"/>
  <c r="E446" i="16"/>
  <c r="F446" i="16"/>
  <c r="G446" i="16"/>
  <c r="H446" i="16"/>
  <c r="I446" i="16"/>
  <c r="A447" i="16"/>
  <c r="B447" i="16"/>
  <c r="C447" i="16"/>
  <c r="D447" i="16"/>
  <c r="E447" i="16"/>
  <c r="F447" i="16"/>
  <c r="G447" i="16"/>
  <c r="H447" i="16"/>
  <c r="I447" i="16"/>
  <c r="A448" i="16"/>
  <c r="B448" i="16"/>
  <c r="C448" i="16"/>
  <c r="D448" i="16"/>
  <c r="E448" i="16"/>
  <c r="F448" i="16"/>
  <c r="G448" i="16"/>
  <c r="H448" i="16"/>
  <c r="I448" i="16"/>
  <c r="A449" i="16"/>
  <c r="B449" i="16"/>
  <c r="C449" i="16"/>
  <c r="D449" i="16"/>
  <c r="E449" i="16"/>
  <c r="F449" i="16"/>
  <c r="G449" i="16"/>
  <c r="H449" i="16"/>
  <c r="I449" i="16"/>
  <c r="A450" i="16"/>
  <c r="B450" i="16"/>
  <c r="C450" i="16"/>
  <c r="D450" i="16"/>
  <c r="E450" i="16"/>
  <c r="F450" i="16"/>
  <c r="G450" i="16"/>
  <c r="H450" i="16"/>
  <c r="I450" i="16"/>
  <c r="A451" i="16"/>
  <c r="B451" i="16"/>
  <c r="C451" i="16"/>
  <c r="D451" i="16"/>
  <c r="E451" i="16"/>
  <c r="F451" i="16"/>
  <c r="G451" i="16"/>
  <c r="H451" i="16"/>
  <c r="I451" i="16"/>
  <c r="A452" i="16"/>
  <c r="B452" i="16"/>
  <c r="C452" i="16"/>
  <c r="D452" i="16"/>
  <c r="E452" i="16"/>
  <c r="F452" i="16"/>
  <c r="G452" i="16"/>
  <c r="H452" i="16"/>
  <c r="I452" i="16"/>
  <c r="A453" i="16"/>
  <c r="B453" i="16"/>
  <c r="C453" i="16"/>
  <c r="D453" i="16"/>
  <c r="E453" i="16"/>
  <c r="F453" i="16"/>
  <c r="G453" i="16"/>
  <c r="H453" i="16"/>
  <c r="I453" i="16"/>
  <c r="A454" i="16"/>
  <c r="B454" i="16"/>
  <c r="C454" i="16"/>
  <c r="D454" i="16"/>
  <c r="E454" i="16"/>
  <c r="F454" i="16"/>
  <c r="G454" i="16"/>
  <c r="H454" i="16"/>
  <c r="I454" i="16"/>
  <c r="A455" i="16"/>
  <c r="B455" i="16"/>
  <c r="C455" i="16"/>
  <c r="D455" i="16"/>
  <c r="E455" i="16"/>
  <c r="F455" i="16"/>
  <c r="G455" i="16"/>
  <c r="H455" i="16"/>
  <c r="I455" i="16"/>
  <c r="A456" i="16"/>
  <c r="B456" i="16"/>
  <c r="C456" i="16"/>
  <c r="D456" i="16"/>
  <c r="E456" i="16"/>
  <c r="F456" i="16"/>
  <c r="G456" i="16"/>
  <c r="H456" i="16"/>
  <c r="I456" i="16"/>
  <c r="A457" i="16"/>
  <c r="B457" i="16"/>
  <c r="C457" i="16"/>
  <c r="D457" i="16"/>
  <c r="E457" i="16"/>
  <c r="F457" i="16"/>
  <c r="G457" i="16"/>
  <c r="H457" i="16"/>
  <c r="I457" i="16"/>
  <c r="A458" i="16"/>
  <c r="B458" i="16"/>
  <c r="C458" i="16"/>
  <c r="D458" i="16"/>
  <c r="E458" i="16"/>
  <c r="F458" i="16"/>
  <c r="G458" i="16"/>
  <c r="H458" i="16"/>
  <c r="I458" i="16"/>
  <c r="A459" i="16"/>
  <c r="B459" i="16"/>
  <c r="C459" i="16"/>
  <c r="D459" i="16"/>
  <c r="E459" i="16"/>
  <c r="F459" i="16"/>
  <c r="G459" i="16"/>
  <c r="H459" i="16"/>
  <c r="I459" i="16"/>
  <c r="A460" i="16"/>
  <c r="B460" i="16"/>
  <c r="C460" i="16"/>
  <c r="D460" i="16"/>
  <c r="E460" i="16"/>
  <c r="F460" i="16"/>
  <c r="G460" i="16"/>
  <c r="H460" i="16"/>
  <c r="I460" i="16"/>
  <c r="A461" i="16"/>
  <c r="B461" i="16"/>
  <c r="C461" i="16"/>
  <c r="D461" i="16"/>
  <c r="E461" i="16"/>
  <c r="F461" i="16"/>
  <c r="G461" i="16"/>
  <c r="H461" i="16"/>
  <c r="I461" i="16"/>
  <c r="A462" i="16"/>
  <c r="B462" i="16"/>
  <c r="C462" i="16"/>
  <c r="D462" i="16"/>
  <c r="E462" i="16"/>
  <c r="F462" i="16"/>
  <c r="G462" i="16"/>
  <c r="H462" i="16"/>
  <c r="I462" i="16"/>
  <c r="A463" i="16"/>
  <c r="B463" i="16"/>
  <c r="C463" i="16"/>
  <c r="D463" i="16"/>
  <c r="E463" i="16"/>
  <c r="F463" i="16"/>
  <c r="G463" i="16"/>
  <c r="H463" i="16"/>
  <c r="I463" i="16"/>
  <c r="A464" i="16"/>
  <c r="B464" i="16"/>
  <c r="C464" i="16"/>
  <c r="D464" i="16"/>
  <c r="E464" i="16"/>
  <c r="F464" i="16"/>
  <c r="G464" i="16"/>
  <c r="H464" i="16"/>
  <c r="I464" i="16"/>
  <c r="A465" i="16"/>
  <c r="B465" i="16"/>
  <c r="C465" i="16"/>
  <c r="D465" i="16"/>
  <c r="E465" i="16"/>
  <c r="F465" i="16"/>
  <c r="G465" i="16"/>
  <c r="H465" i="16"/>
  <c r="I465" i="16"/>
  <c r="A466" i="16"/>
  <c r="B466" i="16"/>
  <c r="C466" i="16"/>
  <c r="D466" i="16"/>
  <c r="E466" i="16"/>
  <c r="F466" i="16"/>
  <c r="G466" i="16"/>
  <c r="H466" i="16"/>
  <c r="I466" i="16"/>
  <c r="A467" i="16"/>
  <c r="B467" i="16"/>
  <c r="C467" i="16"/>
  <c r="D467" i="16"/>
  <c r="E467" i="16"/>
  <c r="F467" i="16"/>
  <c r="G467" i="16"/>
  <c r="H467" i="16"/>
  <c r="I467" i="16"/>
  <c r="A468" i="16"/>
  <c r="B468" i="16"/>
  <c r="C468" i="16"/>
  <c r="D468" i="16"/>
  <c r="E468" i="16"/>
  <c r="F468" i="16"/>
  <c r="G468" i="16"/>
  <c r="H468" i="16"/>
  <c r="I468" i="16"/>
  <c r="A469" i="16"/>
  <c r="B469" i="16"/>
  <c r="C469" i="16"/>
  <c r="D469" i="16"/>
  <c r="E469" i="16"/>
  <c r="F469" i="16"/>
  <c r="G469" i="16"/>
  <c r="H469" i="16"/>
  <c r="I469" i="16"/>
  <c r="A470" i="16"/>
  <c r="B470" i="16"/>
  <c r="C470" i="16"/>
  <c r="D470" i="16"/>
  <c r="E470" i="16"/>
  <c r="F470" i="16"/>
  <c r="G470" i="16"/>
  <c r="H470" i="16"/>
  <c r="I470" i="16"/>
  <c r="A471" i="16"/>
  <c r="B471" i="16"/>
  <c r="C471" i="16"/>
  <c r="D471" i="16"/>
  <c r="E471" i="16"/>
  <c r="F471" i="16"/>
  <c r="G471" i="16"/>
  <c r="H471" i="16"/>
  <c r="I471" i="16"/>
  <c r="A472" i="16"/>
  <c r="B472" i="16"/>
  <c r="C472" i="16"/>
  <c r="D472" i="16"/>
  <c r="E472" i="16"/>
  <c r="F472" i="16"/>
  <c r="G472" i="16"/>
  <c r="H472" i="16"/>
  <c r="I472" i="16"/>
  <c r="A473" i="16"/>
  <c r="B473" i="16"/>
  <c r="C473" i="16"/>
  <c r="D473" i="16"/>
  <c r="E473" i="16"/>
  <c r="F473" i="16"/>
  <c r="G473" i="16"/>
  <c r="H473" i="16"/>
  <c r="I473" i="16"/>
  <c r="A474" i="16"/>
  <c r="B474" i="16"/>
  <c r="C474" i="16"/>
  <c r="D474" i="16"/>
  <c r="E474" i="16"/>
  <c r="F474" i="16"/>
  <c r="G474" i="16"/>
  <c r="H474" i="16"/>
  <c r="I474" i="16"/>
  <c r="A475" i="16"/>
  <c r="B475" i="16"/>
  <c r="C475" i="16"/>
  <c r="D475" i="16"/>
  <c r="E475" i="16"/>
  <c r="F475" i="16"/>
  <c r="G475" i="16"/>
  <c r="H475" i="16"/>
  <c r="I475" i="16"/>
  <c r="A476" i="16"/>
  <c r="B476" i="16"/>
  <c r="C476" i="16"/>
  <c r="D476" i="16"/>
  <c r="E476" i="16"/>
  <c r="F476" i="16"/>
  <c r="G476" i="16"/>
  <c r="H476" i="16"/>
  <c r="I476" i="16"/>
  <c r="A477" i="16"/>
  <c r="B477" i="16"/>
  <c r="C477" i="16"/>
  <c r="D477" i="16"/>
  <c r="E477" i="16"/>
  <c r="F477" i="16"/>
  <c r="G477" i="16"/>
  <c r="H477" i="16"/>
  <c r="I477" i="16"/>
  <c r="A478" i="16"/>
  <c r="B478" i="16"/>
  <c r="C478" i="16"/>
  <c r="D478" i="16"/>
  <c r="E478" i="16"/>
  <c r="F478" i="16"/>
  <c r="G478" i="16"/>
  <c r="H478" i="16"/>
  <c r="I478" i="16"/>
  <c r="A479" i="16"/>
  <c r="B479" i="16"/>
  <c r="C479" i="16"/>
  <c r="D479" i="16"/>
  <c r="E479" i="16"/>
  <c r="F479" i="16"/>
  <c r="G479" i="16"/>
  <c r="H479" i="16"/>
  <c r="I479" i="16"/>
  <c r="A480" i="16"/>
  <c r="B480" i="16"/>
  <c r="C480" i="16"/>
  <c r="D480" i="16"/>
  <c r="E480" i="16"/>
  <c r="F480" i="16"/>
  <c r="G480" i="16"/>
  <c r="H480" i="16"/>
  <c r="I480" i="16"/>
  <c r="A481" i="16"/>
  <c r="B481" i="16"/>
  <c r="C481" i="16"/>
  <c r="D481" i="16"/>
  <c r="E481" i="16"/>
  <c r="F481" i="16"/>
  <c r="G481" i="16"/>
  <c r="H481" i="16"/>
  <c r="I481" i="16"/>
  <c r="A482" i="16"/>
  <c r="B482" i="16"/>
  <c r="C482" i="16"/>
  <c r="D482" i="16"/>
  <c r="E482" i="16"/>
  <c r="F482" i="16"/>
  <c r="G482" i="16"/>
  <c r="H482" i="16"/>
  <c r="I482" i="16"/>
  <c r="A483" i="16"/>
  <c r="B483" i="16"/>
  <c r="C483" i="16"/>
  <c r="D483" i="16"/>
  <c r="E483" i="16"/>
  <c r="F483" i="16"/>
  <c r="G483" i="16"/>
  <c r="H483" i="16"/>
  <c r="I483" i="16"/>
  <c r="A484" i="16"/>
  <c r="B484" i="16"/>
  <c r="C484" i="16"/>
  <c r="D484" i="16"/>
  <c r="E484" i="16"/>
  <c r="F484" i="16"/>
  <c r="G484" i="16"/>
  <c r="H484" i="16"/>
  <c r="I484" i="16"/>
  <c r="A485" i="16"/>
  <c r="B485" i="16"/>
  <c r="C485" i="16"/>
  <c r="D485" i="16"/>
  <c r="E485" i="16"/>
  <c r="F485" i="16"/>
  <c r="G485" i="16"/>
  <c r="H485" i="16"/>
  <c r="I485" i="16"/>
  <c r="A486" i="16"/>
  <c r="B486" i="16"/>
  <c r="C486" i="16"/>
  <c r="D486" i="16"/>
  <c r="E486" i="16"/>
  <c r="F486" i="16"/>
  <c r="G486" i="16"/>
  <c r="H486" i="16"/>
  <c r="I486" i="16"/>
  <c r="A487" i="16"/>
  <c r="B487" i="16"/>
  <c r="C487" i="16"/>
  <c r="D487" i="16"/>
  <c r="E487" i="16"/>
  <c r="F487" i="16"/>
  <c r="G487" i="16"/>
  <c r="H487" i="16"/>
  <c r="I487" i="16"/>
  <c r="A488" i="16"/>
  <c r="B488" i="16"/>
  <c r="C488" i="16"/>
  <c r="D488" i="16"/>
  <c r="E488" i="16"/>
  <c r="F488" i="16"/>
  <c r="G488" i="16"/>
  <c r="H488" i="16"/>
  <c r="I488" i="16"/>
  <c r="A489" i="16"/>
  <c r="B489" i="16"/>
  <c r="C489" i="16"/>
  <c r="D489" i="16"/>
  <c r="E489" i="16"/>
  <c r="F489" i="16"/>
  <c r="G489" i="16"/>
  <c r="H489" i="16"/>
  <c r="I489" i="16"/>
  <c r="A490" i="16"/>
  <c r="B490" i="16"/>
  <c r="C490" i="16"/>
  <c r="D490" i="16"/>
  <c r="E490" i="16"/>
  <c r="F490" i="16"/>
  <c r="G490" i="16"/>
  <c r="H490" i="16"/>
  <c r="I490" i="16"/>
  <c r="A491" i="16"/>
  <c r="B491" i="16"/>
  <c r="C491" i="16"/>
  <c r="D491" i="16"/>
  <c r="E491" i="16"/>
  <c r="F491" i="16"/>
  <c r="G491" i="16"/>
  <c r="H491" i="16"/>
  <c r="I491" i="16"/>
  <c r="A492" i="16"/>
  <c r="B492" i="16"/>
  <c r="C492" i="16"/>
  <c r="D492" i="16"/>
  <c r="E492" i="16"/>
  <c r="F492" i="16"/>
  <c r="G492" i="16"/>
  <c r="H492" i="16"/>
  <c r="I492" i="16"/>
  <c r="A493" i="16"/>
  <c r="B493" i="16"/>
  <c r="C493" i="16"/>
  <c r="D493" i="16"/>
  <c r="E493" i="16"/>
  <c r="F493" i="16"/>
  <c r="G493" i="16"/>
  <c r="H493" i="16"/>
  <c r="I493" i="16"/>
  <c r="A494" i="16"/>
  <c r="B494" i="16"/>
  <c r="C494" i="16"/>
  <c r="D494" i="16"/>
  <c r="E494" i="16"/>
  <c r="F494" i="16"/>
  <c r="G494" i="16"/>
  <c r="H494" i="16"/>
  <c r="I494" i="16"/>
  <c r="A495" i="16"/>
  <c r="B495" i="16"/>
  <c r="C495" i="16"/>
  <c r="D495" i="16"/>
  <c r="E495" i="16"/>
  <c r="F495" i="16"/>
  <c r="G495" i="16"/>
  <c r="H495" i="16"/>
  <c r="I495" i="16"/>
  <c r="A496" i="16"/>
  <c r="B496" i="16"/>
  <c r="C496" i="16"/>
  <c r="D496" i="16"/>
  <c r="E496" i="16"/>
  <c r="F496" i="16"/>
  <c r="G496" i="16"/>
  <c r="H496" i="16"/>
  <c r="I496" i="16"/>
  <c r="A497" i="16"/>
  <c r="B497" i="16"/>
  <c r="C497" i="16"/>
  <c r="D497" i="16"/>
  <c r="E497" i="16"/>
  <c r="F497" i="16"/>
  <c r="G497" i="16"/>
  <c r="H497" i="16"/>
  <c r="I497" i="16"/>
  <c r="A498" i="16"/>
  <c r="B498" i="16"/>
  <c r="C498" i="16"/>
  <c r="D498" i="16"/>
  <c r="E498" i="16"/>
  <c r="F498" i="16"/>
  <c r="G498" i="16"/>
  <c r="H498" i="16"/>
  <c r="I498" i="16"/>
  <c r="A499" i="16"/>
  <c r="B499" i="16"/>
  <c r="C499" i="16"/>
  <c r="D499" i="16"/>
  <c r="E499" i="16"/>
  <c r="F499" i="16"/>
  <c r="G499" i="16"/>
  <c r="H499" i="16"/>
  <c r="I499" i="16"/>
  <c r="A500" i="16"/>
  <c r="B500" i="16"/>
  <c r="C500" i="16"/>
  <c r="D500" i="16"/>
  <c r="E500" i="16"/>
  <c r="F500" i="16"/>
  <c r="G500" i="16"/>
  <c r="H500" i="16"/>
  <c r="I500" i="16"/>
  <c r="A501" i="16"/>
  <c r="B501" i="16"/>
  <c r="C501" i="16"/>
  <c r="D501" i="16"/>
  <c r="E501" i="16"/>
  <c r="F501" i="16"/>
  <c r="G501" i="16"/>
  <c r="H501" i="16"/>
  <c r="I501" i="16"/>
  <c r="A502" i="16"/>
  <c r="B502" i="16"/>
  <c r="C502" i="16"/>
  <c r="D502" i="16"/>
  <c r="E502" i="16"/>
  <c r="F502" i="16"/>
  <c r="G502" i="16"/>
  <c r="H502" i="16"/>
  <c r="I502" i="16"/>
  <c r="A503" i="16"/>
  <c r="B503" i="16"/>
  <c r="C503" i="16"/>
  <c r="D503" i="16"/>
  <c r="E503" i="16"/>
  <c r="F503" i="16"/>
  <c r="G503" i="16"/>
  <c r="H503" i="16"/>
  <c r="I503" i="16"/>
  <c r="A504" i="16"/>
  <c r="B504" i="16"/>
  <c r="C504" i="16"/>
  <c r="D504" i="16"/>
  <c r="E504" i="16"/>
  <c r="F504" i="16"/>
  <c r="G504" i="16"/>
  <c r="H504" i="16"/>
  <c r="I504" i="16"/>
  <c r="A505" i="16"/>
  <c r="B505" i="16"/>
  <c r="C505" i="16"/>
  <c r="D505" i="16"/>
  <c r="E505" i="16"/>
  <c r="F505" i="16"/>
  <c r="G505" i="16"/>
  <c r="H505" i="16"/>
  <c r="I505" i="16"/>
  <c r="A506" i="16"/>
  <c r="B506" i="16"/>
  <c r="C506" i="16"/>
  <c r="D506" i="16"/>
  <c r="E506" i="16"/>
  <c r="F506" i="16"/>
  <c r="G506" i="16"/>
  <c r="H506" i="16"/>
  <c r="I506" i="16"/>
  <c r="A507" i="16"/>
  <c r="B507" i="16"/>
  <c r="C507" i="16"/>
  <c r="D507" i="16"/>
  <c r="E507" i="16"/>
  <c r="F507" i="16"/>
  <c r="G507" i="16"/>
  <c r="H507" i="16"/>
  <c r="I507" i="16"/>
  <c r="A508" i="16"/>
  <c r="B508" i="16"/>
  <c r="C508" i="16"/>
  <c r="D508" i="16"/>
  <c r="E508" i="16"/>
  <c r="F508" i="16"/>
  <c r="G508" i="16"/>
  <c r="H508" i="16"/>
  <c r="I508" i="16"/>
  <c r="A509" i="16"/>
  <c r="B509" i="16"/>
  <c r="C509" i="16"/>
  <c r="D509" i="16"/>
  <c r="E509" i="16"/>
  <c r="F509" i="16"/>
  <c r="G509" i="16"/>
  <c r="H509" i="16"/>
  <c r="I509" i="16"/>
  <c r="A510" i="16"/>
  <c r="B510" i="16"/>
  <c r="C510" i="16"/>
  <c r="D510" i="16"/>
  <c r="E510" i="16"/>
  <c r="F510" i="16"/>
  <c r="G510" i="16"/>
  <c r="H510" i="16"/>
  <c r="I510" i="16"/>
  <c r="A511" i="16"/>
  <c r="B511" i="16"/>
  <c r="C511" i="16"/>
  <c r="D511" i="16"/>
  <c r="E511" i="16"/>
  <c r="F511" i="16"/>
  <c r="G511" i="16"/>
  <c r="H511" i="16"/>
  <c r="I511" i="16"/>
  <c r="A512" i="16"/>
  <c r="B512" i="16"/>
  <c r="C512" i="16"/>
  <c r="D512" i="16"/>
  <c r="E512" i="16"/>
  <c r="F512" i="16"/>
  <c r="G512" i="16"/>
  <c r="H512" i="16"/>
  <c r="I512" i="16"/>
  <c r="A513" i="16"/>
  <c r="B513" i="16"/>
  <c r="C513" i="16"/>
  <c r="D513" i="16"/>
  <c r="E513" i="16"/>
  <c r="F513" i="16"/>
  <c r="G513" i="16"/>
  <c r="H513" i="16"/>
  <c r="I513" i="16"/>
  <c r="A514" i="16"/>
  <c r="B514" i="16"/>
  <c r="C514" i="16"/>
  <c r="D514" i="16"/>
  <c r="E514" i="16"/>
  <c r="F514" i="16"/>
  <c r="G514" i="16"/>
  <c r="H514" i="16"/>
  <c r="I514" i="16"/>
  <c r="A515" i="16"/>
  <c r="B515" i="16"/>
  <c r="C515" i="16"/>
  <c r="D515" i="16"/>
  <c r="E515" i="16"/>
  <c r="F515" i="16"/>
  <c r="G515" i="16"/>
  <c r="H515" i="16"/>
  <c r="I515" i="16"/>
  <c r="A516" i="16"/>
  <c r="B516" i="16"/>
  <c r="C516" i="16"/>
  <c r="D516" i="16"/>
  <c r="E516" i="16"/>
  <c r="F516" i="16"/>
  <c r="G516" i="16"/>
  <c r="H516" i="16"/>
  <c r="I516" i="16"/>
  <c r="A517" i="16"/>
  <c r="B517" i="16"/>
  <c r="C517" i="16"/>
  <c r="D517" i="16"/>
  <c r="E517" i="16"/>
  <c r="F517" i="16"/>
  <c r="G517" i="16"/>
  <c r="H517" i="16"/>
  <c r="I517" i="16"/>
  <c r="A518" i="16"/>
  <c r="B518" i="16"/>
  <c r="C518" i="16"/>
  <c r="D518" i="16"/>
  <c r="E518" i="16"/>
  <c r="F518" i="16"/>
  <c r="G518" i="16"/>
  <c r="H518" i="16"/>
  <c r="I518" i="16"/>
  <c r="A519" i="16"/>
  <c r="B519" i="16"/>
  <c r="C519" i="16"/>
  <c r="D519" i="16"/>
  <c r="E519" i="16"/>
  <c r="F519" i="16"/>
  <c r="G519" i="16"/>
  <c r="H519" i="16"/>
  <c r="I519" i="16"/>
  <c r="A520" i="16"/>
  <c r="B520" i="16"/>
  <c r="C520" i="16"/>
  <c r="D520" i="16"/>
  <c r="E520" i="16"/>
  <c r="F520" i="16"/>
  <c r="G520" i="16"/>
  <c r="H520" i="16"/>
  <c r="I520" i="16"/>
  <c r="A521" i="16"/>
  <c r="B521" i="16"/>
  <c r="C521" i="16"/>
  <c r="D521" i="16"/>
  <c r="E521" i="16"/>
  <c r="F521" i="16"/>
  <c r="G521" i="16"/>
  <c r="H521" i="16"/>
  <c r="I521" i="16"/>
  <c r="A522" i="16"/>
  <c r="B522" i="16"/>
  <c r="C522" i="16"/>
  <c r="D522" i="16"/>
  <c r="E522" i="16"/>
  <c r="F522" i="16"/>
  <c r="G522" i="16"/>
  <c r="H522" i="16"/>
  <c r="I522" i="16"/>
  <c r="A523" i="16"/>
  <c r="B523" i="16"/>
  <c r="C523" i="16"/>
  <c r="D523" i="16"/>
  <c r="E523" i="16"/>
  <c r="F523" i="16"/>
  <c r="G523" i="16"/>
  <c r="H523" i="16"/>
  <c r="I523" i="16"/>
  <c r="A524" i="16"/>
  <c r="B524" i="16"/>
  <c r="C524" i="16"/>
  <c r="D524" i="16"/>
  <c r="E524" i="16"/>
  <c r="F524" i="16"/>
  <c r="G524" i="16"/>
  <c r="H524" i="16"/>
  <c r="I524" i="16"/>
  <c r="A525" i="16"/>
  <c r="B525" i="16"/>
  <c r="C525" i="16"/>
  <c r="D525" i="16"/>
  <c r="E525" i="16"/>
  <c r="F525" i="16"/>
  <c r="G525" i="16"/>
  <c r="H525" i="16"/>
  <c r="I525" i="16"/>
  <c r="A526" i="16"/>
  <c r="B526" i="16"/>
  <c r="C526" i="16"/>
  <c r="D526" i="16"/>
  <c r="E526" i="16"/>
  <c r="F526" i="16"/>
  <c r="G526" i="16"/>
  <c r="H526" i="16"/>
  <c r="I526" i="16"/>
  <c r="A527" i="16"/>
  <c r="B527" i="16"/>
  <c r="C527" i="16"/>
  <c r="D527" i="16"/>
  <c r="E527" i="16"/>
  <c r="F527" i="16"/>
  <c r="G527" i="16"/>
  <c r="H527" i="16"/>
  <c r="I527" i="16"/>
  <c r="A528" i="16"/>
  <c r="B528" i="16"/>
  <c r="C528" i="16"/>
  <c r="D528" i="16"/>
  <c r="E528" i="16"/>
  <c r="F528" i="16"/>
  <c r="G528" i="16"/>
  <c r="H528" i="16"/>
  <c r="I528" i="16"/>
  <c r="A529" i="16"/>
  <c r="B529" i="16"/>
  <c r="C529" i="16"/>
  <c r="D529" i="16"/>
  <c r="E529" i="16"/>
  <c r="F529" i="16"/>
  <c r="G529" i="16"/>
  <c r="H529" i="16"/>
  <c r="I529" i="16"/>
  <c r="A530" i="16"/>
  <c r="B530" i="16"/>
  <c r="C530" i="16"/>
  <c r="D530" i="16"/>
  <c r="E530" i="16"/>
  <c r="F530" i="16"/>
  <c r="G530" i="16"/>
  <c r="H530" i="16"/>
  <c r="I530" i="16"/>
  <c r="A531" i="16"/>
  <c r="B531" i="16"/>
  <c r="C531" i="16"/>
  <c r="D531" i="16"/>
  <c r="E531" i="16"/>
  <c r="F531" i="16"/>
  <c r="G531" i="16"/>
  <c r="H531" i="16"/>
  <c r="I531" i="16"/>
  <c r="A532" i="16"/>
  <c r="B532" i="16"/>
  <c r="C532" i="16"/>
  <c r="D532" i="16"/>
  <c r="E532" i="16"/>
  <c r="F532" i="16"/>
  <c r="G532" i="16"/>
  <c r="H532" i="16"/>
  <c r="I532" i="16"/>
  <c r="D7" i="15"/>
  <c r="E7" i="15"/>
  <c r="F7" i="15"/>
  <c r="G7" i="15"/>
  <c r="H7" i="15"/>
  <c r="I7" i="15"/>
  <c r="J7" i="15"/>
  <c r="K7" i="15"/>
  <c r="D8" i="15"/>
  <c r="E8" i="15"/>
  <c r="F8" i="15"/>
  <c r="G8" i="15"/>
  <c r="H8" i="15"/>
  <c r="I8" i="15"/>
  <c r="J8" i="15"/>
  <c r="K8" i="15"/>
  <c r="D9" i="15"/>
  <c r="E9" i="15"/>
  <c r="F9" i="15"/>
  <c r="G9" i="15"/>
  <c r="H9" i="15"/>
  <c r="I9" i="15"/>
  <c r="J9" i="15"/>
  <c r="K9" i="15"/>
  <c r="D10" i="15"/>
  <c r="E10" i="15"/>
  <c r="F10" i="15"/>
  <c r="G10" i="15"/>
  <c r="H10" i="15"/>
  <c r="I10" i="15"/>
  <c r="J10" i="15"/>
  <c r="K10" i="15"/>
  <c r="D11" i="15"/>
  <c r="E11" i="15"/>
  <c r="F11" i="15"/>
  <c r="G11" i="15"/>
  <c r="H11" i="15"/>
  <c r="I11" i="15"/>
  <c r="J11" i="15"/>
  <c r="K11" i="15"/>
  <c r="D12" i="15"/>
  <c r="E12" i="15"/>
  <c r="F12" i="15"/>
  <c r="G12" i="15"/>
  <c r="H12" i="15"/>
  <c r="I12" i="15"/>
  <c r="J12" i="15"/>
  <c r="K12" i="15"/>
  <c r="D13" i="15"/>
  <c r="E13" i="15"/>
  <c r="F13" i="15"/>
  <c r="G13" i="15"/>
  <c r="H13" i="15"/>
  <c r="I13" i="15"/>
  <c r="J13" i="15"/>
  <c r="K13" i="15"/>
  <c r="D14" i="15"/>
  <c r="E14" i="15"/>
  <c r="F14" i="15"/>
  <c r="G14" i="15"/>
  <c r="H14" i="15"/>
  <c r="I14" i="15"/>
  <c r="J14" i="15"/>
  <c r="K14" i="15"/>
  <c r="D15" i="15"/>
  <c r="E15" i="15"/>
  <c r="F15" i="15"/>
  <c r="G15" i="15"/>
  <c r="H15" i="15"/>
  <c r="I15" i="15"/>
  <c r="J15" i="15"/>
  <c r="K15" i="15"/>
  <c r="D16" i="15"/>
  <c r="E16" i="15"/>
  <c r="F16" i="15"/>
  <c r="G16" i="15"/>
  <c r="H16" i="15"/>
  <c r="I16" i="15"/>
  <c r="J16" i="15"/>
  <c r="K16" i="15"/>
  <c r="D17" i="15"/>
  <c r="E17" i="15"/>
  <c r="F17" i="15"/>
  <c r="G17" i="15"/>
  <c r="H17" i="15"/>
  <c r="I17" i="15"/>
  <c r="J17" i="15"/>
  <c r="K17" i="15"/>
  <c r="D18" i="15"/>
  <c r="E18" i="15"/>
  <c r="F18" i="15"/>
  <c r="G18" i="15"/>
  <c r="H18" i="15"/>
  <c r="I18" i="15"/>
  <c r="J18" i="15"/>
  <c r="K18" i="15"/>
  <c r="D19" i="15"/>
  <c r="E19" i="15"/>
  <c r="F19" i="15"/>
  <c r="G19" i="15"/>
  <c r="H19" i="15"/>
  <c r="I19" i="15"/>
  <c r="J19" i="15"/>
  <c r="K19" i="15"/>
  <c r="D20" i="15"/>
  <c r="E20" i="15"/>
  <c r="F20" i="15"/>
  <c r="G20" i="15"/>
  <c r="H20" i="15"/>
  <c r="I20" i="15"/>
  <c r="J20" i="15"/>
  <c r="K20" i="15"/>
  <c r="D21" i="15"/>
  <c r="E21" i="15"/>
  <c r="F21" i="15"/>
  <c r="G21" i="15"/>
  <c r="H21" i="15"/>
  <c r="I21" i="15"/>
  <c r="J21" i="15"/>
  <c r="K21" i="15"/>
  <c r="D22" i="15"/>
  <c r="E22" i="15"/>
  <c r="F22" i="15"/>
  <c r="G22" i="15"/>
  <c r="H22" i="15"/>
  <c r="I22" i="15"/>
  <c r="J22" i="15"/>
  <c r="K22" i="15"/>
  <c r="D23" i="15"/>
  <c r="E23" i="15"/>
  <c r="F23" i="15"/>
  <c r="G23" i="15"/>
  <c r="H23" i="15"/>
  <c r="I23" i="15"/>
  <c r="J23" i="15"/>
  <c r="K23" i="15"/>
  <c r="D24" i="15"/>
  <c r="E24" i="15"/>
  <c r="F24" i="15"/>
  <c r="G24" i="15"/>
  <c r="H24" i="15"/>
  <c r="I24" i="15"/>
  <c r="J24" i="15"/>
  <c r="K24" i="15"/>
  <c r="D25" i="15"/>
  <c r="E25" i="15"/>
  <c r="F25" i="15"/>
  <c r="G25" i="15"/>
  <c r="H25" i="15"/>
  <c r="I25" i="15"/>
  <c r="J25" i="15"/>
  <c r="K25" i="15"/>
  <c r="D26" i="15"/>
  <c r="E26" i="15"/>
  <c r="F26" i="15"/>
  <c r="G26" i="15"/>
  <c r="H26" i="15"/>
  <c r="I26" i="15"/>
  <c r="J26" i="15"/>
  <c r="K26" i="15"/>
  <c r="D27" i="15"/>
  <c r="E27" i="15"/>
  <c r="F27" i="15"/>
  <c r="G27" i="15"/>
  <c r="H27" i="15"/>
  <c r="I27" i="15"/>
  <c r="J27" i="15"/>
  <c r="K27" i="15"/>
  <c r="D32" i="15" l="1"/>
  <c r="D34" i="15"/>
  <c r="D35" i="15"/>
  <c r="E35" i="15"/>
  <c r="F35" i="15"/>
  <c r="G35" i="15"/>
  <c r="H35" i="15"/>
  <c r="I35" i="15"/>
  <c r="J35" i="15"/>
  <c r="D36" i="15"/>
  <c r="E36" i="15"/>
  <c r="F36" i="15"/>
  <c r="G36" i="15"/>
  <c r="H36" i="15"/>
  <c r="I36" i="15"/>
  <c r="J36" i="15"/>
  <c r="D37" i="15"/>
  <c r="E37" i="15"/>
  <c r="F37" i="15"/>
  <c r="G37" i="15"/>
  <c r="H37" i="15"/>
  <c r="I37" i="15"/>
  <c r="J37" i="15"/>
  <c r="D38" i="15"/>
  <c r="E38" i="15"/>
  <c r="F38" i="15"/>
  <c r="G38" i="15"/>
  <c r="H38" i="15"/>
  <c r="I38" i="15"/>
  <c r="J38" i="15"/>
  <c r="D39" i="15"/>
  <c r="E39" i="15"/>
  <c r="F39" i="15"/>
  <c r="G39" i="15"/>
  <c r="H39" i="15"/>
  <c r="I39" i="15"/>
  <c r="J39" i="15"/>
  <c r="D40" i="15"/>
  <c r="E40" i="15"/>
  <c r="F40" i="15"/>
  <c r="G40" i="15"/>
  <c r="H40" i="15"/>
  <c r="I40" i="15"/>
  <c r="J40" i="15"/>
  <c r="M4" i="15"/>
  <c r="M5" i="15"/>
  <c r="N5" i="15"/>
  <c r="N6" i="15"/>
  <c r="O6" i="15"/>
  <c r="P6" i="15"/>
  <c r="M7" i="15"/>
  <c r="N7" i="15"/>
  <c r="O7" i="15"/>
  <c r="P7" i="15"/>
  <c r="M8" i="15"/>
  <c r="N8" i="15"/>
  <c r="O8" i="15"/>
  <c r="P8" i="15"/>
  <c r="M9" i="15"/>
  <c r="N9" i="15"/>
  <c r="O9" i="15"/>
  <c r="P9" i="15"/>
  <c r="M10" i="15"/>
  <c r="N10" i="15"/>
  <c r="O10" i="15"/>
  <c r="P10" i="15"/>
  <c r="N12" i="15"/>
  <c r="O12" i="15"/>
  <c r="P12" i="15"/>
  <c r="M14" i="15"/>
  <c r="N14" i="15"/>
  <c r="M16" i="15"/>
  <c r="N16" i="15"/>
  <c r="M17" i="15"/>
  <c r="N17" i="15"/>
  <c r="M18" i="15"/>
  <c r="N18" i="15"/>
  <c r="M19" i="15"/>
  <c r="N19" i="15"/>
  <c r="D4" i="15"/>
  <c r="D5" i="15"/>
  <c r="E5" i="15"/>
  <c r="F5" i="15"/>
  <c r="H5" i="15"/>
  <c r="J5" i="15"/>
  <c r="F6" i="15"/>
  <c r="G6" i="15"/>
  <c r="H6" i="15"/>
  <c r="I6" i="15"/>
  <c r="J6" i="15"/>
  <c r="K6" i="15"/>
  <c r="A4" i="15"/>
  <c r="A5" i="15"/>
  <c r="B5" i="15"/>
  <c r="A6" i="15"/>
  <c r="B6" i="15"/>
  <c r="A7" i="15"/>
  <c r="B7" i="15"/>
  <c r="A8" i="15"/>
  <c r="B8" i="15"/>
  <c r="A9" i="15"/>
  <c r="B9" i="15"/>
  <c r="A10" i="15"/>
  <c r="A11" i="15"/>
  <c r="B11" i="15"/>
  <c r="A12" i="15"/>
  <c r="B12" i="15"/>
  <c r="A13" i="15"/>
  <c r="B13" i="15"/>
  <c r="A14" i="15"/>
  <c r="A15" i="15"/>
  <c r="J41" i="15" l="1"/>
  <c r="A3" i="13"/>
  <c r="B3" i="13"/>
  <c r="C3" i="13"/>
  <c r="D3" i="13"/>
  <c r="E3" i="13"/>
  <c r="F3" i="13"/>
  <c r="G3" i="13"/>
  <c r="A5" i="13"/>
  <c r="B5" i="13"/>
  <c r="C5" i="13"/>
  <c r="D5" i="13"/>
  <c r="E5" i="13"/>
  <c r="A7" i="13"/>
  <c r="B7" i="13"/>
  <c r="C7" i="13"/>
  <c r="D7" i="13"/>
  <c r="E7" i="13"/>
  <c r="B8" i="13"/>
  <c r="C8" i="13"/>
  <c r="D8" i="13"/>
  <c r="B9" i="13"/>
  <c r="C9" i="13"/>
  <c r="D9" i="13"/>
  <c r="B10" i="13"/>
  <c r="C10" i="13"/>
  <c r="D10" i="13"/>
  <c r="A12" i="13"/>
  <c r="B12" i="13"/>
  <c r="C12" i="13"/>
  <c r="D12" i="13"/>
  <c r="B13" i="13"/>
  <c r="C13" i="13"/>
  <c r="D13" i="13"/>
  <c r="B14" i="13"/>
  <c r="C14" i="13"/>
  <c r="D14" i="13"/>
  <c r="B15" i="13"/>
  <c r="C15" i="13"/>
  <c r="D15" i="13"/>
  <c r="B16" i="13"/>
  <c r="C16" i="13"/>
  <c r="D16" i="13"/>
  <c r="B17" i="13"/>
  <c r="C17" i="13"/>
  <c r="D17" i="13"/>
  <c r="E17" i="13"/>
  <c r="B18" i="13"/>
  <c r="C18" i="13"/>
  <c r="D18" i="13"/>
  <c r="E18" i="13"/>
  <c r="B19" i="13"/>
  <c r="C19" i="13"/>
  <c r="D19" i="13"/>
  <c r="B20" i="13"/>
  <c r="C20" i="13"/>
  <c r="D20" i="13"/>
  <c r="B21" i="13"/>
  <c r="C21" i="13"/>
  <c r="D21" i="13"/>
  <c r="B22" i="13"/>
  <c r="C22" i="13"/>
  <c r="D22" i="13"/>
  <c r="B23" i="13"/>
  <c r="C23" i="13"/>
  <c r="D23" i="13"/>
  <c r="B24" i="13"/>
  <c r="C24" i="13"/>
  <c r="D24" i="13"/>
  <c r="B25" i="13"/>
  <c r="C25" i="13"/>
  <c r="D25" i="13"/>
  <c r="B26" i="13"/>
  <c r="C26" i="13"/>
  <c r="D26" i="13"/>
  <c r="B27" i="13"/>
  <c r="C27" i="13"/>
  <c r="D27" i="13"/>
  <c r="B28" i="13"/>
  <c r="C28" i="13"/>
  <c r="D28" i="13"/>
  <c r="A29" i="13"/>
  <c r="B29" i="13"/>
  <c r="C29" i="13"/>
  <c r="D29" i="13"/>
  <c r="E29" i="13"/>
  <c r="B30" i="13"/>
  <c r="C30" i="13"/>
  <c r="D30" i="13"/>
  <c r="B31" i="13"/>
  <c r="C31" i="13"/>
  <c r="D31" i="13"/>
  <c r="B32" i="13"/>
  <c r="C32" i="13"/>
  <c r="D32" i="13"/>
  <c r="B33" i="13"/>
  <c r="C33" i="13"/>
  <c r="D33" i="13"/>
  <c r="B34" i="13"/>
  <c r="C34" i="13"/>
  <c r="D34" i="13"/>
  <c r="A35" i="13"/>
  <c r="B35" i="13"/>
  <c r="C35" i="13"/>
  <c r="D35" i="13"/>
  <c r="E35" i="13"/>
  <c r="B36" i="13"/>
  <c r="C36" i="13"/>
  <c r="D36" i="13"/>
  <c r="A37" i="13"/>
  <c r="B37" i="13"/>
  <c r="C37" i="13"/>
  <c r="D37" i="13"/>
  <c r="E37" i="13"/>
  <c r="B38" i="13"/>
  <c r="C38" i="13"/>
  <c r="D38" i="13"/>
  <c r="B39" i="13"/>
  <c r="C39" i="13"/>
  <c r="D39" i="13"/>
  <c r="B40" i="13"/>
  <c r="C40" i="13"/>
  <c r="D40" i="13"/>
  <c r="B41" i="13"/>
  <c r="C41" i="13"/>
  <c r="D41" i="13"/>
  <c r="B42" i="13"/>
  <c r="C42" i="13"/>
  <c r="D42" i="13"/>
  <c r="B43" i="13"/>
  <c r="C43" i="13"/>
  <c r="D43" i="13"/>
  <c r="A44" i="13"/>
  <c r="B44" i="13"/>
  <c r="C44" i="13"/>
  <c r="D44" i="13"/>
  <c r="E44" i="13"/>
  <c r="B45" i="13"/>
  <c r="C45" i="13"/>
  <c r="D45" i="13"/>
  <c r="B46" i="13"/>
  <c r="C46" i="13"/>
  <c r="D46" i="13"/>
  <c r="B47" i="13"/>
  <c r="C47" i="13"/>
  <c r="D47" i="13"/>
  <c r="B48" i="13"/>
  <c r="C48" i="13"/>
  <c r="D48" i="13"/>
  <c r="B49" i="13"/>
  <c r="C49" i="13"/>
  <c r="D49" i="13"/>
  <c r="A50" i="13"/>
  <c r="B50" i="13"/>
  <c r="C50" i="13"/>
  <c r="D50" i="13"/>
  <c r="E50" i="13"/>
  <c r="B51" i="13"/>
  <c r="C51" i="13"/>
  <c r="D51" i="13"/>
  <c r="B52" i="13"/>
  <c r="C52" i="13"/>
  <c r="D52" i="13"/>
  <c r="B53" i="13"/>
  <c r="C53" i="13"/>
  <c r="D53" i="13"/>
  <c r="B54" i="13"/>
  <c r="C54" i="13"/>
  <c r="D54" i="13"/>
  <c r="A55" i="13"/>
  <c r="B55" i="13"/>
  <c r="C55" i="13"/>
  <c r="D55" i="13"/>
  <c r="E55" i="13"/>
  <c r="B56" i="13"/>
  <c r="C56" i="13"/>
  <c r="D56" i="13"/>
  <c r="B57" i="13"/>
  <c r="C57" i="13"/>
  <c r="D57" i="13"/>
  <c r="B58" i="13"/>
  <c r="C58" i="13"/>
  <c r="D58" i="13"/>
  <c r="B59" i="13"/>
  <c r="C59" i="13"/>
  <c r="D59" i="13"/>
  <c r="A60" i="13"/>
  <c r="B60" i="13"/>
  <c r="C60" i="13"/>
  <c r="D60" i="13"/>
  <c r="E60" i="13"/>
  <c r="B61" i="13"/>
  <c r="C61" i="13"/>
  <c r="D61" i="13"/>
  <c r="B62" i="13"/>
  <c r="C62" i="13"/>
  <c r="D62" i="13"/>
  <c r="A64" i="13"/>
  <c r="B64" i="13"/>
  <c r="C64" i="13"/>
  <c r="D64" i="13"/>
  <c r="E64" i="13"/>
  <c r="B65" i="13"/>
  <c r="C65" i="13"/>
  <c r="D65" i="13"/>
  <c r="E65" i="13"/>
  <c r="B66" i="13"/>
  <c r="C66" i="13"/>
  <c r="D66" i="13"/>
  <c r="E66" i="13"/>
  <c r="B67" i="13"/>
  <c r="C67" i="13"/>
  <c r="D67" i="13"/>
  <c r="E67" i="13"/>
  <c r="B68" i="13"/>
  <c r="C68" i="13"/>
  <c r="D68" i="13"/>
  <c r="B69" i="13"/>
  <c r="C69" i="13"/>
  <c r="D69" i="13"/>
  <c r="B70" i="13"/>
  <c r="C70" i="13"/>
  <c r="D70" i="13"/>
  <c r="B71" i="13"/>
  <c r="C71" i="13"/>
  <c r="D71" i="13"/>
  <c r="B72" i="13"/>
  <c r="C72" i="13"/>
  <c r="D72" i="13"/>
  <c r="B73" i="13"/>
  <c r="C73" i="13"/>
  <c r="D73" i="13"/>
  <c r="B74" i="13"/>
  <c r="C74" i="13"/>
  <c r="D74" i="13"/>
  <c r="B75" i="13"/>
  <c r="C75" i="13"/>
  <c r="D75" i="13"/>
  <c r="A76" i="13"/>
  <c r="B76" i="13"/>
  <c r="C76" i="13"/>
  <c r="D76" i="13"/>
  <c r="E76" i="13"/>
  <c r="B77" i="13"/>
  <c r="C77" i="13"/>
  <c r="D77" i="13"/>
  <c r="B78" i="13"/>
  <c r="C78" i="13"/>
  <c r="D78" i="13"/>
  <c r="B79" i="13"/>
  <c r="C79" i="13"/>
  <c r="D79" i="13"/>
  <c r="B80" i="13"/>
  <c r="C80" i="13"/>
  <c r="D80" i="13"/>
  <c r="B81" i="13"/>
  <c r="C81" i="13"/>
  <c r="D81" i="13"/>
  <c r="B82" i="13"/>
  <c r="C82" i="13"/>
  <c r="D82" i="13"/>
  <c r="A83" i="13"/>
  <c r="B83" i="13"/>
  <c r="C83" i="13"/>
  <c r="D83" i="13"/>
  <c r="E83" i="13"/>
  <c r="B84" i="13"/>
  <c r="C84" i="13"/>
  <c r="D84" i="13"/>
  <c r="B85" i="13"/>
  <c r="C85" i="13"/>
  <c r="D85" i="13"/>
  <c r="A86" i="13"/>
  <c r="B86" i="13"/>
  <c r="C86" i="13"/>
  <c r="D86" i="13"/>
  <c r="E86" i="13"/>
  <c r="A87" i="13"/>
  <c r="B87" i="13"/>
  <c r="C87" i="13"/>
  <c r="D87" i="13"/>
  <c r="E87" i="13"/>
  <c r="A88" i="13"/>
  <c r="B88" i="13"/>
  <c r="C88" i="13"/>
  <c r="D88" i="13"/>
  <c r="E88" i="13"/>
  <c r="B89" i="13"/>
  <c r="C89" i="13"/>
  <c r="D89" i="13"/>
  <c r="B90" i="13"/>
  <c r="C90" i="13"/>
  <c r="D90" i="13"/>
  <c r="A91" i="13"/>
  <c r="B91" i="13"/>
  <c r="C91" i="13"/>
  <c r="D91" i="13"/>
  <c r="E91" i="13"/>
  <c r="B92" i="13"/>
  <c r="C92" i="13"/>
  <c r="D92" i="13"/>
  <c r="A93" i="13"/>
  <c r="B93" i="13"/>
  <c r="C93" i="13"/>
  <c r="D93" i="13"/>
  <c r="E93" i="13"/>
  <c r="A94" i="13"/>
  <c r="B94" i="13"/>
  <c r="C94" i="13"/>
  <c r="D94" i="13"/>
  <c r="E94" i="13"/>
  <c r="A95" i="13"/>
  <c r="B95" i="13"/>
  <c r="C95" i="13"/>
  <c r="D95" i="13"/>
  <c r="E95" i="13"/>
  <c r="A96" i="13"/>
  <c r="B96" i="13"/>
  <c r="C96" i="13"/>
  <c r="D96" i="13"/>
  <c r="E96" i="13"/>
  <c r="A97" i="13"/>
  <c r="B97" i="13"/>
  <c r="C97" i="13"/>
  <c r="D97" i="13"/>
  <c r="E97" i="13"/>
  <c r="A98" i="13"/>
  <c r="B98" i="13"/>
  <c r="C98" i="13"/>
  <c r="D98" i="13"/>
  <c r="E98" i="13"/>
  <c r="B99" i="13"/>
  <c r="C99" i="13"/>
  <c r="D99" i="13"/>
  <c r="A100" i="13"/>
  <c r="B100" i="13"/>
  <c r="C100" i="13"/>
  <c r="D100" i="13"/>
  <c r="E100" i="13"/>
  <c r="A101" i="13"/>
  <c r="B101" i="13"/>
  <c r="C101" i="13"/>
  <c r="D101" i="13"/>
  <c r="E101" i="13"/>
  <c r="A102" i="13"/>
  <c r="B102" i="13"/>
  <c r="C102" i="13"/>
  <c r="D102" i="13"/>
  <c r="E102" i="13"/>
  <c r="B103" i="13"/>
  <c r="C103" i="13"/>
  <c r="D103" i="13"/>
  <c r="B104" i="13"/>
  <c r="C104" i="13"/>
  <c r="D104" i="13"/>
  <c r="B105" i="13"/>
  <c r="C105" i="13"/>
  <c r="D105" i="13"/>
  <c r="B106" i="13"/>
  <c r="C106" i="13"/>
  <c r="D106" i="13"/>
  <c r="A107" i="13"/>
  <c r="B107" i="13"/>
  <c r="C107" i="13"/>
  <c r="D107" i="13"/>
  <c r="E107" i="13"/>
  <c r="B108" i="13"/>
  <c r="C108" i="13"/>
  <c r="D108" i="13"/>
  <c r="B109" i="13"/>
  <c r="C109" i="13"/>
  <c r="D109" i="13"/>
  <c r="B110" i="13"/>
  <c r="C110" i="13"/>
  <c r="D110" i="13"/>
  <c r="A111" i="13"/>
  <c r="B111" i="13"/>
  <c r="C111" i="13"/>
  <c r="D111" i="13"/>
  <c r="E111" i="13"/>
  <c r="B112" i="13"/>
  <c r="C112" i="13"/>
  <c r="D112" i="13"/>
  <c r="E112" i="13"/>
  <c r="B113" i="13"/>
  <c r="C113" i="13"/>
  <c r="D113" i="13"/>
  <c r="E113" i="13"/>
  <c r="B114" i="13"/>
  <c r="C114" i="13"/>
  <c r="D114" i="13"/>
  <c r="E114" i="13"/>
  <c r="B115" i="13"/>
  <c r="C115" i="13"/>
  <c r="D115" i="13"/>
  <c r="E115" i="13"/>
  <c r="B116" i="13"/>
  <c r="C116" i="13"/>
  <c r="D116" i="13"/>
  <c r="E116" i="13"/>
  <c r="B117" i="13"/>
  <c r="C117" i="13"/>
  <c r="D117" i="13"/>
  <c r="E117" i="13"/>
  <c r="B118" i="13"/>
  <c r="C118" i="13"/>
  <c r="D118" i="13"/>
  <c r="E118" i="13"/>
  <c r="B119" i="13"/>
  <c r="C119" i="13"/>
  <c r="D119" i="13"/>
  <c r="E119" i="13"/>
  <c r="B120" i="13"/>
  <c r="C120" i="13"/>
  <c r="D120" i="13"/>
  <c r="E120" i="13"/>
  <c r="B121" i="13"/>
  <c r="C121" i="13"/>
  <c r="D121" i="13"/>
  <c r="B122" i="13"/>
  <c r="C122" i="13"/>
  <c r="D122" i="13"/>
  <c r="A123" i="13"/>
  <c r="B123" i="13"/>
  <c r="C123" i="13"/>
  <c r="D123" i="13"/>
  <c r="E123" i="13"/>
  <c r="B124" i="13"/>
  <c r="C124" i="13"/>
  <c r="D124" i="13"/>
  <c r="E124" i="13"/>
  <c r="B125" i="13"/>
  <c r="C125" i="13"/>
  <c r="D125" i="13"/>
  <c r="E125" i="13"/>
  <c r="B126" i="13"/>
  <c r="C126" i="13"/>
  <c r="D126" i="13"/>
  <c r="B127" i="13"/>
  <c r="C127" i="13"/>
  <c r="D127" i="13"/>
  <c r="E127" i="13"/>
  <c r="B128" i="13"/>
  <c r="C128" i="13"/>
  <c r="D128" i="13"/>
  <c r="E128" i="13"/>
  <c r="B129" i="13"/>
  <c r="C129" i="13"/>
  <c r="D129" i="13"/>
  <c r="E129" i="13"/>
  <c r="B130" i="13"/>
  <c r="C130" i="13"/>
  <c r="D130" i="13"/>
  <c r="E130" i="13"/>
  <c r="B131" i="13"/>
  <c r="C131" i="13"/>
  <c r="D131" i="13"/>
  <c r="E131" i="13"/>
  <c r="B132" i="13"/>
  <c r="C132" i="13"/>
  <c r="D132" i="13"/>
  <c r="E132" i="13"/>
  <c r="B133" i="13"/>
  <c r="C133" i="13"/>
  <c r="D133" i="13"/>
  <c r="E133" i="13"/>
  <c r="A134" i="13"/>
  <c r="B134" i="13"/>
  <c r="C134" i="13"/>
  <c r="D134" i="13"/>
  <c r="E134" i="13"/>
  <c r="B135" i="13"/>
  <c r="C135" i="13"/>
  <c r="D135" i="13"/>
  <c r="E135" i="13"/>
  <c r="B136" i="13"/>
  <c r="C136" i="13"/>
  <c r="D136" i="13"/>
  <c r="E136" i="13"/>
  <c r="B137" i="13"/>
  <c r="C137" i="13"/>
  <c r="D137" i="13"/>
  <c r="E137" i="13"/>
  <c r="B138" i="13"/>
  <c r="C138" i="13"/>
  <c r="D138" i="13"/>
  <c r="B139" i="13"/>
  <c r="C139" i="13"/>
  <c r="D139" i="13"/>
  <c r="B140" i="13"/>
  <c r="C140" i="13"/>
  <c r="D140" i="13"/>
  <c r="B141" i="13"/>
  <c r="C141" i="13"/>
  <c r="D141" i="13"/>
  <c r="A142" i="13"/>
  <c r="B142" i="13"/>
  <c r="C142" i="13"/>
  <c r="D142" i="13"/>
  <c r="E142" i="13"/>
  <c r="B143" i="13"/>
  <c r="C143" i="13"/>
  <c r="D143" i="13"/>
  <c r="E143" i="13"/>
  <c r="B144" i="13"/>
  <c r="C144" i="13"/>
  <c r="D144" i="13"/>
  <c r="E144" i="13"/>
  <c r="B145" i="13"/>
  <c r="C145" i="13"/>
  <c r="D145" i="13"/>
  <c r="B146" i="13"/>
  <c r="C146" i="13"/>
  <c r="D146" i="13"/>
  <c r="A147" i="13"/>
  <c r="B147" i="13"/>
  <c r="C147" i="13"/>
  <c r="D147" i="13"/>
  <c r="E147" i="13"/>
  <c r="B148" i="13"/>
  <c r="C148" i="13"/>
  <c r="D148" i="13"/>
  <c r="E148" i="13"/>
  <c r="B149" i="13"/>
  <c r="C149" i="13"/>
  <c r="D149" i="13"/>
  <c r="E149" i="13"/>
  <c r="B150" i="13"/>
  <c r="C150" i="13"/>
  <c r="D150" i="13"/>
  <c r="B151" i="13"/>
  <c r="C151" i="13"/>
  <c r="D151" i="13"/>
  <c r="B152" i="13"/>
  <c r="C152" i="13"/>
  <c r="D152" i="13"/>
  <c r="B153" i="13"/>
  <c r="C153" i="13"/>
  <c r="D153" i="13"/>
  <c r="B154" i="13"/>
  <c r="C154" i="13"/>
  <c r="D154" i="13"/>
  <c r="A156" i="13"/>
  <c r="B156" i="13"/>
  <c r="C156" i="13"/>
  <c r="D156" i="13"/>
  <c r="E156" i="13"/>
  <c r="B157" i="13"/>
  <c r="C157" i="13"/>
  <c r="D157" i="13"/>
  <c r="B158" i="13"/>
  <c r="C158" i="13"/>
  <c r="D158" i="13"/>
  <c r="B159" i="13"/>
  <c r="C159" i="13"/>
  <c r="D159" i="13"/>
  <c r="B160" i="13"/>
  <c r="C160" i="13"/>
  <c r="D160" i="13"/>
  <c r="B161" i="13"/>
  <c r="C161" i="13"/>
  <c r="D161" i="13"/>
  <c r="B162" i="13"/>
  <c r="C162" i="13"/>
  <c r="D162" i="13"/>
  <c r="B163" i="13"/>
  <c r="C163" i="13"/>
  <c r="D163" i="13"/>
  <c r="B164" i="13"/>
  <c r="C164" i="13"/>
  <c r="D164" i="13"/>
  <c r="A165" i="13"/>
  <c r="B165" i="13"/>
  <c r="C165" i="13"/>
  <c r="D165" i="13"/>
  <c r="E165" i="13"/>
  <c r="A166" i="13"/>
  <c r="B166" i="13"/>
  <c r="C166" i="13"/>
  <c r="D166" i="13"/>
  <c r="E166" i="13"/>
  <c r="A167" i="13"/>
  <c r="B167" i="13"/>
  <c r="C167" i="13"/>
  <c r="D167" i="13"/>
  <c r="E167" i="13"/>
  <c r="A168" i="13"/>
  <c r="B168" i="13"/>
  <c r="C168" i="13"/>
  <c r="D168" i="13"/>
  <c r="E168" i="13"/>
  <c r="B169" i="13"/>
  <c r="C169" i="13"/>
  <c r="D169" i="13"/>
  <c r="A171" i="13"/>
  <c r="B171" i="13"/>
  <c r="C171" i="13"/>
  <c r="D171" i="13"/>
  <c r="E171" i="13"/>
  <c r="B172" i="13"/>
  <c r="C172" i="13"/>
  <c r="D172" i="13"/>
  <c r="B173" i="13"/>
  <c r="C173" i="13"/>
  <c r="D173" i="13"/>
  <c r="B174" i="13"/>
  <c r="C174" i="13"/>
  <c r="D174" i="13"/>
  <c r="B175" i="13"/>
  <c r="C175" i="13"/>
  <c r="D175" i="13"/>
  <c r="B176" i="13"/>
  <c r="C176" i="13"/>
  <c r="D176" i="13"/>
  <c r="B177" i="13"/>
  <c r="C177" i="13"/>
  <c r="D177" i="13"/>
  <c r="B178" i="13"/>
  <c r="C178" i="13"/>
  <c r="D178" i="13"/>
  <c r="B179" i="13"/>
  <c r="C179" i="13"/>
  <c r="D179" i="13"/>
  <c r="A181" i="13"/>
  <c r="B181" i="13"/>
  <c r="C181" i="13"/>
  <c r="D181" i="13"/>
  <c r="E181" i="13"/>
  <c r="B182" i="13"/>
  <c r="C182" i="13"/>
  <c r="D182" i="13"/>
  <c r="B183" i="13"/>
  <c r="C183" i="13"/>
  <c r="D183" i="13"/>
  <c r="B184" i="13"/>
  <c r="C184" i="13"/>
  <c r="D184" i="13"/>
  <c r="A186" i="13"/>
  <c r="B186" i="13"/>
  <c r="C186" i="13"/>
  <c r="D186" i="13"/>
  <c r="E186" i="13"/>
  <c r="B187" i="13"/>
  <c r="C187" i="13"/>
  <c r="D187" i="13"/>
  <c r="B188" i="13"/>
  <c r="C188" i="13"/>
  <c r="D188" i="13"/>
  <c r="A190" i="13"/>
  <c r="B190" i="13"/>
  <c r="C190" i="13"/>
  <c r="D190" i="13"/>
  <c r="E190" i="13"/>
  <c r="B191" i="13"/>
  <c r="C191" i="13"/>
  <c r="D191" i="13"/>
  <c r="B192" i="13"/>
  <c r="C192" i="13"/>
  <c r="D192" i="13"/>
  <c r="B193" i="13"/>
  <c r="C193" i="13"/>
  <c r="D193" i="13"/>
  <c r="A195" i="13"/>
  <c r="B195" i="13"/>
  <c r="C195" i="13"/>
  <c r="D195" i="13"/>
  <c r="E195" i="13"/>
  <c r="B196" i="13"/>
  <c r="C196" i="13"/>
  <c r="D196" i="13"/>
  <c r="E196" i="13"/>
  <c r="B197" i="13"/>
  <c r="C197" i="13"/>
  <c r="D197" i="13"/>
  <c r="B198" i="13"/>
  <c r="C198" i="13"/>
  <c r="D198" i="13"/>
  <c r="B199" i="13"/>
  <c r="C199" i="13"/>
  <c r="D199" i="13"/>
  <c r="B200" i="13"/>
  <c r="C200" i="13"/>
  <c r="D200" i="13"/>
  <c r="B201" i="13"/>
  <c r="C201" i="13"/>
  <c r="D201" i="13"/>
  <c r="B202" i="13"/>
  <c r="C202" i="13"/>
  <c r="D202" i="13"/>
  <c r="A203" i="13"/>
  <c r="B203" i="13"/>
  <c r="C203" i="13"/>
  <c r="D203" i="13"/>
  <c r="E203" i="13"/>
  <c r="B204" i="13"/>
  <c r="C204" i="13"/>
  <c r="D204" i="13"/>
  <c r="B205" i="13"/>
  <c r="C205" i="13"/>
  <c r="D205" i="13"/>
  <c r="B206" i="13"/>
  <c r="C206" i="13"/>
  <c r="D206" i="13"/>
  <c r="A207" i="13"/>
  <c r="B207" i="13"/>
  <c r="C207" i="13"/>
  <c r="D207" i="13"/>
  <c r="E207" i="13"/>
  <c r="A208" i="13"/>
  <c r="B208" i="13"/>
  <c r="C208" i="13"/>
  <c r="D208" i="13"/>
  <c r="E208" i="13"/>
  <c r="A209" i="13"/>
  <c r="B209" i="13"/>
  <c r="C209" i="13"/>
  <c r="D209" i="13"/>
  <c r="E209" i="13"/>
  <c r="A210" i="13"/>
  <c r="B210" i="13"/>
  <c r="C210" i="13"/>
  <c r="D210" i="13"/>
  <c r="E210" i="13"/>
  <c r="B211" i="13"/>
  <c r="C211" i="13"/>
  <c r="D211" i="13"/>
  <c r="B212" i="13"/>
  <c r="C212" i="13"/>
  <c r="D212" i="13"/>
  <c r="A213" i="13"/>
  <c r="B213" i="13"/>
  <c r="C213" i="13"/>
  <c r="D213" i="13"/>
  <c r="E213" i="13"/>
  <c r="A214" i="13"/>
  <c r="B214" i="13"/>
  <c r="C214" i="13"/>
  <c r="D214" i="13"/>
  <c r="E214" i="13"/>
  <c r="A215" i="13"/>
  <c r="B215" i="13"/>
  <c r="C215" i="13"/>
  <c r="D215" i="13"/>
  <c r="E215" i="13"/>
  <c r="A216" i="13"/>
  <c r="B216" i="13"/>
  <c r="C216" i="13"/>
  <c r="D216" i="13"/>
  <c r="E216" i="13"/>
  <c r="B217" i="13"/>
  <c r="C217" i="13"/>
  <c r="D217" i="13"/>
  <c r="B218" i="13"/>
  <c r="C218" i="13"/>
  <c r="D218" i="13"/>
  <c r="A219" i="13"/>
  <c r="B219" i="13"/>
  <c r="C219" i="13"/>
  <c r="D219" i="13"/>
  <c r="E219" i="13"/>
  <c r="A220" i="13"/>
  <c r="B220" i="13"/>
  <c r="C220" i="13"/>
  <c r="D220" i="13"/>
  <c r="E220" i="13"/>
  <c r="A221" i="13"/>
  <c r="B221" i="13"/>
  <c r="C221" i="13"/>
  <c r="D221" i="13"/>
  <c r="E221" i="13"/>
  <c r="B222" i="13"/>
  <c r="C222" i="13"/>
  <c r="D222" i="13"/>
  <c r="A223" i="13"/>
  <c r="B223" i="13"/>
  <c r="C223" i="13"/>
  <c r="D223" i="13"/>
  <c r="E223" i="13"/>
  <c r="B224" i="13"/>
  <c r="C224" i="13"/>
  <c r="D224" i="13"/>
  <c r="A226" i="13"/>
  <c r="B226" i="13"/>
  <c r="C226" i="13"/>
  <c r="D226" i="13"/>
  <c r="E226" i="13"/>
  <c r="B227" i="13"/>
  <c r="C227" i="13"/>
  <c r="D227" i="13"/>
  <c r="E227" i="13"/>
  <c r="B228" i="13"/>
  <c r="C228" i="13"/>
  <c r="D228" i="13"/>
  <c r="E228" i="13"/>
  <c r="B229" i="13"/>
  <c r="C229" i="13"/>
  <c r="D229" i="13"/>
  <c r="B230" i="13"/>
  <c r="C230" i="13"/>
  <c r="D230" i="13"/>
  <c r="B231" i="13"/>
  <c r="C231" i="13"/>
  <c r="D231" i="13"/>
  <c r="B232" i="13"/>
  <c r="C232" i="13"/>
  <c r="D232" i="13"/>
  <c r="B233" i="13"/>
  <c r="C233" i="13"/>
  <c r="D233" i="13"/>
  <c r="B234" i="13"/>
  <c r="C234" i="13"/>
  <c r="D234" i="13"/>
  <c r="A235" i="13"/>
  <c r="B235" i="13"/>
  <c r="C235" i="13"/>
  <c r="D235" i="13"/>
  <c r="E235" i="13"/>
  <c r="B236" i="13"/>
  <c r="C236" i="13"/>
  <c r="D236" i="13"/>
  <c r="A237" i="13"/>
  <c r="B237" i="13"/>
  <c r="C237" i="13"/>
  <c r="D237" i="13"/>
  <c r="E237" i="13"/>
  <c r="B238" i="13"/>
  <c r="C238" i="13"/>
  <c r="D238" i="13"/>
  <c r="A239" i="13"/>
  <c r="B239" i="13"/>
  <c r="C239" i="13"/>
  <c r="D239" i="13"/>
  <c r="E239" i="13"/>
  <c r="B240" i="13"/>
  <c r="C240" i="13"/>
  <c r="D240" i="13"/>
  <c r="A241" i="13"/>
  <c r="B241" i="13"/>
  <c r="C241" i="13"/>
  <c r="D241" i="13"/>
  <c r="E241" i="13"/>
  <c r="B242" i="13"/>
  <c r="C242" i="13"/>
  <c r="D242" i="13"/>
  <c r="B243" i="13"/>
  <c r="C243" i="13"/>
  <c r="D243" i="13"/>
  <c r="A244" i="13"/>
  <c r="B244" i="13"/>
  <c r="C244" i="13"/>
  <c r="D244" i="13"/>
  <c r="E244" i="13"/>
  <c r="B245" i="13"/>
  <c r="C245" i="13"/>
  <c r="D245" i="13"/>
  <c r="E245" i="13"/>
  <c r="B246" i="13"/>
  <c r="C246" i="13"/>
  <c r="D246" i="13"/>
  <c r="A247" i="13"/>
  <c r="B247" i="13"/>
  <c r="C247" i="13"/>
  <c r="D247" i="13"/>
  <c r="E247" i="13"/>
  <c r="B248" i="13"/>
  <c r="C248" i="13"/>
  <c r="D248" i="13"/>
  <c r="A249" i="13"/>
  <c r="B249" i="13"/>
  <c r="C249" i="13"/>
  <c r="D249" i="13"/>
  <c r="E249" i="13"/>
  <c r="A250" i="13"/>
  <c r="B250" i="13"/>
  <c r="C250" i="13"/>
  <c r="D250" i="13"/>
  <c r="E250" i="13"/>
  <c r="B251" i="13"/>
  <c r="C251" i="13"/>
  <c r="D251" i="13"/>
  <c r="E251" i="13"/>
  <c r="A252" i="13"/>
  <c r="B252" i="13"/>
  <c r="C252" i="13"/>
  <c r="D252" i="13"/>
  <c r="E252" i="13"/>
  <c r="B253" i="13"/>
  <c r="C253" i="13"/>
  <c r="D253" i="13"/>
  <c r="A254" i="13"/>
  <c r="B254" i="13"/>
  <c r="C254" i="13"/>
  <c r="D254" i="13"/>
  <c r="E254" i="13"/>
  <c r="A255" i="13"/>
  <c r="B255" i="13"/>
  <c r="C255" i="13"/>
  <c r="D255" i="13"/>
  <c r="E255" i="13"/>
  <c r="B256" i="13"/>
  <c r="C256" i="13"/>
  <c r="D256" i="13"/>
  <c r="B257" i="13"/>
  <c r="C257" i="13"/>
  <c r="D257" i="13"/>
  <c r="A259" i="13"/>
  <c r="B259" i="13"/>
  <c r="C259" i="13"/>
  <c r="D259" i="13"/>
  <c r="E259" i="13"/>
  <c r="B260" i="13"/>
  <c r="C260" i="13"/>
  <c r="D260" i="13"/>
  <c r="E260" i="13"/>
  <c r="B261" i="13"/>
  <c r="C261" i="13"/>
  <c r="D261" i="13"/>
  <c r="B262" i="13"/>
  <c r="C262" i="13"/>
  <c r="D262" i="13"/>
  <c r="B263" i="13"/>
  <c r="C263" i="13"/>
  <c r="D263" i="13"/>
  <c r="B264" i="13"/>
  <c r="C264" i="13"/>
  <c r="D264" i="13"/>
  <c r="B265" i="13"/>
  <c r="C265" i="13"/>
  <c r="D265" i="13"/>
  <c r="B266" i="13"/>
  <c r="C266" i="13"/>
  <c r="D266" i="13"/>
  <c r="A267" i="13"/>
  <c r="B267" i="13"/>
  <c r="C267" i="13"/>
  <c r="D267" i="13"/>
  <c r="E267" i="13"/>
  <c r="B268" i="13"/>
  <c r="C268" i="13"/>
  <c r="D268" i="13"/>
  <c r="E268" i="13"/>
  <c r="B269" i="13"/>
  <c r="C269" i="13"/>
  <c r="D269" i="13"/>
  <c r="A270" i="13"/>
  <c r="B270" i="13"/>
  <c r="C270" i="13"/>
  <c r="D270" i="13"/>
  <c r="E270" i="13"/>
  <c r="A271" i="13"/>
  <c r="B271" i="13"/>
  <c r="C271" i="13"/>
  <c r="D271" i="13"/>
  <c r="E271" i="13"/>
  <c r="A272" i="13"/>
  <c r="B272" i="13"/>
  <c r="C272" i="13"/>
  <c r="D272" i="13"/>
  <c r="E272" i="13"/>
  <c r="B273" i="13"/>
  <c r="C273" i="13"/>
  <c r="D273" i="13"/>
  <c r="E273" i="13"/>
  <c r="B274" i="13"/>
  <c r="C274" i="13"/>
  <c r="D274" i="13"/>
  <c r="A275" i="13"/>
  <c r="B275" i="13"/>
  <c r="C275" i="13"/>
  <c r="D275" i="13"/>
  <c r="E275" i="13"/>
  <c r="A276" i="13"/>
  <c r="B276" i="13"/>
  <c r="C276" i="13"/>
  <c r="D276" i="13"/>
  <c r="E276" i="13"/>
  <c r="A277" i="13"/>
  <c r="B277" i="13"/>
  <c r="C277" i="13"/>
  <c r="D277" i="13"/>
  <c r="E277" i="13"/>
  <c r="B278" i="13"/>
  <c r="C278" i="13"/>
  <c r="D278" i="13"/>
  <c r="A279" i="13"/>
  <c r="B279" i="13"/>
  <c r="C279" i="13"/>
  <c r="D279" i="13"/>
  <c r="E279" i="13"/>
  <c r="A280" i="13"/>
  <c r="B280" i="13"/>
  <c r="C280" i="13"/>
  <c r="D280" i="13"/>
  <c r="E280" i="13"/>
  <c r="A281" i="13"/>
  <c r="B281" i="13"/>
  <c r="C281" i="13"/>
  <c r="D281" i="13"/>
  <c r="E281" i="13"/>
  <c r="B282" i="13"/>
  <c r="C282" i="13"/>
  <c r="D282" i="13"/>
  <c r="A283" i="13"/>
  <c r="B283" i="13"/>
  <c r="C283" i="13"/>
  <c r="D283" i="13"/>
  <c r="E283" i="13"/>
  <c r="A284" i="13"/>
  <c r="B284" i="13"/>
  <c r="C284" i="13"/>
  <c r="D284" i="13"/>
  <c r="E284" i="13"/>
  <c r="A286" i="13"/>
  <c r="B286" i="13"/>
  <c r="C286" i="13"/>
  <c r="D286" i="13"/>
  <c r="E286" i="13"/>
  <c r="B287" i="13"/>
  <c r="C287" i="13"/>
  <c r="D287" i="13"/>
  <c r="E287" i="13"/>
  <c r="B288" i="13"/>
  <c r="C288" i="13"/>
  <c r="D288" i="13"/>
  <c r="B289" i="13"/>
  <c r="C289" i="13"/>
  <c r="D289" i="13"/>
  <c r="B290" i="13"/>
  <c r="C290" i="13"/>
  <c r="D290" i="13"/>
  <c r="B291" i="13"/>
  <c r="C291" i="13"/>
  <c r="D291" i="13"/>
  <c r="B292" i="13"/>
  <c r="C292" i="13"/>
  <c r="D292" i="13"/>
  <c r="A293" i="13"/>
  <c r="B293" i="13"/>
  <c r="C293" i="13"/>
  <c r="D293" i="13"/>
  <c r="E293" i="13"/>
  <c r="B294" i="13"/>
  <c r="C294" i="13"/>
  <c r="D294" i="13"/>
  <c r="B295" i="13"/>
  <c r="C295" i="13"/>
  <c r="D295" i="13"/>
  <c r="A296" i="13"/>
  <c r="B296" i="13"/>
  <c r="C296" i="13"/>
  <c r="D296" i="13"/>
  <c r="E296" i="13"/>
  <c r="A297" i="13"/>
  <c r="B297" i="13"/>
  <c r="C297" i="13"/>
  <c r="D297" i="13"/>
  <c r="E297" i="13"/>
  <c r="B298" i="13"/>
  <c r="C298" i="13"/>
  <c r="D298" i="13"/>
  <c r="A299" i="13"/>
  <c r="B299" i="13"/>
  <c r="C299" i="13"/>
  <c r="D299" i="13"/>
  <c r="E299" i="13"/>
  <c r="A300" i="13"/>
  <c r="B300" i="13"/>
  <c r="C300" i="13"/>
  <c r="D300" i="13"/>
  <c r="E300" i="13"/>
  <c r="B301" i="13"/>
  <c r="C301" i="13"/>
  <c r="D301" i="13"/>
  <c r="B302" i="13"/>
  <c r="C302" i="13"/>
  <c r="D302" i="13"/>
  <c r="A303" i="13"/>
  <c r="B303" i="13"/>
  <c r="C303" i="13"/>
  <c r="D303" i="13"/>
  <c r="E303" i="13"/>
  <c r="A304" i="13"/>
  <c r="B304" i="13"/>
  <c r="C304" i="13"/>
  <c r="D304" i="13"/>
  <c r="E304" i="13"/>
  <c r="A305" i="13"/>
  <c r="B305" i="13"/>
  <c r="C305" i="13"/>
  <c r="D305" i="13"/>
  <c r="E305" i="13"/>
  <c r="B306" i="13"/>
  <c r="C306" i="13"/>
  <c r="D306" i="13"/>
  <c r="B307" i="13"/>
  <c r="C307" i="13"/>
  <c r="D307" i="13"/>
  <c r="B308" i="13"/>
  <c r="C308" i="13"/>
  <c r="D308" i="13"/>
  <c r="A309" i="13"/>
  <c r="B309" i="13"/>
  <c r="C309" i="13"/>
  <c r="D309" i="13"/>
  <c r="E309" i="13"/>
  <c r="A310" i="13"/>
  <c r="B310" i="13"/>
  <c r="C310" i="13"/>
  <c r="D310" i="13"/>
  <c r="E310" i="13"/>
  <c r="B311" i="13"/>
  <c r="C311" i="13"/>
  <c r="D311" i="13"/>
  <c r="A312" i="13"/>
  <c r="B312" i="13"/>
  <c r="C312" i="13"/>
  <c r="D312" i="13"/>
  <c r="E312" i="13"/>
  <c r="B313" i="13"/>
  <c r="C313" i="13"/>
  <c r="D313" i="13"/>
  <c r="A314" i="13"/>
  <c r="B314" i="13"/>
  <c r="C314" i="13"/>
  <c r="D314" i="13"/>
  <c r="E314" i="13"/>
  <c r="B315" i="13"/>
  <c r="C315" i="13"/>
  <c r="D315" i="13"/>
  <c r="A40" i="12"/>
  <c r="B40" i="12"/>
  <c r="C40" i="12"/>
  <c r="C41" i="12"/>
  <c r="G41" i="12"/>
  <c r="I41" i="12"/>
  <c r="M41" i="12"/>
  <c r="Q41" i="12"/>
  <c r="U41" i="12"/>
  <c r="Y41" i="12"/>
  <c r="AC41" i="12"/>
  <c r="AG41" i="12"/>
  <c r="AK41" i="12"/>
  <c r="AM41" i="12"/>
  <c r="AO41" i="12"/>
  <c r="AR41" i="12"/>
  <c r="AU41" i="12"/>
  <c r="C42" i="12"/>
  <c r="E42" i="12"/>
  <c r="G42" i="12"/>
  <c r="I42" i="12"/>
  <c r="K42" i="12"/>
  <c r="M42" i="12"/>
  <c r="O42" i="12"/>
  <c r="Q42" i="12"/>
  <c r="S42" i="12"/>
  <c r="U42" i="12"/>
  <c r="W42" i="12"/>
  <c r="Y42" i="12"/>
  <c r="AA42" i="12"/>
  <c r="AC42" i="12"/>
  <c r="AE42" i="12"/>
  <c r="AG42" i="12"/>
  <c r="AI42" i="12"/>
  <c r="AK42" i="12"/>
  <c r="AM42" i="12"/>
  <c r="C43" i="12"/>
  <c r="D43" i="12"/>
  <c r="E43" i="12"/>
  <c r="F43" i="12"/>
  <c r="G43" i="12"/>
  <c r="H43" i="12"/>
  <c r="I43" i="12"/>
  <c r="J43" i="12"/>
  <c r="K43" i="12"/>
  <c r="L43" i="12"/>
  <c r="M43" i="12"/>
  <c r="N43" i="12"/>
  <c r="O43" i="12"/>
  <c r="P43" i="12"/>
  <c r="Q43" i="12"/>
  <c r="R43" i="12"/>
  <c r="S43" i="12"/>
  <c r="T43" i="12"/>
  <c r="U43" i="12"/>
  <c r="V43" i="12"/>
  <c r="W43" i="12"/>
  <c r="X43" i="12"/>
  <c r="Y43" i="12"/>
  <c r="Z43" i="12"/>
  <c r="AA43" i="12"/>
  <c r="AB43" i="12"/>
  <c r="AC43" i="12"/>
  <c r="AD43" i="12"/>
  <c r="AE43" i="12"/>
  <c r="AF43" i="12"/>
  <c r="AG43" i="12"/>
  <c r="AH43" i="12"/>
  <c r="AI43" i="12"/>
  <c r="AJ43" i="12"/>
  <c r="AK43" i="12"/>
  <c r="AL43" i="12"/>
  <c r="AM43" i="12"/>
  <c r="AN43" i="12"/>
  <c r="AO43" i="12"/>
  <c r="AP43" i="12"/>
  <c r="AQ43" i="12"/>
  <c r="AR43" i="12"/>
  <c r="AS43" i="12"/>
  <c r="AT43" i="12"/>
  <c r="AU43" i="12"/>
  <c r="AV43" i="12"/>
  <c r="AW43" i="12"/>
  <c r="A44" i="12"/>
  <c r="B44" i="12"/>
  <c r="AM44" i="12"/>
  <c r="AN44" i="12"/>
  <c r="A45" i="12"/>
  <c r="B45" i="12"/>
  <c r="A46" i="12"/>
  <c r="B46" i="12"/>
  <c r="AM46" i="12"/>
  <c r="AN46" i="12"/>
  <c r="A47" i="12"/>
  <c r="B47" i="12"/>
  <c r="AM47" i="12"/>
  <c r="AN47" i="12"/>
  <c r="A48" i="12"/>
  <c r="B48" i="12"/>
  <c r="AM48" i="12"/>
  <c r="AN48" i="12"/>
  <c r="A49" i="12"/>
  <c r="B49" i="12"/>
  <c r="AM49" i="12"/>
  <c r="AN49" i="12"/>
  <c r="A50" i="12"/>
  <c r="B50" i="12"/>
  <c r="AM50" i="12"/>
  <c r="AN50" i="12"/>
  <c r="A51" i="12"/>
  <c r="B51" i="12"/>
  <c r="AM51" i="12"/>
  <c r="AN51" i="12"/>
  <c r="A52" i="12"/>
  <c r="B52" i="12"/>
  <c r="AM52" i="12"/>
  <c r="AN52" i="12"/>
  <c r="A53" i="12"/>
  <c r="B53" i="12"/>
  <c r="AM53" i="12"/>
  <c r="AN53" i="12"/>
  <c r="A54" i="12"/>
  <c r="B54" i="12"/>
  <c r="AM54" i="12"/>
  <c r="AN54" i="12"/>
  <c r="A55" i="12"/>
  <c r="B55" i="12"/>
  <c r="AM55" i="12"/>
  <c r="AN55" i="12"/>
  <c r="A56" i="12"/>
  <c r="B56" i="12"/>
  <c r="A57" i="12"/>
  <c r="F44" i="11" l="1"/>
  <c r="G44" i="11"/>
  <c r="I44" i="11"/>
  <c r="G46" i="11"/>
  <c r="H46" i="11"/>
  <c r="I46" i="11"/>
  <c r="J46" i="11"/>
  <c r="F47" i="11"/>
  <c r="I47" i="11"/>
  <c r="J47" i="11"/>
  <c r="F48" i="11"/>
  <c r="I48" i="11"/>
  <c r="J48" i="11"/>
  <c r="F49" i="11"/>
  <c r="I49" i="11"/>
  <c r="J49" i="11"/>
  <c r="F50" i="11"/>
  <c r="I50" i="11"/>
  <c r="J50" i="11"/>
  <c r="F51" i="11"/>
  <c r="I51" i="11"/>
  <c r="J51" i="11"/>
  <c r="F52" i="11"/>
  <c r="I52" i="11"/>
  <c r="J52" i="11"/>
  <c r="F53" i="11"/>
  <c r="I53" i="11"/>
  <c r="J53" i="11"/>
  <c r="F54" i="11"/>
  <c r="I54" i="11"/>
  <c r="J54" i="11"/>
  <c r="F55" i="11"/>
  <c r="I55" i="11"/>
  <c r="J55" i="11"/>
  <c r="F56" i="11"/>
  <c r="I56" i="11"/>
  <c r="J56" i="11"/>
  <c r="F57" i="11"/>
  <c r="I57" i="11"/>
  <c r="J57" i="11"/>
  <c r="F58" i="11"/>
  <c r="I58" i="11"/>
  <c r="J58" i="11"/>
  <c r="F59" i="11"/>
  <c r="I59" i="11"/>
  <c r="J59" i="11"/>
  <c r="K3" i="11"/>
  <c r="L3" i="11"/>
  <c r="M3" i="11"/>
  <c r="N3" i="11"/>
  <c r="O3" i="11"/>
  <c r="K4" i="11"/>
  <c r="L4" i="11"/>
  <c r="M4" i="11"/>
  <c r="N4" i="11"/>
  <c r="O4" i="11"/>
  <c r="K5" i="11"/>
  <c r="L5" i="11"/>
  <c r="M5" i="11"/>
  <c r="N5" i="11"/>
  <c r="O5" i="11"/>
  <c r="K6" i="11"/>
  <c r="L6" i="11"/>
  <c r="M6" i="11"/>
  <c r="N6" i="11"/>
  <c r="O6" i="11"/>
  <c r="K7" i="11"/>
  <c r="L7" i="11"/>
  <c r="M7" i="11"/>
  <c r="N7" i="11"/>
  <c r="O7" i="11"/>
  <c r="K8" i="11"/>
  <c r="L8" i="11"/>
  <c r="M8" i="11"/>
  <c r="N8" i="11"/>
  <c r="O8" i="11"/>
  <c r="K9" i="11"/>
  <c r="L9" i="11"/>
  <c r="M9" i="11"/>
  <c r="N9" i="11"/>
  <c r="O9" i="11"/>
  <c r="K10" i="11"/>
  <c r="L10" i="11"/>
  <c r="M10" i="11"/>
  <c r="N10" i="11"/>
  <c r="O10" i="11"/>
  <c r="K11" i="11"/>
  <c r="L11" i="11"/>
  <c r="M11" i="11"/>
  <c r="N11" i="11"/>
  <c r="O11" i="11"/>
  <c r="K12" i="11"/>
  <c r="L12" i="11"/>
  <c r="M12" i="11"/>
  <c r="N12" i="11"/>
  <c r="O12" i="11"/>
  <c r="K13" i="11"/>
  <c r="L13" i="11"/>
  <c r="M13" i="11"/>
  <c r="N13" i="11"/>
  <c r="O13" i="11"/>
  <c r="K14" i="11"/>
  <c r="L14" i="11"/>
  <c r="M14" i="11"/>
  <c r="N14" i="11"/>
  <c r="O14" i="11"/>
  <c r="K15" i="11"/>
  <c r="L15" i="11"/>
  <c r="M15" i="11"/>
  <c r="N15" i="11"/>
  <c r="O15" i="11"/>
  <c r="K16" i="11"/>
  <c r="L16" i="11"/>
  <c r="M16" i="11"/>
  <c r="N16" i="11"/>
  <c r="O16" i="11"/>
  <c r="K17" i="11"/>
  <c r="L17" i="11"/>
  <c r="M17" i="11"/>
  <c r="N17" i="11"/>
  <c r="O17" i="11"/>
  <c r="N24" i="11"/>
  <c r="O24" i="11"/>
  <c r="Q24" i="11"/>
  <c r="S24" i="11"/>
  <c r="O26" i="11"/>
  <c r="P26" i="11"/>
  <c r="Q26" i="11"/>
  <c r="R26" i="11"/>
  <c r="S26" i="11"/>
  <c r="T26" i="11"/>
  <c r="N27" i="11"/>
  <c r="N28" i="11"/>
  <c r="N29" i="11"/>
  <c r="Q29" i="11"/>
  <c r="N30" i="11"/>
  <c r="Q30" i="11"/>
  <c r="N31" i="11"/>
  <c r="N32" i="11"/>
  <c r="N33" i="11"/>
  <c r="N34" i="11"/>
  <c r="N35" i="11"/>
  <c r="N36" i="11"/>
  <c r="N37" i="11"/>
  <c r="N38" i="11"/>
  <c r="Q38" i="11"/>
  <c r="N39" i="11"/>
  <c r="K35" i="12"/>
  <c r="B35" i="12"/>
  <c r="P17" i="12"/>
  <c r="O17" i="12"/>
  <c r="Q16" i="12"/>
  <c r="Q15" i="12"/>
  <c r="Q14" i="12"/>
  <c r="Q13" i="12"/>
  <c r="Q12" i="12"/>
  <c r="Q11" i="12"/>
  <c r="Q10" i="12"/>
  <c r="Q9" i="12"/>
  <c r="Q8" i="12"/>
  <c r="Q7" i="12"/>
  <c r="Q6" i="12"/>
  <c r="Q5" i="12"/>
  <c r="Q17" i="12" s="1"/>
  <c r="B17" i="12"/>
  <c r="F24" i="11"/>
  <c r="G24" i="11"/>
  <c r="G25" i="11"/>
  <c r="H25" i="11"/>
  <c r="I25" i="11"/>
  <c r="J25" i="11"/>
  <c r="K25" i="11"/>
  <c r="L25" i="11"/>
  <c r="F27" i="11"/>
  <c r="G27" i="11"/>
  <c r="H27" i="11"/>
  <c r="I27" i="11"/>
  <c r="J27" i="11"/>
  <c r="K27" i="11"/>
  <c r="L27" i="11"/>
  <c r="F28" i="11"/>
  <c r="G28" i="11"/>
  <c r="H28" i="11"/>
  <c r="I28" i="11"/>
  <c r="J28" i="11"/>
  <c r="K28" i="11"/>
  <c r="L28" i="11"/>
  <c r="F29" i="11"/>
  <c r="G29" i="11"/>
  <c r="H29" i="11"/>
  <c r="I29" i="11"/>
  <c r="J29" i="11"/>
  <c r="K29" i="11"/>
  <c r="L29" i="11"/>
  <c r="F30" i="11"/>
  <c r="G30" i="11"/>
  <c r="H30" i="11"/>
  <c r="I30" i="11"/>
  <c r="J30" i="11"/>
  <c r="K30" i="11"/>
  <c r="L30" i="11"/>
  <c r="F31" i="11"/>
  <c r="G31" i="11"/>
  <c r="H31" i="11"/>
  <c r="I31" i="11"/>
  <c r="J31" i="11"/>
  <c r="K31" i="11"/>
  <c r="L31" i="11"/>
  <c r="F32" i="11"/>
  <c r="G32" i="11"/>
  <c r="H32" i="11"/>
  <c r="I32" i="11"/>
  <c r="J32" i="11"/>
  <c r="K32" i="11"/>
  <c r="L32" i="11"/>
  <c r="F33" i="11"/>
  <c r="G33" i="11"/>
  <c r="H33" i="11"/>
  <c r="I33" i="11"/>
  <c r="J33" i="11"/>
  <c r="K33" i="11"/>
  <c r="L33" i="11"/>
  <c r="F34" i="11"/>
  <c r="G34" i="11"/>
  <c r="H34" i="11"/>
  <c r="I34" i="11"/>
  <c r="J34" i="11"/>
  <c r="K34" i="11"/>
  <c r="L34" i="11"/>
  <c r="F35" i="11"/>
  <c r="G35" i="11"/>
  <c r="H35" i="11"/>
  <c r="I35" i="11"/>
  <c r="J35" i="11"/>
  <c r="K35" i="11"/>
  <c r="L35" i="11"/>
  <c r="F36" i="11"/>
  <c r="G36" i="11"/>
  <c r="H36" i="11"/>
  <c r="I36" i="11"/>
  <c r="J36" i="11"/>
  <c r="K36" i="11"/>
  <c r="L36" i="11"/>
  <c r="F37" i="11"/>
  <c r="G37" i="11"/>
  <c r="H37" i="11"/>
  <c r="I37" i="11"/>
  <c r="J37" i="11"/>
  <c r="K37" i="11"/>
  <c r="L37" i="11"/>
  <c r="F38" i="11"/>
  <c r="G38" i="11"/>
  <c r="H38" i="11"/>
  <c r="I38" i="11"/>
  <c r="J38" i="11"/>
  <c r="K38" i="11"/>
  <c r="L38" i="11"/>
  <c r="F39" i="11"/>
  <c r="G39" i="11"/>
  <c r="H39" i="11"/>
  <c r="I39" i="11"/>
  <c r="J39" i="11"/>
  <c r="K39" i="11"/>
  <c r="L39" i="11"/>
  <c r="F3" i="11"/>
  <c r="G3" i="11"/>
  <c r="H3" i="11"/>
  <c r="I3" i="11"/>
  <c r="F4" i="11"/>
  <c r="G4" i="11"/>
  <c r="H4" i="11"/>
  <c r="I4" i="11"/>
  <c r="G5" i="11"/>
  <c r="H5" i="11"/>
  <c r="I5" i="11"/>
  <c r="F6" i="11"/>
  <c r="G6" i="11"/>
  <c r="H6" i="11"/>
  <c r="I6" i="11"/>
  <c r="G7" i="11"/>
  <c r="H7" i="11"/>
  <c r="I7" i="11"/>
  <c r="G8" i="11"/>
  <c r="H8" i="11"/>
  <c r="I8" i="11"/>
  <c r="G9" i="11"/>
  <c r="H9" i="11"/>
  <c r="I9" i="11"/>
  <c r="G10" i="11"/>
  <c r="H10" i="11"/>
  <c r="I10" i="11"/>
  <c r="G11" i="11"/>
  <c r="H11" i="11"/>
  <c r="I11" i="11"/>
  <c r="G12" i="11"/>
  <c r="H12" i="11"/>
  <c r="I12" i="11"/>
  <c r="F13" i="11"/>
  <c r="G13" i="11"/>
  <c r="H13" i="11"/>
  <c r="I13" i="11"/>
  <c r="G14" i="11"/>
  <c r="H14" i="11"/>
  <c r="I14" i="11"/>
  <c r="G15" i="11"/>
  <c r="H15" i="11"/>
  <c r="I15" i="11"/>
  <c r="G16" i="11"/>
  <c r="H16" i="11"/>
  <c r="I16" i="11"/>
  <c r="G17" i="11"/>
  <c r="H17" i="11"/>
  <c r="I17" i="11"/>
  <c r="G18" i="11"/>
  <c r="H18" i="11"/>
  <c r="I18" i="11"/>
  <c r="G19" i="11"/>
  <c r="H19" i="11"/>
  <c r="I19" i="11"/>
  <c r="F20" i="11"/>
  <c r="H20" i="11"/>
  <c r="I20" i="11"/>
  <c r="A3" i="11"/>
  <c r="A6" i="11"/>
  <c r="B6" i="11"/>
  <c r="C6" i="11"/>
  <c r="A7" i="11"/>
  <c r="B7" i="11"/>
  <c r="C7" i="11"/>
  <c r="A8" i="11"/>
  <c r="A5" i="11"/>
  <c r="A10" i="11"/>
  <c r="B10" i="11"/>
  <c r="C10" i="11"/>
  <c r="A11" i="11"/>
  <c r="B11" i="11"/>
  <c r="C11" i="11"/>
  <c r="A12" i="11"/>
  <c r="A14" i="11"/>
  <c r="A15" i="11"/>
  <c r="A16" i="11"/>
  <c r="B16" i="11"/>
  <c r="C16" i="11"/>
  <c r="A17" i="11"/>
  <c r="B17" i="11"/>
  <c r="C17" i="11"/>
  <c r="A18" i="11"/>
  <c r="B18" i="11"/>
  <c r="C18" i="11"/>
  <c r="A19" i="11"/>
  <c r="B19" i="11"/>
  <c r="C19" i="11"/>
  <c r="A20" i="11"/>
  <c r="B20" i="11"/>
  <c r="C20" i="11"/>
  <c r="A21" i="11"/>
  <c r="B21" i="11"/>
  <c r="C21" i="11"/>
  <c r="A22" i="11"/>
  <c r="B22" i="11"/>
  <c r="C22" i="11"/>
  <c r="A23" i="11"/>
  <c r="A25" i="11"/>
  <c r="A26" i="11"/>
  <c r="B26" i="11"/>
  <c r="C26" i="11"/>
  <c r="C27" i="11"/>
  <c r="D26" i="11"/>
  <c r="A28" i="11"/>
  <c r="B28" i="11"/>
  <c r="C28" i="11"/>
  <c r="D28" i="11"/>
  <c r="A29" i="11"/>
  <c r="B29" i="11"/>
  <c r="C29" i="11"/>
  <c r="D29" i="11"/>
  <c r="A30" i="11"/>
  <c r="B30" i="11"/>
  <c r="C30" i="11"/>
  <c r="D30" i="11"/>
  <c r="A31" i="11"/>
  <c r="B31" i="11"/>
  <c r="C31" i="11"/>
  <c r="D31" i="11"/>
  <c r="A32" i="11"/>
  <c r="B32" i="11"/>
  <c r="C32" i="11"/>
  <c r="D32" i="11"/>
  <c r="A33" i="11"/>
  <c r="B33" i="11"/>
  <c r="C33" i="11"/>
  <c r="D33" i="11"/>
  <c r="A34" i="11"/>
  <c r="B34" i="11"/>
  <c r="C34" i="11"/>
  <c r="D34" i="11"/>
  <c r="A35" i="11"/>
  <c r="B35" i="11"/>
  <c r="C35" i="11"/>
  <c r="D35" i="11"/>
  <c r="A36" i="11"/>
  <c r="B36" i="11"/>
  <c r="C36" i="11"/>
  <c r="D36" i="11"/>
  <c r="A37" i="11"/>
  <c r="B37" i="11"/>
  <c r="C37" i="11"/>
  <c r="D37" i="11"/>
  <c r="A38" i="11"/>
  <c r="B38" i="11"/>
  <c r="C38" i="11"/>
  <c r="D38" i="11"/>
  <c r="A39" i="11"/>
  <c r="B39" i="11"/>
  <c r="C39" i="11"/>
  <c r="D39" i="11"/>
  <c r="A40" i="11"/>
  <c r="B40" i="11"/>
  <c r="C40" i="11"/>
  <c r="D40" i="11"/>
  <c r="A41" i="11"/>
  <c r="B41" i="11"/>
  <c r="C41" i="11"/>
  <c r="D41" i="11"/>
  <c r="A42" i="11"/>
  <c r="B42" i="11"/>
  <c r="C42" i="11"/>
  <c r="D42" i="11"/>
  <c r="A43" i="11"/>
  <c r="A45" i="11"/>
  <c r="A46" i="11"/>
  <c r="B46" i="11"/>
  <c r="B47" i="11"/>
  <c r="C46" i="11"/>
  <c r="D46" i="11"/>
  <c r="A48" i="11"/>
  <c r="B48" i="11"/>
  <c r="C48" i="11"/>
  <c r="D48" i="11"/>
  <c r="A49" i="11"/>
  <c r="B49" i="11"/>
  <c r="C49" i="11"/>
  <c r="D49" i="11"/>
  <c r="A50" i="11"/>
  <c r="B50" i="11"/>
  <c r="C50" i="11"/>
  <c r="D50" i="11"/>
  <c r="A51" i="11"/>
  <c r="A53" i="11"/>
  <c r="A55" i="11"/>
  <c r="B55" i="11"/>
  <c r="C55" i="11"/>
  <c r="A57" i="11"/>
  <c r="B57" i="11"/>
  <c r="C57" i="11"/>
  <c r="B58" i="11"/>
  <c r="C58" i="11"/>
  <c r="A59" i="11"/>
  <c r="B59" i="11"/>
  <c r="C59" i="11"/>
  <c r="B60" i="11"/>
  <c r="C60" i="11"/>
  <c r="A35" i="10"/>
  <c r="B35" i="10"/>
  <c r="B36" i="10"/>
  <c r="E36" i="10"/>
  <c r="H36" i="10"/>
  <c r="K36" i="10"/>
  <c r="N36" i="10"/>
  <c r="Q36" i="10"/>
  <c r="T36" i="10"/>
  <c r="W36" i="10"/>
  <c r="Z36" i="10"/>
  <c r="AC36" i="10"/>
  <c r="AF36" i="10"/>
  <c r="AI36" i="10"/>
  <c r="AJ36" i="10"/>
  <c r="AK36" i="10"/>
  <c r="AL36" i="10"/>
  <c r="AM36" i="10"/>
  <c r="AN36" i="10"/>
  <c r="B37" i="10"/>
  <c r="C37" i="10"/>
  <c r="D37" i="10"/>
  <c r="E37" i="10"/>
  <c r="F37" i="10"/>
  <c r="G37" i="10"/>
  <c r="H37" i="10"/>
  <c r="I37" i="10"/>
  <c r="J37" i="10"/>
  <c r="K37" i="10"/>
  <c r="L37" i="10"/>
  <c r="M37" i="10"/>
  <c r="N37" i="10"/>
  <c r="O37" i="10"/>
  <c r="P37" i="10"/>
  <c r="Q37" i="10"/>
  <c r="R37" i="10"/>
  <c r="S37" i="10"/>
  <c r="T37" i="10"/>
  <c r="U37" i="10"/>
  <c r="V37" i="10"/>
  <c r="W37" i="10"/>
  <c r="X37" i="10"/>
  <c r="Y37" i="10"/>
  <c r="Z37" i="10"/>
  <c r="AA37" i="10"/>
  <c r="AB37" i="10"/>
  <c r="AC37" i="10"/>
  <c r="AD37" i="10"/>
  <c r="AE37" i="10"/>
  <c r="AF37" i="10"/>
  <c r="AG37" i="10"/>
  <c r="AH37" i="10"/>
  <c r="A38" i="10"/>
  <c r="B38" i="10"/>
  <c r="C38" i="10"/>
  <c r="D38" i="10"/>
  <c r="E38" i="10"/>
  <c r="F38" i="10"/>
  <c r="G38" i="10"/>
  <c r="H38" i="10"/>
  <c r="I38" i="10"/>
  <c r="J38" i="10"/>
  <c r="K38" i="10"/>
  <c r="L38" i="10"/>
  <c r="M38" i="10"/>
  <c r="N38" i="10"/>
  <c r="O38" i="10"/>
  <c r="P38" i="10"/>
  <c r="Q38" i="10"/>
  <c r="R38" i="10"/>
  <c r="S38" i="10"/>
  <c r="T38" i="10"/>
  <c r="U38" i="10"/>
  <c r="V38" i="10"/>
  <c r="W38" i="10"/>
  <c r="X38" i="10"/>
  <c r="Y38" i="10"/>
  <c r="Z38" i="10"/>
  <c r="AA38" i="10"/>
  <c r="AB38" i="10"/>
  <c r="AC38" i="10"/>
  <c r="AD38" i="10"/>
  <c r="AE38" i="10"/>
  <c r="AF38" i="10"/>
  <c r="AG38" i="10"/>
  <c r="AH38" i="10"/>
  <c r="AI38" i="10"/>
  <c r="AJ38" i="10"/>
  <c r="AK38" i="10"/>
  <c r="AL38" i="10"/>
  <c r="AM38" i="10"/>
  <c r="AN38" i="10"/>
  <c r="A39" i="10"/>
  <c r="B39" i="10"/>
  <c r="C39" i="10"/>
  <c r="D39" i="10"/>
  <c r="E39" i="10"/>
  <c r="F39" i="10"/>
  <c r="G39" i="10"/>
  <c r="H39" i="10"/>
  <c r="I39" i="10"/>
  <c r="J39" i="10"/>
  <c r="K39" i="10"/>
  <c r="L39" i="10"/>
  <c r="M39" i="10"/>
  <c r="N39" i="10"/>
  <c r="O39" i="10"/>
  <c r="P39" i="10"/>
  <c r="Q39" i="10"/>
  <c r="R39" i="10"/>
  <c r="S39" i="10"/>
  <c r="T39" i="10"/>
  <c r="U39" i="10"/>
  <c r="V39" i="10"/>
  <c r="W39" i="10"/>
  <c r="X39" i="10"/>
  <c r="Y39" i="10"/>
  <c r="Z39" i="10"/>
  <c r="AA39" i="10"/>
  <c r="AB39" i="10"/>
  <c r="AC39" i="10"/>
  <c r="AD39" i="10"/>
  <c r="AE39" i="10"/>
  <c r="AF39" i="10"/>
  <c r="AG39" i="10"/>
  <c r="AH39" i="10"/>
  <c r="AI39" i="10"/>
  <c r="AJ39" i="10"/>
  <c r="AK39" i="10"/>
  <c r="AL39" i="10"/>
  <c r="AM39" i="10"/>
  <c r="AN39" i="10"/>
  <c r="A40" i="10"/>
  <c r="B40" i="10"/>
  <c r="C40" i="10"/>
  <c r="D40" i="10"/>
  <c r="E40" i="10"/>
  <c r="F40" i="10"/>
  <c r="G40" i="10"/>
  <c r="H40" i="10"/>
  <c r="I40" i="10"/>
  <c r="J40" i="10"/>
  <c r="K40" i="10"/>
  <c r="L40" i="10"/>
  <c r="M40" i="10"/>
  <c r="N40" i="10"/>
  <c r="O40" i="10"/>
  <c r="P40" i="10"/>
  <c r="Q40" i="10"/>
  <c r="R40" i="10"/>
  <c r="S40" i="10"/>
  <c r="T40" i="10"/>
  <c r="U40" i="10"/>
  <c r="V40" i="10"/>
  <c r="W40" i="10"/>
  <c r="X40" i="10"/>
  <c r="Y40" i="10"/>
  <c r="Z40" i="10"/>
  <c r="AA40" i="10"/>
  <c r="AB40" i="10"/>
  <c r="AC40" i="10"/>
  <c r="AD40" i="10"/>
  <c r="AE40" i="10"/>
  <c r="AF40" i="10"/>
  <c r="AG40" i="10"/>
  <c r="AH40" i="10"/>
  <c r="AI40" i="10"/>
  <c r="AJ40" i="10"/>
  <c r="AK40" i="10"/>
  <c r="AL40" i="10"/>
  <c r="AM40" i="10"/>
  <c r="AN40" i="10"/>
  <c r="A41" i="10"/>
  <c r="B41" i="10"/>
  <c r="C41" i="10"/>
  <c r="D41" i="10"/>
  <c r="E41" i="10"/>
  <c r="F41" i="10"/>
  <c r="G41" i="10"/>
  <c r="H41" i="10"/>
  <c r="I41" i="10"/>
  <c r="J41" i="10"/>
  <c r="K41" i="10"/>
  <c r="L41" i="10"/>
  <c r="M41" i="10"/>
  <c r="N41" i="10"/>
  <c r="O41" i="10"/>
  <c r="P41" i="10"/>
  <c r="Q41" i="10"/>
  <c r="R41" i="10"/>
  <c r="S41" i="10"/>
  <c r="T41" i="10"/>
  <c r="U41" i="10"/>
  <c r="V41" i="10"/>
  <c r="W41" i="10"/>
  <c r="X41" i="10"/>
  <c r="Y41" i="10"/>
  <c r="Z41" i="10"/>
  <c r="AA41" i="10"/>
  <c r="AB41" i="10"/>
  <c r="AC41" i="10"/>
  <c r="AD41" i="10"/>
  <c r="AE41" i="10"/>
  <c r="AF41" i="10"/>
  <c r="AG41" i="10"/>
  <c r="AH41" i="10"/>
  <c r="AI41" i="10"/>
  <c r="AJ41" i="10"/>
  <c r="AK41" i="10"/>
  <c r="AL41" i="10"/>
  <c r="AM41" i="10"/>
  <c r="AN41" i="10"/>
  <c r="A42" i="10"/>
  <c r="B42" i="10"/>
  <c r="C42" i="10"/>
  <c r="D42" i="10"/>
  <c r="E42" i="10"/>
  <c r="F42" i="10"/>
  <c r="G42" i="10"/>
  <c r="H42" i="10"/>
  <c r="I42" i="10"/>
  <c r="J42" i="10"/>
  <c r="K42" i="10"/>
  <c r="L42" i="10"/>
  <c r="M42" i="10"/>
  <c r="N42" i="10"/>
  <c r="O42" i="10"/>
  <c r="P42" i="10"/>
  <c r="Q42" i="10"/>
  <c r="R42" i="10"/>
  <c r="S42" i="10"/>
  <c r="T42" i="10"/>
  <c r="U42" i="10"/>
  <c r="V42" i="10"/>
  <c r="W42" i="10"/>
  <c r="X42" i="10"/>
  <c r="Y42" i="10"/>
  <c r="Z42" i="10"/>
  <c r="AA42" i="10"/>
  <c r="AB42" i="10"/>
  <c r="AC42" i="10"/>
  <c r="AD42" i="10"/>
  <c r="AE42" i="10"/>
  <c r="AF42" i="10"/>
  <c r="AG42" i="10"/>
  <c r="AH42" i="10"/>
  <c r="AI42" i="10"/>
  <c r="AJ42" i="10"/>
  <c r="AK42" i="10"/>
  <c r="AL42" i="10"/>
  <c r="AM42" i="10"/>
  <c r="AN42" i="10"/>
  <c r="A43" i="10"/>
  <c r="B43" i="10"/>
  <c r="C43" i="10"/>
  <c r="D43" i="10"/>
  <c r="E43" i="10"/>
  <c r="F43" i="10"/>
  <c r="G43" i="10"/>
  <c r="H43" i="10"/>
  <c r="I43" i="10"/>
  <c r="J43" i="10"/>
  <c r="K43" i="10"/>
  <c r="L43" i="10"/>
  <c r="M43" i="10"/>
  <c r="N43" i="10"/>
  <c r="O43" i="10"/>
  <c r="P43" i="10"/>
  <c r="Q43" i="10"/>
  <c r="R43" i="10"/>
  <c r="S43" i="10"/>
  <c r="T43" i="10"/>
  <c r="U43" i="10"/>
  <c r="V43" i="10"/>
  <c r="W43" i="10"/>
  <c r="X43" i="10"/>
  <c r="Y43" i="10"/>
  <c r="Z43" i="10"/>
  <c r="AA43" i="10"/>
  <c r="AB43" i="10"/>
  <c r="AC43" i="10"/>
  <c r="AD43" i="10"/>
  <c r="AE43" i="10"/>
  <c r="AF43" i="10"/>
  <c r="AG43" i="10"/>
  <c r="AH43" i="10"/>
  <c r="AI43" i="10"/>
  <c r="AJ43" i="10"/>
  <c r="AK43" i="10"/>
  <c r="AL43" i="10"/>
  <c r="AM43" i="10"/>
  <c r="AN43" i="10"/>
  <c r="A44" i="10"/>
  <c r="B44" i="10"/>
  <c r="C44" i="10"/>
  <c r="D44" i="10"/>
  <c r="E44" i="10"/>
  <c r="F44" i="10"/>
  <c r="G44" i="10"/>
  <c r="H44" i="10"/>
  <c r="I44" i="10"/>
  <c r="J44" i="10"/>
  <c r="K44" i="10"/>
  <c r="L44" i="10"/>
  <c r="M44" i="10"/>
  <c r="N44" i="10"/>
  <c r="O44" i="10"/>
  <c r="P44" i="10"/>
  <c r="Q44" i="10"/>
  <c r="R44" i="10"/>
  <c r="S44" i="10"/>
  <c r="T44" i="10"/>
  <c r="U44" i="10"/>
  <c r="V44" i="10"/>
  <c r="W44" i="10"/>
  <c r="X44" i="10"/>
  <c r="Y44" i="10"/>
  <c r="Z44" i="10"/>
  <c r="AA44" i="10"/>
  <c r="AB44" i="10"/>
  <c r="AC44" i="10"/>
  <c r="AD44" i="10"/>
  <c r="AE44" i="10"/>
  <c r="AF44" i="10"/>
  <c r="AG44" i="10"/>
  <c r="AH44" i="10"/>
  <c r="AI44" i="10"/>
  <c r="AJ44" i="10"/>
  <c r="AK44" i="10"/>
  <c r="AL44" i="10"/>
  <c r="AM44" i="10"/>
  <c r="AN44" i="10"/>
  <c r="A45" i="10"/>
  <c r="B45" i="10"/>
  <c r="C45" i="10"/>
  <c r="D45" i="10"/>
  <c r="E45" i="10"/>
  <c r="F45" i="10"/>
  <c r="G45" i="10"/>
  <c r="H45" i="10"/>
  <c r="I45" i="10"/>
  <c r="J45" i="10"/>
  <c r="K45" i="10"/>
  <c r="L45" i="10"/>
  <c r="M45" i="10"/>
  <c r="N45" i="10"/>
  <c r="O45" i="10"/>
  <c r="P45" i="10"/>
  <c r="Q45" i="10"/>
  <c r="R45" i="10"/>
  <c r="S45" i="10"/>
  <c r="T45" i="10"/>
  <c r="U45" i="10"/>
  <c r="V45" i="10"/>
  <c r="W45" i="10"/>
  <c r="X45" i="10"/>
  <c r="Y45" i="10"/>
  <c r="Z45" i="10"/>
  <c r="AA45" i="10"/>
  <c r="AB45" i="10"/>
  <c r="AC45" i="10"/>
  <c r="AD45" i="10"/>
  <c r="AE45" i="10"/>
  <c r="AF45" i="10"/>
  <c r="AG45" i="10"/>
  <c r="AH45" i="10"/>
  <c r="AI45" i="10"/>
  <c r="AJ45" i="10"/>
  <c r="AK45" i="10"/>
  <c r="AL45" i="10"/>
  <c r="AM45" i="10"/>
  <c r="AN45" i="10"/>
  <c r="A46" i="10"/>
  <c r="B46" i="10"/>
  <c r="C46" i="10"/>
  <c r="D46" i="10"/>
  <c r="E46" i="10"/>
  <c r="F46" i="10"/>
  <c r="G46" i="10"/>
  <c r="H46" i="10"/>
  <c r="I46" i="10"/>
  <c r="J46" i="10"/>
  <c r="K46" i="10"/>
  <c r="L46" i="10"/>
  <c r="M46" i="10"/>
  <c r="N46" i="10"/>
  <c r="O46" i="10"/>
  <c r="P46" i="10"/>
  <c r="Q46" i="10"/>
  <c r="R46" i="10"/>
  <c r="S46" i="10"/>
  <c r="T46" i="10"/>
  <c r="U46" i="10"/>
  <c r="V46" i="10"/>
  <c r="W46" i="10"/>
  <c r="X46" i="10"/>
  <c r="Y46" i="10"/>
  <c r="Z46" i="10"/>
  <c r="AA46" i="10"/>
  <c r="AB46" i="10"/>
  <c r="AC46" i="10"/>
  <c r="AD46" i="10"/>
  <c r="AE46" i="10"/>
  <c r="AF46" i="10"/>
  <c r="AG46" i="10"/>
  <c r="AH46" i="10"/>
  <c r="AI46" i="10"/>
  <c r="AJ46" i="10"/>
  <c r="AK46" i="10"/>
  <c r="AL46" i="10"/>
  <c r="AM46" i="10"/>
  <c r="AN46" i="10"/>
  <c r="A47" i="10"/>
  <c r="B47" i="10"/>
  <c r="C47" i="10"/>
  <c r="D47" i="10"/>
  <c r="E47" i="10"/>
  <c r="F47" i="10"/>
  <c r="G47" i="10"/>
  <c r="H47" i="10"/>
  <c r="I47" i="10"/>
  <c r="J47" i="10"/>
  <c r="K47" i="10"/>
  <c r="L47" i="10"/>
  <c r="M47" i="10"/>
  <c r="N47" i="10"/>
  <c r="O47" i="10"/>
  <c r="P47" i="10"/>
  <c r="Q47" i="10"/>
  <c r="R47" i="10"/>
  <c r="S47" i="10"/>
  <c r="T47" i="10"/>
  <c r="U47" i="10"/>
  <c r="V47" i="10"/>
  <c r="W47" i="10"/>
  <c r="X47" i="10"/>
  <c r="Y47" i="10"/>
  <c r="Z47" i="10"/>
  <c r="AA47" i="10"/>
  <c r="AB47" i="10"/>
  <c r="AC47" i="10"/>
  <c r="AD47" i="10"/>
  <c r="AE47" i="10"/>
  <c r="AF47" i="10"/>
  <c r="AG47" i="10"/>
  <c r="AH47" i="10"/>
  <c r="AI47" i="10"/>
  <c r="AJ47" i="10"/>
  <c r="AK47" i="10"/>
  <c r="AL47" i="10"/>
  <c r="AM47" i="10"/>
  <c r="AN47" i="10"/>
  <c r="A48" i="10"/>
  <c r="B48" i="10"/>
  <c r="C48" i="10"/>
  <c r="D48" i="10"/>
  <c r="E48" i="10"/>
  <c r="F48" i="10"/>
  <c r="G48" i="10"/>
  <c r="H48" i="10"/>
  <c r="I48" i="10"/>
  <c r="J48" i="10"/>
  <c r="K48" i="10"/>
  <c r="L48" i="10"/>
  <c r="M48" i="10"/>
  <c r="N48" i="10"/>
  <c r="O48" i="10"/>
  <c r="P48" i="10"/>
  <c r="Q48" i="10"/>
  <c r="R48" i="10"/>
  <c r="S48" i="10"/>
  <c r="T48" i="10"/>
  <c r="U48" i="10"/>
  <c r="V48" i="10"/>
  <c r="W48" i="10"/>
  <c r="X48" i="10"/>
  <c r="Y48" i="10"/>
  <c r="Z48" i="10"/>
  <c r="AA48" i="10"/>
  <c r="AB48" i="10"/>
  <c r="AC48" i="10"/>
  <c r="AD48" i="10"/>
  <c r="AE48" i="10"/>
  <c r="AF48" i="10"/>
  <c r="AG48" i="10"/>
  <c r="AH48" i="10"/>
  <c r="AI48" i="10"/>
  <c r="AJ48" i="10"/>
  <c r="AK48" i="10"/>
  <c r="AL48" i="10"/>
  <c r="AM48" i="10"/>
  <c r="AN48" i="10"/>
  <c r="A49" i="10"/>
  <c r="B49" i="10"/>
  <c r="C49" i="10"/>
  <c r="D49" i="10"/>
  <c r="E49" i="10"/>
  <c r="F49" i="10"/>
  <c r="G49" i="10"/>
  <c r="H49" i="10"/>
  <c r="I49" i="10"/>
  <c r="J49" i="10"/>
  <c r="K49" i="10"/>
  <c r="L49" i="10"/>
  <c r="M49" i="10"/>
  <c r="N49" i="10"/>
  <c r="O49" i="10"/>
  <c r="P49" i="10"/>
  <c r="Q49" i="10"/>
  <c r="R49" i="10"/>
  <c r="S49" i="10"/>
  <c r="T49" i="10"/>
  <c r="U49" i="10"/>
  <c r="V49" i="10"/>
  <c r="W49" i="10"/>
  <c r="X49" i="10"/>
  <c r="Y49" i="10"/>
  <c r="Z49" i="10"/>
  <c r="AA49" i="10"/>
  <c r="AB49" i="10"/>
  <c r="AC49" i="10"/>
  <c r="AD49" i="10"/>
  <c r="AE49" i="10"/>
  <c r="AF49" i="10"/>
  <c r="AG49" i="10"/>
  <c r="AH49" i="10"/>
  <c r="AI49" i="10"/>
  <c r="AJ49" i="10"/>
  <c r="AK49" i="10"/>
  <c r="AL49" i="10"/>
  <c r="AM49" i="10"/>
  <c r="AN49" i="10"/>
  <c r="A50" i="10"/>
  <c r="B50" i="10"/>
  <c r="C50" i="10"/>
  <c r="D50" i="10"/>
  <c r="E50" i="10"/>
  <c r="F50" i="10"/>
  <c r="G50" i="10"/>
  <c r="H50" i="10"/>
  <c r="I50" i="10"/>
  <c r="J50" i="10"/>
  <c r="K50" i="10"/>
  <c r="L50" i="10"/>
  <c r="M50" i="10"/>
  <c r="N50" i="10"/>
  <c r="O50" i="10"/>
  <c r="P50" i="10"/>
  <c r="Q50" i="10"/>
  <c r="R50" i="10"/>
  <c r="S50" i="10"/>
  <c r="T50" i="10"/>
  <c r="U50" i="10"/>
  <c r="V50" i="10"/>
  <c r="W50" i="10"/>
  <c r="X50" i="10"/>
  <c r="Y50" i="10"/>
  <c r="Z50" i="10"/>
  <c r="AA50" i="10"/>
  <c r="AB50" i="10"/>
  <c r="AC50" i="10"/>
  <c r="AD50" i="10"/>
  <c r="AE50" i="10"/>
  <c r="AF50" i="10"/>
  <c r="AG50" i="10"/>
  <c r="AH50" i="10"/>
  <c r="AI50" i="10"/>
  <c r="AJ50" i="10"/>
  <c r="AK50" i="10"/>
  <c r="AL50" i="10"/>
  <c r="AM50" i="10"/>
  <c r="AN50" i="10"/>
  <c r="H3" i="10"/>
  <c r="I3" i="10"/>
  <c r="I4" i="10"/>
  <c r="J4" i="10"/>
  <c r="K4" i="10"/>
  <c r="L4" i="10"/>
  <c r="M4" i="10"/>
  <c r="N4" i="10"/>
  <c r="H6" i="10"/>
  <c r="I6" i="10"/>
  <c r="J6" i="10"/>
  <c r="K6" i="10"/>
  <c r="L6" i="10"/>
  <c r="M6" i="10"/>
  <c r="N6" i="10"/>
  <c r="H7" i="10"/>
  <c r="I7" i="10"/>
  <c r="J7" i="10"/>
  <c r="K7" i="10"/>
  <c r="L7" i="10"/>
  <c r="M7" i="10"/>
  <c r="N7" i="10"/>
  <c r="H8" i="10"/>
  <c r="I8" i="10"/>
  <c r="J8" i="10"/>
  <c r="K8" i="10"/>
  <c r="L8" i="10"/>
  <c r="M8" i="10"/>
  <c r="N8" i="10"/>
  <c r="H9" i="10"/>
  <c r="I9" i="10"/>
  <c r="J9" i="10"/>
  <c r="K9" i="10"/>
  <c r="L9" i="10"/>
  <c r="M9" i="10"/>
  <c r="N9" i="10"/>
  <c r="H10" i="10"/>
  <c r="I10" i="10"/>
  <c r="J10" i="10"/>
  <c r="K10" i="10"/>
  <c r="L10" i="10"/>
  <c r="M10" i="10"/>
  <c r="N10" i="10"/>
  <c r="H11" i="10"/>
  <c r="I11" i="10"/>
  <c r="J11" i="10"/>
  <c r="K11" i="10"/>
  <c r="L11" i="10"/>
  <c r="M11" i="10"/>
  <c r="N11" i="10"/>
  <c r="H12" i="10"/>
  <c r="I12" i="10"/>
  <c r="J12" i="10"/>
  <c r="K12" i="10"/>
  <c r="L12" i="10"/>
  <c r="M12" i="10"/>
  <c r="N12" i="10"/>
  <c r="H13" i="10"/>
  <c r="I13" i="10"/>
  <c r="J13" i="10"/>
  <c r="K13" i="10"/>
  <c r="L13" i="10"/>
  <c r="M13" i="10"/>
  <c r="N13" i="10"/>
  <c r="H14" i="10"/>
  <c r="I14" i="10"/>
  <c r="J14" i="10"/>
  <c r="K14" i="10"/>
  <c r="L14" i="10"/>
  <c r="M14" i="10"/>
  <c r="N14" i="10"/>
  <c r="H15" i="10"/>
  <c r="I15" i="10"/>
  <c r="J15" i="10"/>
  <c r="K15" i="10"/>
  <c r="L15" i="10"/>
  <c r="M15" i="10"/>
  <c r="N15" i="10"/>
  <c r="H16" i="10"/>
  <c r="I16" i="10"/>
  <c r="J16" i="10"/>
  <c r="K16" i="10"/>
  <c r="L16" i="10"/>
  <c r="M16" i="10"/>
  <c r="N16" i="10"/>
  <c r="H17" i="10"/>
  <c r="I17" i="10"/>
  <c r="J17" i="10"/>
  <c r="K17" i="10"/>
  <c r="L17" i="10"/>
  <c r="M17" i="10"/>
  <c r="N17" i="10"/>
  <c r="H18" i="10"/>
  <c r="I18" i="10"/>
  <c r="J18" i="10"/>
  <c r="K18" i="10"/>
  <c r="L18" i="10"/>
  <c r="M18" i="10"/>
  <c r="N18" i="10"/>
  <c r="B3" i="10"/>
  <c r="C3" i="10"/>
  <c r="A4" i="10"/>
  <c r="C4" i="10"/>
  <c r="D4" i="10"/>
  <c r="E4" i="10"/>
  <c r="F4" i="10"/>
  <c r="A5" i="10"/>
  <c r="B5" i="10"/>
  <c r="C5" i="10"/>
  <c r="D5" i="10"/>
  <c r="E5" i="10"/>
  <c r="F5" i="10"/>
  <c r="A6" i="10"/>
  <c r="B6" i="10"/>
  <c r="C6" i="10"/>
  <c r="D6" i="10"/>
  <c r="E6" i="10"/>
  <c r="F6" i="10"/>
  <c r="A7" i="10"/>
  <c r="B7" i="10"/>
  <c r="C7" i="10"/>
  <c r="D7" i="10"/>
  <c r="E7" i="10"/>
  <c r="F7" i="10"/>
  <c r="A8" i="10"/>
  <c r="B8" i="10"/>
  <c r="C8" i="10"/>
  <c r="D8" i="10"/>
  <c r="E8" i="10"/>
  <c r="F8" i="10"/>
  <c r="A9" i="10"/>
  <c r="B9" i="10"/>
  <c r="C9" i="10"/>
  <c r="D9" i="10"/>
  <c r="E9" i="10"/>
  <c r="F9" i="10"/>
  <c r="A10" i="10"/>
  <c r="B10" i="10"/>
  <c r="C10" i="10"/>
  <c r="D10" i="10"/>
  <c r="E10" i="10"/>
  <c r="F10" i="10"/>
  <c r="A11" i="10"/>
  <c r="B11" i="10"/>
  <c r="C11" i="10"/>
  <c r="D11" i="10"/>
  <c r="E11" i="10"/>
  <c r="F11" i="10"/>
  <c r="A13" i="10"/>
  <c r="B13" i="10"/>
  <c r="C13" i="10"/>
  <c r="D13" i="10"/>
  <c r="E13" i="10"/>
  <c r="F13" i="10"/>
  <c r="A14" i="10"/>
  <c r="B14" i="10"/>
  <c r="C14" i="10"/>
  <c r="D14" i="10"/>
  <c r="E14" i="10"/>
  <c r="F14" i="10"/>
  <c r="A15" i="10"/>
  <c r="B15" i="10"/>
  <c r="C15" i="10"/>
  <c r="D15" i="10"/>
  <c r="E15" i="10"/>
  <c r="F15" i="10"/>
  <c r="A16" i="10"/>
  <c r="B16" i="10"/>
  <c r="C16" i="10"/>
  <c r="D16" i="10"/>
  <c r="E16" i="10"/>
  <c r="F16" i="10"/>
  <c r="A17" i="10"/>
  <c r="B17" i="10"/>
  <c r="C17" i="10"/>
  <c r="D17" i="10"/>
  <c r="E17" i="10"/>
  <c r="F17" i="10"/>
  <c r="A18" i="10"/>
  <c r="C18" i="10"/>
  <c r="D18" i="10"/>
  <c r="E18" i="10"/>
  <c r="A19" i="10"/>
  <c r="B19" i="10"/>
  <c r="C19" i="10"/>
  <c r="D19" i="10"/>
  <c r="E19" i="10"/>
  <c r="F19" i="10"/>
  <c r="A20" i="10"/>
  <c r="B20" i="10"/>
  <c r="C20" i="10"/>
  <c r="D20" i="10"/>
  <c r="E20" i="10"/>
  <c r="F20" i="10"/>
  <c r="A21" i="10"/>
  <c r="B21" i="10"/>
  <c r="C21" i="10"/>
  <c r="D21" i="10"/>
  <c r="E21" i="10"/>
  <c r="F21" i="10"/>
  <c r="A22" i="10"/>
  <c r="B22" i="10"/>
  <c r="C22" i="10"/>
  <c r="D22" i="10"/>
  <c r="E22" i="10"/>
  <c r="F22" i="10"/>
  <c r="A24" i="10"/>
  <c r="B24" i="10"/>
  <c r="C24" i="10"/>
  <c r="D24" i="10"/>
  <c r="E24" i="10"/>
  <c r="F24" i="10"/>
  <c r="A25" i="10"/>
  <c r="B25" i="10"/>
  <c r="C25" i="10"/>
  <c r="D25" i="10"/>
  <c r="E25" i="10"/>
  <c r="F25" i="10"/>
  <c r="A26" i="10"/>
  <c r="B26" i="10"/>
  <c r="C26" i="10"/>
  <c r="D26" i="10"/>
  <c r="E26" i="10"/>
  <c r="F26" i="10"/>
  <c r="A27" i="10"/>
  <c r="B27" i="10"/>
  <c r="C27" i="10"/>
  <c r="D27" i="10"/>
  <c r="E27" i="10"/>
  <c r="F27" i="10"/>
  <c r="A28" i="10"/>
  <c r="C28" i="10"/>
  <c r="D28" i="10"/>
  <c r="E28" i="10"/>
  <c r="A29" i="10"/>
  <c r="B29" i="10"/>
  <c r="C29" i="10"/>
  <c r="D29" i="10"/>
  <c r="E29" i="10"/>
  <c r="F29" i="10"/>
  <c r="A30" i="10"/>
  <c r="C30" i="10"/>
  <c r="D30" i="10"/>
  <c r="E30" i="10"/>
  <c r="A32" i="10"/>
  <c r="C32" i="10"/>
  <c r="D32" i="10"/>
  <c r="E32" i="10"/>
  <c r="F32" i="10"/>
  <c r="M4" i="8"/>
  <c r="N4" i="8"/>
  <c r="O4" i="8"/>
  <c r="Q4" i="8"/>
  <c r="S4" i="8"/>
  <c r="T4" i="8"/>
  <c r="U4" i="8"/>
  <c r="O5" i="8"/>
  <c r="P5" i="8"/>
  <c r="Q5" i="8"/>
  <c r="R5" i="8"/>
  <c r="M6" i="8"/>
  <c r="N6" i="8"/>
  <c r="O6" i="8"/>
  <c r="P6" i="8"/>
  <c r="Q6" i="8"/>
  <c r="R6" i="8"/>
  <c r="S6" i="8"/>
  <c r="T6" i="8"/>
  <c r="U6" i="8"/>
  <c r="M7" i="8"/>
  <c r="N7" i="8"/>
  <c r="O7" i="8"/>
  <c r="P7" i="8"/>
  <c r="Q7" i="8"/>
  <c r="R7" i="8"/>
  <c r="S7" i="8"/>
  <c r="T7" i="8"/>
  <c r="U7" i="8"/>
  <c r="M8" i="8"/>
  <c r="N8" i="8"/>
  <c r="O8" i="8"/>
  <c r="P8" i="8"/>
  <c r="Q8" i="8"/>
  <c r="R8" i="8"/>
  <c r="S8" i="8"/>
  <c r="T8" i="8"/>
  <c r="U8" i="8"/>
  <c r="M9" i="8"/>
  <c r="N9" i="8"/>
  <c r="O9" i="8"/>
  <c r="P9" i="8"/>
  <c r="Q9" i="8"/>
  <c r="R9" i="8"/>
  <c r="S9" i="8"/>
  <c r="T9" i="8"/>
  <c r="U9" i="8"/>
  <c r="M10" i="8"/>
  <c r="N10" i="8"/>
  <c r="O10" i="8"/>
  <c r="P10" i="8"/>
  <c r="Q10" i="8"/>
  <c r="R10" i="8"/>
  <c r="S10" i="8"/>
  <c r="T10" i="8"/>
  <c r="U10" i="8"/>
  <c r="M11" i="8"/>
  <c r="N11" i="8"/>
  <c r="O11" i="8"/>
  <c r="P11" i="8"/>
  <c r="Q11" i="8"/>
  <c r="R11" i="8"/>
  <c r="S11" i="8"/>
  <c r="T11" i="8"/>
  <c r="U11" i="8"/>
  <c r="M12" i="8"/>
  <c r="N12" i="8"/>
  <c r="O12" i="8"/>
  <c r="P12" i="8"/>
  <c r="Q12" i="8"/>
  <c r="R12" i="8"/>
  <c r="S12" i="8"/>
  <c r="T12" i="8"/>
  <c r="U12" i="8"/>
  <c r="M13" i="8"/>
  <c r="N13" i="8"/>
  <c r="O13" i="8"/>
  <c r="P13" i="8"/>
  <c r="Q13" i="8"/>
  <c r="R13" i="8"/>
  <c r="S13" i="8"/>
  <c r="T13" i="8"/>
  <c r="U13" i="8"/>
  <c r="M14" i="8"/>
  <c r="N14" i="8"/>
  <c r="O14" i="8"/>
  <c r="P14" i="8"/>
  <c r="Q14" i="8"/>
  <c r="R14" i="8"/>
  <c r="S14" i="8"/>
  <c r="T14" i="8"/>
  <c r="U14" i="8"/>
  <c r="M15" i="8"/>
  <c r="N15" i="8"/>
  <c r="O15" i="8"/>
  <c r="P15" i="8"/>
  <c r="Q15" i="8"/>
  <c r="R15" i="8"/>
  <c r="S15" i="8"/>
  <c r="T15" i="8"/>
  <c r="U15" i="8"/>
  <c r="A20" i="8"/>
  <c r="B20" i="8"/>
  <c r="E20" i="8"/>
  <c r="H20" i="8"/>
  <c r="K20" i="8"/>
  <c r="N20" i="8"/>
  <c r="B21" i="8"/>
  <c r="C21" i="8"/>
  <c r="D21" i="8"/>
  <c r="E21" i="8"/>
  <c r="F21" i="8"/>
  <c r="G21" i="8"/>
  <c r="H21" i="8"/>
  <c r="I21" i="8"/>
  <c r="J21" i="8"/>
  <c r="K21" i="8"/>
  <c r="L21" i="8"/>
  <c r="M21" i="8"/>
  <c r="N21" i="8"/>
  <c r="O21" i="8"/>
  <c r="P21" i="8"/>
  <c r="A22" i="8"/>
  <c r="B22" i="8"/>
  <c r="C22" i="8"/>
  <c r="D22" i="8"/>
  <c r="E22" i="8"/>
  <c r="F22" i="8"/>
  <c r="G22" i="8"/>
  <c r="H22" i="8"/>
  <c r="I22" i="8"/>
  <c r="J22" i="8"/>
  <c r="K22" i="8"/>
  <c r="L22" i="8"/>
  <c r="M22" i="8"/>
  <c r="N22" i="8"/>
  <c r="O22" i="8"/>
  <c r="P22" i="8"/>
  <c r="A23" i="8"/>
  <c r="B23" i="8"/>
  <c r="C23" i="8"/>
  <c r="D23" i="8"/>
  <c r="E23" i="8"/>
  <c r="F23" i="8"/>
  <c r="G23" i="8"/>
  <c r="H23" i="8"/>
  <c r="I23" i="8"/>
  <c r="J23" i="8"/>
  <c r="K23" i="8"/>
  <c r="L23" i="8"/>
  <c r="M23" i="8"/>
  <c r="N23" i="8"/>
  <c r="O23" i="8"/>
  <c r="P23" i="8"/>
  <c r="A24" i="8"/>
  <c r="B24" i="8"/>
  <c r="C24" i="8"/>
  <c r="D24" i="8"/>
  <c r="E24" i="8"/>
  <c r="F24" i="8"/>
  <c r="G24" i="8"/>
  <c r="H24" i="8"/>
  <c r="I24" i="8"/>
  <c r="J24" i="8"/>
  <c r="K24" i="8"/>
  <c r="L24" i="8"/>
  <c r="M24" i="8"/>
  <c r="N24" i="8"/>
  <c r="O24" i="8"/>
  <c r="P24" i="8"/>
  <c r="A25" i="8"/>
  <c r="B25" i="8"/>
  <c r="C25" i="8"/>
  <c r="D25" i="8"/>
  <c r="E25" i="8"/>
  <c r="F25" i="8"/>
  <c r="G25" i="8"/>
  <c r="H25" i="8"/>
  <c r="I25" i="8"/>
  <c r="J25" i="8"/>
  <c r="K25" i="8"/>
  <c r="L25" i="8"/>
  <c r="M25" i="8"/>
  <c r="N25" i="8"/>
  <c r="O25" i="8"/>
  <c r="P25" i="8"/>
  <c r="A26" i="8"/>
  <c r="B26" i="8"/>
  <c r="C26" i="8"/>
  <c r="D26" i="8"/>
  <c r="E26" i="8"/>
  <c r="F26" i="8"/>
  <c r="G26" i="8"/>
  <c r="H26" i="8"/>
  <c r="I26" i="8"/>
  <c r="J26" i="8"/>
  <c r="K26" i="8"/>
  <c r="L26" i="8"/>
  <c r="M26" i="8"/>
  <c r="N26" i="8"/>
  <c r="O26" i="8"/>
  <c r="P26" i="8"/>
  <c r="A27" i="8"/>
  <c r="B27" i="8"/>
  <c r="C27" i="8"/>
  <c r="D27" i="8"/>
  <c r="E27" i="8"/>
  <c r="F27" i="8"/>
  <c r="G27" i="8"/>
  <c r="H27" i="8"/>
  <c r="I27" i="8"/>
  <c r="J27" i="8"/>
  <c r="K27" i="8"/>
  <c r="L27" i="8"/>
  <c r="M27" i="8"/>
  <c r="N27" i="8"/>
  <c r="O27" i="8"/>
  <c r="P27" i="8"/>
  <c r="A28" i="8"/>
  <c r="B28" i="8"/>
  <c r="C28" i="8"/>
  <c r="D28" i="8"/>
  <c r="E28" i="8"/>
  <c r="F28" i="8"/>
  <c r="G28" i="8"/>
  <c r="H28" i="8"/>
  <c r="I28" i="8"/>
  <c r="J28" i="8"/>
  <c r="K28" i="8"/>
  <c r="L28" i="8"/>
  <c r="M28" i="8"/>
  <c r="N28" i="8"/>
  <c r="O28" i="8"/>
  <c r="P28" i="8"/>
  <c r="A29" i="8"/>
  <c r="B29" i="8"/>
  <c r="C29" i="8"/>
  <c r="D29" i="8"/>
  <c r="E29" i="8"/>
  <c r="F29" i="8"/>
  <c r="G29" i="8"/>
  <c r="H29" i="8"/>
  <c r="I29" i="8"/>
  <c r="J29" i="8"/>
  <c r="K29" i="8"/>
  <c r="L29" i="8"/>
  <c r="M29" i="8"/>
  <c r="N29" i="8"/>
  <c r="O29" i="8"/>
  <c r="P29" i="8"/>
  <c r="A30" i="8"/>
  <c r="B30" i="8"/>
  <c r="C30" i="8"/>
  <c r="D30" i="8"/>
  <c r="E30" i="8"/>
  <c r="F30" i="8"/>
  <c r="G30" i="8"/>
  <c r="H30" i="8"/>
  <c r="I30" i="8"/>
  <c r="J30" i="8"/>
  <c r="K30" i="8"/>
  <c r="L30" i="8"/>
  <c r="M30" i="8"/>
  <c r="N30" i="8"/>
  <c r="O30" i="8"/>
  <c r="P30" i="8"/>
  <c r="A31" i="8"/>
  <c r="B31" i="8"/>
  <c r="C31" i="8"/>
  <c r="D31" i="8"/>
  <c r="E31" i="8"/>
  <c r="F31" i="8"/>
  <c r="G31" i="8"/>
  <c r="H31" i="8"/>
  <c r="I31" i="8"/>
  <c r="J31" i="8"/>
  <c r="K31" i="8"/>
  <c r="L31" i="8"/>
  <c r="M31" i="8"/>
  <c r="N31" i="8"/>
  <c r="O31" i="8"/>
  <c r="P31" i="8"/>
  <c r="A32" i="8"/>
  <c r="B32" i="8"/>
  <c r="C32" i="8"/>
  <c r="D32" i="8"/>
  <c r="E32" i="8"/>
  <c r="F32" i="8"/>
  <c r="G32" i="8"/>
  <c r="H32" i="8"/>
  <c r="I32" i="8"/>
  <c r="J32" i="8"/>
  <c r="K32" i="8"/>
  <c r="L32" i="8"/>
  <c r="M32" i="8"/>
  <c r="N32" i="8"/>
  <c r="O32" i="8"/>
  <c r="P32" i="8"/>
  <c r="A33" i="8"/>
  <c r="B33" i="8"/>
  <c r="C33" i="8"/>
  <c r="D33" i="8"/>
  <c r="E33" i="8"/>
  <c r="F33" i="8"/>
  <c r="G33" i="8"/>
  <c r="H33" i="8"/>
  <c r="I33" i="8"/>
  <c r="J33" i="8"/>
  <c r="K33" i="8"/>
  <c r="L33" i="8"/>
  <c r="M33" i="8"/>
  <c r="N33" i="8"/>
  <c r="O33" i="8"/>
  <c r="P33" i="8"/>
  <c r="R20" i="8"/>
  <c r="S20" i="8"/>
  <c r="V20" i="8"/>
  <c r="S21" i="8"/>
  <c r="T21" i="8"/>
  <c r="U21" i="8"/>
  <c r="V21" i="8"/>
  <c r="W21" i="8"/>
  <c r="X21" i="8"/>
  <c r="R22" i="8"/>
  <c r="S22" i="8"/>
  <c r="T22" i="8"/>
  <c r="U22" i="8"/>
  <c r="V22" i="8"/>
  <c r="W22" i="8"/>
  <c r="X22" i="8"/>
  <c r="R23" i="8"/>
  <c r="S23" i="8"/>
  <c r="T23" i="8"/>
  <c r="U23" i="8"/>
  <c r="V23" i="8"/>
  <c r="W23" i="8"/>
  <c r="X23" i="8"/>
  <c r="R24" i="8"/>
  <c r="S24" i="8"/>
  <c r="T24" i="8"/>
  <c r="U24" i="8"/>
  <c r="V24" i="8"/>
  <c r="W24" i="8"/>
  <c r="X24" i="8"/>
  <c r="R25" i="8"/>
  <c r="S25" i="8"/>
  <c r="T25" i="8"/>
  <c r="U25" i="8"/>
  <c r="V25" i="8"/>
  <c r="W25" i="8"/>
  <c r="X25" i="8"/>
  <c r="R26" i="8"/>
  <c r="S26" i="8"/>
  <c r="T26" i="8"/>
  <c r="U26" i="8"/>
  <c r="V26" i="8"/>
  <c r="W26" i="8"/>
  <c r="X26" i="8"/>
  <c r="R27" i="8"/>
  <c r="S27" i="8"/>
  <c r="T27" i="8"/>
  <c r="U27" i="8"/>
  <c r="V27" i="8"/>
  <c r="W27" i="8"/>
  <c r="X27" i="8"/>
  <c r="R28" i="8"/>
  <c r="S28" i="8"/>
  <c r="T28" i="8"/>
  <c r="U28" i="8"/>
  <c r="V28" i="8"/>
  <c r="W28" i="8"/>
  <c r="X28" i="8"/>
  <c r="R29" i="8"/>
  <c r="S29" i="8"/>
  <c r="T29" i="8"/>
  <c r="U29" i="8"/>
  <c r="V29" i="8"/>
  <c r="W29" i="8"/>
  <c r="X29" i="8"/>
  <c r="R30" i="8"/>
  <c r="S30" i="8"/>
  <c r="T30" i="8"/>
  <c r="U30" i="8"/>
  <c r="V30" i="8"/>
  <c r="W30" i="8"/>
  <c r="X30" i="8"/>
  <c r="R31" i="8"/>
  <c r="S31" i="8"/>
  <c r="T31" i="8"/>
  <c r="U31" i="8"/>
  <c r="V31" i="8"/>
  <c r="W31" i="8"/>
  <c r="X31" i="8"/>
  <c r="R32" i="8"/>
  <c r="S32" i="8"/>
  <c r="T32" i="8"/>
  <c r="U32" i="8"/>
  <c r="V32" i="8"/>
  <c r="W32" i="8"/>
  <c r="X32" i="8"/>
  <c r="R33" i="8"/>
  <c r="A4" i="8"/>
  <c r="B4" i="8"/>
  <c r="E4" i="8"/>
  <c r="H4" i="8"/>
  <c r="B5" i="8"/>
  <c r="C5" i="8"/>
  <c r="D5" i="8"/>
  <c r="E5" i="8"/>
  <c r="F5" i="8"/>
  <c r="G5" i="8"/>
  <c r="H5" i="8"/>
  <c r="I5" i="8"/>
  <c r="J5" i="8"/>
  <c r="A6" i="8"/>
  <c r="B6" i="8"/>
  <c r="C6" i="8"/>
  <c r="D6" i="8"/>
  <c r="E6" i="8"/>
  <c r="F6" i="8"/>
  <c r="G6" i="8"/>
  <c r="H6" i="8"/>
  <c r="I6" i="8"/>
  <c r="J6" i="8"/>
  <c r="A7" i="8"/>
  <c r="B7" i="8"/>
  <c r="C7" i="8"/>
  <c r="D7" i="8"/>
  <c r="E7" i="8"/>
  <c r="F7" i="8"/>
  <c r="G7" i="8"/>
  <c r="H7" i="8"/>
  <c r="I7" i="8"/>
  <c r="J7" i="8"/>
  <c r="A8" i="8"/>
  <c r="B8" i="8"/>
  <c r="C8" i="8"/>
  <c r="D8" i="8"/>
  <c r="E8" i="8"/>
  <c r="F8" i="8"/>
  <c r="G8" i="8"/>
  <c r="H8" i="8"/>
  <c r="I8" i="8"/>
  <c r="J8" i="8"/>
  <c r="A9" i="8"/>
  <c r="B9" i="8"/>
  <c r="C9" i="8"/>
  <c r="D9" i="8"/>
  <c r="E9" i="8"/>
  <c r="F9" i="8"/>
  <c r="G9" i="8"/>
  <c r="H9" i="8"/>
  <c r="I9" i="8"/>
  <c r="J9" i="8"/>
  <c r="A10" i="8"/>
  <c r="B10" i="8"/>
  <c r="C10" i="8"/>
  <c r="D10" i="8"/>
  <c r="E10" i="8"/>
  <c r="F10" i="8"/>
  <c r="G10" i="8"/>
  <c r="H10" i="8"/>
  <c r="I10" i="8"/>
  <c r="J10" i="8"/>
  <c r="A11" i="8"/>
  <c r="B11" i="8"/>
  <c r="C11" i="8"/>
  <c r="D11" i="8"/>
  <c r="E11" i="8"/>
  <c r="F11" i="8"/>
  <c r="G11" i="8"/>
  <c r="H11" i="8"/>
  <c r="I11" i="8"/>
  <c r="J11" i="8"/>
  <c r="A12" i="8"/>
  <c r="B12" i="8"/>
  <c r="C12" i="8"/>
  <c r="D12" i="8"/>
  <c r="E12" i="8"/>
  <c r="F12" i="8"/>
  <c r="G12" i="8"/>
  <c r="H12" i="8"/>
  <c r="I12" i="8"/>
  <c r="J12" i="8"/>
  <c r="A13" i="8"/>
  <c r="B13" i="8"/>
  <c r="C13" i="8"/>
  <c r="D13" i="8"/>
  <c r="E13" i="8"/>
  <c r="F13" i="8"/>
  <c r="G13" i="8"/>
  <c r="H13" i="8"/>
  <c r="I13" i="8"/>
  <c r="J13" i="8"/>
  <c r="A14" i="8"/>
  <c r="B14" i="8"/>
  <c r="C14" i="8"/>
  <c r="D14" i="8"/>
  <c r="E14" i="8"/>
  <c r="F14" i="8"/>
  <c r="G14" i="8"/>
  <c r="H14" i="8"/>
  <c r="I14" i="8"/>
  <c r="J14" i="8"/>
  <c r="A15" i="8"/>
  <c r="B15" i="8"/>
  <c r="C15" i="8"/>
  <c r="D15" i="8"/>
  <c r="E15" i="8"/>
  <c r="F15" i="8"/>
  <c r="G15" i="8"/>
  <c r="H15" i="8"/>
  <c r="I15" i="8"/>
  <c r="J15" i="8"/>
  <c r="A16" i="8"/>
  <c r="B16" i="8"/>
  <c r="C16" i="8"/>
  <c r="D16" i="8"/>
  <c r="E16" i="8"/>
  <c r="F16" i="8"/>
  <c r="G16" i="8"/>
  <c r="H16" i="8"/>
  <c r="I16" i="8"/>
  <c r="J16" i="8"/>
  <c r="A17" i="8"/>
  <c r="B17" i="8"/>
  <c r="C17" i="8"/>
  <c r="D17" i="8"/>
  <c r="H17" i="8"/>
  <c r="I17" i="8"/>
  <c r="J17" i="8"/>
  <c r="A3" i="7"/>
  <c r="B3" i="7"/>
  <c r="C3" i="7"/>
  <c r="D3" i="7"/>
  <c r="F3" i="7"/>
  <c r="H3" i="7"/>
  <c r="J3" i="7"/>
  <c r="L3" i="7"/>
  <c r="N3" i="7"/>
  <c r="P3" i="7"/>
  <c r="R3" i="7"/>
  <c r="D4" i="7"/>
  <c r="E4" i="7"/>
  <c r="F4" i="7"/>
  <c r="G4" i="7"/>
  <c r="H4" i="7"/>
  <c r="I4" i="7"/>
  <c r="J4" i="7"/>
  <c r="K4" i="7"/>
  <c r="L4" i="7"/>
  <c r="M4" i="7"/>
  <c r="N4" i="7"/>
  <c r="O4" i="7"/>
  <c r="P4" i="7"/>
  <c r="Q4" i="7"/>
  <c r="R4" i="7"/>
  <c r="S4" i="7"/>
  <c r="A5" i="7"/>
  <c r="B5" i="7"/>
  <c r="C5" i="7"/>
  <c r="D5" i="7"/>
  <c r="E5" i="7"/>
  <c r="F5" i="7"/>
  <c r="G5" i="7"/>
  <c r="H5" i="7"/>
  <c r="I5" i="7"/>
  <c r="J5" i="7"/>
  <c r="K5" i="7"/>
  <c r="L5" i="7"/>
  <c r="M5" i="7"/>
  <c r="N5" i="7"/>
  <c r="O5" i="7"/>
  <c r="P5" i="7"/>
  <c r="Q5" i="7"/>
  <c r="R5" i="7"/>
  <c r="S5" i="7"/>
  <c r="A6" i="7"/>
  <c r="B6" i="7"/>
  <c r="C6" i="7"/>
  <c r="D6" i="7"/>
  <c r="E6" i="7"/>
  <c r="F6" i="7"/>
  <c r="G6" i="7"/>
  <c r="H6" i="7"/>
  <c r="I6" i="7"/>
  <c r="J6" i="7"/>
  <c r="K6" i="7"/>
  <c r="L6" i="7"/>
  <c r="M6" i="7"/>
  <c r="N6" i="7"/>
  <c r="O6" i="7"/>
  <c r="P6" i="7"/>
  <c r="Q6" i="7"/>
  <c r="R6" i="7"/>
  <c r="S6" i="7"/>
  <c r="A7" i="7"/>
  <c r="B7" i="7"/>
  <c r="C7" i="7"/>
  <c r="D7" i="7"/>
  <c r="E7" i="7"/>
  <c r="F7" i="7"/>
  <c r="G7" i="7"/>
  <c r="H7" i="7"/>
  <c r="I7" i="7"/>
  <c r="J7" i="7"/>
  <c r="K7" i="7"/>
  <c r="L7" i="7"/>
  <c r="M7" i="7"/>
  <c r="N7" i="7"/>
  <c r="O7" i="7"/>
  <c r="P7" i="7"/>
  <c r="Q7" i="7"/>
  <c r="R7" i="7"/>
  <c r="S7" i="7"/>
  <c r="A8" i="7"/>
  <c r="B8" i="7"/>
  <c r="C8" i="7"/>
  <c r="D8" i="7"/>
  <c r="E8" i="7"/>
  <c r="F8" i="7"/>
  <c r="G8" i="7"/>
  <c r="H8" i="7"/>
  <c r="I8" i="7"/>
  <c r="J8" i="7"/>
  <c r="K8" i="7"/>
  <c r="L8" i="7"/>
  <c r="M8" i="7"/>
  <c r="N8" i="7"/>
  <c r="O8" i="7"/>
  <c r="P8" i="7"/>
  <c r="Q8" i="7"/>
  <c r="R8" i="7"/>
  <c r="S8" i="7"/>
  <c r="A9" i="7"/>
  <c r="B9" i="7"/>
  <c r="C9" i="7"/>
  <c r="D9" i="7"/>
  <c r="E9" i="7"/>
  <c r="F9" i="7"/>
  <c r="G9" i="7"/>
  <c r="H9" i="7"/>
  <c r="I9" i="7"/>
  <c r="J9" i="7"/>
  <c r="K9" i="7"/>
  <c r="L9" i="7"/>
  <c r="M9" i="7"/>
  <c r="N9" i="7"/>
  <c r="O9" i="7"/>
  <c r="P9" i="7"/>
  <c r="Q9" i="7"/>
  <c r="R9" i="7"/>
  <c r="S9" i="7"/>
  <c r="A10" i="7"/>
  <c r="B10" i="7"/>
  <c r="C10" i="7"/>
  <c r="D10" i="7"/>
  <c r="E10" i="7"/>
  <c r="F10" i="7"/>
  <c r="G10" i="7"/>
  <c r="H10" i="7"/>
  <c r="I10" i="7"/>
  <c r="J10" i="7"/>
  <c r="K10" i="7"/>
  <c r="L10" i="7"/>
  <c r="M10" i="7"/>
  <c r="N10" i="7"/>
  <c r="O10" i="7"/>
  <c r="P10" i="7"/>
  <c r="Q10" i="7"/>
  <c r="R10" i="7"/>
  <c r="S10" i="7"/>
  <c r="A11" i="7"/>
  <c r="B11" i="7"/>
  <c r="C11" i="7"/>
  <c r="D11" i="7"/>
  <c r="E11" i="7"/>
  <c r="F11" i="7"/>
  <c r="G11" i="7"/>
  <c r="H11" i="7"/>
  <c r="I11" i="7"/>
  <c r="J11" i="7"/>
  <c r="K11" i="7"/>
  <c r="L11" i="7"/>
  <c r="M11" i="7"/>
  <c r="N11" i="7"/>
  <c r="O11" i="7"/>
  <c r="P11" i="7"/>
  <c r="Q11" i="7"/>
  <c r="R11" i="7"/>
  <c r="S11" i="7"/>
  <c r="A12" i="7"/>
  <c r="B12" i="7"/>
  <c r="C12" i="7"/>
  <c r="D12" i="7"/>
  <c r="E12" i="7"/>
  <c r="F12" i="7"/>
  <c r="G12" i="7"/>
  <c r="H12" i="7"/>
  <c r="I12" i="7"/>
  <c r="J12" i="7"/>
  <c r="K12" i="7"/>
  <c r="L12" i="7"/>
  <c r="M12" i="7"/>
  <c r="N12" i="7"/>
  <c r="O12" i="7"/>
  <c r="P12" i="7"/>
  <c r="Q12" i="7"/>
  <c r="R12" i="7"/>
  <c r="S12" i="7"/>
  <c r="A13" i="7"/>
  <c r="B13" i="7"/>
  <c r="C13" i="7"/>
  <c r="D13" i="7"/>
  <c r="E13" i="7"/>
  <c r="F13" i="7"/>
  <c r="G13" i="7"/>
  <c r="H13" i="7"/>
  <c r="I13" i="7"/>
  <c r="J13" i="7"/>
  <c r="K13" i="7"/>
  <c r="L13" i="7"/>
  <c r="M13" i="7"/>
  <c r="N13" i="7"/>
  <c r="O13" i="7"/>
  <c r="P13" i="7"/>
  <c r="Q13" i="7"/>
  <c r="R13" i="7"/>
  <c r="S13" i="7"/>
  <c r="A14" i="7"/>
  <c r="B14" i="7"/>
  <c r="C14" i="7"/>
  <c r="D14" i="7"/>
  <c r="E14" i="7"/>
  <c r="F14" i="7"/>
  <c r="G14" i="7"/>
  <c r="H14" i="7"/>
  <c r="I14" i="7"/>
  <c r="J14" i="7"/>
  <c r="K14" i="7"/>
  <c r="L14" i="7"/>
  <c r="M14" i="7"/>
  <c r="N14" i="7"/>
  <c r="O14" i="7"/>
  <c r="P14" i="7"/>
  <c r="Q14" i="7"/>
  <c r="R14" i="7"/>
  <c r="S14" i="7"/>
  <c r="A15" i="7"/>
  <c r="B15" i="7"/>
  <c r="C15" i="7"/>
  <c r="D15" i="7"/>
  <c r="E15" i="7"/>
  <c r="F15" i="7"/>
  <c r="G15" i="7"/>
  <c r="H15" i="7"/>
  <c r="I15" i="7"/>
  <c r="J15" i="7"/>
  <c r="K15" i="7"/>
  <c r="L15" i="7"/>
  <c r="M15" i="7"/>
  <c r="N15" i="7"/>
  <c r="O15" i="7"/>
  <c r="P15" i="7"/>
  <c r="Q15" i="7"/>
  <c r="R15" i="7"/>
  <c r="S15" i="7"/>
  <c r="A16" i="7"/>
  <c r="D16" i="7"/>
  <c r="E16" i="7"/>
  <c r="H16" i="7"/>
  <c r="I16" i="7"/>
  <c r="J16" i="7"/>
  <c r="K16" i="7"/>
  <c r="L16" i="7"/>
  <c r="M16" i="7"/>
  <c r="N16" i="7"/>
  <c r="O16" i="7"/>
  <c r="P16" i="7"/>
  <c r="Q16" i="7"/>
  <c r="R16" i="7"/>
  <c r="S16" i="7"/>
  <c r="A3" i="5"/>
  <c r="B3" i="5"/>
  <c r="C3" i="5"/>
  <c r="D3" i="5"/>
  <c r="E3" i="5"/>
  <c r="F3" i="5"/>
  <c r="G3" i="5"/>
  <c r="H3" i="5"/>
  <c r="I3" i="5"/>
  <c r="J3" i="5"/>
  <c r="K3" i="5"/>
  <c r="L3" i="5"/>
  <c r="M3" i="5"/>
  <c r="N3" i="5"/>
  <c r="O3" i="5"/>
  <c r="P3" i="5"/>
  <c r="A4" i="5"/>
  <c r="B4" i="5"/>
  <c r="D4" i="5"/>
  <c r="E4" i="5"/>
  <c r="F4" i="5"/>
  <c r="G4" i="5"/>
  <c r="H4" i="5"/>
  <c r="I4" i="5"/>
  <c r="J4" i="5"/>
  <c r="M4" i="5"/>
  <c r="N4" i="5"/>
  <c r="O4" i="5"/>
  <c r="P4" i="5"/>
  <c r="B5" i="5"/>
  <c r="C5" i="5"/>
  <c r="D5" i="5"/>
  <c r="E5" i="5"/>
  <c r="F5" i="5"/>
  <c r="G5" i="5"/>
  <c r="H5" i="5"/>
  <c r="I5" i="5"/>
  <c r="J5" i="5"/>
  <c r="K5" i="5"/>
  <c r="M5" i="5"/>
  <c r="N5" i="5"/>
  <c r="O5" i="5"/>
  <c r="B6" i="5"/>
  <c r="C6" i="5"/>
  <c r="D6" i="5"/>
  <c r="E6" i="5"/>
  <c r="F6" i="5"/>
  <c r="G6" i="5"/>
  <c r="H6" i="5"/>
  <c r="I6" i="5"/>
  <c r="J6" i="5"/>
  <c r="K6" i="5"/>
  <c r="M6" i="5"/>
  <c r="N6" i="5"/>
  <c r="O6" i="5"/>
  <c r="B7" i="5"/>
  <c r="C7" i="5"/>
  <c r="D7" i="5"/>
  <c r="E7" i="5"/>
  <c r="F7" i="5"/>
  <c r="G7" i="5"/>
  <c r="H7" i="5"/>
  <c r="I7" i="5"/>
  <c r="J7" i="5"/>
  <c r="K7" i="5"/>
  <c r="M7" i="5"/>
  <c r="N7" i="5"/>
  <c r="O7" i="5"/>
  <c r="B8" i="5"/>
  <c r="C8" i="5"/>
  <c r="D8" i="5"/>
  <c r="E8" i="5"/>
  <c r="F8" i="5"/>
  <c r="G8" i="5"/>
  <c r="H8" i="5"/>
  <c r="I8" i="5"/>
  <c r="J8" i="5"/>
  <c r="K8" i="5"/>
  <c r="M8" i="5"/>
  <c r="N8" i="5"/>
  <c r="O8" i="5"/>
  <c r="B9" i="5"/>
  <c r="C9" i="5"/>
  <c r="D9" i="5"/>
  <c r="E9" i="5"/>
  <c r="F9" i="5"/>
  <c r="G9" i="5"/>
  <c r="H9" i="5"/>
  <c r="I9" i="5"/>
  <c r="J9" i="5"/>
  <c r="K9" i="5"/>
  <c r="M9" i="5"/>
  <c r="N9" i="5"/>
  <c r="O9" i="5"/>
  <c r="B10" i="5"/>
  <c r="D10" i="5"/>
  <c r="E10" i="5"/>
  <c r="F10" i="5"/>
  <c r="G10" i="5"/>
  <c r="H10" i="5"/>
  <c r="I10" i="5"/>
  <c r="J10" i="5"/>
  <c r="M10" i="5"/>
  <c r="N10" i="5"/>
  <c r="O10" i="5"/>
  <c r="A11" i="5"/>
  <c r="B11" i="5"/>
  <c r="C11" i="5"/>
  <c r="D11" i="5"/>
  <c r="E11" i="5"/>
  <c r="F11" i="5"/>
  <c r="G11" i="5"/>
  <c r="H11" i="5"/>
  <c r="I11" i="5"/>
  <c r="J11" i="5"/>
  <c r="K11" i="5"/>
  <c r="L11" i="5"/>
  <c r="M11" i="5"/>
  <c r="N11" i="5"/>
  <c r="O11" i="5"/>
  <c r="P11" i="5"/>
  <c r="B12" i="5"/>
  <c r="C12" i="5"/>
  <c r="D12" i="5"/>
  <c r="E12" i="5"/>
  <c r="F12" i="5"/>
  <c r="G12" i="5"/>
  <c r="H12" i="5"/>
  <c r="I12" i="5"/>
  <c r="J12" i="5"/>
  <c r="K12" i="5"/>
  <c r="M12" i="5"/>
  <c r="N12" i="5"/>
  <c r="O12" i="5"/>
  <c r="B13" i="5"/>
  <c r="C13" i="5"/>
  <c r="D13" i="5"/>
  <c r="E13" i="5"/>
  <c r="F13" i="5"/>
  <c r="G13" i="5"/>
  <c r="H13" i="5"/>
  <c r="I13" i="5"/>
  <c r="J13" i="5"/>
  <c r="K13" i="5"/>
  <c r="M13" i="5"/>
  <c r="N13" i="5"/>
  <c r="O13" i="5"/>
  <c r="B14" i="5"/>
  <c r="C14" i="5"/>
  <c r="D14" i="5"/>
  <c r="E14" i="5"/>
  <c r="F14" i="5"/>
  <c r="G14" i="5"/>
  <c r="H14" i="5"/>
  <c r="I14" i="5"/>
  <c r="J14" i="5"/>
  <c r="K14" i="5"/>
  <c r="M14" i="5"/>
  <c r="N14" i="5"/>
  <c r="O14" i="5"/>
  <c r="B15" i="5"/>
  <c r="D15" i="5"/>
  <c r="E15" i="5"/>
  <c r="F15" i="5"/>
  <c r="G15" i="5"/>
  <c r="H15" i="5"/>
  <c r="I15" i="5"/>
  <c r="J15" i="5"/>
  <c r="M15" i="5"/>
  <c r="N15" i="5"/>
  <c r="O15" i="5"/>
  <c r="P15" i="5"/>
  <c r="B16" i="5"/>
  <c r="C16" i="5"/>
  <c r="D16" i="5"/>
  <c r="E16" i="5"/>
  <c r="F16" i="5"/>
  <c r="G16" i="5"/>
  <c r="H16" i="5"/>
  <c r="I16" i="5"/>
  <c r="J16" i="5"/>
  <c r="K16" i="5"/>
  <c r="M16" i="5"/>
  <c r="N16" i="5"/>
  <c r="O16" i="5"/>
  <c r="P16" i="5"/>
  <c r="A18" i="5"/>
  <c r="B18" i="5"/>
  <c r="C18" i="5"/>
  <c r="D18" i="5"/>
  <c r="E18" i="5"/>
  <c r="F18" i="5"/>
  <c r="G18" i="5"/>
  <c r="H18" i="5"/>
  <c r="I18" i="5"/>
  <c r="J18" i="5"/>
  <c r="K18" i="5"/>
  <c r="L18" i="5"/>
  <c r="M18" i="5"/>
  <c r="N18" i="5"/>
  <c r="O18" i="5"/>
  <c r="P18" i="5"/>
  <c r="B19" i="5"/>
  <c r="D19" i="5"/>
  <c r="E19" i="5"/>
  <c r="F19" i="5"/>
  <c r="G19" i="5"/>
  <c r="H19" i="5"/>
  <c r="I19" i="5"/>
  <c r="J19" i="5"/>
  <c r="M19" i="5"/>
  <c r="N19" i="5"/>
  <c r="O19" i="5"/>
  <c r="P19" i="5"/>
  <c r="B20" i="5"/>
  <c r="C20" i="5"/>
  <c r="D20" i="5"/>
  <c r="E20" i="5"/>
  <c r="F20" i="5"/>
  <c r="G20" i="5"/>
  <c r="H20" i="5"/>
  <c r="I20" i="5"/>
  <c r="J20" i="5"/>
  <c r="K20" i="5"/>
  <c r="M20" i="5"/>
  <c r="N20" i="5"/>
  <c r="O20" i="5"/>
  <c r="A19" i="5"/>
  <c r="B21" i="5"/>
  <c r="C21" i="5"/>
  <c r="D21" i="5"/>
  <c r="E21" i="5"/>
  <c r="F21" i="5"/>
  <c r="G21" i="5"/>
  <c r="H21" i="5"/>
  <c r="I21" i="5"/>
  <c r="J21" i="5"/>
  <c r="K21" i="5"/>
  <c r="M21" i="5"/>
  <c r="N21" i="5"/>
  <c r="O21" i="5"/>
  <c r="B22" i="5"/>
  <c r="C22" i="5"/>
  <c r="D22" i="5"/>
  <c r="E22" i="5"/>
  <c r="F22" i="5"/>
  <c r="G22" i="5"/>
  <c r="H22" i="5"/>
  <c r="I22" i="5"/>
  <c r="J22" i="5"/>
  <c r="K22" i="5"/>
  <c r="M22" i="5"/>
  <c r="N22" i="5"/>
  <c r="O22" i="5"/>
  <c r="B23" i="5"/>
  <c r="C23" i="5"/>
  <c r="D23" i="5"/>
  <c r="E23" i="5"/>
  <c r="F23" i="5"/>
  <c r="G23" i="5"/>
  <c r="H23" i="5"/>
  <c r="I23" i="5"/>
  <c r="J23" i="5"/>
  <c r="K23" i="5"/>
  <c r="M23" i="5"/>
  <c r="N23" i="5"/>
  <c r="O23" i="5"/>
  <c r="B24" i="5"/>
  <c r="C24" i="5"/>
  <c r="D24" i="5"/>
  <c r="E24" i="5"/>
  <c r="F24" i="5"/>
  <c r="G24" i="5"/>
  <c r="H24" i="5"/>
  <c r="I24" i="5"/>
  <c r="J24" i="5"/>
  <c r="K24" i="5"/>
  <c r="M24" i="5"/>
  <c r="N24" i="5"/>
  <c r="O24" i="5"/>
  <c r="B25" i="5"/>
  <c r="D25" i="5"/>
  <c r="E25" i="5"/>
  <c r="F25" i="5"/>
  <c r="G25" i="5"/>
  <c r="H25" i="5"/>
  <c r="I25" i="5"/>
  <c r="J25" i="5"/>
  <c r="M25" i="5"/>
  <c r="N25" i="5"/>
  <c r="O25" i="5"/>
  <c r="P25" i="5"/>
  <c r="A27" i="5"/>
  <c r="B27" i="5"/>
  <c r="C27" i="5"/>
  <c r="D27" i="5"/>
  <c r="E27" i="5"/>
  <c r="F27" i="5"/>
  <c r="G27" i="5"/>
  <c r="H27" i="5"/>
  <c r="I27" i="5"/>
  <c r="J27" i="5"/>
  <c r="K27" i="5"/>
  <c r="L27" i="5"/>
  <c r="M27" i="5"/>
  <c r="N27" i="5"/>
  <c r="O27" i="5"/>
  <c r="P27" i="5"/>
  <c r="A28" i="5"/>
  <c r="B28" i="5"/>
  <c r="C28" i="5"/>
  <c r="D28" i="5"/>
  <c r="E28" i="5"/>
  <c r="F28" i="5"/>
  <c r="G28" i="5"/>
  <c r="H28" i="5"/>
  <c r="I28" i="5"/>
  <c r="J28" i="5"/>
  <c r="K28" i="5"/>
  <c r="L28" i="5"/>
  <c r="M28" i="5"/>
  <c r="N28" i="5"/>
  <c r="O28" i="5"/>
  <c r="P28" i="5"/>
  <c r="B29" i="5"/>
  <c r="C29" i="5"/>
  <c r="D29" i="5"/>
  <c r="E29" i="5"/>
  <c r="F29" i="5"/>
  <c r="G29" i="5"/>
  <c r="H29" i="5"/>
  <c r="I29" i="5"/>
  <c r="J29" i="5"/>
  <c r="K29" i="5"/>
  <c r="L29" i="5"/>
  <c r="M29" i="5"/>
  <c r="N29" i="5"/>
  <c r="O29" i="5"/>
  <c r="P29" i="5"/>
  <c r="A31" i="5"/>
  <c r="B31" i="5"/>
  <c r="C31" i="5"/>
  <c r="D31" i="5"/>
  <c r="E31" i="5"/>
  <c r="F31" i="5"/>
  <c r="G31" i="5"/>
  <c r="H31" i="5"/>
  <c r="I31" i="5"/>
  <c r="J31" i="5"/>
  <c r="K31" i="5"/>
  <c r="L31" i="5"/>
  <c r="M31" i="5"/>
  <c r="N31" i="5"/>
  <c r="O31" i="5"/>
  <c r="P31" i="5"/>
  <c r="A32" i="5"/>
  <c r="B32" i="5"/>
  <c r="C32" i="5"/>
  <c r="D32" i="5"/>
  <c r="E32" i="5"/>
  <c r="F32" i="5"/>
  <c r="G32" i="5"/>
  <c r="H32" i="5"/>
  <c r="I32" i="5"/>
  <c r="J32" i="5"/>
  <c r="K32" i="5"/>
  <c r="L32" i="5"/>
  <c r="M32" i="5"/>
  <c r="N32" i="5"/>
  <c r="O32" i="5"/>
  <c r="P32" i="5"/>
  <c r="B33" i="5"/>
  <c r="C33" i="5"/>
  <c r="D33" i="5"/>
  <c r="E33" i="5"/>
  <c r="F33" i="5"/>
  <c r="G33" i="5"/>
  <c r="H33" i="5"/>
  <c r="I33" i="5"/>
  <c r="J33" i="5"/>
  <c r="K33" i="5"/>
  <c r="L33" i="5"/>
  <c r="M33" i="5"/>
  <c r="N33" i="5"/>
  <c r="O33" i="5"/>
  <c r="P33" i="5"/>
  <c r="A35" i="5"/>
  <c r="B35" i="5"/>
  <c r="C35" i="5"/>
  <c r="D35" i="5"/>
  <c r="E35" i="5"/>
  <c r="F35" i="5"/>
  <c r="G35" i="5"/>
  <c r="H35" i="5"/>
  <c r="I35" i="5"/>
  <c r="J35" i="5"/>
  <c r="K35" i="5"/>
  <c r="L35" i="5"/>
  <c r="M35" i="5"/>
  <c r="N35" i="5"/>
  <c r="O35" i="5"/>
  <c r="P35" i="5"/>
  <c r="A36" i="5"/>
  <c r="B36" i="5"/>
  <c r="C36" i="5"/>
  <c r="D36" i="5"/>
  <c r="E36" i="5"/>
  <c r="F36" i="5"/>
  <c r="G36" i="5"/>
  <c r="H36" i="5"/>
  <c r="I36" i="5"/>
  <c r="J36" i="5"/>
  <c r="K36" i="5"/>
  <c r="L36" i="5"/>
  <c r="M36" i="5"/>
  <c r="N36" i="5"/>
  <c r="O36" i="5"/>
  <c r="P36" i="5"/>
  <c r="B37" i="5"/>
  <c r="C37" i="5"/>
  <c r="D37" i="5"/>
  <c r="E37" i="5"/>
  <c r="F37" i="5"/>
  <c r="G37" i="5"/>
  <c r="H37" i="5"/>
  <c r="I37" i="5"/>
  <c r="J37" i="5"/>
  <c r="K37" i="5"/>
  <c r="L37" i="5"/>
  <c r="M37" i="5"/>
  <c r="N37" i="5"/>
  <c r="O37" i="5"/>
  <c r="P37" i="5"/>
  <c r="A39" i="5"/>
  <c r="B39" i="5"/>
  <c r="C39" i="5"/>
  <c r="D39" i="5"/>
  <c r="E39" i="5"/>
  <c r="F39" i="5"/>
  <c r="G39" i="5"/>
  <c r="H39" i="5"/>
  <c r="I39" i="5"/>
  <c r="J39" i="5"/>
  <c r="K39" i="5"/>
  <c r="L39" i="5"/>
  <c r="M39" i="5"/>
  <c r="N39" i="5"/>
  <c r="O39" i="5"/>
  <c r="P39" i="5"/>
  <c r="A40" i="5"/>
  <c r="B40" i="5"/>
  <c r="C40" i="5"/>
  <c r="D40" i="5"/>
  <c r="E40" i="5"/>
  <c r="F40" i="5"/>
  <c r="G40" i="5"/>
  <c r="H40" i="5"/>
  <c r="I40" i="5"/>
  <c r="J40" i="5"/>
  <c r="K40" i="5"/>
  <c r="L40" i="5"/>
  <c r="M40" i="5"/>
  <c r="N40" i="5"/>
  <c r="O40" i="5"/>
  <c r="P40" i="5"/>
  <c r="B41" i="5"/>
  <c r="C41" i="5"/>
  <c r="D41" i="5"/>
  <c r="E41" i="5"/>
  <c r="F41" i="5"/>
  <c r="G41" i="5"/>
  <c r="H41" i="5"/>
  <c r="I41" i="5"/>
  <c r="J41" i="5"/>
  <c r="K41" i="5"/>
  <c r="L41" i="5"/>
  <c r="M41" i="5"/>
  <c r="N41" i="5"/>
  <c r="O41" i="5"/>
  <c r="P41" i="5"/>
  <c r="A43" i="5"/>
  <c r="B43" i="5"/>
  <c r="C43" i="5"/>
  <c r="D43" i="5"/>
  <c r="E43" i="5"/>
  <c r="F43" i="5"/>
  <c r="G43" i="5"/>
  <c r="H43" i="5"/>
  <c r="I43" i="5"/>
  <c r="J43" i="5"/>
  <c r="K43" i="5"/>
  <c r="L43" i="5"/>
  <c r="M43" i="5"/>
  <c r="N43" i="5"/>
  <c r="O43" i="5"/>
  <c r="P43" i="5"/>
  <c r="A44" i="5"/>
  <c r="B44" i="5"/>
  <c r="C44" i="5"/>
  <c r="D44" i="5"/>
  <c r="E44" i="5"/>
  <c r="F44" i="5"/>
  <c r="G44" i="5"/>
  <c r="H44" i="5"/>
  <c r="I44" i="5"/>
  <c r="J44" i="5"/>
  <c r="K44" i="5"/>
  <c r="L44" i="5"/>
  <c r="M44" i="5"/>
  <c r="N44" i="5"/>
  <c r="O44" i="5"/>
  <c r="P44" i="5"/>
  <c r="B45" i="5"/>
  <c r="C45" i="5"/>
  <c r="D45" i="5"/>
  <c r="E45" i="5"/>
  <c r="F45" i="5"/>
  <c r="G45" i="5"/>
  <c r="H45" i="5"/>
  <c r="I45" i="5"/>
  <c r="J45" i="5"/>
  <c r="K45" i="5"/>
  <c r="M45" i="5"/>
  <c r="N45" i="5"/>
  <c r="O45" i="5"/>
  <c r="B46" i="5"/>
  <c r="C46" i="5"/>
  <c r="D46" i="5"/>
  <c r="E46" i="5"/>
  <c r="F46" i="5"/>
  <c r="G46" i="5"/>
  <c r="H46" i="5"/>
  <c r="I46" i="5"/>
  <c r="J46" i="5"/>
  <c r="K46" i="5"/>
  <c r="M46" i="5"/>
  <c r="N46" i="5"/>
  <c r="O46" i="5"/>
  <c r="B47" i="5"/>
  <c r="C47" i="5"/>
  <c r="D47" i="5"/>
  <c r="E47" i="5"/>
  <c r="F47" i="5"/>
  <c r="G47" i="5"/>
  <c r="H47" i="5"/>
  <c r="I47" i="5"/>
  <c r="J47" i="5"/>
  <c r="K47" i="5"/>
  <c r="M47" i="5"/>
  <c r="N47" i="5"/>
  <c r="O47" i="5"/>
  <c r="B48" i="5"/>
  <c r="C48" i="5"/>
  <c r="D48" i="5"/>
  <c r="E48" i="5"/>
  <c r="F48" i="5"/>
  <c r="G48" i="5"/>
  <c r="H48" i="5"/>
  <c r="I48" i="5"/>
  <c r="J48" i="5"/>
  <c r="K48" i="5"/>
  <c r="L48" i="5"/>
  <c r="M48" i="5"/>
  <c r="N48" i="5"/>
  <c r="O48" i="5"/>
  <c r="P48" i="5"/>
  <c r="A50" i="5"/>
  <c r="B50" i="5"/>
  <c r="C50" i="5"/>
  <c r="D50" i="5"/>
  <c r="E50" i="5"/>
  <c r="F50" i="5"/>
  <c r="G50" i="5"/>
  <c r="H50" i="5"/>
  <c r="I50" i="5"/>
  <c r="J50" i="5"/>
  <c r="K50" i="5"/>
  <c r="L50" i="5"/>
  <c r="M50" i="5"/>
  <c r="N50" i="5"/>
  <c r="O50" i="5"/>
  <c r="P50" i="5"/>
  <c r="A51" i="5"/>
  <c r="B51" i="5"/>
  <c r="D51" i="5"/>
  <c r="E51" i="5"/>
  <c r="F51" i="5"/>
  <c r="G51" i="5"/>
  <c r="H51" i="5"/>
  <c r="I51" i="5"/>
  <c r="J51" i="5"/>
  <c r="M51" i="5"/>
  <c r="N51" i="5"/>
  <c r="O51" i="5"/>
  <c r="P51" i="5"/>
  <c r="B53" i="5"/>
  <c r="C53" i="5"/>
  <c r="D53" i="5"/>
  <c r="E53" i="5"/>
  <c r="F53" i="5"/>
  <c r="G53" i="5"/>
  <c r="H53" i="5"/>
  <c r="I53" i="5"/>
  <c r="J53" i="5"/>
  <c r="K53" i="5"/>
  <c r="M53" i="5"/>
  <c r="N53" i="5"/>
  <c r="O53" i="5"/>
  <c r="B54" i="5"/>
  <c r="C54" i="5"/>
  <c r="D54" i="5"/>
  <c r="E54" i="5"/>
  <c r="F54" i="5"/>
  <c r="G54" i="5"/>
  <c r="H54" i="5"/>
  <c r="I54" i="5"/>
  <c r="J54" i="5"/>
  <c r="K54" i="5"/>
  <c r="M54" i="5"/>
  <c r="N54" i="5"/>
  <c r="O54" i="5"/>
  <c r="B55" i="5"/>
  <c r="C55" i="5"/>
  <c r="D55" i="5"/>
  <c r="E55" i="5"/>
  <c r="F55" i="5"/>
  <c r="G55" i="5"/>
  <c r="H55" i="5"/>
  <c r="I55" i="5"/>
  <c r="J55" i="5"/>
  <c r="K55" i="5"/>
  <c r="M55" i="5"/>
  <c r="N55" i="5"/>
  <c r="O55" i="5"/>
  <c r="B57" i="5"/>
  <c r="C57" i="5"/>
  <c r="D57" i="5"/>
  <c r="E57" i="5"/>
  <c r="F57" i="5"/>
  <c r="G57" i="5"/>
  <c r="H57" i="5"/>
  <c r="I57" i="5"/>
  <c r="J57" i="5"/>
  <c r="K57" i="5"/>
  <c r="M57" i="5"/>
  <c r="N57" i="5"/>
  <c r="O57" i="5"/>
  <c r="B59" i="5"/>
  <c r="C59" i="5"/>
  <c r="D59" i="5"/>
  <c r="E59" i="5"/>
  <c r="F59" i="5"/>
  <c r="G59" i="5"/>
  <c r="H59" i="5"/>
  <c r="I59" i="5"/>
  <c r="J59" i="5"/>
  <c r="K59" i="5"/>
  <c r="M59" i="5"/>
  <c r="N59" i="5"/>
  <c r="O59" i="5"/>
  <c r="B60" i="5"/>
  <c r="C60" i="5"/>
  <c r="D60" i="5"/>
  <c r="E60" i="5"/>
  <c r="F60" i="5"/>
  <c r="G60" i="5"/>
  <c r="H60" i="5"/>
  <c r="I60" i="5"/>
  <c r="J60" i="5"/>
  <c r="K60" i="5"/>
  <c r="M60" i="5"/>
  <c r="N60" i="5"/>
  <c r="O60" i="5"/>
  <c r="B61" i="5"/>
  <c r="C61" i="5"/>
  <c r="D61" i="5"/>
  <c r="E61" i="5"/>
  <c r="F61" i="5"/>
  <c r="G61" i="5"/>
  <c r="H61" i="5"/>
  <c r="I61" i="5"/>
  <c r="J61" i="5"/>
  <c r="K61" i="5"/>
  <c r="M61" i="5"/>
  <c r="N61" i="5"/>
  <c r="O61" i="5"/>
  <c r="B62" i="5"/>
  <c r="C62" i="5"/>
  <c r="D62" i="5"/>
  <c r="E62" i="5"/>
  <c r="F62" i="5"/>
  <c r="G62" i="5"/>
  <c r="H62" i="5"/>
  <c r="I62" i="5"/>
  <c r="J62" i="5"/>
  <c r="K62" i="5"/>
  <c r="M62" i="5"/>
  <c r="N62" i="5"/>
  <c r="O62" i="5"/>
  <c r="B64" i="5"/>
  <c r="C64" i="5"/>
  <c r="D64" i="5"/>
  <c r="E64" i="5"/>
  <c r="F64" i="5"/>
  <c r="G64" i="5"/>
  <c r="H64" i="5"/>
  <c r="I64" i="5"/>
  <c r="J64" i="5"/>
  <c r="K64" i="5"/>
  <c r="M64" i="5"/>
  <c r="N64" i="5"/>
  <c r="O64" i="5"/>
  <c r="B65" i="5"/>
  <c r="C65" i="5"/>
  <c r="D65" i="5"/>
  <c r="E65" i="5"/>
  <c r="F65" i="5"/>
  <c r="G65" i="5"/>
  <c r="H65" i="5"/>
  <c r="I65" i="5"/>
  <c r="J65" i="5"/>
  <c r="K65" i="5"/>
  <c r="M65" i="5"/>
  <c r="N65" i="5"/>
  <c r="O65" i="5"/>
  <c r="B66" i="5"/>
  <c r="C66" i="5"/>
  <c r="D66" i="5"/>
  <c r="E66" i="5"/>
  <c r="F66" i="5"/>
  <c r="G66" i="5"/>
  <c r="H66" i="5"/>
  <c r="I66" i="5"/>
  <c r="J66" i="5"/>
  <c r="K66" i="5"/>
  <c r="M66" i="5"/>
  <c r="N66" i="5"/>
  <c r="O66" i="5"/>
  <c r="B67" i="5"/>
  <c r="C67" i="5"/>
  <c r="D67" i="5"/>
  <c r="E67" i="5"/>
  <c r="F67" i="5"/>
  <c r="G67" i="5"/>
  <c r="H67" i="5"/>
  <c r="I67" i="5"/>
  <c r="J67" i="5"/>
  <c r="K67" i="5"/>
  <c r="M67" i="5"/>
  <c r="N67" i="5"/>
  <c r="O67" i="5"/>
  <c r="B69" i="5"/>
  <c r="C69" i="5"/>
  <c r="D69" i="5"/>
  <c r="E69" i="5"/>
  <c r="F69" i="5"/>
  <c r="G69" i="5"/>
  <c r="H69" i="5"/>
  <c r="I69" i="5"/>
  <c r="J69" i="5"/>
  <c r="K69" i="5"/>
  <c r="M69" i="5"/>
  <c r="N69" i="5"/>
  <c r="O69" i="5"/>
  <c r="B70" i="5"/>
  <c r="C70" i="5"/>
  <c r="D70" i="5"/>
  <c r="E70" i="5"/>
  <c r="F70" i="5"/>
  <c r="G70" i="5"/>
  <c r="H70" i="5"/>
  <c r="I70" i="5"/>
  <c r="J70" i="5"/>
  <c r="K70" i="5"/>
  <c r="M70" i="5"/>
  <c r="N70" i="5"/>
  <c r="O70" i="5"/>
  <c r="B71" i="5"/>
  <c r="C71" i="5"/>
  <c r="D71" i="5"/>
  <c r="E71" i="5"/>
  <c r="F71" i="5"/>
  <c r="G71" i="5"/>
  <c r="H71" i="5"/>
  <c r="I71" i="5"/>
  <c r="J71" i="5"/>
  <c r="K71" i="5"/>
  <c r="M71" i="5"/>
  <c r="N71" i="5"/>
  <c r="O71" i="5"/>
  <c r="B72" i="5"/>
  <c r="C72" i="5"/>
  <c r="D72" i="5"/>
  <c r="E72" i="5"/>
  <c r="F72" i="5"/>
  <c r="G72" i="5"/>
  <c r="H72" i="5"/>
  <c r="I72" i="5"/>
  <c r="J72" i="5"/>
  <c r="K72" i="5"/>
  <c r="M72" i="5"/>
  <c r="N72" i="5"/>
  <c r="O72" i="5"/>
  <c r="B73" i="5"/>
  <c r="C73" i="5"/>
  <c r="D73" i="5"/>
  <c r="E73" i="5"/>
  <c r="F73" i="5"/>
  <c r="G73" i="5"/>
  <c r="H73" i="5"/>
  <c r="I73" i="5"/>
  <c r="J73" i="5"/>
  <c r="K73" i="5"/>
  <c r="M73" i="5"/>
  <c r="N73" i="5"/>
  <c r="O73" i="5"/>
  <c r="B74" i="5"/>
  <c r="C74" i="5"/>
  <c r="D74" i="5"/>
  <c r="E74" i="5"/>
  <c r="F74" i="5"/>
  <c r="G74" i="5"/>
  <c r="H74" i="5"/>
  <c r="I74" i="5"/>
  <c r="J74" i="5"/>
  <c r="K74" i="5"/>
  <c r="M74" i="5"/>
  <c r="N74" i="5"/>
  <c r="O74" i="5"/>
  <c r="B75" i="5"/>
  <c r="C75" i="5"/>
  <c r="D75" i="5"/>
  <c r="E75" i="5"/>
  <c r="F75" i="5"/>
  <c r="G75" i="5"/>
  <c r="H75" i="5"/>
  <c r="I75" i="5"/>
  <c r="J75" i="5"/>
  <c r="K75" i="5"/>
  <c r="M75" i="5"/>
  <c r="N75" i="5"/>
  <c r="O75" i="5"/>
  <c r="B76" i="5"/>
  <c r="C76" i="5"/>
  <c r="D76" i="5"/>
  <c r="E76" i="5"/>
  <c r="F76" i="5"/>
  <c r="G76" i="5"/>
  <c r="H76" i="5"/>
  <c r="I76" i="5"/>
  <c r="J76" i="5"/>
  <c r="K76" i="5"/>
  <c r="M76" i="5"/>
  <c r="N76" i="5"/>
  <c r="O76" i="5"/>
  <c r="B77" i="5"/>
  <c r="D77" i="5"/>
  <c r="E77" i="5"/>
  <c r="F77" i="5"/>
  <c r="G77" i="5"/>
  <c r="H77" i="5"/>
  <c r="I77" i="5"/>
  <c r="J77" i="5"/>
  <c r="M77" i="5"/>
  <c r="N77" i="5"/>
  <c r="O77" i="5"/>
  <c r="P77" i="5"/>
  <c r="A79" i="5"/>
  <c r="B79" i="5"/>
  <c r="C79" i="5"/>
  <c r="D79" i="5"/>
  <c r="E79" i="5"/>
  <c r="F79" i="5"/>
  <c r="G79" i="5"/>
  <c r="H79" i="5"/>
  <c r="I79" i="5"/>
  <c r="J79" i="5"/>
  <c r="K79" i="5"/>
  <c r="L79" i="5"/>
  <c r="M79" i="5"/>
  <c r="N79" i="5"/>
  <c r="O79" i="5"/>
  <c r="P79" i="5"/>
  <c r="A80" i="5"/>
  <c r="B80" i="5"/>
  <c r="C80" i="5"/>
  <c r="D80" i="5"/>
  <c r="E80" i="5"/>
  <c r="F80" i="5"/>
  <c r="G80" i="5"/>
  <c r="H80" i="5"/>
  <c r="I80" i="5"/>
  <c r="J80" i="5"/>
  <c r="K80" i="5"/>
  <c r="L80" i="5"/>
  <c r="M80" i="5"/>
  <c r="N80" i="5"/>
  <c r="O80" i="5"/>
  <c r="P80" i="5"/>
  <c r="B82" i="5"/>
  <c r="C82" i="5"/>
  <c r="D82" i="5"/>
  <c r="E82" i="5"/>
  <c r="F82" i="5"/>
  <c r="G82" i="5"/>
  <c r="H82" i="5"/>
  <c r="I82" i="5"/>
  <c r="J82" i="5"/>
  <c r="K82" i="5"/>
  <c r="M82" i="5"/>
  <c r="N82" i="5"/>
  <c r="O82" i="5"/>
  <c r="B83" i="5"/>
  <c r="C83" i="5"/>
  <c r="D83" i="5"/>
  <c r="E83" i="5"/>
  <c r="F83" i="5"/>
  <c r="G83" i="5"/>
  <c r="H83" i="5"/>
  <c r="I83" i="5"/>
  <c r="J83" i="5"/>
  <c r="K83" i="5"/>
  <c r="M83" i="5"/>
  <c r="N83" i="5"/>
  <c r="O83" i="5"/>
  <c r="B84" i="5"/>
  <c r="C84" i="5"/>
  <c r="D84" i="5"/>
  <c r="E84" i="5"/>
  <c r="F84" i="5"/>
  <c r="G84" i="5"/>
  <c r="H84" i="5"/>
  <c r="I84" i="5"/>
  <c r="J84" i="5"/>
  <c r="K84" i="5"/>
  <c r="M84" i="5"/>
  <c r="N84" i="5"/>
  <c r="O84" i="5"/>
  <c r="B85" i="5"/>
  <c r="C85" i="5"/>
  <c r="D85" i="5"/>
  <c r="E85" i="5"/>
  <c r="F85" i="5"/>
  <c r="G85" i="5"/>
  <c r="H85" i="5"/>
  <c r="I85" i="5"/>
  <c r="J85" i="5"/>
  <c r="K85" i="5"/>
  <c r="M85" i="5"/>
  <c r="N85" i="5"/>
  <c r="O85" i="5"/>
  <c r="B86" i="5"/>
  <c r="C86" i="5"/>
  <c r="D86" i="5"/>
  <c r="E86" i="5"/>
  <c r="F86" i="5"/>
  <c r="G86" i="5"/>
  <c r="H86" i="5"/>
  <c r="I86" i="5"/>
  <c r="J86" i="5"/>
  <c r="K86" i="5"/>
  <c r="M86" i="5"/>
  <c r="N86" i="5"/>
  <c r="O86" i="5"/>
  <c r="B88" i="5"/>
  <c r="C88" i="5"/>
  <c r="D88" i="5"/>
  <c r="E88" i="5"/>
  <c r="F88" i="5"/>
  <c r="G88" i="5"/>
  <c r="H88" i="5"/>
  <c r="I88" i="5"/>
  <c r="J88" i="5"/>
  <c r="K88" i="5"/>
  <c r="M88" i="5"/>
  <c r="N88" i="5"/>
  <c r="O88" i="5"/>
  <c r="B89" i="5"/>
  <c r="C89" i="5"/>
  <c r="D89" i="5"/>
  <c r="E89" i="5"/>
  <c r="F89" i="5"/>
  <c r="G89" i="5"/>
  <c r="H89" i="5"/>
  <c r="I89" i="5"/>
  <c r="J89" i="5"/>
  <c r="K89" i="5"/>
  <c r="M89" i="5"/>
  <c r="N89" i="5"/>
  <c r="O89" i="5"/>
  <c r="B90" i="5"/>
  <c r="C90" i="5"/>
  <c r="D90" i="5"/>
  <c r="E90" i="5"/>
  <c r="F90" i="5"/>
  <c r="G90" i="5"/>
  <c r="H90" i="5"/>
  <c r="I90" i="5"/>
  <c r="J90" i="5"/>
  <c r="K90" i="5"/>
  <c r="M90" i="5"/>
  <c r="N90" i="5"/>
  <c r="O90" i="5"/>
  <c r="B91" i="5"/>
  <c r="C91" i="5"/>
  <c r="D91" i="5"/>
  <c r="E91" i="5"/>
  <c r="F91" i="5"/>
  <c r="G91" i="5"/>
  <c r="H91" i="5"/>
  <c r="I91" i="5"/>
  <c r="J91" i="5"/>
  <c r="K91" i="5"/>
  <c r="M91" i="5"/>
  <c r="N91" i="5"/>
  <c r="O91" i="5"/>
  <c r="B93" i="5"/>
  <c r="C93" i="5"/>
  <c r="D93" i="5"/>
  <c r="E93" i="5"/>
  <c r="F93" i="5"/>
  <c r="G93" i="5"/>
  <c r="H93" i="5"/>
  <c r="I93" i="5"/>
  <c r="J93" i="5"/>
  <c r="K93" i="5"/>
  <c r="M93" i="5"/>
  <c r="N93" i="5"/>
  <c r="O93" i="5"/>
  <c r="B94" i="5"/>
  <c r="C94" i="5"/>
  <c r="D94" i="5"/>
  <c r="E94" i="5"/>
  <c r="F94" i="5"/>
  <c r="G94" i="5"/>
  <c r="H94" i="5"/>
  <c r="I94" i="5"/>
  <c r="J94" i="5"/>
  <c r="K94" i="5"/>
  <c r="M94" i="5"/>
  <c r="N94" i="5"/>
  <c r="O94" i="5"/>
  <c r="B95" i="5"/>
  <c r="C95" i="5"/>
  <c r="D95" i="5"/>
  <c r="E95" i="5"/>
  <c r="F95" i="5"/>
  <c r="G95" i="5"/>
  <c r="H95" i="5"/>
  <c r="I95" i="5"/>
  <c r="J95" i="5"/>
  <c r="K95" i="5"/>
  <c r="M95" i="5"/>
  <c r="N95" i="5"/>
  <c r="O95" i="5"/>
  <c r="B97" i="5"/>
  <c r="C97" i="5"/>
  <c r="D97" i="5"/>
  <c r="E97" i="5"/>
  <c r="F97" i="5"/>
  <c r="G97" i="5"/>
  <c r="H97" i="5"/>
  <c r="I97" i="5"/>
  <c r="J97" i="5"/>
  <c r="K97" i="5"/>
  <c r="M97" i="5"/>
  <c r="N97" i="5"/>
  <c r="O97" i="5"/>
  <c r="B98" i="5"/>
  <c r="C98" i="5"/>
  <c r="D98" i="5"/>
  <c r="E98" i="5"/>
  <c r="F98" i="5"/>
  <c r="G98" i="5"/>
  <c r="H98" i="5"/>
  <c r="I98" i="5"/>
  <c r="J98" i="5"/>
  <c r="K98" i="5"/>
  <c r="M98" i="5"/>
  <c r="N98" i="5"/>
  <c r="O98" i="5"/>
  <c r="B99" i="5"/>
  <c r="C99" i="5"/>
  <c r="D99" i="5"/>
  <c r="E99" i="5"/>
  <c r="F99" i="5"/>
  <c r="G99" i="5"/>
  <c r="H99" i="5"/>
  <c r="I99" i="5"/>
  <c r="J99" i="5"/>
  <c r="K99" i="5"/>
  <c r="M99" i="5"/>
  <c r="N99" i="5"/>
  <c r="O99" i="5"/>
  <c r="B100" i="5"/>
  <c r="C100" i="5"/>
  <c r="D100" i="5"/>
  <c r="E100" i="5"/>
  <c r="F100" i="5"/>
  <c r="G100" i="5"/>
  <c r="H100" i="5"/>
  <c r="I100" i="5"/>
  <c r="J100" i="5"/>
  <c r="K100" i="5"/>
  <c r="M100" i="5"/>
  <c r="N100" i="5"/>
  <c r="O100" i="5"/>
  <c r="B101" i="5"/>
  <c r="C101" i="5"/>
  <c r="D101" i="5"/>
  <c r="E101" i="5"/>
  <c r="F101" i="5"/>
  <c r="G101" i="5"/>
  <c r="H101" i="5"/>
  <c r="I101" i="5"/>
  <c r="J101" i="5"/>
  <c r="K101" i="5"/>
  <c r="L101" i="5"/>
  <c r="M101" i="5"/>
  <c r="N101" i="5"/>
  <c r="O101" i="5"/>
  <c r="P101" i="5"/>
  <c r="A103" i="5"/>
  <c r="B103" i="5"/>
  <c r="C103" i="5"/>
  <c r="D103" i="5"/>
  <c r="E103" i="5"/>
  <c r="F103" i="5"/>
  <c r="G103" i="5"/>
  <c r="H103" i="5"/>
  <c r="I103" i="5"/>
  <c r="J103" i="5"/>
  <c r="K103" i="5"/>
  <c r="L103" i="5"/>
  <c r="M103" i="5"/>
  <c r="N103" i="5"/>
  <c r="O103" i="5"/>
  <c r="P103" i="5"/>
  <c r="A104" i="5"/>
  <c r="B104" i="5"/>
  <c r="C104" i="5"/>
  <c r="D104" i="5"/>
  <c r="E104" i="5"/>
  <c r="F104" i="5"/>
  <c r="G104" i="5"/>
  <c r="H104" i="5"/>
  <c r="I104" i="5"/>
  <c r="J104" i="5"/>
  <c r="K104" i="5"/>
  <c r="L104" i="5"/>
  <c r="M104" i="5"/>
  <c r="N104" i="5"/>
  <c r="O104" i="5"/>
  <c r="P104" i="5"/>
  <c r="B106" i="5"/>
  <c r="C106" i="5"/>
  <c r="D106" i="5"/>
  <c r="E106" i="5"/>
  <c r="F106" i="5"/>
  <c r="G106" i="5"/>
  <c r="H106" i="5"/>
  <c r="I106" i="5"/>
  <c r="J106" i="5"/>
  <c r="K106" i="5"/>
  <c r="M106" i="5"/>
  <c r="N106" i="5"/>
  <c r="O106" i="5"/>
  <c r="B107" i="5"/>
  <c r="C107" i="5"/>
  <c r="D107" i="5"/>
  <c r="E107" i="5"/>
  <c r="F107" i="5"/>
  <c r="G107" i="5"/>
  <c r="H107" i="5"/>
  <c r="I107" i="5"/>
  <c r="J107" i="5"/>
  <c r="K107" i="5"/>
  <c r="M107" i="5"/>
  <c r="N107" i="5"/>
  <c r="O107" i="5"/>
  <c r="B108" i="5"/>
  <c r="C108" i="5"/>
  <c r="D108" i="5"/>
  <c r="E108" i="5"/>
  <c r="F108" i="5"/>
  <c r="G108" i="5"/>
  <c r="H108" i="5"/>
  <c r="I108" i="5"/>
  <c r="J108" i="5"/>
  <c r="K108" i="5"/>
  <c r="M108" i="5"/>
  <c r="N108" i="5"/>
  <c r="O108" i="5"/>
  <c r="B109" i="5"/>
  <c r="C109" i="5"/>
  <c r="D109" i="5"/>
  <c r="E109" i="5"/>
  <c r="F109" i="5"/>
  <c r="G109" i="5"/>
  <c r="H109" i="5"/>
  <c r="I109" i="5"/>
  <c r="J109" i="5"/>
  <c r="K109" i="5"/>
  <c r="M109" i="5"/>
  <c r="N109" i="5"/>
  <c r="O109" i="5"/>
  <c r="B110" i="5"/>
  <c r="C110" i="5"/>
  <c r="D110" i="5"/>
  <c r="E110" i="5"/>
  <c r="F110" i="5"/>
  <c r="G110" i="5"/>
  <c r="H110" i="5"/>
  <c r="I110" i="5"/>
  <c r="J110" i="5"/>
  <c r="K110" i="5"/>
  <c r="M110" i="5"/>
  <c r="N110" i="5"/>
  <c r="O110" i="5"/>
  <c r="B112" i="5"/>
  <c r="C112" i="5"/>
  <c r="D112" i="5"/>
  <c r="E112" i="5"/>
  <c r="F112" i="5"/>
  <c r="G112" i="5"/>
  <c r="H112" i="5"/>
  <c r="I112" i="5"/>
  <c r="J112" i="5"/>
  <c r="K112" i="5"/>
  <c r="M112" i="5"/>
  <c r="N112" i="5"/>
  <c r="O112" i="5"/>
  <c r="B113" i="5"/>
  <c r="C113" i="5"/>
  <c r="D113" i="5"/>
  <c r="E113" i="5"/>
  <c r="F113" i="5"/>
  <c r="G113" i="5"/>
  <c r="H113" i="5"/>
  <c r="I113" i="5"/>
  <c r="J113" i="5"/>
  <c r="K113" i="5"/>
  <c r="M113" i="5"/>
  <c r="N113" i="5"/>
  <c r="O113" i="5"/>
  <c r="B114" i="5"/>
  <c r="C114" i="5"/>
  <c r="D114" i="5"/>
  <c r="E114" i="5"/>
  <c r="F114" i="5"/>
  <c r="G114" i="5"/>
  <c r="H114" i="5"/>
  <c r="I114" i="5"/>
  <c r="J114" i="5"/>
  <c r="K114" i="5"/>
  <c r="M114" i="5"/>
  <c r="N114" i="5"/>
  <c r="O114" i="5"/>
  <c r="B115" i="5"/>
  <c r="C115" i="5"/>
  <c r="D115" i="5"/>
  <c r="E115" i="5"/>
  <c r="F115" i="5"/>
  <c r="G115" i="5"/>
  <c r="H115" i="5"/>
  <c r="I115" i="5"/>
  <c r="J115" i="5"/>
  <c r="K115" i="5"/>
  <c r="M115" i="5"/>
  <c r="N115" i="5"/>
  <c r="O115" i="5"/>
  <c r="B116" i="5"/>
  <c r="C116" i="5"/>
  <c r="D116" i="5"/>
  <c r="E116" i="5"/>
  <c r="F116" i="5"/>
  <c r="G116" i="5"/>
  <c r="H116" i="5"/>
  <c r="I116" i="5"/>
  <c r="J116" i="5"/>
  <c r="K116" i="5"/>
  <c r="M116" i="5"/>
  <c r="N116" i="5"/>
  <c r="O116" i="5"/>
  <c r="B117" i="5"/>
  <c r="C117" i="5"/>
  <c r="D117" i="5"/>
  <c r="E117" i="5"/>
  <c r="F117" i="5"/>
  <c r="G117" i="5"/>
  <c r="H117" i="5"/>
  <c r="I117" i="5"/>
  <c r="J117" i="5"/>
  <c r="K117" i="5"/>
  <c r="M117" i="5"/>
  <c r="N117" i="5"/>
  <c r="O117" i="5"/>
  <c r="B119" i="5"/>
  <c r="C119" i="5"/>
  <c r="D119" i="5"/>
  <c r="E119" i="5"/>
  <c r="F119" i="5"/>
  <c r="G119" i="5"/>
  <c r="H119" i="5"/>
  <c r="I119" i="5"/>
  <c r="J119" i="5"/>
  <c r="K119" i="5"/>
  <c r="M119" i="5"/>
  <c r="N119" i="5"/>
  <c r="O119" i="5"/>
  <c r="B120" i="5"/>
  <c r="C120" i="5"/>
  <c r="D120" i="5"/>
  <c r="E120" i="5"/>
  <c r="F120" i="5"/>
  <c r="G120" i="5"/>
  <c r="H120" i="5"/>
  <c r="I120" i="5"/>
  <c r="J120" i="5"/>
  <c r="K120" i="5"/>
  <c r="M120" i="5"/>
  <c r="N120" i="5"/>
  <c r="O120" i="5"/>
  <c r="B121" i="5"/>
  <c r="C121" i="5"/>
  <c r="D121" i="5"/>
  <c r="E121" i="5"/>
  <c r="F121" i="5"/>
  <c r="G121" i="5"/>
  <c r="H121" i="5"/>
  <c r="I121" i="5"/>
  <c r="J121" i="5"/>
  <c r="K121" i="5"/>
  <c r="M121" i="5"/>
  <c r="N121" i="5"/>
  <c r="O121" i="5"/>
  <c r="B122" i="5"/>
  <c r="C122" i="5"/>
  <c r="D122" i="5"/>
  <c r="E122" i="5"/>
  <c r="F122" i="5"/>
  <c r="G122" i="5"/>
  <c r="H122" i="5"/>
  <c r="I122" i="5"/>
  <c r="J122" i="5"/>
  <c r="K122" i="5"/>
  <c r="M122" i="5"/>
  <c r="N122" i="5"/>
  <c r="O122" i="5"/>
  <c r="B123" i="5"/>
  <c r="C123" i="5"/>
  <c r="D123" i="5"/>
  <c r="E123" i="5"/>
  <c r="F123" i="5"/>
  <c r="G123" i="5"/>
  <c r="H123" i="5"/>
  <c r="I123" i="5"/>
  <c r="J123" i="5"/>
  <c r="K123" i="5"/>
  <c r="L123" i="5"/>
  <c r="M123" i="5"/>
  <c r="N123" i="5"/>
  <c r="O123" i="5"/>
  <c r="P123" i="5"/>
  <c r="A125" i="5"/>
  <c r="B125" i="5"/>
  <c r="C125" i="5"/>
  <c r="D125" i="5"/>
  <c r="E125" i="5"/>
  <c r="F125" i="5"/>
  <c r="G125" i="5"/>
  <c r="H125" i="5"/>
  <c r="I125" i="5"/>
  <c r="J125" i="5"/>
  <c r="K125" i="5"/>
  <c r="L125" i="5"/>
  <c r="M125" i="5"/>
  <c r="N125" i="5"/>
  <c r="O125" i="5"/>
  <c r="P125" i="5"/>
  <c r="A126" i="5"/>
  <c r="B126" i="5"/>
  <c r="C126" i="5"/>
  <c r="D126" i="5"/>
  <c r="E126" i="5"/>
  <c r="F126" i="5"/>
  <c r="G126" i="5"/>
  <c r="H126" i="5"/>
  <c r="I126" i="5"/>
  <c r="J126" i="5"/>
  <c r="K126" i="5"/>
  <c r="L126" i="5"/>
  <c r="M126" i="5"/>
  <c r="N126" i="5"/>
  <c r="O126" i="5"/>
  <c r="P126" i="5"/>
  <c r="B128" i="5"/>
  <c r="C128" i="5"/>
  <c r="D128" i="5"/>
  <c r="E128" i="5"/>
  <c r="F128" i="5"/>
  <c r="G128" i="5"/>
  <c r="H128" i="5"/>
  <c r="I128" i="5"/>
  <c r="J128" i="5"/>
  <c r="K128" i="5"/>
  <c r="M128" i="5"/>
  <c r="N128" i="5"/>
  <c r="O128" i="5"/>
  <c r="B129" i="5"/>
  <c r="C129" i="5"/>
  <c r="D129" i="5"/>
  <c r="E129" i="5"/>
  <c r="F129" i="5"/>
  <c r="G129" i="5"/>
  <c r="H129" i="5"/>
  <c r="I129" i="5"/>
  <c r="J129" i="5"/>
  <c r="K129" i="5"/>
  <c r="M129" i="5"/>
  <c r="N129" i="5"/>
  <c r="O129" i="5"/>
  <c r="B130" i="5"/>
  <c r="C130" i="5"/>
  <c r="D130" i="5"/>
  <c r="E130" i="5"/>
  <c r="F130" i="5"/>
  <c r="G130" i="5"/>
  <c r="H130" i="5"/>
  <c r="I130" i="5"/>
  <c r="J130" i="5"/>
  <c r="K130" i="5"/>
  <c r="M130" i="5"/>
  <c r="N130" i="5"/>
  <c r="O130" i="5"/>
  <c r="B131" i="5"/>
  <c r="C131" i="5"/>
  <c r="D131" i="5"/>
  <c r="E131" i="5"/>
  <c r="F131" i="5"/>
  <c r="G131" i="5"/>
  <c r="H131" i="5"/>
  <c r="I131" i="5"/>
  <c r="J131" i="5"/>
  <c r="K131" i="5"/>
  <c r="M131" i="5"/>
  <c r="N131" i="5"/>
  <c r="O131" i="5"/>
  <c r="B132" i="5"/>
  <c r="C132" i="5"/>
  <c r="D132" i="5"/>
  <c r="E132" i="5"/>
  <c r="F132" i="5"/>
  <c r="G132" i="5"/>
  <c r="H132" i="5"/>
  <c r="I132" i="5"/>
  <c r="J132" i="5"/>
  <c r="K132" i="5"/>
  <c r="M132" i="5"/>
  <c r="N132" i="5"/>
  <c r="O132" i="5"/>
  <c r="B134" i="5"/>
  <c r="C134" i="5"/>
  <c r="D134" i="5"/>
  <c r="E134" i="5"/>
  <c r="F134" i="5"/>
  <c r="G134" i="5"/>
  <c r="H134" i="5"/>
  <c r="I134" i="5"/>
  <c r="J134" i="5"/>
  <c r="K134" i="5"/>
  <c r="M134" i="5"/>
  <c r="N134" i="5"/>
  <c r="O134" i="5"/>
  <c r="B135" i="5"/>
  <c r="C135" i="5"/>
  <c r="D135" i="5"/>
  <c r="E135" i="5"/>
  <c r="F135" i="5"/>
  <c r="G135" i="5"/>
  <c r="H135" i="5"/>
  <c r="I135" i="5"/>
  <c r="J135" i="5"/>
  <c r="K135" i="5"/>
  <c r="M135" i="5"/>
  <c r="N135" i="5"/>
  <c r="O135" i="5"/>
  <c r="B136" i="5"/>
  <c r="C136" i="5"/>
  <c r="D136" i="5"/>
  <c r="E136" i="5"/>
  <c r="F136" i="5"/>
  <c r="G136" i="5"/>
  <c r="H136" i="5"/>
  <c r="I136" i="5"/>
  <c r="J136" i="5"/>
  <c r="K136" i="5"/>
  <c r="M136" i="5"/>
  <c r="N136" i="5"/>
  <c r="O136" i="5"/>
  <c r="B137" i="5"/>
  <c r="C137" i="5"/>
  <c r="D137" i="5"/>
  <c r="E137" i="5"/>
  <c r="F137" i="5"/>
  <c r="G137" i="5"/>
  <c r="H137" i="5"/>
  <c r="I137" i="5"/>
  <c r="J137" i="5"/>
  <c r="K137" i="5"/>
  <c r="M137" i="5"/>
  <c r="N137" i="5"/>
  <c r="O137" i="5"/>
  <c r="B138" i="5"/>
  <c r="C138" i="5"/>
  <c r="D138" i="5"/>
  <c r="E138" i="5"/>
  <c r="F138" i="5"/>
  <c r="G138" i="5"/>
  <c r="H138" i="5"/>
  <c r="I138" i="5"/>
  <c r="J138" i="5"/>
  <c r="K138" i="5"/>
  <c r="M138" i="5"/>
  <c r="N138" i="5"/>
  <c r="O138" i="5"/>
  <c r="B140" i="5"/>
  <c r="C140" i="5"/>
  <c r="D140" i="5"/>
  <c r="E140" i="5"/>
  <c r="F140" i="5"/>
  <c r="G140" i="5"/>
  <c r="H140" i="5"/>
  <c r="I140" i="5"/>
  <c r="J140" i="5"/>
  <c r="K140" i="5"/>
  <c r="M140" i="5"/>
  <c r="N140" i="5"/>
  <c r="O140" i="5"/>
  <c r="B141" i="5"/>
  <c r="C141" i="5"/>
  <c r="D141" i="5"/>
  <c r="E141" i="5"/>
  <c r="F141" i="5"/>
  <c r="G141" i="5"/>
  <c r="H141" i="5"/>
  <c r="I141" i="5"/>
  <c r="J141" i="5"/>
  <c r="K141" i="5"/>
  <c r="M141" i="5"/>
  <c r="N141" i="5"/>
  <c r="O141" i="5"/>
  <c r="B142" i="5"/>
  <c r="C142" i="5"/>
  <c r="D142" i="5"/>
  <c r="E142" i="5"/>
  <c r="F142" i="5"/>
  <c r="G142" i="5"/>
  <c r="H142" i="5"/>
  <c r="I142" i="5"/>
  <c r="J142" i="5"/>
  <c r="K142" i="5"/>
  <c r="M142" i="5"/>
  <c r="N142" i="5"/>
  <c r="O142" i="5"/>
  <c r="B143" i="5"/>
  <c r="C143" i="5"/>
  <c r="D143" i="5"/>
  <c r="E143" i="5"/>
  <c r="F143" i="5"/>
  <c r="G143" i="5"/>
  <c r="H143" i="5"/>
  <c r="I143" i="5"/>
  <c r="J143" i="5"/>
  <c r="K143" i="5"/>
  <c r="M143" i="5"/>
  <c r="N143" i="5"/>
  <c r="O143" i="5"/>
  <c r="B145" i="5"/>
  <c r="C145" i="5"/>
  <c r="D145" i="5"/>
  <c r="E145" i="5"/>
  <c r="F145" i="5"/>
  <c r="G145" i="5"/>
  <c r="H145" i="5"/>
  <c r="I145" i="5"/>
  <c r="J145" i="5"/>
  <c r="K145" i="5"/>
  <c r="M145" i="5"/>
  <c r="N145" i="5"/>
  <c r="O145" i="5"/>
  <c r="B146" i="5"/>
  <c r="C146" i="5"/>
  <c r="D146" i="5"/>
  <c r="E146" i="5"/>
  <c r="F146" i="5"/>
  <c r="G146" i="5"/>
  <c r="H146" i="5"/>
  <c r="I146" i="5"/>
  <c r="J146" i="5"/>
  <c r="K146" i="5"/>
  <c r="M146" i="5"/>
  <c r="N146" i="5"/>
  <c r="O146" i="5"/>
  <c r="B147" i="5"/>
  <c r="C147" i="5"/>
  <c r="D147" i="5"/>
  <c r="E147" i="5"/>
  <c r="F147" i="5"/>
  <c r="G147" i="5"/>
  <c r="H147" i="5"/>
  <c r="I147" i="5"/>
  <c r="J147" i="5"/>
  <c r="K147" i="5"/>
  <c r="M147" i="5"/>
  <c r="N147" i="5"/>
  <c r="O147" i="5"/>
  <c r="B148" i="5"/>
  <c r="C148" i="5"/>
  <c r="D148" i="5"/>
  <c r="E148" i="5"/>
  <c r="F148" i="5"/>
  <c r="G148" i="5"/>
  <c r="H148" i="5"/>
  <c r="I148" i="5"/>
  <c r="J148" i="5"/>
  <c r="K148" i="5"/>
  <c r="L148" i="5"/>
  <c r="M148" i="5"/>
  <c r="N148" i="5"/>
  <c r="O148" i="5"/>
  <c r="P148" i="5"/>
  <c r="A150" i="5"/>
  <c r="B150" i="5"/>
  <c r="C150" i="5"/>
  <c r="D150" i="5"/>
  <c r="E150" i="5"/>
  <c r="F150" i="5"/>
  <c r="G150" i="5"/>
  <c r="H150" i="5"/>
  <c r="I150" i="5"/>
  <c r="J150" i="5"/>
  <c r="K150" i="5"/>
  <c r="L150" i="5"/>
  <c r="M150" i="5"/>
  <c r="N150" i="5"/>
  <c r="O150" i="5"/>
  <c r="P150" i="5"/>
  <c r="A151" i="5"/>
  <c r="B151" i="5"/>
  <c r="C151" i="5"/>
  <c r="D151" i="5"/>
  <c r="E151" i="5"/>
  <c r="F151" i="5"/>
  <c r="G151" i="5"/>
  <c r="H151" i="5"/>
  <c r="I151" i="5"/>
  <c r="J151" i="5"/>
  <c r="K151" i="5"/>
  <c r="L151" i="5"/>
  <c r="M151" i="5"/>
  <c r="N151" i="5"/>
  <c r="O151" i="5"/>
  <c r="P151" i="5"/>
  <c r="M152" i="5"/>
  <c r="B153" i="5"/>
  <c r="C153" i="5"/>
  <c r="D153" i="5"/>
  <c r="E153" i="5"/>
  <c r="F153" i="5"/>
  <c r="G153" i="5"/>
  <c r="H153" i="5"/>
  <c r="I153" i="5"/>
  <c r="J153" i="5"/>
  <c r="K153" i="5"/>
  <c r="M153" i="5"/>
  <c r="N153" i="5"/>
  <c r="O153" i="5"/>
  <c r="B154" i="5"/>
  <c r="C154" i="5"/>
  <c r="D154" i="5"/>
  <c r="E154" i="5"/>
  <c r="F154" i="5"/>
  <c r="G154" i="5"/>
  <c r="H154" i="5"/>
  <c r="I154" i="5"/>
  <c r="J154" i="5"/>
  <c r="K154" i="5"/>
  <c r="M154" i="5"/>
  <c r="N154" i="5"/>
  <c r="O154" i="5"/>
  <c r="B155" i="5"/>
  <c r="C155" i="5"/>
  <c r="D155" i="5"/>
  <c r="E155" i="5"/>
  <c r="F155" i="5"/>
  <c r="G155" i="5"/>
  <c r="H155" i="5"/>
  <c r="I155" i="5"/>
  <c r="J155" i="5"/>
  <c r="K155" i="5"/>
  <c r="M155" i="5"/>
  <c r="N155" i="5"/>
  <c r="O155" i="5"/>
  <c r="B156" i="5"/>
  <c r="C156" i="5"/>
  <c r="D156" i="5"/>
  <c r="E156" i="5"/>
  <c r="F156" i="5"/>
  <c r="G156" i="5"/>
  <c r="H156" i="5"/>
  <c r="I156" i="5"/>
  <c r="J156" i="5"/>
  <c r="K156" i="5"/>
  <c r="M156" i="5"/>
  <c r="N156" i="5"/>
  <c r="O156" i="5"/>
  <c r="B158" i="5"/>
  <c r="C158" i="5"/>
  <c r="D158" i="5"/>
  <c r="E158" i="5"/>
  <c r="F158" i="5"/>
  <c r="G158" i="5"/>
  <c r="H158" i="5"/>
  <c r="I158" i="5"/>
  <c r="J158" i="5"/>
  <c r="K158" i="5"/>
  <c r="M158" i="5"/>
  <c r="N158" i="5"/>
  <c r="O158" i="5"/>
  <c r="B159" i="5"/>
  <c r="C159" i="5"/>
  <c r="D159" i="5"/>
  <c r="E159" i="5"/>
  <c r="F159" i="5"/>
  <c r="G159" i="5"/>
  <c r="H159" i="5"/>
  <c r="I159" i="5"/>
  <c r="J159" i="5"/>
  <c r="K159" i="5"/>
  <c r="M159" i="5"/>
  <c r="N159" i="5"/>
  <c r="O159" i="5"/>
  <c r="B160" i="5"/>
  <c r="C160" i="5"/>
  <c r="D160" i="5"/>
  <c r="E160" i="5"/>
  <c r="F160" i="5"/>
  <c r="G160" i="5"/>
  <c r="H160" i="5"/>
  <c r="I160" i="5"/>
  <c r="J160" i="5"/>
  <c r="K160" i="5"/>
  <c r="M160" i="5"/>
  <c r="N160" i="5"/>
  <c r="O160" i="5"/>
  <c r="B161" i="5"/>
  <c r="C161" i="5"/>
  <c r="D161" i="5"/>
  <c r="E161" i="5"/>
  <c r="F161" i="5"/>
  <c r="G161" i="5"/>
  <c r="H161" i="5"/>
  <c r="I161" i="5"/>
  <c r="J161" i="5"/>
  <c r="K161" i="5"/>
  <c r="M161" i="5"/>
  <c r="N161" i="5"/>
  <c r="O161" i="5"/>
  <c r="B163" i="5"/>
  <c r="C163" i="5"/>
  <c r="D163" i="5"/>
  <c r="E163" i="5"/>
  <c r="F163" i="5"/>
  <c r="G163" i="5"/>
  <c r="H163" i="5"/>
  <c r="I163" i="5"/>
  <c r="J163" i="5"/>
  <c r="K163" i="5"/>
  <c r="M163" i="5"/>
  <c r="N163" i="5"/>
  <c r="O163" i="5"/>
  <c r="B164" i="5"/>
  <c r="C164" i="5"/>
  <c r="D164" i="5"/>
  <c r="E164" i="5"/>
  <c r="F164" i="5"/>
  <c r="G164" i="5"/>
  <c r="H164" i="5"/>
  <c r="I164" i="5"/>
  <c r="J164" i="5"/>
  <c r="K164" i="5"/>
  <c r="M164" i="5"/>
  <c r="N164" i="5"/>
  <c r="O164" i="5"/>
  <c r="B165" i="5"/>
  <c r="C165" i="5"/>
  <c r="D165" i="5"/>
  <c r="E165" i="5"/>
  <c r="F165" i="5"/>
  <c r="G165" i="5"/>
  <c r="H165" i="5"/>
  <c r="I165" i="5"/>
  <c r="J165" i="5"/>
  <c r="K165" i="5"/>
  <c r="M165" i="5"/>
  <c r="N165" i="5"/>
  <c r="O165" i="5"/>
  <c r="B166" i="5"/>
  <c r="C166" i="5"/>
  <c r="D166" i="5"/>
  <c r="E166" i="5"/>
  <c r="F166" i="5"/>
  <c r="G166" i="5"/>
  <c r="H166" i="5"/>
  <c r="I166" i="5"/>
  <c r="J166" i="5"/>
  <c r="K166" i="5"/>
  <c r="M166" i="5"/>
  <c r="N166" i="5"/>
  <c r="O166" i="5"/>
  <c r="B168" i="5"/>
  <c r="C168" i="5"/>
  <c r="D168" i="5"/>
  <c r="E168" i="5"/>
  <c r="F168" i="5"/>
  <c r="G168" i="5"/>
  <c r="H168" i="5"/>
  <c r="I168" i="5"/>
  <c r="J168" i="5"/>
  <c r="K168" i="5"/>
  <c r="M168" i="5"/>
  <c r="N168" i="5"/>
  <c r="O168" i="5"/>
  <c r="B169" i="5"/>
  <c r="C169" i="5"/>
  <c r="D169" i="5"/>
  <c r="E169" i="5"/>
  <c r="F169" i="5"/>
  <c r="G169" i="5"/>
  <c r="H169" i="5"/>
  <c r="I169" i="5"/>
  <c r="J169" i="5"/>
  <c r="K169" i="5"/>
  <c r="M169" i="5"/>
  <c r="N169" i="5"/>
  <c r="O169" i="5"/>
  <c r="B170" i="5"/>
  <c r="C170" i="5"/>
  <c r="D170" i="5"/>
  <c r="E170" i="5"/>
  <c r="F170" i="5"/>
  <c r="G170" i="5"/>
  <c r="H170" i="5"/>
  <c r="I170" i="5"/>
  <c r="J170" i="5"/>
  <c r="K170" i="5"/>
  <c r="M170" i="5"/>
  <c r="N170" i="5"/>
  <c r="O170" i="5"/>
  <c r="B171" i="5"/>
  <c r="C171" i="5"/>
  <c r="D171" i="5"/>
  <c r="E171" i="5"/>
  <c r="F171" i="5"/>
  <c r="G171" i="5"/>
  <c r="H171" i="5"/>
  <c r="I171" i="5"/>
  <c r="J171" i="5"/>
  <c r="K171" i="5"/>
  <c r="M171" i="5"/>
  <c r="N171" i="5"/>
  <c r="O171" i="5"/>
  <c r="B172" i="5"/>
  <c r="C172" i="5"/>
  <c r="D172" i="5"/>
  <c r="E172" i="5"/>
  <c r="F172" i="5"/>
  <c r="G172" i="5"/>
  <c r="H172" i="5"/>
  <c r="I172" i="5"/>
  <c r="J172" i="5"/>
  <c r="K172" i="5"/>
  <c r="L172" i="5"/>
  <c r="M172" i="5"/>
  <c r="N172" i="5"/>
  <c r="O172" i="5"/>
  <c r="P172" i="5"/>
  <c r="A174" i="5"/>
  <c r="B174" i="5"/>
  <c r="C174" i="5"/>
  <c r="D174" i="5"/>
  <c r="E174" i="5"/>
  <c r="F174" i="5"/>
  <c r="G174" i="5"/>
  <c r="H174" i="5"/>
  <c r="I174" i="5"/>
  <c r="J174" i="5"/>
  <c r="K174" i="5"/>
  <c r="L174" i="5"/>
  <c r="M174" i="5"/>
  <c r="N174" i="5"/>
  <c r="O174" i="5"/>
  <c r="P174" i="5"/>
  <c r="A175" i="5"/>
  <c r="B175" i="5"/>
  <c r="C175" i="5"/>
  <c r="D175" i="5"/>
  <c r="E175" i="5"/>
  <c r="F175" i="5"/>
  <c r="G175" i="5"/>
  <c r="H175" i="5"/>
  <c r="I175" i="5"/>
  <c r="J175" i="5"/>
  <c r="K175" i="5"/>
  <c r="L175" i="5"/>
  <c r="M175" i="5"/>
  <c r="N175" i="5"/>
  <c r="B176" i="5"/>
  <c r="C176" i="5"/>
  <c r="D176" i="5"/>
  <c r="E176" i="5"/>
  <c r="F176" i="5"/>
  <c r="G176" i="5"/>
  <c r="H176" i="5"/>
  <c r="I176" i="5"/>
  <c r="J176" i="5"/>
  <c r="K176" i="5"/>
  <c r="L176" i="5"/>
  <c r="P18" i="12" l="1"/>
  <c r="P40" i="1"/>
  <c r="N40" i="1"/>
  <c r="L40" i="1"/>
  <c r="M176" i="5" l="1"/>
  <c r="O175" i="5" l="1"/>
  <c r="P176" i="5" l="1"/>
  <c r="N176" i="5"/>
  <c r="O176" i="5"/>
  <c r="P175" i="5"/>
  <c r="O35" i="1" l="1"/>
  <c r="AJ55" i="12" l="1"/>
  <c r="AH55" i="12"/>
  <c r="X55" i="12"/>
  <c r="R55" i="12"/>
  <c r="P55" i="12"/>
  <c r="N55" i="12"/>
  <c r="L55" i="12"/>
  <c r="J55" i="12"/>
  <c r="H55" i="12"/>
  <c r="F55" i="12"/>
  <c r="D55" i="12"/>
  <c r="U55" i="12" l="1"/>
  <c r="V55" i="12"/>
  <c r="AE55" i="12"/>
  <c r="AF55" i="12"/>
  <c r="AA55" i="12"/>
  <c r="AB55" i="12"/>
  <c r="AC55" i="12"/>
  <c r="AD55" i="12"/>
  <c r="AK55" i="12"/>
  <c r="AL55" i="12"/>
  <c r="AI55" i="12"/>
  <c r="AG55" i="12"/>
  <c r="W55" i="12"/>
  <c r="K55" i="12"/>
  <c r="Q55" i="12"/>
  <c r="O55" i="12"/>
  <c r="I55" i="12"/>
  <c r="G55" i="12"/>
  <c r="AV55" i="12"/>
  <c r="C55" i="12"/>
  <c r="M55" i="12"/>
  <c r="E55" i="12"/>
  <c r="AW55" i="12" l="1"/>
  <c r="AU55" i="12"/>
  <c r="F27" i="13"/>
  <c r="F23" i="13"/>
  <c r="F26" i="13"/>
  <c r="F22" i="13"/>
  <c r="G7" i="13"/>
  <c r="F25" i="13"/>
  <c r="F28" i="13"/>
  <c r="F24" i="13"/>
  <c r="F102" i="13" l="1"/>
  <c r="F276" i="13" l="1"/>
  <c r="F62" i="13" l="1"/>
  <c r="F60" i="13"/>
  <c r="F61" i="13"/>
  <c r="F58" i="13"/>
  <c r="F59" i="13"/>
  <c r="F56" i="13"/>
  <c r="F57" i="13"/>
  <c r="F54" i="13"/>
  <c r="F55" i="13"/>
  <c r="F52" i="13"/>
  <c r="F53" i="13"/>
  <c r="F50" i="13"/>
  <c r="F51" i="13"/>
  <c r="F48" i="13"/>
  <c r="F49" i="13"/>
  <c r="F46" i="13"/>
  <c r="F47" i="13"/>
  <c r="F44" i="13"/>
  <c r="F45" i="13"/>
  <c r="F42" i="13"/>
  <c r="F43" i="13"/>
  <c r="F40" i="13"/>
  <c r="F41" i="13"/>
  <c r="AL50" i="12" l="1"/>
  <c r="AL49" i="12"/>
  <c r="AL48" i="12"/>
  <c r="AL47" i="12"/>
  <c r="AL46" i="12"/>
  <c r="AL44" i="12"/>
  <c r="AJ54" i="12"/>
  <c r="AJ53" i="12"/>
  <c r="AJ52" i="12"/>
  <c r="AJ51" i="12"/>
  <c r="AJ50" i="12"/>
  <c r="AJ49" i="12"/>
  <c r="AJ48" i="12"/>
  <c r="AJ47" i="12"/>
  <c r="AJ46" i="12"/>
  <c r="AJ45" i="12"/>
  <c r="AF54" i="12"/>
  <c r="AF53" i="12"/>
  <c r="AF52" i="12"/>
  <c r="AF51" i="12"/>
  <c r="AF48" i="12"/>
  <c r="AF47" i="12"/>
  <c r="AF46" i="12"/>
  <c r="AF45" i="12"/>
  <c r="AF44" i="12"/>
  <c r="AD53" i="12"/>
  <c r="AD52" i="12"/>
  <c r="AD50" i="12"/>
  <c r="AD49" i="12"/>
  <c r="AD48" i="12"/>
  <c r="AD47" i="12"/>
  <c r="AD44" i="12"/>
  <c r="AB54" i="12"/>
  <c r="AB49" i="12"/>
  <c r="Z50" i="12"/>
  <c r="Z49" i="12"/>
  <c r="Z48" i="12"/>
  <c r="Z47" i="12"/>
  <c r="Z46" i="12"/>
  <c r="X53" i="12"/>
  <c r="X50" i="12"/>
  <c r="X49" i="12"/>
  <c r="X48" i="12"/>
  <c r="X47" i="12"/>
  <c r="X45" i="12"/>
  <c r="V54" i="12"/>
  <c r="V53" i="12"/>
  <c r="V52" i="12"/>
  <c r="V51" i="12"/>
  <c r="V50" i="12"/>
  <c r="V49" i="12"/>
  <c r="V48" i="12"/>
  <c r="V47" i="12"/>
  <c r="T49" i="12"/>
  <c r="T48" i="12"/>
  <c r="T46" i="12"/>
  <c r="R54" i="12"/>
  <c r="R53" i="12"/>
  <c r="R52" i="12"/>
  <c r="R51" i="12"/>
  <c r="R50" i="12"/>
  <c r="R49" i="12"/>
  <c r="R48" i="12"/>
  <c r="R47" i="12"/>
  <c r="R46" i="12"/>
  <c r="R44" i="12"/>
  <c r="P52" i="12"/>
  <c r="P50" i="12"/>
  <c r="P47" i="12"/>
  <c r="N54" i="12"/>
  <c r="N53" i="12"/>
  <c r="N52" i="12"/>
  <c r="N51" i="12"/>
  <c r="N50" i="12"/>
  <c r="N49" i="12"/>
  <c r="N48" i="12"/>
  <c r="N47" i="12"/>
  <c r="N46" i="12"/>
  <c r="N44" i="12"/>
  <c r="L50" i="12"/>
  <c r="L49" i="12"/>
  <c r="L47" i="12"/>
  <c r="J54" i="12"/>
  <c r="J53" i="12"/>
  <c r="J52" i="12"/>
  <c r="J51" i="12"/>
  <c r="J50" i="12"/>
  <c r="J49" i="12"/>
  <c r="J48" i="12"/>
  <c r="J47" i="12"/>
  <c r="J46" i="12"/>
  <c r="J44" i="12"/>
  <c r="H54" i="12"/>
  <c r="H53" i="12"/>
  <c r="H52" i="12"/>
  <c r="H51" i="12"/>
  <c r="H50" i="12"/>
  <c r="H49" i="12"/>
  <c r="H48" i="12"/>
  <c r="H47" i="12"/>
  <c r="H46" i="12"/>
  <c r="H44" i="12"/>
  <c r="F52" i="12"/>
  <c r="F51" i="12"/>
  <c r="F50" i="12"/>
  <c r="F49" i="12"/>
  <c r="F48" i="12"/>
  <c r="F47" i="12"/>
  <c r="D54" i="12"/>
  <c r="D53" i="12"/>
  <c r="D52" i="12"/>
  <c r="D51" i="12"/>
  <c r="D50" i="12"/>
  <c r="D49" i="12"/>
  <c r="D48" i="12"/>
  <c r="D47" i="12"/>
  <c r="D46" i="12"/>
  <c r="D44" i="12"/>
  <c r="G300" i="13" l="1"/>
  <c r="G309" i="13"/>
  <c r="G293" i="13"/>
  <c r="G303" i="13"/>
  <c r="G310" i="13"/>
  <c r="G296" i="13"/>
  <c r="G297" i="13"/>
  <c r="G305" i="13"/>
  <c r="G312" i="13"/>
  <c r="G287" i="13"/>
  <c r="G299" i="13"/>
  <c r="G304" i="13"/>
  <c r="G314" i="13"/>
  <c r="F314" i="13"/>
  <c r="F315" i="13"/>
  <c r="F311" i="13"/>
  <c r="F312" i="13"/>
  <c r="F313" i="13"/>
  <c r="F308" i="13"/>
  <c r="F309" i="13"/>
  <c r="F310" i="13"/>
  <c r="F305" i="13"/>
  <c r="F306" i="13"/>
  <c r="F307" i="13"/>
  <c r="F304" i="13"/>
  <c r="F302" i="13"/>
  <c r="F303" i="13"/>
  <c r="F300" i="13"/>
  <c r="F301" i="13"/>
  <c r="F299" i="13"/>
  <c r="F297" i="13"/>
  <c r="F298" i="13"/>
  <c r="F295" i="13"/>
  <c r="F296" i="13"/>
  <c r="F293" i="13"/>
  <c r="F294" i="13"/>
  <c r="F292" i="13"/>
  <c r="F290" i="13"/>
  <c r="F291" i="13"/>
  <c r="F287" i="13"/>
  <c r="F288" i="13"/>
  <c r="F289" i="13"/>
  <c r="F286" i="13"/>
  <c r="F153" i="13"/>
  <c r="F154" i="13"/>
  <c r="F152" i="13"/>
  <c r="F149" i="13"/>
  <c r="F150" i="13"/>
  <c r="F151" i="13"/>
  <c r="F147" i="13"/>
  <c r="F148" i="13"/>
  <c r="F145" i="13"/>
  <c r="F146" i="13"/>
  <c r="F144" i="13"/>
  <c r="F143" i="13"/>
  <c r="F141" i="13"/>
  <c r="F142" i="13"/>
  <c r="F139" i="13"/>
  <c r="F140" i="13"/>
  <c r="F137" i="13"/>
  <c r="F138" i="13"/>
  <c r="F135" i="13"/>
  <c r="F136" i="13"/>
  <c r="F133" i="13"/>
  <c r="F134" i="13"/>
  <c r="F132" i="13"/>
  <c r="F130" i="13"/>
  <c r="F131" i="13"/>
  <c r="F128" i="13"/>
  <c r="F129" i="13"/>
  <c r="F126" i="13"/>
  <c r="F127" i="13"/>
  <c r="F124" i="13"/>
  <c r="F125" i="13"/>
  <c r="F122" i="13"/>
  <c r="F123" i="13"/>
  <c r="F121" i="13"/>
  <c r="F120" i="13"/>
  <c r="F119" i="13"/>
  <c r="F117" i="13"/>
  <c r="F118" i="13"/>
  <c r="F115" i="13"/>
  <c r="F116" i="13"/>
  <c r="F113" i="13"/>
  <c r="F110" i="13"/>
  <c r="F111" i="13"/>
  <c r="F112" i="13"/>
  <c r="F107" i="13"/>
  <c r="F108" i="13"/>
  <c r="F109" i="13"/>
  <c r="F105" i="13"/>
  <c r="F106" i="13"/>
  <c r="F103" i="13"/>
  <c r="F104" i="13"/>
  <c r="F100" i="13"/>
  <c r="F101" i="13"/>
  <c r="F98" i="13"/>
  <c r="F99" i="13"/>
  <c r="F97" i="13"/>
  <c r="F94" i="13"/>
  <c r="F95" i="13"/>
  <c r="F93" i="13"/>
  <c r="F91" i="13"/>
  <c r="F92" i="13"/>
  <c r="F90" i="13"/>
  <c r="F85" i="13"/>
  <c r="F86" i="13"/>
  <c r="F87" i="13"/>
  <c r="F88" i="13"/>
  <c r="F89" i="13"/>
  <c r="F82" i="13"/>
  <c r="F83" i="13"/>
  <c r="F84" i="13"/>
  <c r="F79" i="13"/>
  <c r="F80" i="13"/>
  <c r="F81" i="13"/>
  <c r="F76" i="13"/>
  <c r="F77" i="13"/>
  <c r="F78" i="13"/>
  <c r="F73" i="13"/>
  <c r="F74" i="13"/>
  <c r="F75" i="13"/>
  <c r="F70" i="13"/>
  <c r="F71" i="13"/>
  <c r="F72" i="13"/>
  <c r="F67" i="13"/>
  <c r="F68" i="13"/>
  <c r="F69" i="13"/>
  <c r="F65" i="13"/>
  <c r="F66" i="13"/>
  <c r="F64" i="13"/>
  <c r="G64" i="13" l="1"/>
  <c r="F96" i="13"/>
  <c r="G65" i="13"/>
  <c r="G88" i="13"/>
  <c r="G95" i="13"/>
  <c r="G97" i="13"/>
  <c r="G107" i="13"/>
  <c r="G115" i="13"/>
  <c r="G118" i="13"/>
  <c r="G125" i="13"/>
  <c r="G129" i="13"/>
  <c r="G135" i="13"/>
  <c r="G137" i="13"/>
  <c r="G147" i="13"/>
  <c r="G286" i="13"/>
  <c r="F114" i="13"/>
  <c r="G76" i="13"/>
  <c r="G87" i="13"/>
  <c r="G94" i="13"/>
  <c r="G100" i="13"/>
  <c r="G111" i="13"/>
  <c r="G114" i="13"/>
  <c r="G119" i="13"/>
  <c r="G124" i="13"/>
  <c r="G128" i="13"/>
  <c r="G134" i="13"/>
  <c r="G142" i="13"/>
  <c r="G149" i="13"/>
  <c r="G67" i="13"/>
  <c r="G83" i="13"/>
  <c r="G91" i="13"/>
  <c r="G96" i="13"/>
  <c r="G102" i="13"/>
  <c r="G113" i="13"/>
  <c r="G117" i="13"/>
  <c r="G120" i="13"/>
  <c r="G127" i="13"/>
  <c r="G131" i="13"/>
  <c r="G133" i="13"/>
  <c r="G143" i="13"/>
  <c r="G148" i="13"/>
  <c r="G66" i="13"/>
  <c r="G86" i="13"/>
  <c r="G93" i="13"/>
  <c r="G98" i="13"/>
  <c r="G101" i="13"/>
  <c r="G112" i="13"/>
  <c r="G116" i="13"/>
  <c r="G123" i="13"/>
  <c r="G130" i="13"/>
  <c r="G132" i="13"/>
  <c r="G136" i="13"/>
  <c r="G144" i="13"/>
  <c r="T54" i="12"/>
  <c r="F54" i="12"/>
  <c r="AL54" i="12"/>
  <c r="AH54" i="12"/>
  <c r="AL45" i="12"/>
  <c r="T45" i="12"/>
  <c r="Z45" i="12"/>
  <c r="V45" i="12"/>
  <c r="F45" i="12"/>
  <c r="P45" i="12"/>
  <c r="AD45" i="12"/>
  <c r="AB45" i="12"/>
  <c r="AH45" i="12"/>
  <c r="L45" i="12"/>
  <c r="L54" i="12"/>
  <c r="Z54" i="12"/>
  <c r="X54" i="12"/>
  <c r="AD54" i="12"/>
  <c r="P54" i="12"/>
  <c r="Y24" i="12" l="1"/>
  <c r="U24" i="12"/>
  <c r="X24" i="12"/>
  <c r="T24" i="12"/>
  <c r="W24" i="12"/>
  <c r="V24" i="12"/>
  <c r="Z6" i="12"/>
  <c r="Y6" i="12"/>
  <c r="AB6" i="12"/>
  <c r="X6" i="12"/>
  <c r="AA6" i="12"/>
  <c r="W6" i="12"/>
  <c r="W33" i="12"/>
  <c r="AB15" i="12"/>
  <c r="X15" i="12"/>
  <c r="V33" i="12"/>
  <c r="AA15" i="12"/>
  <c r="W15" i="12"/>
  <c r="Y33" i="12"/>
  <c r="U33" i="12"/>
  <c r="Z15" i="12"/>
  <c r="X33" i="12"/>
  <c r="T33" i="12"/>
  <c r="Y15" i="12"/>
  <c r="R15" i="12"/>
  <c r="G15" i="12"/>
  <c r="C15" i="12"/>
  <c r="F15" i="12"/>
  <c r="I15" i="12"/>
  <c r="E15" i="12"/>
  <c r="T15" i="12"/>
  <c r="H15" i="12"/>
  <c r="D15" i="12"/>
  <c r="D56" i="12"/>
  <c r="D45" i="12"/>
  <c r="P33" i="12"/>
  <c r="L33" i="12"/>
  <c r="H33" i="12"/>
  <c r="D33" i="12"/>
  <c r="O33" i="12"/>
  <c r="G33" i="12"/>
  <c r="C33" i="12"/>
  <c r="N33" i="12"/>
  <c r="F33" i="12"/>
  <c r="Q33" i="12"/>
  <c r="M33" i="12"/>
  <c r="E33" i="12"/>
  <c r="R56" i="12"/>
  <c r="R45" i="12"/>
  <c r="AN56" i="12"/>
  <c r="AN45" i="12"/>
  <c r="N56" i="12"/>
  <c r="N45" i="12"/>
  <c r="K15" i="12"/>
  <c r="J15" i="12"/>
  <c r="L15" i="12"/>
  <c r="I6" i="12"/>
  <c r="E6" i="12"/>
  <c r="H6" i="12"/>
  <c r="D6" i="12"/>
  <c r="T6" i="12"/>
  <c r="G6" i="12"/>
  <c r="C6" i="12"/>
  <c r="R6" i="12"/>
  <c r="F6" i="12"/>
  <c r="H56" i="12"/>
  <c r="H45" i="12"/>
  <c r="N24" i="12"/>
  <c r="F24" i="12"/>
  <c r="Q24" i="12"/>
  <c r="M24" i="12"/>
  <c r="E24" i="12"/>
  <c r="P24" i="12"/>
  <c r="L24" i="12"/>
  <c r="H24" i="12"/>
  <c r="D24" i="12"/>
  <c r="O24" i="12"/>
  <c r="G24" i="12"/>
  <c r="C24" i="12"/>
  <c r="L6" i="12"/>
  <c r="K6" i="12"/>
  <c r="J6" i="12"/>
  <c r="J56" i="12"/>
  <c r="J45" i="12"/>
  <c r="F257" i="13"/>
  <c r="F253" i="13"/>
  <c r="F254" i="13"/>
  <c r="F255" i="13"/>
  <c r="F256" i="13"/>
  <c r="F252" i="13"/>
  <c r="F251" i="13"/>
  <c r="F249" i="13"/>
  <c r="F250" i="13"/>
  <c r="F246" i="13"/>
  <c r="F247" i="13"/>
  <c r="F248" i="13"/>
  <c r="F245" i="13"/>
  <c r="F244" i="13"/>
  <c r="F243" i="13"/>
  <c r="F242" i="13"/>
  <c r="F241" i="13"/>
  <c r="F238" i="13"/>
  <c r="F239" i="13"/>
  <c r="F240" i="13"/>
  <c r="F237" i="13"/>
  <c r="F236" i="13"/>
  <c r="F234" i="13"/>
  <c r="F235" i="13"/>
  <c r="F233" i="13"/>
  <c r="F230" i="13"/>
  <c r="F231" i="13"/>
  <c r="F232" i="13"/>
  <c r="F229" i="13"/>
  <c r="F227" i="13"/>
  <c r="F228" i="13"/>
  <c r="F226" i="13"/>
  <c r="F284" i="13"/>
  <c r="S6" i="12" l="1"/>
  <c r="S15" i="12"/>
  <c r="G280" i="13"/>
  <c r="G272" i="13"/>
  <c r="G277" i="13"/>
  <c r="F282" i="13"/>
  <c r="G267" i="13"/>
  <c r="G276" i="13"/>
  <c r="G268" i="13"/>
  <c r="G273" i="13"/>
  <c r="G279" i="13"/>
  <c r="G284" i="13"/>
  <c r="G226" i="13"/>
  <c r="G227" i="13"/>
  <c r="G239" i="13"/>
  <c r="G247" i="13"/>
  <c r="G252" i="13"/>
  <c r="G228" i="13"/>
  <c r="G241" i="13"/>
  <c r="G249" i="13"/>
  <c r="G254" i="13"/>
  <c r="F275" i="13"/>
  <c r="G260" i="13"/>
  <c r="G235" i="13"/>
  <c r="G244" i="13"/>
  <c r="G251" i="13"/>
  <c r="G255" i="13"/>
  <c r="G270" i="13"/>
  <c r="G275" i="13"/>
  <c r="G281" i="13"/>
  <c r="G271" i="13"/>
  <c r="G283" i="13"/>
  <c r="G237" i="13"/>
  <c r="G245" i="13"/>
  <c r="G250" i="13"/>
  <c r="X52" i="12"/>
  <c r="T52" i="12"/>
  <c r="L52" i="12"/>
  <c r="AH52" i="12"/>
  <c r="AL52" i="12"/>
  <c r="AB52" i="12"/>
  <c r="Z52" i="12"/>
  <c r="F281" i="13"/>
  <c r="F283" i="13"/>
  <c r="F278" i="13"/>
  <c r="F279" i="13"/>
  <c r="F280" i="13"/>
  <c r="F277" i="13"/>
  <c r="F272" i="13"/>
  <c r="F273" i="13"/>
  <c r="F274" i="13"/>
  <c r="F269" i="13"/>
  <c r="F270" i="13"/>
  <c r="F271" i="13"/>
  <c r="F266" i="13"/>
  <c r="F267" i="13"/>
  <c r="F268" i="13"/>
  <c r="F265" i="13"/>
  <c r="F262" i="13"/>
  <c r="F263" i="13"/>
  <c r="F264" i="13"/>
  <c r="F260" i="13"/>
  <c r="F261" i="13"/>
  <c r="F259" i="13"/>
  <c r="G5" i="13"/>
  <c r="F5" i="13"/>
  <c r="F8" i="13"/>
  <c r="F7" i="13"/>
  <c r="F214" i="13"/>
  <c r="F206" i="13"/>
  <c r="F207" i="13"/>
  <c r="F205" i="13"/>
  <c r="F200" i="13"/>
  <c r="F199" i="13"/>
  <c r="F196" i="13"/>
  <c r="F197" i="13"/>
  <c r="F195" i="13"/>
  <c r="W31" i="12" l="1"/>
  <c r="AB13" i="12"/>
  <c r="V31" i="12"/>
  <c r="AA13" i="12"/>
  <c r="W13" i="12"/>
  <c r="Y31" i="12"/>
  <c r="U31" i="12"/>
  <c r="X31" i="12"/>
  <c r="T31" i="12"/>
  <c r="Z13" i="12"/>
  <c r="Y13" i="12"/>
  <c r="X13" i="12"/>
  <c r="G13" i="12"/>
  <c r="C13" i="12"/>
  <c r="T13" i="12"/>
  <c r="F13" i="12"/>
  <c r="R13" i="12"/>
  <c r="I13" i="12"/>
  <c r="E13" i="12"/>
  <c r="H13" i="12"/>
  <c r="D13" i="12"/>
  <c r="L16" i="12"/>
  <c r="K16" i="12"/>
  <c r="J16" i="12"/>
  <c r="P31" i="12"/>
  <c r="L31" i="12"/>
  <c r="H31" i="12"/>
  <c r="D31" i="12"/>
  <c r="O31" i="12"/>
  <c r="G31" i="12"/>
  <c r="C31" i="12"/>
  <c r="N31" i="12"/>
  <c r="F31" i="12"/>
  <c r="Q31" i="12"/>
  <c r="M31" i="12"/>
  <c r="E31" i="12"/>
  <c r="K13" i="12"/>
  <c r="J13" i="12"/>
  <c r="L13" i="12"/>
  <c r="F208" i="13"/>
  <c r="F210" i="13"/>
  <c r="F216" i="13"/>
  <c r="G210" i="13"/>
  <c r="F204" i="13"/>
  <c r="F223" i="13"/>
  <c r="F201" i="13"/>
  <c r="F203" i="13"/>
  <c r="F211" i="13"/>
  <c r="F212" i="13"/>
  <c r="F219" i="13"/>
  <c r="F221" i="13"/>
  <c r="G196" i="13"/>
  <c r="G208" i="13"/>
  <c r="G215" i="13"/>
  <c r="G220" i="13"/>
  <c r="F9" i="13"/>
  <c r="F218" i="13"/>
  <c r="G223" i="13"/>
  <c r="F198" i="13"/>
  <c r="F220" i="13"/>
  <c r="G214" i="13"/>
  <c r="G195" i="13"/>
  <c r="F209" i="13"/>
  <c r="F215" i="13"/>
  <c r="F217" i="13"/>
  <c r="F224" i="13"/>
  <c r="G207" i="13"/>
  <c r="G213" i="13"/>
  <c r="G219" i="13"/>
  <c r="F202" i="13"/>
  <c r="G203" i="13"/>
  <c r="F213" i="13"/>
  <c r="F222" i="13"/>
  <c r="G209" i="13"/>
  <c r="G216" i="13"/>
  <c r="G221" i="13"/>
  <c r="F10" i="13"/>
  <c r="G259" i="13"/>
  <c r="Z55" i="12"/>
  <c r="T55" i="12"/>
  <c r="L51" i="12"/>
  <c r="P51" i="12"/>
  <c r="AH51" i="12"/>
  <c r="AB53" i="12"/>
  <c r="F53" i="12"/>
  <c r="AL51" i="12"/>
  <c r="AH53" i="12"/>
  <c r="X51" i="12"/>
  <c r="Z51" i="12"/>
  <c r="AL53" i="12"/>
  <c r="L53" i="12"/>
  <c r="Z53" i="12"/>
  <c r="T51" i="12"/>
  <c r="AB51" i="12"/>
  <c r="AD51" i="12"/>
  <c r="T53" i="12"/>
  <c r="P53" i="12"/>
  <c r="F168" i="13"/>
  <c r="F169" i="13"/>
  <c r="F165" i="13"/>
  <c r="F159" i="13"/>
  <c r="F160" i="13"/>
  <c r="F157" i="13"/>
  <c r="F158" i="13"/>
  <c r="F156" i="13"/>
  <c r="F191" i="13"/>
  <c r="F192" i="13"/>
  <c r="F193" i="13"/>
  <c r="F190" i="13"/>
  <c r="S13" i="12" l="1"/>
  <c r="Y34" i="12"/>
  <c r="U34" i="12"/>
  <c r="Z16" i="12"/>
  <c r="X34" i="12"/>
  <c r="T34" i="12"/>
  <c r="Y16" i="12"/>
  <c r="W34" i="12"/>
  <c r="AB16" i="12"/>
  <c r="X16" i="12"/>
  <c r="V34" i="12"/>
  <c r="AA16" i="12"/>
  <c r="W16" i="12"/>
  <c r="N32" i="12"/>
  <c r="F32" i="12"/>
  <c r="Q32" i="12"/>
  <c r="M32" i="12"/>
  <c r="E32" i="12"/>
  <c r="P32" i="12"/>
  <c r="L32" i="12"/>
  <c r="H32" i="12"/>
  <c r="D32" i="12"/>
  <c r="O32" i="12"/>
  <c r="G32" i="12"/>
  <c r="C32" i="12"/>
  <c r="T12" i="12"/>
  <c r="I12" i="12"/>
  <c r="E12" i="12"/>
  <c r="R12" i="12"/>
  <c r="H12" i="12"/>
  <c r="D12" i="12"/>
  <c r="G12" i="12"/>
  <c r="C12" i="12"/>
  <c r="F12" i="12"/>
  <c r="N34" i="12"/>
  <c r="F34" i="12"/>
  <c r="M34" i="12"/>
  <c r="E34" i="12"/>
  <c r="P34" i="12"/>
  <c r="L34" i="12"/>
  <c r="H34" i="12"/>
  <c r="D34" i="12"/>
  <c r="O34" i="12"/>
  <c r="G34" i="12"/>
  <c r="C34" i="12"/>
  <c r="Q34" i="12"/>
  <c r="N30" i="12"/>
  <c r="F30" i="12"/>
  <c r="Q30" i="12"/>
  <c r="M30" i="12"/>
  <c r="E30" i="12"/>
  <c r="P30" i="12"/>
  <c r="L30" i="12"/>
  <c r="H30" i="12"/>
  <c r="D30" i="12"/>
  <c r="O30" i="12"/>
  <c r="G30" i="12"/>
  <c r="C30" i="12"/>
  <c r="L14" i="12"/>
  <c r="K14" i="12"/>
  <c r="J14" i="12"/>
  <c r="L12" i="12"/>
  <c r="K12" i="12"/>
  <c r="J12" i="12"/>
  <c r="Y30" i="12"/>
  <c r="U30" i="12"/>
  <c r="X30" i="12"/>
  <c r="T30" i="12"/>
  <c r="Y12" i="12"/>
  <c r="W30" i="12"/>
  <c r="V30" i="12"/>
  <c r="AA12" i="12"/>
  <c r="Z12" i="12"/>
  <c r="X12" i="12"/>
  <c r="AB12" i="12"/>
  <c r="W12" i="12"/>
  <c r="T16" i="12"/>
  <c r="I16" i="12"/>
  <c r="E16" i="12"/>
  <c r="R16" i="12"/>
  <c r="H16" i="12"/>
  <c r="D16" i="12"/>
  <c r="G16" i="12"/>
  <c r="C16" i="12"/>
  <c r="F16" i="12"/>
  <c r="Y32" i="12"/>
  <c r="U32" i="12"/>
  <c r="Z14" i="12"/>
  <c r="X32" i="12"/>
  <c r="T32" i="12"/>
  <c r="Y14" i="12"/>
  <c r="W32" i="12"/>
  <c r="V32" i="12"/>
  <c r="AA14" i="12"/>
  <c r="AB14" i="12"/>
  <c r="X14" i="12"/>
  <c r="W14" i="12"/>
  <c r="I14" i="12"/>
  <c r="H14" i="12"/>
  <c r="D14" i="12"/>
  <c r="T14" i="12"/>
  <c r="G14" i="12"/>
  <c r="C14" i="12"/>
  <c r="R14" i="12"/>
  <c r="F14" i="12"/>
  <c r="E14" i="12"/>
  <c r="F161" i="13"/>
  <c r="G167" i="13"/>
  <c r="G166" i="13"/>
  <c r="G156" i="13"/>
  <c r="F162" i="13"/>
  <c r="F167" i="13"/>
  <c r="G168" i="13"/>
  <c r="G190" i="13"/>
  <c r="F164" i="13"/>
  <c r="F166" i="13"/>
  <c r="G165" i="13"/>
  <c r="F163" i="13"/>
  <c r="AS55" i="12"/>
  <c r="S55" i="12"/>
  <c r="AL56" i="12"/>
  <c r="Y55" i="12"/>
  <c r="T50" i="12"/>
  <c r="AF50" i="12"/>
  <c r="V46" i="12"/>
  <c r="L46" i="12"/>
  <c r="AH50" i="12"/>
  <c r="AB50" i="12"/>
  <c r="AB46" i="12"/>
  <c r="X46" i="12"/>
  <c r="P46" i="12"/>
  <c r="AH46" i="12"/>
  <c r="F187" i="13"/>
  <c r="F188" i="13"/>
  <c r="F186" i="13"/>
  <c r="F182" i="13"/>
  <c r="F183" i="13"/>
  <c r="F184" i="13"/>
  <c r="AD56" i="12" l="1"/>
  <c r="AD46" i="12"/>
  <c r="S16" i="12"/>
  <c r="J11" i="12"/>
  <c r="L11" i="12"/>
  <c r="P29" i="12"/>
  <c r="L29" i="12"/>
  <c r="H29" i="12"/>
  <c r="D29" i="12"/>
  <c r="O29" i="12"/>
  <c r="G29" i="12"/>
  <c r="C29" i="12"/>
  <c r="N29" i="12"/>
  <c r="F29" i="12"/>
  <c r="Q29" i="12"/>
  <c r="M29" i="12"/>
  <c r="E29" i="12"/>
  <c r="W29" i="12"/>
  <c r="V29" i="12"/>
  <c r="Y29" i="12"/>
  <c r="U29" i="12"/>
  <c r="X29" i="12"/>
  <c r="T29" i="12"/>
  <c r="AB11" i="12"/>
  <c r="X11" i="12"/>
  <c r="AA11" i="12"/>
  <c r="W11" i="12"/>
  <c r="Z11" i="12"/>
  <c r="Y11" i="12"/>
  <c r="K7" i="12"/>
  <c r="J7" i="12"/>
  <c r="L7" i="12"/>
  <c r="R7" i="12"/>
  <c r="G7" i="12"/>
  <c r="C7" i="12"/>
  <c r="F7" i="12"/>
  <c r="I7" i="12"/>
  <c r="E7" i="12"/>
  <c r="T7" i="12"/>
  <c r="H7" i="12"/>
  <c r="D7" i="12"/>
  <c r="R11" i="12"/>
  <c r="G11" i="12"/>
  <c r="C11" i="12"/>
  <c r="F11" i="12"/>
  <c r="I11" i="12"/>
  <c r="E11" i="12"/>
  <c r="T11" i="12"/>
  <c r="H11" i="12"/>
  <c r="D11" i="12"/>
  <c r="W25" i="12"/>
  <c r="V25" i="12"/>
  <c r="Y25" i="12"/>
  <c r="U25" i="12"/>
  <c r="X25" i="12"/>
  <c r="T25" i="12"/>
  <c r="AB7" i="12"/>
  <c r="X7" i="12"/>
  <c r="AA7" i="12"/>
  <c r="W7" i="12"/>
  <c r="Z7" i="12"/>
  <c r="Y7" i="12"/>
  <c r="P25" i="12"/>
  <c r="L25" i="12"/>
  <c r="H25" i="12"/>
  <c r="D25" i="12"/>
  <c r="O25" i="12"/>
  <c r="G25" i="12"/>
  <c r="C25" i="12"/>
  <c r="N25" i="12"/>
  <c r="F25" i="12"/>
  <c r="Q25" i="12"/>
  <c r="M25" i="12"/>
  <c r="E25" i="12"/>
  <c r="S14" i="12"/>
  <c r="S12" i="12"/>
  <c r="G186" i="13"/>
  <c r="AP55" i="12"/>
  <c r="AR55" i="12"/>
  <c r="F46" i="12"/>
  <c r="AH49" i="12"/>
  <c r="L48" i="12"/>
  <c r="P48" i="12"/>
  <c r="P49" i="12"/>
  <c r="AB48" i="12"/>
  <c r="F181" i="13"/>
  <c r="F176" i="13"/>
  <c r="F177" i="13"/>
  <c r="F174" i="13"/>
  <c r="F172" i="13"/>
  <c r="F171" i="13"/>
  <c r="S11" i="12" l="1"/>
  <c r="I10" i="12"/>
  <c r="E10" i="12"/>
  <c r="H10" i="12"/>
  <c r="D10" i="12"/>
  <c r="T10" i="12"/>
  <c r="G10" i="12"/>
  <c r="C10" i="12"/>
  <c r="R10" i="12"/>
  <c r="F10" i="12"/>
  <c r="N28" i="12"/>
  <c r="F28" i="12"/>
  <c r="Q28" i="12"/>
  <c r="M28" i="12"/>
  <c r="E28" i="12"/>
  <c r="P28" i="12"/>
  <c r="L28" i="12"/>
  <c r="H28" i="12"/>
  <c r="D28" i="12"/>
  <c r="O28" i="12"/>
  <c r="G28" i="12"/>
  <c r="C28" i="12"/>
  <c r="Y28" i="12"/>
  <c r="U28" i="12"/>
  <c r="X28" i="12"/>
  <c r="T28" i="12"/>
  <c r="W28" i="12"/>
  <c r="V28" i="12"/>
  <c r="Z10" i="12"/>
  <c r="Y10" i="12"/>
  <c r="AB10" i="12"/>
  <c r="X10" i="12"/>
  <c r="AA10" i="12"/>
  <c r="W10" i="12"/>
  <c r="AF56" i="12"/>
  <c r="AF49" i="12"/>
  <c r="S7" i="12"/>
  <c r="L10" i="12"/>
  <c r="K10" i="12"/>
  <c r="J10" i="12"/>
  <c r="F175" i="13"/>
  <c r="G171" i="13"/>
  <c r="F178" i="13"/>
  <c r="F179" i="13"/>
  <c r="F173" i="13"/>
  <c r="G17" i="13"/>
  <c r="G181" i="13"/>
  <c r="AT55" i="12"/>
  <c r="AH47" i="12"/>
  <c r="AB47" i="12"/>
  <c r="T47" i="12"/>
  <c r="AH48" i="12"/>
  <c r="K11" i="12"/>
  <c r="S10" i="12" l="1"/>
  <c r="K9" i="12"/>
  <c r="J9" i="12"/>
  <c r="L9" i="12"/>
  <c r="N26" i="12"/>
  <c r="F26" i="12"/>
  <c r="Q26" i="12"/>
  <c r="M26" i="12"/>
  <c r="E26" i="12"/>
  <c r="P26" i="12"/>
  <c r="L26" i="12"/>
  <c r="H26" i="12"/>
  <c r="D26" i="12"/>
  <c r="O26" i="12"/>
  <c r="G26" i="12"/>
  <c r="C26" i="12"/>
  <c r="AQ55" i="12"/>
  <c r="AO55" i="12"/>
  <c r="T8" i="12"/>
  <c r="I8" i="12"/>
  <c r="E8" i="12"/>
  <c r="R8" i="12"/>
  <c r="H8" i="12"/>
  <c r="D8" i="12"/>
  <c r="G8" i="12"/>
  <c r="C8" i="12"/>
  <c r="F8" i="12"/>
  <c r="Y26" i="12"/>
  <c r="U26" i="12"/>
  <c r="X26" i="12"/>
  <c r="T26" i="12"/>
  <c r="W26" i="12"/>
  <c r="V26" i="12"/>
  <c r="Z8" i="12"/>
  <c r="Y8" i="12"/>
  <c r="AB8" i="12"/>
  <c r="X8" i="12"/>
  <c r="AA8" i="12"/>
  <c r="W8" i="12"/>
  <c r="G9" i="12"/>
  <c r="C9" i="12"/>
  <c r="T9" i="12"/>
  <c r="F9" i="12"/>
  <c r="R9" i="12"/>
  <c r="I9" i="12"/>
  <c r="E9" i="12"/>
  <c r="H9" i="12"/>
  <c r="D9" i="12"/>
  <c r="W27" i="12"/>
  <c r="V27" i="12"/>
  <c r="Y27" i="12"/>
  <c r="U27" i="12"/>
  <c r="X27" i="12"/>
  <c r="T27" i="12"/>
  <c r="AB9" i="12"/>
  <c r="X9" i="12"/>
  <c r="AA9" i="12"/>
  <c r="W9" i="12"/>
  <c r="Z9" i="12"/>
  <c r="Y9" i="12"/>
  <c r="L8" i="12"/>
  <c r="K8" i="12"/>
  <c r="J8" i="12"/>
  <c r="P27" i="12"/>
  <c r="L27" i="12"/>
  <c r="H27" i="12"/>
  <c r="D27" i="12"/>
  <c r="O27" i="12"/>
  <c r="G27" i="12"/>
  <c r="C27" i="12"/>
  <c r="N27" i="12"/>
  <c r="F27" i="12"/>
  <c r="Q27" i="12"/>
  <c r="M27" i="12"/>
  <c r="E27" i="12"/>
  <c r="F35" i="13"/>
  <c r="F37" i="13"/>
  <c r="F38" i="13"/>
  <c r="F39" i="13"/>
  <c r="F32" i="13"/>
  <c r="F33" i="13"/>
  <c r="F34" i="13"/>
  <c r="F30" i="13"/>
  <c r="F31" i="13"/>
  <c r="F29" i="13"/>
  <c r="F21" i="13"/>
  <c r="F20" i="13"/>
  <c r="F19" i="13"/>
  <c r="F18" i="13"/>
  <c r="F17" i="13"/>
  <c r="F16" i="13"/>
  <c r="F15" i="13"/>
  <c r="F14" i="13"/>
  <c r="F13" i="13"/>
  <c r="F12" i="13"/>
  <c r="S8" i="12" l="1"/>
  <c r="S9" i="12"/>
  <c r="G35" i="13"/>
  <c r="G37" i="13"/>
  <c r="G60" i="13"/>
  <c r="G55" i="13"/>
  <c r="F36" i="13"/>
  <c r="G29" i="13"/>
  <c r="G44" i="13"/>
  <c r="G18" i="13"/>
  <c r="G50" i="13"/>
  <c r="AH56" i="12" l="1"/>
  <c r="AH44" i="12"/>
  <c r="T56" i="12"/>
  <c r="T44" i="12"/>
  <c r="Z56" i="12"/>
  <c r="Z44" i="12"/>
  <c r="P56" i="12"/>
  <c r="P44" i="12"/>
  <c r="G5" i="12"/>
  <c r="G17" i="12" s="1"/>
  <c r="C5" i="12"/>
  <c r="C17" i="12" s="1"/>
  <c r="F5" i="12"/>
  <c r="F17" i="12" s="1"/>
  <c r="I5" i="12"/>
  <c r="I17" i="12" s="1"/>
  <c r="E5" i="12"/>
  <c r="E17" i="12" s="1"/>
  <c r="H5" i="12"/>
  <c r="H17" i="12" s="1"/>
  <c r="D5" i="12"/>
  <c r="D17" i="12" s="1"/>
  <c r="K5" i="12"/>
  <c r="K17" i="12" s="1"/>
  <c r="J5" i="12"/>
  <c r="J17" i="12" s="1"/>
  <c r="L5" i="12"/>
  <c r="L17" i="12" s="1"/>
  <c r="T5" i="12"/>
  <c r="T17" i="12" s="1"/>
  <c r="R5" i="12"/>
  <c r="V23" i="12"/>
  <c r="V35" i="12" s="1"/>
  <c r="U23" i="12"/>
  <c r="U35" i="12" s="1"/>
  <c r="T23" i="12"/>
  <c r="T35" i="12" s="1"/>
  <c r="X5" i="12"/>
  <c r="X17" i="12" s="1"/>
  <c r="W5" i="12"/>
  <c r="W17" i="12" s="1"/>
  <c r="Y5" i="12"/>
  <c r="Y17" i="12" s="1"/>
  <c r="H23" i="12"/>
  <c r="H35" i="12" s="1"/>
  <c r="D23" i="12"/>
  <c r="D35" i="12" s="1"/>
  <c r="G23" i="12"/>
  <c r="G35" i="12" s="1"/>
  <c r="C23" i="12"/>
  <c r="C35" i="12" s="1"/>
  <c r="F23" i="12"/>
  <c r="F35" i="12" s="1"/>
  <c r="E23" i="12"/>
  <c r="E35" i="12" s="1"/>
  <c r="P23" i="12"/>
  <c r="P35" i="12" s="1"/>
  <c r="L23" i="12"/>
  <c r="L35" i="12" s="1"/>
  <c r="O23" i="12"/>
  <c r="O35" i="12" s="1"/>
  <c r="N23" i="12"/>
  <c r="N35" i="12" s="1"/>
  <c r="Q23" i="12"/>
  <c r="Q35" i="12" s="1"/>
  <c r="M23" i="12"/>
  <c r="M35" i="12" s="1"/>
  <c r="F56" i="12"/>
  <c r="F44" i="12"/>
  <c r="AJ56" i="12"/>
  <c r="AJ44" i="12"/>
  <c r="V56" i="12"/>
  <c r="V44" i="12"/>
  <c r="L56" i="12"/>
  <c r="L44" i="12"/>
  <c r="X56" i="12"/>
  <c r="X44" i="12"/>
  <c r="W23" i="12"/>
  <c r="W35" i="12" s="1"/>
  <c r="Y23" i="12"/>
  <c r="Y35" i="12" s="1"/>
  <c r="X23" i="12"/>
  <c r="X35" i="12" s="1"/>
  <c r="AB5" i="12"/>
  <c r="AB17" i="12" s="1"/>
  <c r="AA5" i="12"/>
  <c r="AA17" i="12" s="1"/>
  <c r="Z5" i="12"/>
  <c r="Z17" i="12" s="1"/>
  <c r="AB56" i="12"/>
  <c r="AB44" i="12"/>
  <c r="R17" i="12" l="1"/>
  <c r="S5" i="12"/>
  <c r="S17" i="12" s="1"/>
  <c r="Z18" i="12"/>
  <c r="L36" i="12"/>
  <c r="C36" i="12"/>
  <c r="C18" i="12"/>
  <c r="W36" i="12"/>
  <c r="W18" i="12"/>
  <c r="T36" i="12"/>
  <c r="J18" i="12"/>
  <c r="R18" i="12" l="1"/>
  <c r="B82" i="16" l="1"/>
  <c r="C82" i="16"/>
  <c r="C19" i="5" l="1"/>
  <c r="C51" i="5"/>
  <c r="K51" i="5" l="1"/>
  <c r="K19" i="5"/>
  <c r="C4" i="5" l="1"/>
  <c r="C25" i="5"/>
  <c r="C10" i="5"/>
  <c r="C77" i="5"/>
  <c r="L19" i="5"/>
  <c r="K25" i="5"/>
  <c r="L25" i="5"/>
  <c r="K4" i="5"/>
  <c r="L77" i="5" l="1"/>
  <c r="L51" i="5"/>
  <c r="K77" i="5"/>
  <c r="C15" i="5"/>
  <c r="L4" i="5" l="1"/>
  <c r="K10" i="5"/>
  <c r="L15" i="5"/>
  <c r="K15" i="5" l="1"/>
  <c r="J40" i="1"/>
  <c r="O30" i="1"/>
  <c r="L16" i="5" l="1"/>
  <c r="O38" i="11" l="1"/>
  <c r="G58" i="11" l="1"/>
  <c r="S38" i="11"/>
  <c r="AK54" i="12" l="1"/>
  <c r="AI54" i="12"/>
  <c r="AG54" i="12"/>
  <c r="AE54" i="12"/>
  <c r="AC54" i="12"/>
  <c r="AA54" i="12"/>
  <c r="Y54" i="12"/>
  <c r="W54" i="12"/>
  <c r="U54" i="12"/>
  <c r="S54" i="12"/>
  <c r="Q54" i="12"/>
  <c r="O54" i="12"/>
  <c r="M54" i="12"/>
  <c r="K54" i="12"/>
  <c r="I54" i="12"/>
  <c r="G54" i="12"/>
  <c r="E54" i="12"/>
  <c r="AK53" i="12"/>
  <c r="AI53" i="12"/>
  <c r="AG53" i="12"/>
  <c r="AE53" i="12"/>
  <c r="AC53" i="12"/>
  <c r="AA53" i="12"/>
  <c r="Y53" i="12"/>
  <c r="W53" i="12"/>
  <c r="U53" i="12"/>
  <c r="S53" i="12"/>
  <c r="Q53" i="12"/>
  <c r="O53" i="12"/>
  <c r="M53" i="12"/>
  <c r="K53" i="12"/>
  <c r="I53" i="12"/>
  <c r="E53" i="12"/>
  <c r="AK52" i="12"/>
  <c r="AI52" i="12"/>
  <c r="AG52" i="12"/>
  <c r="AA52" i="12"/>
  <c r="Y52" i="12"/>
  <c r="S52" i="12"/>
  <c r="Q52" i="12"/>
  <c r="K52" i="12"/>
  <c r="I52" i="12"/>
  <c r="AK51" i="12"/>
  <c r="AI51" i="12"/>
  <c r="AG51" i="12"/>
  <c r="AE51" i="12"/>
  <c r="AC51" i="12"/>
  <c r="AA51" i="12"/>
  <c r="Y51" i="12"/>
  <c r="W51" i="12"/>
  <c r="U51" i="12"/>
  <c r="S51" i="12"/>
  <c r="Q51" i="12"/>
  <c r="O51" i="12"/>
  <c r="M51" i="12"/>
  <c r="K51" i="12"/>
  <c r="I51" i="12"/>
  <c r="E51" i="12"/>
  <c r="AK50" i="12"/>
  <c r="AI50" i="12"/>
  <c r="AG50" i="12"/>
  <c r="AE50" i="12"/>
  <c r="AC50" i="12"/>
  <c r="AA50" i="12"/>
  <c r="Y50" i="12"/>
  <c r="W50" i="12"/>
  <c r="U50" i="12"/>
  <c r="S50" i="12"/>
  <c r="Q50" i="12"/>
  <c r="O50" i="12"/>
  <c r="M50" i="12"/>
  <c r="K50" i="12"/>
  <c r="I50" i="12"/>
  <c r="E50" i="12"/>
  <c r="AK49" i="12"/>
  <c r="AI49" i="12"/>
  <c r="AG49" i="12"/>
  <c r="AE49" i="12"/>
  <c r="AC49" i="12"/>
  <c r="AA49" i="12"/>
  <c r="Y49" i="12"/>
  <c r="W49" i="12"/>
  <c r="U49" i="12"/>
  <c r="S49" i="12"/>
  <c r="Q49" i="12"/>
  <c r="O49" i="12"/>
  <c r="M49" i="12"/>
  <c r="K49" i="12"/>
  <c r="I49" i="12"/>
  <c r="E49" i="12"/>
  <c r="C49" i="12"/>
  <c r="AK48" i="12"/>
  <c r="AI48" i="12"/>
  <c r="AG48" i="12"/>
  <c r="AE48" i="12"/>
  <c r="AC48" i="12"/>
  <c r="AA48" i="12"/>
  <c r="Y48" i="12"/>
  <c r="W48" i="12"/>
  <c r="U48" i="12"/>
  <c r="S48" i="12"/>
  <c r="Q48" i="12"/>
  <c r="O48" i="12"/>
  <c r="M48" i="12"/>
  <c r="K48" i="12"/>
  <c r="I48" i="12"/>
  <c r="E48" i="12"/>
  <c r="AK47" i="12"/>
  <c r="AI47" i="12"/>
  <c r="AG47" i="12"/>
  <c r="AE47" i="12"/>
  <c r="AC47" i="12"/>
  <c r="AA47" i="12"/>
  <c r="Y47" i="12"/>
  <c r="W47" i="12"/>
  <c r="U47" i="12"/>
  <c r="S47" i="12"/>
  <c r="Q47" i="12"/>
  <c r="O47" i="12"/>
  <c r="M47" i="12"/>
  <c r="K47" i="12"/>
  <c r="I47" i="12"/>
  <c r="E47" i="12"/>
  <c r="AK46" i="12"/>
  <c r="AI46" i="12"/>
  <c r="AG46" i="12"/>
  <c r="AE46" i="12"/>
  <c r="AC46" i="12"/>
  <c r="AA46" i="12"/>
  <c r="Y46" i="12"/>
  <c r="W46" i="12"/>
  <c r="U46" i="12"/>
  <c r="S46" i="12"/>
  <c r="Q46" i="12"/>
  <c r="O46" i="12"/>
  <c r="M46" i="12"/>
  <c r="K46" i="12"/>
  <c r="I46" i="12"/>
  <c r="G46" i="12"/>
  <c r="E46" i="12"/>
  <c r="AC45" i="12"/>
  <c r="AK44" i="12"/>
  <c r="AI44" i="12"/>
  <c r="AG44" i="12"/>
  <c r="AE44" i="12"/>
  <c r="AC44" i="12"/>
  <c r="AA44" i="12"/>
  <c r="Y44" i="12"/>
  <c r="W44" i="12"/>
  <c r="U44" i="12"/>
  <c r="S44" i="12"/>
  <c r="Q44" i="12"/>
  <c r="O44" i="12"/>
  <c r="M44" i="12"/>
  <c r="K44" i="12"/>
  <c r="I44" i="12"/>
  <c r="E44" i="12"/>
  <c r="AV48" i="12" l="1"/>
  <c r="AS54" i="12"/>
  <c r="AU46" i="12"/>
  <c r="AS48" i="12"/>
  <c r="AV50" i="12"/>
  <c r="AV49" i="12"/>
  <c r="AS50" i="12"/>
  <c r="AS51" i="12"/>
  <c r="AU54" i="12"/>
  <c r="AV53" i="12"/>
  <c r="AR49" i="12"/>
  <c r="E45" i="12"/>
  <c r="M45" i="12"/>
  <c r="U45" i="12"/>
  <c r="AS49" i="12"/>
  <c r="AV54" i="12"/>
  <c r="AV45" i="12"/>
  <c r="O45" i="12"/>
  <c r="W45" i="12"/>
  <c r="AE45" i="12"/>
  <c r="AV51" i="12"/>
  <c r="AS53" i="12"/>
  <c r="AS46" i="12"/>
  <c r="AS52" i="12"/>
  <c r="AS47" i="12"/>
  <c r="AV46" i="12"/>
  <c r="AS45" i="12"/>
  <c r="AS44" i="12"/>
  <c r="AV44" i="12"/>
  <c r="AV47" i="12"/>
  <c r="C44" i="12"/>
  <c r="G44" i="12"/>
  <c r="G45" i="12"/>
  <c r="AM45" i="12"/>
  <c r="E52" i="12"/>
  <c r="M52" i="12"/>
  <c r="U52" i="12"/>
  <c r="C52" i="12"/>
  <c r="G52" i="12"/>
  <c r="O52" i="12"/>
  <c r="W52" i="12"/>
  <c r="AE52" i="12"/>
  <c r="AV52" i="12"/>
  <c r="AA56" i="12" l="1"/>
  <c r="AA45" i="12"/>
  <c r="AR47" i="12"/>
  <c r="C47" i="12"/>
  <c r="AU53" i="12"/>
  <c r="G53" i="12"/>
  <c r="AR51" i="12"/>
  <c r="C51" i="12"/>
  <c r="AU48" i="12"/>
  <c r="G48" i="12"/>
  <c r="Q56" i="12"/>
  <c r="Q45" i="12"/>
  <c r="AU50" i="12"/>
  <c r="G50" i="12"/>
  <c r="AK56" i="12"/>
  <c r="AK45" i="12"/>
  <c r="S56" i="12"/>
  <c r="S45" i="12"/>
  <c r="AR53" i="12"/>
  <c r="C53" i="12"/>
  <c r="AR48" i="12"/>
  <c r="C48" i="12"/>
  <c r="I56" i="12"/>
  <c r="I45" i="12"/>
  <c r="AR50" i="12"/>
  <c r="C50" i="12"/>
  <c r="AR54" i="12"/>
  <c r="C54" i="12"/>
  <c r="AC56" i="12"/>
  <c r="AC52" i="12"/>
  <c r="K56" i="12"/>
  <c r="K45" i="12"/>
  <c r="AG56" i="12"/>
  <c r="AG45" i="12"/>
  <c r="AI56" i="12"/>
  <c r="AI45" i="12"/>
  <c r="AU47" i="12"/>
  <c r="G47" i="12"/>
  <c r="AU51" i="12"/>
  <c r="G51" i="12"/>
  <c r="AR46" i="12"/>
  <c r="C46" i="12"/>
  <c r="AU49" i="12"/>
  <c r="G49" i="12"/>
  <c r="Y56" i="12"/>
  <c r="Y45" i="12"/>
  <c r="M56" i="12"/>
  <c r="E56" i="12"/>
  <c r="AE56" i="12"/>
  <c r="O56" i="12"/>
  <c r="U56" i="12"/>
  <c r="AP48" i="12"/>
  <c r="AU44" i="12"/>
  <c r="G56" i="12"/>
  <c r="AR44" i="12"/>
  <c r="AV56" i="12"/>
  <c r="AS56" i="12"/>
  <c r="AP54" i="12"/>
  <c r="AW46" i="12"/>
  <c r="AO46" i="12"/>
  <c r="AP49" i="12"/>
  <c r="U57" i="12"/>
  <c r="AW49" i="12"/>
  <c r="Q35" i="11"/>
  <c r="AW50" i="12"/>
  <c r="AP51" i="12"/>
  <c r="Q32" i="11"/>
  <c r="AW44" i="12"/>
  <c r="AW48" i="12"/>
  <c r="Q37" i="11"/>
  <c r="Q27" i="11"/>
  <c r="O57" i="12"/>
  <c r="AP50" i="12"/>
  <c r="Q33" i="11"/>
  <c r="E57" i="12"/>
  <c r="Q31" i="11"/>
  <c r="AI57" i="12"/>
  <c r="Q28" i="11"/>
  <c r="AP46" i="12"/>
  <c r="O27" i="11"/>
  <c r="M57" i="12"/>
  <c r="AE57" i="12"/>
  <c r="AK57" i="12"/>
  <c r="K57" i="12"/>
  <c r="AP44" i="12"/>
  <c r="Q36" i="11"/>
  <c r="AW54" i="12"/>
  <c r="O32" i="11"/>
  <c r="AP45" i="12"/>
  <c r="AW47" i="12"/>
  <c r="AP47" i="12"/>
  <c r="AW53" i="12"/>
  <c r="AP53" i="12"/>
  <c r="S57" i="12"/>
  <c r="AG57" i="12"/>
  <c r="AT50" i="12"/>
  <c r="AO50" i="12"/>
  <c r="AT54" i="12"/>
  <c r="AO54" i="12"/>
  <c r="AT49" i="12"/>
  <c r="AO49" i="12"/>
  <c r="Q34" i="11"/>
  <c r="AW51" i="12"/>
  <c r="O37" i="11"/>
  <c r="AT48" i="12"/>
  <c r="AO48" i="12"/>
  <c r="Q57" i="12"/>
  <c r="AA57" i="12"/>
  <c r="AT51" i="12"/>
  <c r="AO51" i="12"/>
  <c r="AO53" i="12"/>
  <c r="AT53" i="12"/>
  <c r="AT47" i="12"/>
  <c r="AO47" i="12"/>
  <c r="AT44" i="12"/>
  <c r="AO44" i="12"/>
  <c r="Y57" i="12"/>
  <c r="AT46" i="12"/>
  <c r="I57" i="12"/>
  <c r="AC57" i="12"/>
  <c r="AR45" i="12"/>
  <c r="AP52" i="12"/>
  <c r="G57" i="12"/>
  <c r="AU52" i="12"/>
  <c r="AR52" i="12"/>
  <c r="G54" i="11" l="1"/>
  <c r="O34" i="11"/>
  <c r="G55" i="11"/>
  <c r="O35" i="11"/>
  <c r="G48" i="11"/>
  <c r="O28" i="11"/>
  <c r="AW45" i="12"/>
  <c r="AU45" i="12"/>
  <c r="G53" i="11"/>
  <c r="O33" i="11"/>
  <c r="G51" i="11"/>
  <c r="O31" i="11"/>
  <c r="AM57" i="12"/>
  <c r="AM56" i="12"/>
  <c r="G56" i="11"/>
  <c r="O36" i="11"/>
  <c r="W57" i="12"/>
  <c r="W56" i="12"/>
  <c r="G49" i="11"/>
  <c r="O29" i="11"/>
  <c r="S30" i="11"/>
  <c r="O30" i="11"/>
  <c r="C45" i="12"/>
  <c r="AQ48" i="12"/>
  <c r="AP56" i="12"/>
  <c r="AU56" i="12"/>
  <c r="AR56" i="12"/>
  <c r="AQ54" i="12"/>
  <c r="S31" i="11"/>
  <c r="AQ49" i="12"/>
  <c r="AQ46" i="12"/>
  <c r="AQ51" i="12"/>
  <c r="G50" i="11"/>
  <c r="AQ53" i="12"/>
  <c r="AQ44" i="12"/>
  <c r="S29" i="11"/>
  <c r="S33" i="11"/>
  <c r="S35" i="11"/>
  <c r="AQ50" i="12"/>
  <c r="S37" i="11"/>
  <c r="G57" i="11"/>
  <c r="S32" i="11"/>
  <c r="G52" i="11"/>
  <c r="S27" i="11"/>
  <c r="G47" i="11"/>
  <c r="Q39" i="11"/>
  <c r="S28" i="11"/>
  <c r="S36" i="11"/>
  <c r="AQ47" i="12"/>
  <c r="S34" i="11"/>
  <c r="AT45" i="12"/>
  <c r="AO45" i="12"/>
  <c r="AT52" i="12"/>
  <c r="AQ52" i="12" l="1"/>
  <c r="AO52" i="12"/>
  <c r="C57" i="12"/>
  <c r="C56" i="12"/>
  <c r="AW56" i="12"/>
  <c r="AW52" i="12"/>
  <c r="H58" i="11"/>
  <c r="O39" i="11"/>
  <c r="AO56" i="12"/>
  <c r="AT56" i="12"/>
  <c r="R36" i="11"/>
  <c r="R38" i="11"/>
  <c r="H56" i="11"/>
  <c r="P38" i="11"/>
  <c r="H47" i="11"/>
  <c r="H57" i="11"/>
  <c r="H55" i="11"/>
  <c r="H50" i="11"/>
  <c r="H51" i="11"/>
  <c r="H49" i="11"/>
  <c r="H52" i="11"/>
  <c r="H53" i="11"/>
  <c r="H54" i="11"/>
  <c r="H48" i="11"/>
  <c r="G59" i="11"/>
  <c r="R28" i="11"/>
  <c r="P34" i="11"/>
  <c r="R34" i="11"/>
  <c r="R37" i="11"/>
  <c r="R27" i="11"/>
  <c r="R32" i="11"/>
  <c r="R29" i="11"/>
  <c r="R35" i="11"/>
  <c r="R33" i="11"/>
  <c r="R31" i="11"/>
  <c r="R30" i="11"/>
  <c r="S39" i="11"/>
  <c r="P30" i="11"/>
  <c r="P35" i="11"/>
  <c r="P32" i="11"/>
  <c r="P29" i="11"/>
  <c r="P27" i="11"/>
  <c r="P36" i="11"/>
  <c r="P33" i="11"/>
  <c r="P31" i="11"/>
  <c r="P28" i="11"/>
  <c r="P37" i="11"/>
  <c r="AQ56" i="12" l="1"/>
  <c r="AQ45" i="12"/>
  <c r="T30" i="11"/>
  <c r="T38" i="11"/>
  <c r="H59" i="11"/>
  <c r="R39" i="11"/>
  <c r="T34" i="11"/>
  <c r="T28" i="11"/>
  <c r="T27" i="11"/>
  <c r="T29" i="11"/>
  <c r="T31" i="11"/>
  <c r="T37" i="11"/>
  <c r="T35" i="11"/>
  <c r="T32" i="11"/>
  <c r="T36" i="11"/>
  <c r="T33" i="11"/>
  <c r="P39" i="11"/>
  <c r="T39" i="11" l="1"/>
  <c r="V33" i="8" l="1"/>
  <c r="S33" i="8"/>
  <c r="E17" i="8"/>
  <c r="T33" i="8" l="1"/>
  <c r="W33" i="8"/>
  <c r="F17" i="8"/>
  <c r="X33" i="8" l="1"/>
  <c r="U33" i="8"/>
  <c r="G17" i="8"/>
  <c r="O44" i="1" l="1"/>
  <c r="F16" i="7"/>
  <c r="B10" i="15"/>
  <c r="G16" i="7"/>
  <c r="B16" i="7" l="1"/>
  <c r="B14" i="15"/>
  <c r="B15" i="15" s="1"/>
  <c r="I29" i="15" l="1"/>
  <c r="M20" i="15"/>
  <c r="C16" i="7"/>
  <c r="N20" i="15" l="1"/>
</calcChain>
</file>

<file path=xl/sharedStrings.xml><?xml version="1.0" encoding="utf-8"?>
<sst xmlns="http://schemas.openxmlformats.org/spreadsheetml/2006/main" count="2109" uniqueCount="813">
  <si>
    <t>QUADRO DE PESSOAL EM EXERCÍCIO NO MME:</t>
  </si>
  <si>
    <t>AGUARDANDO EXERCÍCIO</t>
  </si>
  <si>
    <t>+</t>
  </si>
  <si>
    <t>=</t>
  </si>
  <si>
    <t>QUADRO DE PESSOAL GERAL DO MME:</t>
  </si>
  <si>
    <r>
      <t xml:space="preserve"> </t>
    </r>
    <r>
      <rPr>
        <b/>
        <sz val="11"/>
        <color theme="5" tint="-0.249977111117893"/>
        <rFont val="Broadway"/>
        <family val="5"/>
      </rPr>
      <t xml:space="preserve">      CGRH/MME</t>
    </r>
  </si>
  <si>
    <t>Ativo Permanente</t>
  </si>
  <si>
    <t>Requisitado Órgãos</t>
  </si>
  <si>
    <t>Anistiado</t>
  </si>
  <si>
    <t>Total</t>
  </si>
  <si>
    <t>TOTAL</t>
  </si>
  <si>
    <t>QUADRO DETALHADO DE PESSOAL ATIVO EM EXERCÍCIO NO MME</t>
  </si>
  <si>
    <t>QUADRO DE EVOLUÇÃO GLOBAL</t>
  </si>
  <si>
    <t>QUADRO DE EVOLUÇÃO POR SITUAÇÃO</t>
  </si>
  <si>
    <t>VALOR UNITÁRIO DE FUNÇÕES</t>
  </si>
  <si>
    <t>VALORES E CUSTO DAS FUNÇÕES</t>
  </si>
  <si>
    <t>Unidade</t>
  </si>
  <si>
    <t>Total de DAS / FCPE na Unidade</t>
  </si>
  <si>
    <t>Situação</t>
  </si>
  <si>
    <t>Imposto de Renda</t>
  </si>
  <si>
    <t>Requisitado Empresa</t>
  </si>
  <si>
    <t>S/Vínculo</t>
  </si>
  <si>
    <r>
      <rPr>
        <b/>
        <sz val="11"/>
        <color theme="1"/>
        <rFont val="Calibri"/>
        <family val="2"/>
        <scheme val="minor"/>
      </rPr>
      <t xml:space="preserve">Exercício </t>
    </r>
    <r>
      <rPr>
        <b/>
        <sz val="10"/>
        <color theme="1"/>
        <rFont val="Calibri"/>
        <family val="2"/>
        <scheme val="minor"/>
      </rPr>
      <t>Descentralizado</t>
    </r>
  </si>
  <si>
    <t>Vago</t>
  </si>
  <si>
    <t>Formulário de Autorização</t>
  </si>
  <si>
    <t>Declaração de IR</t>
  </si>
  <si>
    <t>GM</t>
  </si>
  <si>
    <t>SE</t>
  </si>
  <si>
    <t>CONJUR</t>
  </si>
  <si>
    <t>ASSEC</t>
  </si>
  <si>
    <t>ASSINT</t>
  </si>
  <si>
    <t>AECI</t>
  </si>
  <si>
    <t>AEPED</t>
  </si>
  <si>
    <t>SPE</t>
  </si>
  <si>
    <t>SEE</t>
  </si>
  <si>
    <t>SPG</t>
  </si>
  <si>
    <t>SGM</t>
  </si>
  <si>
    <t>ESCRITÓRIO RJ</t>
  </si>
  <si>
    <t>DAS / FCPE Gerencial</t>
  </si>
  <si>
    <t>DAS / FCPE Assessoria / Assistência</t>
  </si>
  <si>
    <t>DAS / FCPE Gerencial ocupado por Servidores do MME</t>
  </si>
  <si>
    <t>DAS /FCPE Gerencial ocupados por Requisitados e S/Vínculo</t>
  </si>
  <si>
    <t>DAS /FCPE Gerencial vagos</t>
  </si>
  <si>
    <t>SITUAÇÃO DAS / FCPE POR SEXO</t>
  </si>
  <si>
    <t>DAS / FCPE GERENCIAL POR SEXO</t>
  </si>
  <si>
    <t>MASCULINO</t>
  </si>
  <si>
    <t>FEMININO</t>
  </si>
  <si>
    <t>VAGO</t>
  </si>
  <si>
    <t>Total de DAS/FCPE na Unidade</t>
  </si>
  <si>
    <t>Situação DAS/FCPE por COR</t>
  </si>
  <si>
    <t xml:space="preserve">BRANCA </t>
  </si>
  <si>
    <t>AMARELA</t>
  </si>
  <si>
    <t xml:space="preserve">PARDA </t>
  </si>
  <si>
    <t>INDIGENA</t>
  </si>
  <si>
    <t xml:space="preserve">PRETA </t>
  </si>
  <si>
    <t>S / INFORMAÇÃO</t>
  </si>
  <si>
    <t>Total de DAS/FCPE Gerencial na Unidade</t>
  </si>
  <si>
    <t>Situação DAS/FCPE gerencial por COR</t>
  </si>
  <si>
    <t>QUANTITATIVO E NÍVEL DAS/FCPE - OCUPADO x VAGO</t>
  </si>
  <si>
    <t>SITUAÇÃO DE OCUPAÇÃO DAS FUNÇÕES</t>
  </si>
  <si>
    <t>MME</t>
  </si>
  <si>
    <t>SECRETARIA EXECUTIVA</t>
  </si>
  <si>
    <t>INDICADOR CGRH</t>
  </si>
  <si>
    <t>SUBSECRETARIA DE PLANEJAMENTO, ORÇAMENTO E ADMINISTRAÇÃO</t>
  </si>
  <si>
    <t>COORDENAÇÃO-GERAL DE RECURSOS HUMANOS</t>
  </si>
  <si>
    <t>1. NOME DO PROCESSO</t>
  </si>
  <si>
    <t>GESTÃO DE RECURSOS HUMANOS</t>
  </si>
  <si>
    <t>2. NOME DO SUBPROCESSO</t>
  </si>
  <si>
    <t>3. ÁREA RESPONSÁVEL</t>
  </si>
  <si>
    <t>4. NOME DO RESPONSÁVEL</t>
  </si>
  <si>
    <t>Concessão de Licença Médica</t>
  </si>
  <si>
    <t>Coordenação-Geral de Recursos Humanos - CGRH</t>
  </si>
  <si>
    <t xml:space="preserve"> Área Médica</t>
  </si>
  <si>
    <t>5. NOME DO INDICADOR</t>
  </si>
  <si>
    <t>6. UNIDADE DE MEDIDA</t>
  </si>
  <si>
    <t>7. TIPO</t>
  </si>
  <si>
    <t>8. AJUSTE</t>
  </si>
  <si>
    <t>Média de Afastamento por Servidor (MAS)</t>
  </si>
  <si>
    <t>Dias</t>
  </si>
  <si>
    <t>Eficácia</t>
  </si>
  <si>
    <t>9. DESCRIÇÃO DO INDICADOR</t>
  </si>
  <si>
    <t>10. FÓRMULA DE CÁLCULO</t>
  </si>
  <si>
    <t>11. ORIGEM DOS COMPONENTES DA FÓRMULA DE CÁLCULO</t>
  </si>
  <si>
    <t>Demonstra a média aceitável de dias, em um ano, de afastamento de servidor por licença médica</t>
  </si>
  <si>
    <t>12. INTERPRETAÇÕES POSSÍVEIS</t>
  </si>
  <si>
    <t>13. FAIXA DE ACEITAÇÃO</t>
  </si>
  <si>
    <t>Quanto menor o número de afastamento mais eficaz os programas voltados à atenção da saúde do servidor (Qualidade de Vida, Exame Médico Periódico, Vacinação, Campanhas, Palestras, etc). Para fixação da faixa de aceitação, foi observado o art. 75 do Regulamento da Previdência Social aprovado pelo Decreto nº 3.408, de 1999 (até 15 dias de licença no periódo de 60 dias, será pago pelo empregador e, a partir do 16º dia será pelo INSS), bem como o Manual de Perícia Oficial em Saúde do Servidor Público Federal, aprovado pela Portaria nº 797, de 22/03/2010 - DOU de 23 seguinte (até 14 dias em um período de 12 meses, consecutivos ou não, não existe a necessidade de perícia).</t>
  </si>
  <si>
    <r>
      <t xml:space="preserve">Dias de afastamento por servidor em um ano </t>
    </r>
    <r>
      <rPr>
        <sz val="11"/>
        <rFont val="Calibri"/>
        <family val="2"/>
      </rPr>
      <t>≤</t>
    </r>
    <r>
      <rPr>
        <sz val="11"/>
        <rFont val="Arial"/>
        <family val="2"/>
      </rPr>
      <t xml:space="preserve"> 15 dias.</t>
    </r>
  </si>
  <si>
    <t>14. OBJETIVO DO INDICADOR</t>
  </si>
  <si>
    <t>Medir a média de afastamento por servidor em relação ao total de dias de afastamento por licença médica dos servidores em exercício no Ministério.</t>
  </si>
  <si>
    <t>15. META A SER ATINGIDA</t>
  </si>
  <si>
    <t>Até 10 dias</t>
  </si>
  <si>
    <t>16. PERIODICIDADE DE APLICAÇÃO</t>
  </si>
  <si>
    <t>17. PERIODICIDADE DE AVALIAÇÃO</t>
  </si>
  <si>
    <t>Após cada solicitação</t>
  </si>
  <si>
    <t>Anual</t>
  </si>
  <si>
    <t>Concessão de Aposentadoria</t>
  </si>
  <si>
    <t xml:space="preserve">Coordenador de Administração de Pessoal </t>
  </si>
  <si>
    <t>Tempo Médio para Concessão de Aposentadoria</t>
  </si>
  <si>
    <t>Demonstrar o tempo médio gasto por processo de concessão de aposentadoria.</t>
  </si>
  <si>
    <r>
      <t xml:space="preserve">          TMA= PTA/PA                                   ..                                                          TMA</t>
    </r>
    <r>
      <rPr>
        <sz val="9"/>
        <rFont val="Arial"/>
        <family val="2"/>
      </rPr>
      <t>= tempo médio de aposentadoria (dias)                                                        PTA= prazo dos trâmites da aposentadoria (*)                                     PA= número de processos de aposentadoria</t>
    </r>
  </si>
  <si>
    <t>Auto dos processos</t>
  </si>
  <si>
    <t>Quanto menor o número de dias para a concessão maior a eficácia do processo.</t>
  </si>
  <si>
    <r>
      <t xml:space="preserve">Tempo médio de análise para concessão de aposentadoria </t>
    </r>
    <r>
      <rPr>
        <sz val="11"/>
        <rFont val="Calibri"/>
        <family val="2"/>
      </rPr>
      <t>≥ 15 e ≤ 30 dias (*).</t>
    </r>
  </si>
  <si>
    <t>Medir o prazo médio, em dias, para aposentadoria de um servidor do MME, desde a abertura do processo até a publicação da aposentadoria no DOU.                                                                                                                                       (*) Desconsiderar os prazos para complementação de documentos por parte do servidor, suspensão a pedido do interessado e Junta Médica Oficial.</t>
  </si>
  <si>
    <t>Até 20 dias</t>
  </si>
  <si>
    <t>Capacitação de Servidor</t>
  </si>
  <si>
    <t>Coordenador de Desenvolvimento e Seguridade Social</t>
  </si>
  <si>
    <t>Percentual de Participação de Servidores no PADC</t>
  </si>
  <si>
    <t>Percentual</t>
  </si>
  <si>
    <t>Eficiência</t>
  </si>
  <si>
    <t>Mede o percentual de participação de servidor em eventos de capacitação, em relação ao Plano Anual de Desenvolvimento e Capacitação (PADC)</t>
  </si>
  <si>
    <t>Sistema de Registro de Eventos/CGRH</t>
  </si>
  <si>
    <t>Valores a partir de 30% indicam a participação mínima em atividades de treinamento, para manter atualizado o quadro de pessoal do Ministério</t>
  </si>
  <si>
    <t>Atingir 70% de participação de servidores em relação ao estabelecido no Plano Anual de Desenvolvimento e Capacitação (PADC)</t>
  </si>
  <si>
    <t>Medir o percentual de participação de servidores em eventos de capacitação, conforme previsão no PADC/MME.</t>
  </si>
  <si>
    <t>Coordenação-Geral de Recursos Humanos CGRH</t>
  </si>
  <si>
    <t>Satisfação dos Servidores com Eventos de Capacitação</t>
  </si>
  <si>
    <t>Efetividade</t>
  </si>
  <si>
    <t>Demonstra o percentual de servidores satisfeitos com eventos de capacitação eleborados pelo MME, a fim de orientar as futuras ações de capacitação.</t>
  </si>
  <si>
    <t>(nº de participantes satisfeitos / total de participantes) x 100</t>
  </si>
  <si>
    <t>Avaliação de reação mediante formulário preenchido pelo servidor treinado ao final do evento realizado.</t>
  </si>
  <si>
    <t>Diante da faixa de aceitação estabelecida para verificar a satisfação nas avaliações de cursos fechados (60%), cabe considerar: 1)  abaixo de 60% o processo deve ser reestruturado; 2)  acima de 60% - o processo está alcançando todos os objetivos definidos desde a preparação até a realização do evento, podendo ser aprimorado.</t>
  </si>
  <si>
    <t xml:space="preserve">Igual ou maior que 60 % de satisfação nas avaliações de cursos fechados e organizados pelo MME </t>
  </si>
  <si>
    <t>Aprimorar versões subsequentes de eventos realizados e aperfeiçoar o sistema instrucional como um todo.</t>
  </si>
  <si>
    <t>75% de servidores treinados satisfeitos.</t>
  </si>
  <si>
    <t>Ao final do evento realizado</t>
  </si>
  <si>
    <t>Quadrimestral</t>
  </si>
  <si>
    <t>Coordenação-Geral de Recursos Humanos</t>
  </si>
  <si>
    <t>GAB/CGRH e CODES/CGRH</t>
  </si>
  <si>
    <t xml:space="preserve">Percentual de Servidores em Exercício no MME Capacitados </t>
  </si>
  <si>
    <t>Afere o percentual de servidores capacitados no período de Avaliação de Desempenho Indiviual e Institucional</t>
  </si>
  <si>
    <t>Sistema de Registro de Eventos/CGRH                                 SIAPE (Sistema)</t>
  </si>
  <si>
    <t>Percentual entre 30% e 35% equivale a 80% de servidores capacitados no período;                                                                                                                                                           Percentual acima de 35% equivale a 100% de servidores capacitados no período.</t>
  </si>
  <si>
    <t xml:space="preserve">Atingir, no mínimo, 35% dos servidores em exercício no MME, com um evento de capacitação, em observância ao disposto Decreto nº 5.507, de 23/02/2006, que institui a Política e as Diretrizes para o Desenvolvimento de Pessoal da Administração Pública Federal. 
Contribuir para o alcance dos resultados da meta intermediária da SPOA que compõe a meta de Desempenho Institucional do MME, a que se refere Portaria MME nº 565, de 30/09/2011.
</t>
  </si>
  <si>
    <t>Capacitar, no mínimo, 35% do total de servidores em exercício no Ministério, no período de Avaliação de Desempenho Individual e Institucioanl, ou seja, 12 meses.</t>
  </si>
  <si>
    <t>No periódo de avaliação</t>
  </si>
  <si>
    <t>12 meses</t>
  </si>
  <si>
    <t>Índice de Absenteísmo</t>
  </si>
  <si>
    <t>Anual/Mensal</t>
  </si>
  <si>
    <t>Boletim de Frequência   SGRH (Sistema)</t>
  </si>
  <si>
    <t>Índice de Perda</t>
  </si>
  <si>
    <t>Coordenador Geral de Recursos Humanos</t>
  </si>
  <si>
    <t>Boletim de Frequência  / SGRH (Sistema)</t>
  </si>
  <si>
    <r>
      <t xml:space="preserve">          PSC= TSC/TSS                  ..                                                          PSC</t>
    </r>
    <r>
      <rPr>
        <sz val="9"/>
        <rFont val="Arial"/>
        <family val="2"/>
      </rPr>
      <t>= % de servidores capacitados no período                                                        TSS= total de servidores na sede                                                       TSC= total de servidores capacitados no período</t>
    </r>
  </si>
  <si>
    <r>
      <t xml:space="preserve">          MAA= TLM/TS                                   ..                                                          MAS</t>
    </r>
    <r>
      <rPr>
        <sz val="9"/>
        <rFont val="Arial"/>
        <family val="2"/>
      </rPr>
      <t>= média de dias de afastamento por servidor da sede                                                        TS= total de servidores na sede                                                         TLM= total de dias em licença médica</t>
    </r>
  </si>
  <si>
    <r>
      <t xml:space="preserve">          PPS= TP/TPP x 100                                   ..                                                          </t>
    </r>
    <r>
      <rPr>
        <sz val="9"/>
        <rFont val="Arial"/>
        <family val="2"/>
      </rPr>
      <t>PPS= percentualde participação de servidores                                                        TP= total de participação de servidores                                   TPP= total de participação prevista</t>
    </r>
  </si>
  <si>
    <t>SIAPE  / SGRH (Sistema)</t>
  </si>
  <si>
    <t>INDICADORES CGRH</t>
  </si>
  <si>
    <r>
      <t xml:space="preserve">          Iabs(anual) = HPT/HTD x 100                                               ..                                                                                                        Iabs</t>
    </r>
    <r>
      <rPr>
        <sz val="9"/>
        <rFont val="Arial"/>
        <family val="2"/>
      </rPr>
      <t>= índice de absenteísmo dos servidores                                                        HPT= horas perdidas de trabalho dos servidores                                                 HTD= horas de trabalho devida dos servidores</t>
    </r>
  </si>
  <si>
    <r>
      <t>Iperda=</t>
    </r>
    <r>
      <rPr>
        <sz val="10"/>
        <rFont val="Arial"/>
        <family val="2"/>
      </rPr>
      <t xml:space="preserve"> EGRESSOS/(INGRESSOS + EGRESSOS) x 100</t>
    </r>
    <r>
      <rPr>
        <sz val="11"/>
        <rFont val="Arial"/>
        <family val="2"/>
      </rPr>
      <t xml:space="preserve">                                   ..                                                                          Iperda</t>
    </r>
    <r>
      <rPr>
        <sz val="9"/>
        <rFont val="Arial"/>
        <family val="2"/>
      </rPr>
      <t>= índice de perda de servidores(anual ou 12 meses)                                                        EGRESSOS= nº de saída de servidores do MME                            INGRESSO= nº de entrada de servidores no MME</t>
    </r>
  </si>
  <si>
    <t>Movimentação de Servidor</t>
  </si>
  <si>
    <t>Medir o percentual de perda de servidores, conforme a entrada e saída no MME.</t>
  </si>
  <si>
    <t>Valores a partir de 50% indicam a perda de servidores em exercício no MME e, valores abaixo de 50% indicam o ganho de servidores no quadro de pessoal do Ministério</t>
  </si>
  <si>
    <t>&lt; = 50%</t>
  </si>
  <si>
    <t>Atingir 50% do índice</t>
  </si>
  <si>
    <t>Mede o percentual de movimentação entre ingressos e egressos de servidores no MME, indicando ao final se houve perda ou ganho de servidores.</t>
  </si>
  <si>
    <t>Frequência de Servidor</t>
  </si>
  <si>
    <t>Mede o percentual de ausência das horas de trabalho devidas pelos servidores</t>
  </si>
  <si>
    <t>Medir o percentual de ausência das horas de trabalho devidas pelos servidores para ações de prevenção.</t>
  </si>
  <si>
    <t>Quanto menor o índice menor é a ausência dos servidores por motivo de faltas, licenças, enfermidades, doenças ocupacionais, sobrecarga de funções e más condições de trabalho.</t>
  </si>
  <si>
    <t>1,5%</t>
  </si>
  <si>
    <t>Até 5%</t>
  </si>
  <si>
    <t xml:space="preserve">Ficam reservadas aos negros (pretos ou pardos) 30% (trinta por cento) das vagas oferecidas nas seleções para estágio no âmbito da administração pública federal direta, autárquica e fundacional. </t>
  </si>
  <si>
    <t>RELAÇÃO DE SERVIDORES/EMPREGADOS - EXERCÍCIO MME</t>
  </si>
  <si>
    <t/>
  </si>
  <si>
    <t>GRÁFICOS -QUADROS DETALHADOS DE PESSOAL ATIVO EM EXERCÍCIO NO MME</t>
  </si>
  <si>
    <t>Ocupação ultrapassou o nº de vagas definido</t>
  </si>
  <si>
    <t>Ocupação atingiu o nº de vagas definido</t>
  </si>
  <si>
    <t>Observação:</t>
  </si>
  <si>
    <t>UNIDADE</t>
  </si>
  <si>
    <t>DENOMINAÇÃO CARGO/FUNÇÃO</t>
  </si>
  <si>
    <t>NE/DAS/FCPE</t>
  </si>
  <si>
    <t>NÍVEL DA FUNÇÃO</t>
  </si>
  <si>
    <t>SERVIDOR</t>
  </si>
  <si>
    <t>SEXO</t>
  </si>
  <si>
    <t>SITUAÇÃO</t>
  </si>
  <si>
    <t>ORIGEM</t>
  </si>
  <si>
    <t>ATO DE NOMEAÇÃO</t>
  </si>
  <si>
    <t>SUBSTITUTO EVENTUAL</t>
  </si>
  <si>
    <t>DESIGNAÇÃO</t>
  </si>
  <si>
    <t>Alteração de local de exercício</t>
  </si>
  <si>
    <t>ID FUNÇÃO</t>
  </si>
  <si>
    <t>ID SUBSTITUIÇÃO</t>
  </si>
  <si>
    <t>ESCRITÓRIO DE REPRESENTAÇÃO RJ</t>
  </si>
  <si>
    <t>Chefe de Escritório</t>
  </si>
  <si>
    <t>DAS 101.4</t>
  </si>
  <si>
    <t>GER</t>
  </si>
  <si>
    <t>-</t>
  </si>
  <si>
    <t>TEMP01</t>
  </si>
  <si>
    <t>TEMP01S</t>
  </si>
  <si>
    <t>Assessor Técnico</t>
  </si>
  <si>
    <t>DAS 102.3</t>
  </si>
  <si>
    <t>ASS</t>
  </si>
  <si>
    <t>TEMP02</t>
  </si>
  <si>
    <t>TEMP03</t>
  </si>
  <si>
    <t>TEMP04</t>
  </si>
  <si>
    <t>ASSESSORES DO MINISTRO</t>
  </si>
  <si>
    <t>Assessor Especial</t>
  </si>
  <si>
    <t>DAS 102.5</t>
  </si>
  <si>
    <t>GM01</t>
  </si>
  <si>
    <t>GM02</t>
  </si>
  <si>
    <t>GM03</t>
  </si>
  <si>
    <t>GM04</t>
  </si>
  <si>
    <t>GM05</t>
  </si>
  <si>
    <t>Diretor de Programa</t>
  </si>
  <si>
    <t>DAS 101.5</t>
  </si>
  <si>
    <t>GM06</t>
  </si>
  <si>
    <t>GM01S</t>
  </si>
  <si>
    <t>GM07</t>
  </si>
  <si>
    <t>GM02S</t>
  </si>
  <si>
    <t>Assessor</t>
  </si>
  <si>
    <t>DAS 102.4</t>
  </si>
  <si>
    <t>GM08</t>
  </si>
  <si>
    <t>GM09</t>
  </si>
  <si>
    <t>GM10</t>
  </si>
  <si>
    <t>GM45</t>
  </si>
  <si>
    <t>GM46</t>
  </si>
  <si>
    <t>GM47</t>
  </si>
  <si>
    <t>GM48</t>
  </si>
  <si>
    <t>GM49</t>
  </si>
  <si>
    <t>GM50</t>
  </si>
  <si>
    <t>GM51</t>
  </si>
  <si>
    <t>GABINETE DO MINISTRO</t>
  </si>
  <si>
    <t>Chefe de Gabinete</t>
  </si>
  <si>
    <t>GM11</t>
  </si>
  <si>
    <t>GM03S</t>
  </si>
  <si>
    <t>GM12</t>
  </si>
  <si>
    <t>Assistente</t>
  </si>
  <si>
    <t>DAS 102.2</t>
  </si>
  <si>
    <t>GM13</t>
  </si>
  <si>
    <t>FCPE 102.2</t>
  </si>
  <si>
    <t>GM14</t>
  </si>
  <si>
    <t>GM15</t>
  </si>
  <si>
    <t>GM16</t>
  </si>
  <si>
    <t>Assessoria Técncia e Administrativa do GM</t>
  </si>
  <si>
    <t>Chefe de Assessoria</t>
  </si>
  <si>
    <t>GM17</t>
  </si>
  <si>
    <t>GM04S</t>
  </si>
  <si>
    <t>FCPE 102.3</t>
  </si>
  <si>
    <t>GM18</t>
  </si>
  <si>
    <t>Coordenação de Atividades Administrativas do GM</t>
  </si>
  <si>
    <t>Coordenador</t>
  </si>
  <si>
    <t>FCPE 101.3</t>
  </si>
  <si>
    <t>GM19</t>
  </si>
  <si>
    <t>GM05S</t>
  </si>
  <si>
    <t>GM20</t>
  </si>
  <si>
    <t>Assistente Técnico</t>
  </si>
  <si>
    <t>DAS 102.1</t>
  </si>
  <si>
    <t>GM21</t>
  </si>
  <si>
    <t>FCPE 102.1</t>
  </si>
  <si>
    <t>GM22</t>
  </si>
  <si>
    <t>GM23</t>
  </si>
  <si>
    <t>GM24</t>
  </si>
  <si>
    <t>GM25</t>
  </si>
  <si>
    <t>Assessoria Parlamentar</t>
  </si>
  <si>
    <t>GM26</t>
  </si>
  <si>
    <t>GM06S</t>
  </si>
  <si>
    <t>GM27</t>
  </si>
  <si>
    <t>GM28</t>
  </si>
  <si>
    <t>GM29</t>
  </si>
  <si>
    <t>GM30</t>
  </si>
  <si>
    <t>GM31</t>
  </si>
  <si>
    <t>Assessoria de Comunicação Social</t>
  </si>
  <si>
    <t>GM32</t>
  </si>
  <si>
    <t>GM07S</t>
  </si>
  <si>
    <t>GM33</t>
  </si>
  <si>
    <t>GM34</t>
  </si>
  <si>
    <t>GM35</t>
  </si>
  <si>
    <t>GM36</t>
  </si>
  <si>
    <t>Assessoria de Apoio ao Ministro</t>
  </si>
  <si>
    <t>GM37</t>
  </si>
  <si>
    <t>GM08S</t>
  </si>
  <si>
    <t>GM38</t>
  </si>
  <si>
    <t>GM39</t>
  </si>
  <si>
    <t>GM40</t>
  </si>
  <si>
    <t>GM41</t>
  </si>
  <si>
    <t>Ouvidoria-Geral</t>
  </si>
  <si>
    <t>Ouvidor-Geral</t>
  </si>
  <si>
    <t>FCPE 101.4</t>
  </si>
  <si>
    <t>GM42</t>
  </si>
  <si>
    <t>GM09S</t>
  </si>
  <si>
    <t>GM43</t>
  </si>
  <si>
    <t>GM44</t>
  </si>
  <si>
    <t>SECRETARIA-EXECUTIVA</t>
  </si>
  <si>
    <t>Secretário-Executivo</t>
  </si>
  <si>
    <t>NE</t>
  </si>
  <si>
    <t>SE01</t>
  </si>
  <si>
    <t>SE01S</t>
  </si>
  <si>
    <t>Secretário-Executivo Adjunto</t>
  </si>
  <si>
    <t>DAS 101.6</t>
  </si>
  <si>
    <t>SE02</t>
  </si>
  <si>
    <t>SE02S</t>
  </si>
  <si>
    <t>SE03</t>
  </si>
  <si>
    <t>SE03S</t>
  </si>
  <si>
    <t>SE04</t>
  </si>
  <si>
    <t>SE04S</t>
  </si>
  <si>
    <t>SE05</t>
  </si>
  <si>
    <t>SE06</t>
  </si>
  <si>
    <t>SE07</t>
  </si>
  <si>
    <t>SE08</t>
  </si>
  <si>
    <t>SE09</t>
  </si>
  <si>
    <t>SE10</t>
  </si>
  <si>
    <t>SE11</t>
  </si>
  <si>
    <t>SE12</t>
  </si>
  <si>
    <t>GABINETE DA SECRETARIA EXECUTIVA</t>
  </si>
  <si>
    <t>SE13</t>
  </si>
  <si>
    <t>SE05S</t>
  </si>
  <si>
    <t>SE14</t>
  </si>
  <si>
    <t>SE15</t>
  </si>
  <si>
    <t>SE16</t>
  </si>
  <si>
    <t>SE17</t>
  </si>
  <si>
    <t>SE18</t>
  </si>
  <si>
    <t>SE19</t>
  </si>
  <si>
    <t>ASSESSORIA ESPECIAL DE GESTÃO ESTRATÉGICA</t>
  </si>
  <si>
    <t>Chefe da Assessoria Especial</t>
  </si>
  <si>
    <t>SE20</t>
  </si>
  <si>
    <t>SE06S</t>
  </si>
  <si>
    <t>SE21</t>
  </si>
  <si>
    <t>SE22</t>
  </si>
  <si>
    <t>Coordenação-Geral de Planejamento Estratégico, Supervisão e Avaliação da Gestão</t>
  </si>
  <si>
    <t>Coordenador-Geral</t>
  </si>
  <si>
    <t>SE23</t>
  </si>
  <si>
    <t>SE07S</t>
  </si>
  <si>
    <t>Coordenação de Supervisão e Avalliação da Gestão</t>
  </si>
  <si>
    <t>DAS 101.3</t>
  </si>
  <si>
    <t>SE24</t>
  </si>
  <si>
    <t>SE08S</t>
  </si>
  <si>
    <t>Coordenação de Planejamento Estratégico e Orçamento</t>
  </si>
  <si>
    <t>SE25</t>
  </si>
  <si>
    <t>SE09S</t>
  </si>
  <si>
    <t>SE26</t>
  </si>
  <si>
    <t xml:space="preserve"> DAS 102.2</t>
  </si>
  <si>
    <t>Excluído pelo Dec. 9675/2019</t>
  </si>
  <si>
    <t>SE27</t>
  </si>
  <si>
    <t>ASSESSORIA ESPECIAL EM ASSUNTOS REGULATÓRIOS</t>
  </si>
  <si>
    <t>SE28</t>
  </si>
  <si>
    <t>SE10S</t>
  </si>
  <si>
    <t>SE29</t>
  </si>
  <si>
    <t>ASSESSORIA ESPECIAL DE GESTÃO DE PROJETOS</t>
  </si>
  <si>
    <t>SE30</t>
  </si>
  <si>
    <t>SE11S</t>
  </si>
  <si>
    <t>Coordenação-Geral de Planejamento, Finanças e Controle</t>
  </si>
  <si>
    <t>SE31</t>
  </si>
  <si>
    <t>SE12S</t>
  </si>
  <si>
    <t>Coordenação Administrativa</t>
  </si>
  <si>
    <t>SE32</t>
  </si>
  <si>
    <t>SE13S</t>
  </si>
  <si>
    <t>Coordenação-Geral de Gestão de Projetos</t>
  </si>
  <si>
    <t>SE33</t>
  </si>
  <si>
    <t>SE14S</t>
  </si>
  <si>
    <t>Coordenação de Licitação</t>
  </si>
  <si>
    <t>SE34</t>
  </si>
  <si>
    <t>SE15S</t>
  </si>
  <si>
    <t>ASSESSORIA ESPECIAL DE MEIO AMBIENTE</t>
  </si>
  <si>
    <t>SE35</t>
  </si>
  <si>
    <t>SE16S</t>
  </si>
  <si>
    <t>SE36</t>
  </si>
  <si>
    <t>Coordenação-Geral de Avaliação Ambiental e Acompanhamento de Licenciamento</t>
  </si>
  <si>
    <t>SE37</t>
  </si>
  <si>
    <t>SE17S</t>
  </si>
  <si>
    <t>Coordenação-Geral de Articulação Institucional em Meio Ambiente</t>
  </si>
  <si>
    <t>SE38</t>
  </si>
  <si>
    <t>SE18S</t>
  </si>
  <si>
    <t>Subsecretaria de Planejamento, Orçamento e Administração</t>
  </si>
  <si>
    <t>Subsecretário</t>
  </si>
  <si>
    <t>SE39</t>
  </si>
  <si>
    <t>SE19S</t>
  </si>
  <si>
    <t>SE40</t>
  </si>
  <si>
    <t>SE41</t>
  </si>
  <si>
    <t>SE42</t>
  </si>
  <si>
    <t>SE43</t>
  </si>
  <si>
    <t>Coordenação de Modernização Administrativa</t>
  </si>
  <si>
    <t>SE44</t>
  </si>
  <si>
    <t>SE20S</t>
  </si>
  <si>
    <t>SE45</t>
  </si>
  <si>
    <t>SE46</t>
  </si>
  <si>
    <t>SE47</t>
  </si>
  <si>
    <t>Coordenação-Geral de Recursos Logísticos</t>
  </si>
  <si>
    <t>SE48</t>
  </si>
  <si>
    <t>SE21S</t>
  </si>
  <si>
    <t>Coordenador de Administração de Material e Execução Financeira</t>
  </si>
  <si>
    <t>SE49</t>
  </si>
  <si>
    <t>SE22S</t>
  </si>
  <si>
    <t>Chefe de Serviço de Gestão de Patrimônio</t>
  </si>
  <si>
    <t>DAS 101.1</t>
  </si>
  <si>
    <t>SE50</t>
  </si>
  <si>
    <t>SE23S</t>
  </si>
  <si>
    <t>Chefe de Serviço de Almoxarifado</t>
  </si>
  <si>
    <t>SE51</t>
  </si>
  <si>
    <t>SE24S</t>
  </si>
  <si>
    <t>Chefe da Divisão de Controle de Diárias e Passagens</t>
  </si>
  <si>
    <t>DAS 101.2</t>
  </si>
  <si>
    <t>SE52</t>
  </si>
  <si>
    <t>SE25S</t>
  </si>
  <si>
    <t>Chefe da Divisão de Execução Orçamentária e Financeira</t>
  </si>
  <si>
    <t>SE53</t>
  </si>
  <si>
    <t>SE26S</t>
  </si>
  <si>
    <t>Coordenador de Atividades Gerais</t>
  </si>
  <si>
    <t>SE54</t>
  </si>
  <si>
    <t>SE27S</t>
  </si>
  <si>
    <t>Chefe da Divisão de Gestão de Documentos e Informação Bibliográfica</t>
  </si>
  <si>
    <t>SE55</t>
  </si>
  <si>
    <t>SE28S</t>
  </si>
  <si>
    <t>Chefe da Divisão de Administração de Transporte</t>
  </si>
  <si>
    <t>SE56</t>
  </si>
  <si>
    <t>SE29S</t>
  </si>
  <si>
    <t>Chefe da Divisão de Obras e Serviços de Engenharia</t>
  </si>
  <si>
    <t xml:space="preserve">  DAS 101.2</t>
  </si>
  <si>
    <t>Chefe da Divisão de Segurança</t>
  </si>
  <si>
    <t>SE57</t>
  </si>
  <si>
    <t>SE30S</t>
  </si>
  <si>
    <t>Chefe da Divisão de Administração Predial</t>
  </si>
  <si>
    <t xml:space="preserve"> DAS 101.2</t>
  </si>
  <si>
    <t>SE58</t>
  </si>
  <si>
    <t>SE59</t>
  </si>
  <si>
    <t>SE60</t>
  </si>
  <si>
    <t>SE31S</t>
  </si>
  <si>
    <t>Coordenador de Administração de Pessoal</t>
  </si>
  <si>
    <t>SE61</t>
  </si>
  <si>
    <t>SE32S</t>
  </si>
  <si>
    <t>SE62</t>
  </si>
  <si>
    <t>SE33S</t>
  </si>
  <si>
    <t>SE63</t>
  </si>
  <si>
    <t>Chefe de Divisão de Gestão de Estágio</t>
  </si>
  <si>
    <t>SE64</t>
  </si>
  <si>
    <t>SE34S</t>
  </si>
  <si>
    <t>Chefe de Divisão de Execução Orçamentária e Financeira de Despesas Diversas</t>
  </si>
  <si>
    <t>SE65</t>
  </si>
  <si>
    <t>SE35S</t>
  </si>
  <si>
    <t>Chefe de Divisão de Concessão e Atualização dos Registros de Pagamento de Aposentados</t>
  </si>
  <si>
    <t>SE66</t>
  </si>
  <si>
    <t>SE36S</t>
  </si>
  <si>
    <t>Chefe de Divisão de Concessão e Atualização dos Registros de Pagamento de Pensionista</t>
  </si>
  <si>
    <t>SE67</t>
  </si>
  <si>
    <t>SE37S</t>
  </si>
  <si>
    <t>Chefe de Divisão de Treinamento e Desenvolvimento</t>
  </si>
  <si>
    <t>SE68</t>
  </si>
  <si>
    <t>SE38S</t>
  </si>
  <si>
    <t>Chefe de Divisão de Concessão e Atualização dos Registros de Pagamento de Ativos</t>
  </si>
  <si>
    <t xml:space="preserve"> FCPE 101.2</t>
  </si>
  <si>
    <t>Chefe de Divisão de Execução Orçamentária e Financeira da Folha de Pagamento de Pessoal</t>
  </si>
  <si>
    <t>FCPE 101.2</t>
  </si>
  <si>
    <t>SE69</t>
  </si>
  <si>
    <t>SE39S</t>
  </si>
  <si>
    <t>Chefe de Divisão de Cadastro e Controle de Pessoal</t>
  </si>
  <si>
    <t>SE70</t>
  </si>
  <si>
    <t>SE40S</t>
  </si>
  <si>
    <t>Coordenação-Geral de Orçamento e Finanças</t>
  </si>
  <si>
    <t>SE71</t>
  </si>
  <si>
    <t>SE41S</t>
  </si>
  <si>
    <t>Coordenador de Administração Financeira</t>
  </si>
  <si>
    <t>SE72</t>
  </si>
  <si>
    <t>SE42S</t>
  </si>
  <si>
    <t>Coordenador de Contabilidade</t>
  </si>
  <si>
    <t>SE73</t>
  </si>
  <si>
    <t>SE43S</t>
  </si>
  <si>
    <t>Coordenador de Orçamento</t>
  </si>
  <si>
    <t>SE74</t>
  </si>
  <si>
    <t>SE44S</t>
  </si>
  <si>
    <t>SE75</t>
  </si>
  <si>
    <t>SE76</t>
  </si>
  <si>
    <t>SE77</t>
  </si>
  <si>
    <t>SE78</t>
  </si>
  <si>
    <t>Coordenação-Geral de Tecnologia da Informação</t>
  </si>
  <si>
    <t>SE79</t>
  </si>
  <si>
    <t>SE45S</t>
  </si>
  <si>
    <t>Coordenador de Infraestrutura Tecnológica</t>
  </si>
  <si>
    <t>SE80</t>
  </si>
  <si>
    <t>SE46S</t>
  </si>
  <si>
    <t>Coordenador de Tecnologia de Sistemas de Informação</t>
  </si>
  <si>
    <t>SE81</t>
  </si>
  <si>
    <t>SE47S</t>
  </si>
  <si>
    <t>SE82</t>
  </si>
  <si>
    <t>SE83</t>
  </si>
  <si>
    <t>Coordenação-Geral de Compras e Contratos</t>
  </si>
  <si>
    <t>SE84</t>
  </si>
  <si>
    <t>SE48S</t>
  </si>
  <si>
    <t>Coordenador de Administração de Contratos</t>
  </si>
  <si>
    <t>SE85</t>
  </si>
  <si>
    <t>SE49S</t>
  </si>
  <si>
    <t>Coordenador de Licitações e Compras</t>
  </si>
  <si>
    <t>SE86</t>
  </si>
  <si>
    <t>SE50S</t>
  </si>
  <si>
    <t>SE87</t>
  </si>
  <si>
    <t>SE88</t>
  </si>
  <si>
    <t xml:space="preserve"> FCPE 102.2</t>
  </si>
  <si>
    <t>SE89</t>
  </si>
  <si>
    <t>SE90</t>
  </si>
  <si>
    <t>SE91</t>
  </si>
  <si>
    <t>CONSULTORIA JURÍDICA</t>
  </si>
  <si>
    <t>Consultor Jurídico</t>
  </si>
  <si>
    <t>CONJUR01</t>
  </si>
  <si>
    <t>CONJUR01S</t>
  </si>
  <si>
    <t>CONJUR02</t>
  </si>
  <si>
    <t>CONJUR03</t>
  </si>
  <si>
    <t>CONJUR04</t>
  </si>
  <si>
    <t>CONJUR05</t>
  </si>
  <si>
    <t>CONJUR06</t>
  </si>
  <si>
    <t>CONJUR07</t>
  </si>
  <si>
    <t>CONJUR08</t>
  </si>
  <si>
    <t>CONJUR09</t>
  </si>
  <si>
    <t>Coordenação-Geral de Assuntos de Petróleo e Mineração</t>
  </si>
  <si>
    <t>CONJUR10</t>
  </si>
  <si>
    <t>CONJUR02S</t>
  </si>
  <si>
    <t>Coordenação-Geral de Assuntos de Energia</t>
  </si>
  <si>
    <t>CONJUR11</t>
  </si>
  <si>
    <t>CONJUR03S</t>
  </si>
  <si>
    <t>Coordenação-Geral de Assuntos Administrativos</t>
  </si>
  <si>
    <t>CONJUR12</t>
  </si>
  <si>
    <t>CONJUR04S</t>
  </si>
  <si>
    <t>Coordenação de Apoio Administrativo</t>
  </si>
  <si>
    <t>CONJUR13</t>
  </si>
  <si>
    <t>CONJUR05S</t>
  </si>
  <si>
    <t>CONJUR14</t>
  </si>
  <si>
    <t>ASSESSORIA ECONÔMICA</t>
  </si>
  <si>
    <t>Chefe de Assessoria Econômica</t>
  </si>
  <si>
    <t>ASSEC01</t>
  </si>
  <si>
    <t>ASSEC01S</t>
  </si>
  <si>
    <t>ASSEC02</t>
  </si>
  <si>
    <t>ASSEC03</t>
  </si>
  <si>
    <t>ASSEC04</t>
  </si>
  <si>
    <t>ASSEC05</t>
  </si>
  <si>
    <t>ASSEC06</t>
  </si>
  <si>
    <t>ASSEC07</t>
  </si>
  <si>
    <t>ASSEC08</t>
  </si>
  <si>
    <t>ASSEC09</t>
  </si>
  <si>
    <t>Excluído pelo Dec.9675/2019</t>
  </si>
  <si>
    <t>ASSESSORIA ESPECIAL DE RELAÇÕES INTERNACIONAIS</t>
  </si>
  <si>
    <t>Chefe da Assessoria Especial de Relações Internacionais</t>
  </si>
  <si>
    <t>ASSINT01</t>
  </si>
  <si>
    <t>ASSINT01S</t>
  </si>
  <si>
    <t>ASSINT02</t>
  </si>
  <si>
    <t>ASSINT03</t>
  </si>
  <si>
    <t>Assitente</t>
  </si>
  <si>
    <t>ASSINT04</t>
  </si>
  <si>
    <t>ASSESSORIA ESPECIAL DE CONTROLE INTERNO</t>
  </si>
  <si>
    <t xml:space="preserve">Chefe da Assessoria Especial </t>
  </si>
  <si>
    <t>AECI01</t>
  </si>
  <si>
    <t>AECI01S</t>
  </si>
  <si>
    <t>FCPE 102.4</t>
  </si>
  <si>
    <t>AECI02</t>
  </si>
  <si>
    <t>Assintente</t>
  </si>
  <si>
    <t>AECI03</t>
  </si>
  <si>
    <t>ASSESSORIA ESPECIAL DE ACOMPANHAMENTO DE POLÍTICAS, ESTRATÉGIAS E DESEMPENHO SETORIAIS</t>
  </si>
  <si>
    <t>AEPED01</t>
  </si>
  <si>
    <t>AEPED01S</t>
  </si>
  <si>
    <t>AEPED02</t>
  </si>
  <si>
    <t>AEPED03</t>
  </si>
  <si>
    <t>AEPED04</t>
  </si>
  <si>
    <t>SECRETARIA DE PLANEJAMENTO E DESENVOLVIMENTO ENERGÉTICO</t>
  </si>
  <si>
    <t>Secretário</t>
  </si>
  <si>
    <t>SPE01</t>
  </si>
  <si>
    <t>SPE01S</t>
  </si>
  <si>
    <t>Secretário-Adjunto</t>
  </si>
  <si>
    <t>SPE02</t>
  </si>
  <si>
    <t>SPE02S</t>
  </si>
  <si>
    <t>SPE03</t>
  </si>
  <si>
    <t xml:space="preserve"> DAS 102.4</t>
  </si>
  <si>
    <t>SPE04</t>
  </si>
  <si>
    <t>SPE05</t>
  </si>
  <si>
    <t xml:space="preserve"> DAS 102.3</t>
  </si>
  <si>
    <t>SPE06</t>
  </si>
  <si>
    <t>SPE07</t>
  </si>
  <si>
    <t>SPE08</t>
  </si>
  <si>
    <t>Departamento de Planejamento Energético</t>
  </si>
  <si>
    <t>Diretor</t>
  </si>
  <si>
    <t>SPE09</t>
  </si>
  <si>
    <t>SPE03S</t>
  </si>
  <si>
    <t>SPE10</t>
  </si>
  <si>
    <t>SPE11</t>
  </si>
  <si>
    <t>SPE12</t>
  </si>
  <si>
    <t>Coordenação-Geral de Planejamento da Transmissão</t>
  </si>
  <si>
    <t>SPE13</t>
  </si>
  <si>
    <t>SPE04S</t>
  </si>
  <si>
    <t>Coordenação-Geral de Planejamento da Geração</t>
  </si>
  <si>
    <t>SPE14</t>
  </si>
  <si>
    <t>SPE05S</t>
  </si>
  <si>
    <t>Coordenação-Geral da Expansão Eletroenergética</t>
  </si>
  <si>
    <t>SPE15</t>
  </si>
  <si>
    <t>SPE06S</t>
  </si>
  <si>
    <t>Departamento de Desenvolvimento Energético</t>
  </si>
  <si>
    <t>SPE16</t>
  </si>
  <si>
    <t>SPE07S</t>
  </si>
  <si>
    <t>SPE17</t>
  </si>
  <si>
    <t>SPE18</t>
  </si>
  <si>
    <t>Coordenação-Geral de Eficiência Energética</t>
  </si>
  <si>
    <t>SPE19</t>
  </si>
  <si>
    <t>SPE08S</t>
  </si>
  <si>
    <t>Coordenação-Geral Sustentabilidade Ambiental do Setor Energético</t>
  </si>
  <si>
    <t>SPE20</t>
  </si>
  <si>
    <t>SPE09S</t>
  </si>
  <si>
    <t>Coordenação-Geral de Fontes Alternativas</t>
  </si>
  <si>
    <t>SPE21</t>
  </si>
  <si>
    <t>SPE10S</t>
  </si>
  <si>
    <t>Departamento de Outorgas de Concessões, Permissões e Autorizações</t>
  </si>
  <si>
    <t>SPE22</t>
  </si>
  <si>
    <t>SPE11S</t>
  </si>
  <si>
    <t>SPE23</t>
  </si>
  <si>
    <t>SPE24</t>
  </si>
  <si>
    <t>Coordenação-Geral de Outorgas de Geração de Energia Elétrica</t>
  </si>
  <si>
    <t>SPE25</t>
  </si>
  <si>
    <t>SPE12S</t>
  </si>
  <si>
    <t>Coordenação-Geral de Outorgas de Serviços de Transmissão e Distribuição de Energia Elétrica</t>
  </si>
  <si>
    <t>SPE26</t>
  </si>
  <si>
    <t>SPE13S</t>
  </si>
  <si>
    <t>Departamento de Informações e Estudos Energéticos</t>
  </si>
  <si>
    <t>SPE27</t>
  </si>
  <si>
    <t>SPE14S</t>
  </si>
  <si>
    <t>SPE28</t>
  </si>
  <si>
    <t>Coordenação-Geral de Informações Energéticas</t>
  </si>
  <si>
    <t>SPE29</t>
  </si>
  <si>
    <t>SPE15S</t>
  </si>
  <si>
    <t>SPE30</t>
  </si>
  <si>
    <t>SECRETARIA DE ENERGIA ELÉTRICA</t>
  </si>
  <si>
    <t>SEE01</t>
  </si>
  <si>
    <t>SEE01S</t>
  </si>
  <si>
    <t>SEE02</t>
  </si>
  <si>
    <t>SEE02S</t>
  </si>
  <si>
    <t>SEE03</t>
  </si>
  <si>
    <t>SEE03S</t>
  </si>
  <si>
    <t>SEE04</t>
  </si>
  <si>
    <t>SEE05</t>
  </si>
  <si>
    <t>SEE06</t>
  </si>
  <si>
    <t>SEE07</t>
  </si>
  <si>
    <t>SEE08</t>
  </si>
  <si>
    <t>SEE09</t>
  </si>
  <si>
    <t>Departamento de Gestão do Setor Elétrico</t>
  </si>
  <si>
    <t>SEE10</t>
  </si>
  <si>
    <t>SEE04S</t>
  </si>
  <si>
    <t>Coordenação-Geral de Gestão da Política Tarifária</t>
  </si>
  <si>
    <t xml:space="preserve">  DAS 101.4</t>
  </si>
  <si>
    <t>SEE11</t>
  </si>
  <si>
    <t>Coordenação-Geral de Gestão da Comercialização de Energia</t>
  </si>
  <si>
    <t>SEE12</t>
  </si>
  <si>
    <t>SEE05S</t>
  </si>
  <si>
    <t>SEE13</t>
  </si>
  <si>
    <t>Coordenação-Geral Gestão de Programas e Regulamentação</t>
  </si>
  <si>
    <t>SEE14</t>
  </si>
  <si>
    <t>SEE06S</t>
  </si>
  <si>
    <t>SEE15</t>
  </si>
  <si>
    <t>Departamento de Monitoramento do Sistema Elétrico</t>
  </si>
  <si>
    <t>SEE16</t>
  </si>
  <si>
    <t>SEE07S</t>
  </si>
  <si>
    <t>Gerente de Projeto</t>
  </si>
  <si>
    <t>SEE17</t>
  </si>
  <si>
    <t>SEE18</t>
  </si>
  <si>
    <t>Coordenação-Geral de Monitoramento da Expansão da Geração</t>
  </si>
  <si>
    <t>SEE19</t>
  </si>
  <si>
    <t>SEE08S</t>
  </si>
  <si>
    <t>SEE20</t>
  </si>
  <si>
    <t>SEE09S</t>
  </si>
  <si>
    <t>SEE21</t>
  </si>
  <si>
    <t xml:space="preserve">Coordenação-Geral de Monitoramento da Expansão da Transmissão </t>
  </si>
  <si>
    <t xml:space="preserve"> FCPE 101.4</t>
  </si>
  <si>
    <t>SEE22</t>
  </si>
  <si>
    <t>SEE10S</t>
  </si>
  <si>
    <t>SEE23</t>
  </si>
  <si>
    <t>Coordenação-Geral de Monitoramento da Distribuição</t>
  </si>
  <si>
    <t>SEE24</t>
  </si>
  <si>
    <t>SEE11S</t>
  </si>
  <si>
    <t>Coordenação-Geral Monitoramento do Desempenho do Sistema Elétrico</t>
  </si>
  <si>
    <t xml:space="preserve">  FCPE 101.4</t>
  </si>
  <si>
    <t>SEE25</t>
  </si>
  <si>
    <t>SEE12S</t>
  </si>
  <si>
    <t>SEE26</t>
  </si>
  <si>
    <t>SEE13S</t>
  </si>
  <si>
    <t>Departamento de Políticas Sociais e Universalização do Acesso à Energia</t>
  </si>
  <si>
    <t>SEE27</t>
  </si>
  <si>
    <t>SEE14S</t>
  </si>
  <si>
    <t>SEE28</t>
  </si>
  <si>
    <t>Coordenação-Geral de Desenvolvimento de Políticas Sociais</t>
  </si>
  <si>
    <t>SEE29</t>
  </si>
  <si>
    <t>SEE15S</t>
  </si>
  <si>
    <t>Coordenação-Geral de Universalização do Acesso à Energia</t>
  </si>
  <si>
    <t>SEE30</t>
  </si>
  <si>
    <t>SEE16S</t>
  </si>
  <si>
    <t>SEE31</t>
  </si>
  <si>
    <t>SEE32</t>
  </si>
  <si>
    <t>SECRETARIA DE PETRÓLEO, GÁS NATURAL E BIOCOMBUSTÍVEIS</t>
  </si>
  <si>
    <t>SPG01</t>
  </si>
  <si>
    <t>SPG01S</t>
  </si>
  <si>
    <t>SPG02</t>
  </si>
  <si>
    <t>SPG02S</t>
  </si>
  <si>
    <t>SPG03</t>
  </si>
  <si>
    <t>SPG04</t>
  </si>
  <si>
    <t>SPG05</t>
  </si>
  <si>
    <t>SPG06</t>
  </si>
  <si>
    <t>SPG07</t>
  </si>
  <si>
    <t>SPG08</t>
  </si>
  <si>
    <t>Departamento de Política de Exploração e Produção de Petróleo e Gás Natural</t>
  </si>
  <si>
    <t>SPG09</t>
  </si>
  <si>
    <t>SPG03S</t>
  </si>
  <si>
    <t>SPG10</t>
  </si>
  <si>
    <t>SPG04S</t>
  </si>
  <si>
    <t>SPG11</t>
  </si>
  <si>
    <t>Coordenação-Geral de Reserva, Exploração e Produção de Petróleo e Gás Natural</t>
  </si>
  <si>
    <t>SPG12</t>
  </si>
  <si>
    <t>SPG05S</t>
  </si>
  <si>
    <t>Coordenação-Geral de Política de Concessão de Blocos Exploratórios</t>
  </si>
  <si>
    <t>SPG13</t>
  </si>
  <si>
    <t>SPG06S</t>
  </si>
  <si>
    <t>Departamento de Gás Natural</t>
  </si>
  <si>
    <t>SPG14</t>
  </si>
  <si>
    <t>SPG07S</t>
  </si>
  <si>
    <t>SPG15</t>
  </si>
  <si>
    <t>SPG08S</t>
  </si>
  <si>
    <t>SPG16</t>
  </si>
  <si>
    <t>Coordenação-Geral de Acompanhamento, Desenvolvimento de Mercado e Produção</t>
  </si>
  <si>
    <t>SPG17</t>
  </si>
  <si>
    <t>SPG09S</t>
  </si>
  <si>
    <t>Coordenação-Geral de Processamento de Infraestrutura e Logística</t>
  </si>
  <si>
    <t>SPG18</t>
  </si>
  <si>
    <t>SPG10S</t>
  </si>
  <si>
    <t xml:space="preserve">Departamento de Combustíveis Derivados de Petróleo </t>
  </si>
  <si>
    <t>SPG19</t>
  </si>
  <si>
    <t>SPG11S</t>
  </si>
  <si>
    <t>SPG20</t>
  </si>
  <si>
    <t>Coordenação-Geral de Acompanhamento do Mercado</t>
  </si>
  <si>
    <t>SPG21</t>
  </si>
  <si>
    <t>SPG12S</t>
  </si>
  <si>
    <t>Coordenação-Geral de Refino, Abastecimento e Infraestrutura</t>
  </si>
  <si>
    <t>SPG22</t>
  </si>
  <si>
    <t>SPG13S</t>
  </si>
  <si>
    <t>Departamento de Biocombustíveis</t>
  </si>
  <si>
    <t>SPG23</t>
  </si>
  <si>
    <t>SPG14S</t>
  </si>
  <si>
    <t>SPG24</t>
  </si>
  <si>
    <t>Coordenação-Geral de Biodiesel e outros BIocombustíveis</t>
  </si>
  <si>
    <t>SPG25</t>
  </si>
  <si>
    <t>SPG15S</t>
  </si>
  <si>
    <t>Coordenação-Geral de Etanol</t>
  </si>
  <si>
    <t>SPG26</t>
  </si>
  <si>
    <t>SPG16S</t>
  </si>
  <si>
    <t>SECRETARIA DE GEOLOGIA, MINERAÇÃO E TRANSFORMAÇÃO MINERAL</t>
  </si>
  <si>
    <t>SGM01</t>
  </si>
  <si>
    <t>SGM01S</t>
  </si>
  <si>
    <t>SGM02</t>
  </si>
  <si>
    <t>SGM02S</t>
  </si>
  <si>
    <t>SGM03</t>
  </si>
  <si>
    <t>SGM04</t>
  </si>
  <si>
    <t>SGM05</t>
  </si>
  <si>
    <t>SGM06</t>
  </si>
  <si>
    <t xml:space="preserve"> DAS 102.1</t>
  </si>
  <si>
    <t>SGM07</t>
  </si>
  <si>
    <t>Departamento de Gestão das Políticas de Geologia, Mineração e Transformação Mineral</t>
  </si>
  <si>
    <t>SGM08</t>
  </si>
  <si>
    <t>SGM03S</t>
  </si>
  <si>
    <t>SGM09</t>
  </si>
  <si>
    <t>SGM10</t>
  </si>
  <si>
    <t>Coordenação-Geral de Política e Programas para Mineração</t>
  </si>
  <si>
    <t>SGM11</t>
  </si>
  <si>
    <t>SGM04S</t>
  </si>
  <si>
    <t>Coordenação-Geral de Monitoramento e Controle da Gestão de Programa</t>
  </si>
  <si>
    <t>SGM12</t>
  </si>
  <si>
    <t>SGM05S</t>
  </si>
  <si>
    <t>SGM13</t>
  </si>
  <si>
    <t>Coordenação-Geral de Economia Mineral</t>
  </si>
  <si>
    <t>SGM14</t>
  </si>
  <si>
    <t>SGM06S</t>
  </si>
  <si>
    <t>Departamento de Geologia e Produção Mineral</t>
  </si>
  <si>
    <t>SGM15</t>
  </si>
  <si>
    <t>SGM07S</t>
  </si>
  <si>
    <t>SGM16</t>
  </si>
  <si>
    <t>SGM17</t>
  </si>
  <si>
    <t>Coordenação-Geral de Geologia e Recursos Minerais</t>
  </si>
  <si>
    <t>SGM18</t>
  </si>
  <si>
    <t>SGM08S</t>
  </si>
  <si>
    <t>Coordenação-Geral de Monitoramento e Controle de Concessões Minerais</t>
  </si>
  <si>
    <t>SGM19</t>
  </si>
  <si>
    <t>SGM09S</t>
  </si>
  <si>
    <t>Departamento de Transformação e Tecnologia Mineral</t>
  </si>
  <si>
    <t>SGM20</t>
  </si>
  <si>
    <t>SGM10S</t>
  </si>
  <si>
    <t>SGM21</t>
  </si>
  <si>
    <t>SGM22</t>
  </si>
  <si>
    <t>SGM23</t>
  </si>
  <si>
    <t>Coordenação-Geral de Capacitação e Desenvolvimento Tecnológico</t>
  </si>
  <si>
    <t>SGM24</t>
  </si>
  <si>
    <t>SGM11S</t>
  </si>
  <si>
    <t>Departamento de Desenvolvimento Sustentável na Mineração</t>
  </si>
  <si>
    <t>SGM25</t>
  </si>
  <si>
    <t>SGM12S</t>
  </si>
  <si>
    <t>SGM26</t>
  </si>
  <si>
    <t>Coordenação-Geral de Desenvolvimento Sócio Ambiental na Mineração</t>
  </si>
  <si>
    <t>SGM27</t>
  </si>
  <si>
    <t>SGM13S</t>
  </si>
  <si>
    <t>SGM28</t>
  </si>
  <si>
    <t>Coordenação-Geral de Mineração em Áreas de Conservação e Conflito</t>
  </si>
  <si>
    <t>SGM29</t>
  </si>
  <si>
    <t>SGM14S</t>
  </si>
  <si>
    <t>SGM30</t>
  </si>
  <si>
    <t>SECRETARIA DE GEOLOGIA, MINERAÇÃO E TRANSFORMAÇÃO MINERAL - SGM</t>
  </si>
  <si>
    <t>SECRETARIA DE PETRÓLEO, GÁS NATURAL E BIOCOMBUSTÍVEIS - SPG</t>
  </si>
  <si>
    <t>SECRETARIA DE ENERGIA ELÉTRICA - SEE</t>
  </si>
  <si>
    <t>SECRETARIA DE PLANEJAMENTO E DESENVOLVIMENTO ENERGÉTICO - SPE</t>
  </si>
  <si>
    <t>ASSESSORIA ESPECIAL DE ACOMPANHAMENTO DE POLÍTICAS, ESTRATÉGIAS E DESEMPENHO SETORIAIS - AEPED</t>
  </si>
  <si>
    <t>ASSESSORIA ESPECIAL DE CONTROLE INTERNO - AECI</t>
  </si>
  <si>
    <t>ASSESSORIA ESPECIAL DE RELAÇÕES INTERNACIONAIS - ASSINT</t>
  </si>
  <si>
    <t>ASSESSORIA ECONÔMICA - ASSEC</t>
  </si>
  <si>
    <t>CONSULTORIA JURÍDICA - CONJUR</t>
  </si>
  <si>
    <t>SECRETARIA-EXECUTIVA - SE</t>
  </si>
  <si>
    <t>GABINETE DO MINISTRO - GM</t>
  </si>
  <si>
    <t>Ministro de Estado</t>
  </si>
  <si>
    <t>MIN01</t>
  </si>
  <si>
    <t>MIN01S</t>
  </si>
  <si>
    <t>BENTO COSTA LIMA LEITE DE ALBUQUERQUE JUNIOR</t>
  </si>
  <si>
    <t>M</t>
  </si>
  <si>
    <t>Sem Vínculo</t>
  </si>
  <si>
    <t>Portaria nº Inciso III do art. 1º do Decreto nº8.851 de 20/09/2016 - DOU de 21/09/2019, de 14/03/2017 - DOU de 16/03/2017 - Ret. 17/03/2017</t>
  </si>
  <si>
    <t>MARISETE FATIMA DADALD PEREIRA</t>
  </si>
  <si>
    <t>MINISTÉRIO DE MINAS E ENERGIA - MME</t>
  </si>
  <si>
    <t>DETALHAMENTO IDADE - EXERCÍCIO MME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</si>
</sst>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quot;R$&quot;* #,##0.00_);_(&quot;R$&quot;* \(#,##0.00\);_(&quot;R$&quot;* &quot;-&quot;??_);_(@_)"/>
    <numFmt numFmtId="165" formatCode="0.0000"/>
    <numFmt numFmtId="166" formatCode="&quot;R$ &quot;#,##0.00"/>
    <numFmt numFmtId="167" formatCode="&quot;R$&quot;\ #,##0.00"/>
  </numFmts>
  <fonts count="53" x14ac:knownFonts="1">
    <font>
      <sz val="11"/>
      <color theme="1"/>
      <name val="Calibri"/>
      <family val="2"/>
      <scheme val="minor"/>
    </font>
    <font>
      <b/>
      <sz val="11"/>
      <color theme="1"/>
      <name val="Calibri"/>
      <family val="2"/>
      <scheme val="minor"/>
    </font>
    <font>
      <b/>
      <sz val="11"/>
      <color theme="5" tint="-0.249977111117893"/>
      <name val="Broadway"/>
      <family val="5"/>
    </font>
    <font>
      <b/>
      <sz val="11"/>
      <color theme="0"/>
      <name val="Calibri"/>
      <family val="2"/>
      <scheme val="minor"/>
    </font>
    <font>
      <b/>
      <sz val="10"/>
      <color theme="1"/>
      <name val="Calibri"/>
      <family val="2"/>
      <scheme val="minor"/>
    </font>
    <font>
      <sz val="10"/>
      <color theme="1"/>
      <name val="Calibri"/>
      <family val="2"/>
      <scheme val="minor"/>
    </font>
    <font>
      <b/>
      <sz val="9"/>
      <color theme="1"/>
      <name val="Calibri"/>
      <family val="2"/>
      <scheme val="minor"/>
    </font>
    <font>
      <sz val="9"/>
      <color theme="1"/>
      <name val="Calibri"/>
      <family val="2"/>
      <scheme val="minor"/>
    </font>
    <font>
      <strike/>
      <u val="double"/>
      <sz val="10"/>
      <color theme="1"/>
      <name val="Calibri"/>
      <family val="2"/>
      <scheme val="minor"/>
    </font>
    <font>
      <b/>
      <strike/>
      <u val="double"/>
      <sz val="10"/>
      <color theme="1"/>
      <name val="Calibri"/>
      <family val="2"/>
      <scheme val="minor"/>
    </font>
    <font>
      <strike/>
      <u val="double"/>
      <sz val="11"/>
      <color theme="1"/>
      <name val="Calibri"/>
      <family val="2"/>
      <scheme val="minor"/>
    </font>
    <font>
      <b/>
      <strike/>
      <u val="double"/>
      <sz val="11"/>
      <color theme="1"/>
      <name val="Calibri"/>
      <family val="2"/>
      <scheme val="minor"/>
    </font>
    <font>
      <b/>
      <sz val="18"/>
      <color theme="1"/>
      <name val="Calibri"/>
      <family val="2"/>
      <scheme val="minor"/>
    </font>
    <font>
      <sz val="10"/>
      <name val="Times New Roman"/>
      <family val="1"/>
    </font>
    <font>
      <b/>
      <sz val="16"/>
      <color theme="1"/>
      <name val="Calibri"/>
      <family val="2"/>
      <scheme val="minor"/>
    </font>
    <font>
      <b/>
      <sz val="10"/>
      <name val="Arial"/>
      <family val="2"/>
    </font>
    <font>
      <sz val="10"/>
      <name val="Arial"/>
      <family val="2"/>
    </font>
    <font>
      <sz val="8"/>
      <name val="Arial"/>
      <family val="2"/>
    </font>
    <font>
      <b/>
      <sz val="12"/>
      <color theme="1"/>
      <name val="Calibri"/>
      <family val="2"/>
      <scheme val="minor"/>
    </font>
    <font>
      <sz val="11"/>
      <color rgb="FF9C6500"/>
      <name val="Calibri"/>
      <family val="2"/>
      <scheme val="minor"/>
    </font>
    <font>
      <b/>
      <sz val="11"/>
      <name val="Calibri"/>
      <family val="2"/>
      <scheme val="minor"/>
    </font>
    <font>
      <sz val="11"/>
      <name val="Calibri"/>
      <family val="2"/>
      <scheme val="minor"/>
    </font>
    <font>
      <b/>
      <sz val="12"/>
      <name val="Calibri"/>
      <family val="2"/>
      <scheme val="minor"/>
    </font>
    <font>
      <b/>
      <sz val="28"/>
      <name val="Times New Roman"/>
      <family val="1"/>
    </font>
    <font>
      <sz val="8"/>
      <name val="Times New Roman"/>
      <family val="1"/>
    </font>
    <font>
      <b/>
      <sz val="18"/>
      <name val="Arial"/>
      <family val="2"/>
    </font>
    <font>
      <sz val="6"/>
      <name val="Times New Roman"/>
      <family val="1"/>
    </font>
    <font>
      <sz val="11"/>
      <name val="Arial"/>
      <family val="2"/>
    </font>
    <font>
      <b/>
      <sz val="11"/>
      <name val="Arial"/>
      <family val="2"/>
    </font>
    <font>
      <sz val="9"/>
      <name val="Arial"/>
      <family val="2"/>
    </font>
    <font>
      <sz val="11"/>
      <name val="Calibri"/>
      <family val="2"/>
    </font>
    <font>
      <sz val="6"/>
      <name val="Arial"/>
      <family val="2"/>
    </font>
    <font>
      <b/>
      <sz val="6"/>
      <name val="Times New Roman"/>
      <family val="1"/>
    </font>
    <font>
      <b/>
      <sz val="28"/>
      <color theme="1"/>
      <name val="Calibri"/>
      <family val="2"/>
      <scheme val="minor"/>
    </font>
    <font>
      <sz val="11"/>
      <color theme="0"/>
      <name val="Calibri"/>
      <family val="2"/>
      <scheme val="minor"/>
    </font>
    <font>
      <b/>
      <sz val="10"/>
      <name val="Calibri"/>
      <family val="2"/>
      <scheme val="minor"/>
    </font>
    <font>
      <sz val="11"/>
      <name val="Times New Roman"/>
      <family val="1"/>
    </font>
    <font>
      <b/>
      <sz val="11"/>
      <name val="Times New Roman"/>
      <family val="1"/>
    </font>
    <font>
      <sz val="12"/>
      <color theme="1"/>
      <name val="Calibri"/>
      <family val="2"/>
      <scheme val="minor"/>
    </font>
    <font>
      <sz val="10"/>
      <name val="Calibri"/>
      <family val="2"/>
      <scheme val="minor"/>
    </font>
    <font>
      <b/>
      <sz val="9"/>
      <color rgb="FFFF0000"/>
      <name val="Calibri"/>
      <family val="2"/>
      <scheme val="minor"/>
    </font>
    <font>
      <sz val="8"/>
      <color theme="1"/>
      <name val="Calibri"/>
      <family val="2"/>
      <scheme val="minor"/>
    </font>
    <font>
      <b/>
      <sz val="11"/>
      <color theme="1"/>
      <name val="Broadway"/>
      <family val="5"/>
    </font>
    <font>
      <b/>
      <sz val="8"/>
      <color theme="1"/>
      <name val="Calibri"/>
      <family val="2"/>
      <scheme val="minor"/>
    </font>
    <font>
      <b/>
      <sz val="8"/>
      <name val="Calibri"/>
      <family val="2"/>
      <scheme val="minor"/>
    </font>
    <font>
      <sz val="8"/>
      <color rgb="FF9C6500"/>
      <name val="Calibri"/>
      <family val="2"/>
      <scheme val="minor"/>
    </font>
    <font>
      <sz val="8"/>
      <name val="Calibri"/>
      <family val="2"/>
      <scheme val="minor"/>
    </font>
    <font>
      <b/>
      <strike/>
      <sz val="8"/>
      <color theme="1"/>
      <name val="Calibri"/>
      <family val="2"/>
      <scheme val="minor"/>
    </font>
    <font>
      <b/>
      <strike/>
      <u/>
      <sz val="8"/>
      <color theme="1"/>
      <name val="Calibri"/>
      <family val="2"/>
      <scheme val="minor"/>
    </font>
    <font>
      <strike/>
      <sz val="8"/>
      <name val="Calibri"/>
      <family val="2"/>
      <scheme val="minor"/>
    </font>
    <font>
      <b/>
      <sz val="14"/>
      <color theme="1"/>
      <name val="Calibri"/>
      <family val="2"/>
      <scheme val="minor"/>
    </font>
    <font>
      <sz val="9"/>
      <color theme="0"/>
      <name val="Calibri"/>
      <family val="2"/>
      <scheme val="minor"/>
    </font>
    <font>
      <b/>
      <sz val="14"/>
      <color rgb="FFFF0000"/>
      <name val="Calibri"/>
      <family val="2"/>
      <scheme val="minor"/>
    </font>
  </fonts>
  <fills count="26">
    <fill>
      <patternFill patternType="none"/>
    </fill>
    <fill>
      <patternFill patternType="gray125"/>
    </fill>
    <fill>
      <patternFill patternType="solid">
        <fgColor theme="0" tint="-0.14999847407452621"/>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rgb="FFFFEB9C"/>
      </patternFill>
    </fill>
    <fill>
      <patternFill patternType="solid">
        <fgColor theme="6" tint="0.59999389629810485"/>
        <bgColor indexed="64"/>
      </patternFill>
    </fill>
    <fill>
      <patternFill patternType="solid">
        <fgColor theme="2" tint="-0.249977111117893"/>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7" tint="0.59999389629810485"/>
        <bgColor indexed="64"/>
      </patternFill>
    </fill>
    <fill>
      <patternFill patternType="solid">
        <fgColor rgb="FFFEF1E6"/>
        <bgColor indexed="64"/>
      </patternFill>
    </fill>
    <fill>
      <patternFill patternType="solid">
        <fgColor rgb="FFFFFFCC"/>
        <bgColor indexed="64"/>
      </patternFill>
    </fill>
    <fill>
      <patternFill patternType="solid">
        <fgColor rgb="FFBD2115"/>
        <bgColor indexed="64"/>
      </patternFill>
    </fill>
    <fill>
      <patternFill patternType="solid">
        <fgColor theme="7" tint="-0.249977111117893"/>
        <bgColor indexed="64"/>
      </patternFill>
    </fill>
    <fill>
      <patternFill patternType="solid">
        <fgColor rgb="FFFFC000"/>
        <bgColor indexed="64"/>
      </patternFill>
    </fill>
    <fill>
      <patternFill patternType="solid">
        <fgColor rgb="FFEFB3C0"/>
        <bgColor indexed="64"/>
      </patternFill>
    </fill>
    <fill>
      <patternFill patternType="solid">
        <fgColor rgb="FFFF0000"/>
        <bgColor indexed="64"/>
      </patternFill>
    </fill>
    <fill>
      <patternFill patternType="solid">
        <fgColor theme="0" tint="-0.34998626667073579"/>
        <bgColor indexed="64"/>
      </patternFill>
    </fill>
    <fill>
      <patternFill patternType="solid">
        <fgColor theme="6" tint="0.39997558519241921"/>
        <bgColor indexed="64"/>
      </patternFill>
    </fill>
    <fill>
      <gradientFill type="path" left="0.5" right="0.5" top="0.5" bottom="0.5">
        <stop position="0">
          <color theme="0"/>
        </stop>
        <stop position="1">
          <color theme="0" tint="-0.25098422193060094"/>
        </stop>
      </gradientFill>
    </fill>
    <fill>
      <patternFill patternType="solid">
        <fgColor theme="1" tint="0.249977111117893"/>
        <bgColor indexed="64"/>
      </patternFill>
    </fill>
  </fills>
  <borders count="4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s>
  <cellStyleXfs count="2">
    <xf numFmtId="0" fontId="0" fillId="0" borderId="0"/>
    <xf numFmtId="0" fontId="19" fillId="8" borderId="0" applyNumberFormat="0" applyBorder="0" applyAlignment="0" applyProtection="0"/>
  </cellStyleXfs>
  <cellXfs count="715">
    <xf numFmtId="0" fontId="0" fillId="0" borderId="0" xfId="0"/>
    <xf numFmtId="0" fontId="0" fillId="2" borderId="0" xfId="0" applyFill="1"/>
    <xf numFmtId="49" fontId="1" fillId="2" borderId="0" xfId="0" applyNumberFormat="1" applyFont="1" applyFill="1" applyAlignment="1">
      <alignment horizontal="center" vertical="center"/>
    </xf>
    <xf numFmtId="0" fontId="0" fillId="2" borderId="0" xfId="0" applyFill="1" applyBorder="1"/>
    <xf numFmtId="49" fontId="1" fillId="2" borderId="0" xfId="0" applyNumberFormat="1" applyFont="1" applyFill="1" applyBorder="1" applyAlignment="1">
      <alignment horizontal="center" vertical="center"/>
    </xf>
    <xf numFmtId="0" fontId="4" fillId="2" borderId="7" xfId="0" applyFont="1" applyFill="1" applyBorder="1" applyAlignment="1" applyProtection="1">
      <alignment horizontal="center" vertical="center" wrapText="1"/>
    </xf>
    <xf numFmtId="0" fontId="5" fillId="0" borderId="7" xfId="0" applyFont="1" applyFill="1" applyBorder="1" applyProtection="1"/>
    <xf numFmtId="3" fontId="5" fillId="0" borderId="7" xfId="0" applyNumberFormat="1" applyFont="1" applyFill="1" applyBorder="1" applyAlignment="1" applyProtection="1">
      <alignment horizontal="center" vertical="center"/>
    </xf>
    <xf numFmtId="3" fontId="4" fillId="2" borderId="7" xfId="0" applyNumberFormat="1" applyFont="1" applyFill="1" applyBorder="1" applyAlignment="1" applyProtection="1">
      <alignment horizontal="center" vertical="center"/>
    </xf>
    <xf numFmtId="3" fontId="0" fillId="0" borderId="7" xfId="0" applyNumberFormat="1" applyBorder="1" applyAlignment="1" applyProtection="1">
      <alignment horizontal="center" vertical="center"/>
    </xf>
    <xf numFmtId="0" fontId="1" fillId="2" borderId="7" xfId="0" applyFont="1" applyFill="1" applyBorder="1" applyAlignment="1" applyProtection="1">
      <alignment horizontal="center"/>
    </xf>
    <xf numFmtId="0" fontId="5" fillId="0" borderId="7" xfId="0" applyFont="1" applyFill="1" applyBorder="1" applyAlignment="1" applyProtection="1">
      <alignment wrapText="1"/>
    </xf>
    <xf numFmtId="0" fontId="4" fillId="2" borderId="7" xfId="0" applyFont="1" applyFill="1" applyBorder="1" applyAlignment="1" applyProtection="1">
      <alignment horizontal="center" vertical="center"/>
    </xf>
    <xf numFmtId="3" fontId="1" fillId="2" borderId="7" xfId="0" applyNumberFormat="1" applyFont="1" applyFill="1" applyBorder="1" applyAlignment="1" applyProtection="1">
      <alignment horizontal="center" vertical="center"/>
    </xf>
    <xf numFmtId="0" fontId="4" fillId="0" borderId="7" xfId="0" applyFont="1" applyFill="1" applyBorder="1" applyAlignment="1" applyProtection="1">
      <alignment horizontal="left" vertical="center"/>
    </xf>
    <xf numFmtId="3" fontId="4" fillId="0" borderId="7" xfId="0" applyNumberFormat="1" applyFont="1" applyFill="1" applyBorder="1" applyAlignment="1" applyProtection="1">
      <alignment horizontal="center" vertical="center"/>
    </xf>
    <xf numFmtId="0" fontId="0" fillId="0" borderId="7" xfId="0" applyFill="1" applyBorder="1" applyAlignment="1" applyProtection="1">
      <alignment horizontal="center"/>
    </xf>
    <xf numFmtId="3" fontId="1" fillId="0" borderId="7" xfId="0" applyNumberFormat="1" applyFont="1" applyFill="1" applyBorder="1" applyAlignment="1" applyProtection="1">
      <alignment horizontal="center"/>
    </xf>
    <xf numFmtId="0" fontId="5" fillId="0" borderId="0" xfId="0" applyFont="1" applyProtection="1"/>
    <xf numFmtId="0" fontId="0" fillId="0" borderId="0" xfId="0" applyProtection="1"/>
    <xf numFmtId="0" fontId="5" fillId="0" borderId="7" xfId="0" applyFont="1" applyFill="1" applyBorder="1" applyAlignment="1" applyProtection="1">
      <alignment horizontal="center" vertical="center"/>
    </xf>
    <xf numFmtId="0" fontId="0" fillId="0" borderId="7" xfId="0" applyFill="1" applyBorder="1" applyAlignment="1" applyProtection="1">
      <alignment horizontal="center" vertical="center"/>
    </xf>
    <xf numFmtId="0" fontId="1" fillId="2" borderId="7" xfId="0" applyFont="1" applyFill="1" applyBorder="1" applyAlignment="1" applyProtection="1">
      <alignment horizontal="center" vertical="center"/>
    </xf>
    <xf numFmtId="3" fontId="0" fillId="0" borderId="7" xfId="0" applyNumberFormat="1" applyFill="1" applyBorder="1" applyAlignment="1" applyProtection="1">
      <alignment horizontal="center" vertical="center"/>
    </xf>
    <xf numFmtId="0" fontId="5" fillId="0" borderId="7" xfId="0" applyFont="1" applyBorder="1" applyProtection="1"/>
    <xf numFmtId="3" fontId="5" fillId="0" borderId="0" xfId="0" applyNumberFormat="1" applyFont="1" applyProtection="1"/>
    <xf numFmtId="3" fontId="4" fillId="2" borderId="8" xfId="0" applyNumberFormat="1" applyFont="1" applyFill="1" applyBorder="1" applyAlignment="1" applyProtection="1">
      <alignment horizontal="center" vertical="center"/>
    </xf>
    <xf numFmtId="0" fontId="7" fillId="0" borderId="7" xfId="0" applyFont="1" applyFill="1" applyBorder="1" applyAlignment="1" applyProtection="1">
      <alignment wrapText="1"/>
    </xf>
    <xf numFmtId="0" fontId="5" fillId="4" borderId="7" xfId="0" applyFont="1" applyFill="1" applyBorder="1" applyAlignment="1" applyProtection="1">
      <alignment horizontal="center" vertical="center"/>
    </xf>
    <xf numFmtId="0" fontId="0" fillId="4" borderId="7" xfId="0" applyFill="1" applyBorder="1" applyAlignment="1" applyProtection="1">
      <alignment horizontal="center" vertical="center"/>
    </xf>
    <xf numFmtId="0" fontId="0" fillId="0" borderId="7" xfId="0" applyBorder="1" applyAlignment="1" applyProtection="1">
      <alignment horizontal="center" vertical="center"/>
    </xf>
    <xf numFmtId="3" fontId="5" fillId="4" borderId="7" xfId="0" applyNumberFormat="1" applyFont="1" applyFill="1" applyBorder="1" applyAlignment="1" applyProtection="1">
      <alignment horizontal="center" vertical="center"/>
    </xf>
    <xf numFmtId="0" fontId="1" fillId="0" borderId="7" xfId="0" applyFont="1" applyBorder="1" applyAlignment="1" applyProtection="1">
      <alignment horizontal="center" vertical="center"/>
    </xf>
    <xf numFmtId="0" fontId="1" fillId="0" borderId="7" xfId="0" applyFont="1" applyFill="1" applyBorder="1" applyAlignment="1" applyProtection="1">
      <alignment horizontal="center" vertical="center"/>
    </xf>
    <xf numFmtId="0" fontId="0" fillId="0" borderId="0" xfId="0" applyAlignment="1" applyProtection="1">
      <alignment horizontal="center" vertical="center"/>
    </xf>
    <xf numFmtId="0" fontId="8" fillId="0" borderId="7" xfId="0" applyFont="1" applyFill="1" applyBorder="1" applyAlignment="1" applyProtection="1">
      <alignment horizontal="center" vertical="center"/>
    </xf>
    <xf numFmtId="3" fontId="8" fillId="0" borderId="7" xfId="0" applyNumberFormat="1" applyFont="1" applyFill="1" applyBorder="1" applyAlignment="1" applyProtection="1">
      <alignment horizontal="center" vertical="center"/>
    </xf>
    <xf numFmtId="3" fontId="9" fillId="0" borderId="7" xfId="0" applyNumberFormat="1" applyFont="1" applyFill="1" applyBorder="1" applyAlignment="1" applyProtection="1">
      <alignment horizontal="center" vertical="center"/>
    </xf>
    <xf numFmtId="0" fontId="10" fillId="0" borderId="7" xfId="0" applyFont="1" applyBorder="1" applyAlignment="1" applyProtection="1">
      <alignment horizontal="center" vertical="center"/>
    </xf>
    <xf numFmtId="0" fontId="11" fillId="0" borderId="7" xfId="0" applyFont="1" applyFill="1" applyBorder="1" applyAlignment="1" applyProtection="1">
      <alignment horizontal="center" vertical="center"/>
    </xf>
    <xf numFmtId="0" fontId="5" fillId="0" borderId="0" xfId="0" applyFont="1" applyFill="1" applyProtection="1"/>
    <xf numFmtId="0" fontId="4" fillId="7" borderId="7" xfId="0" applyFont="1" applyFill="1" applyBorder="1" applyAlignment="1" applyProtection="1">
      <alignment horizontal="center" vertical="center" wrapText="1"/>
    </xf>
    <xf numFmtId="0" fontId="6" fillId="7" borderId="7" xfId="0" applyFont="1" applyFill="1" applyBorder="1" applyAlignment="1" applyProtection="1">
      <alignment horizontal="center" vertical="center" wrapText="1"/>
    </xf>
    <xf numFmtId="0" fontId="0" fillId="0" borderId="0" xfId="0" applyFill="1" applyProtection="1"/>
    <xf numFmtId="0" fontId="4" fillId="3" borderId="7"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4" fillId="2" borderId="7" xfId="0" applyFont="1" applyFill="1" applyBorder="1" applyAlignment="1">
      <alignment horizontal="center" vertical="center"/>
    </xf>
    <xf numFmtId="3" fontId="4" fillId="2" borderId="7" xfId="0" applyNumberFormat="1" applyFont="1" applyFill="1" applyBorder="1" applyAlignment="1">
      <alignment horizontal="center" vertical="center"/>
    </xf>
    <xf numFmtId="3" fontId="4" fillId="0" borderId="7" xfId="0" applyNumberFormat="1" applyFont="1" applyFill="1" applyBorder="1" applyAlignment="1">
      <alignment horizontal="center" vertical="center"/>
    </xf>
    <xf numFmtId="0" fontId="5" fillId="0" borderId="7" xfId="0" applyFont="1" applyFill="1" applyBorder="1" applyAlignment="1">
      <alignment horizontal="center" vertical="center"/>
    </xf>
    <xf numFmtId="3" fontId="5" fillId="0" borderId="7" xfId="0" applyNumberFormat="1" applyFont="1" applyFill="1" applyBorder="1" applyAlignment="1">
      <alignment horizontal="center" vertical="center"/>
    </xf>
    <xf numFmtId="3" fontId="0" fillId="0" borderId="7" xfId="0" applyNumberFormat="1" applyBorder="1" applyAlignment="1">
      <alignment horizontal="center" vertical="center"/>
    </xf>
    <xf numFmtId="165" fontId="13" fillId="0" borderId="7" xfId="0" applyNumberFormat="1" applyFont="1" applyFill="1" applyBorder="1" applyAlignment="1">
      <alignment horizontal="center" vertical="center"/>
    </xf>
    <xf numFmtId="3" fontId="13" fillId="0" borderId="7" xfId="0" applyNumberFormat="1" applyFont="1" applyFill="1" applyBorder="1" applyAlignment="1">
      <alignment horizontal="center" vertical="center"/>
    </xf>
    <xf numFmtId="0" fontId="1" fillId="3" borderId="7" xfId="0" applyFont="1" applyFill="1" applyBorder="1" applyAlignment="1">
      <alignment horizontal="center" vertical="center"/>
    </xf>
    <xf numFmtId="0" fontId="0" fillId="0" borderId="7" xfId="0" applyBorder="1" applyAlignment="1">
      <alignment horizontal="center" vertical="center"/>
    </xf>
    <xf numFmtId="3" fontId="5" fillId="0" borderId="7" xfId="0" applyNumberFormat="1" applyFont="1" applyFill="1" applyBorder="1" applyAlignment="1" applyProtection="1">
      <alignment horizontal="center" vertical="center"/>
      <protection locked="0"/>
    </xf>
    <xf numFmtId="0" fontId="5" fillId="0" borderId="7" xfId="0" applyFont="1" applyFill="1" applyBorder="1" applyAlignment="1" applyProtection="1">
      <alignment horizontal="center" vertical="center"/>
      <protection locked="0"/>
    </xf>
    <xf numFmtId="0" fontId="4" fillId="3" borderId="10" xfId="0" applyFont="1" applyFill="1" applyBorder="1" applyAlignment="1">
      <alignment horizontal="center" vertical="center" wrapText="1"/>
    </xf>
    <xf numFmtId="0" fontId="0" fillId="0" borderId="7" xfId="0" applyBorder="1" applyAlignment="1">
      <alignment horizontal="center"/>
    </xf>
    <xf numFmtId="3" fontId="0" fillId="0" borderId="7" xfId="0" applyNumberFormat="1" applyBorder="1" applyAlignment="1">
      <alignment horizontal="center"/>
    </xf>
    <xf numFmtId="0" fontId="0" fillId="0" borderId="0" xfId="0" applyAlignment="1">
      <alignment horizontal="center"/>
    </xf>
    <xf numFmtId="0" fontId="0" fillId="3" borderId="8" xfId="0" applyFill="1" applyBorder="1"/>
    <xf numFmtId="0" fontId="1" fillId="3" borderId="10" xfId="0" applyFont="1" applyFill="1" applyBorder="1" applyAlignment="1">
      <alignment horizontal="center" vertical="top"/>
    </xf>
    <xf numFmtId="0" fontId="1" fillId="3" borderId="11" xfId="0" applyFont="1" applyFill="1" applyBorder="1" applyAlignment="1">
      <alignment horizontal="center" vertical="center" wrapText="1"/>
    </xf>
    <xf numFmtId="0" fontId="1" fillId="3" borderId="10" xfId="0" applyFont="1" applyFill="1" applyBorder="1" applyAlignment="1">
      <alignment horizontal="center" vertical="top" wrapText="1"/>
    </xf>
    <xf numFmtId="0" fontId="1" fillId="2" borderId="7" xfId="0" applyFont="1" applyFill="1" applyBorder="1" applyAlignment="1">
      <alignment horizontal="center" vertical="center"/>
    </xf>
    <xf numFmtId="4" fontId="0" fillId="0" borderId="7" xfId="0" applyNumberFormat="1" applyBorder="1" applyAlignment="1">
      <alignment horizontal="center" vertical="center"/>
    </xf>
    <xf numFmtId="10" fontId="0" fillId="0" borderId="7" xfId="0" applyNumberFormat="1" applyBorder="1" applyAlignment="1">
      <alignment horizontal="center" vertical="center"/>
    </xf>
    <xf numFmtId="4" fontId="0" fillId="0" borderId="7" xfId="0" applyNumberFormat="1" applyFill="1" applyBorder="1" applyAlignment="1">
      <alignment horizontal="center" vertical="center"/>
    </xf>
    <xf numFmtId="10" fontId="0" fillId="0" borderId="10" xfId="0" applyNumberFormat="1" applyBorder="1" applyAlignment="1">
      <alignment horizontal="center" vertical="center"/>
    </xf>
    <xf numFmtId="3" fontId="1" fillId="0" borderId="7" xfId="0" applyNumberFormat="1" applyFont="1" applyBorder="1" applyAlignment="1">
      <alignment horizontal="center" vertical="center"/>
    </xf>
    <xf numFmtId="10" fontId="1" fillId="0" borderId="7" xfId="0" applyNumberFormat="1" applyFont="1" applyBorder="1" applyAlignment="1">
      <alignment horizontal="center" vertical="center"/>
    </xf>
    <xf numFmtId="4" fontId="1" fillId="0" borderId="7" xfId="0" applyNumberFormat="1" applyFont="1" applyBorder="1" applyAlignment="1">
      <alignment horizontal="center" vertical="center"/>
    </xf>
    <xf numFmtId="4" fontId="0" fillId="5" borderId="7" xfId="0" applyNumberFormat="1" applyFill="1" applyBorder="1" applyAlignment="1">
      <alignment horizontal="center" vertical="center"/>
    </xf>
    <xf numFmtId="3" fontId="0" fillId="5" borderId="7" xfId="0" applyNumberFormat="1" applyFill="1" applyBorder="1" applyAlignment="1">
      <alignment horizontal="center" vertical="center"/>
    </xf>
    <xf numFmtId="10" fontId="0" fillId="5" borderId="7" xfId="0" applyNumberFormat="1" applyFill="1" applyBorder="1" applyAlignment="1">
      <alignment horizontal="center" vertical="center"/>
    </xf>
    <xf numFmtId="4" fontId="1" fillId="0" borderId="7" xfId="0" applyNumberFormat="1" applyFont="1" applyFill="1" applyBorder="1" applyAlignment="1">
      <alignment horizontal="center" vertical="center"/>
    </xf>
    <xf numFmtId="3" fontId="0" fillId="0" borderId="0" xfId="0" applyNumberFormat="1" applyAlignment="1">
      <alignment horizontal="center"/>
    </xf>
    <xf numFmtId="3" fontId="1" fillId="3" borderId="7" xfId="0" applyNumberFormat="1" applyFont="1" applyFill="1" applyBorder="1" applyAlignment="1">
      <alignment horizontal="center" vertical="center"/>
    </xf>
    <xf numFmtId="10" fontId="1" fillId="3" borderId="7" xfId="0" applyNumberFormat="1" applyFont="1" applyFill="1" applyBorder="1" applyAlignment="1">
      <alignment horizontal="center" vertical="center"/>
    </xf>
    <xf numFmtId="4" fontId="1" fillId="3" borderId="7" xfId="0" applyNumberFormat="1" applyFont="1" applyFill="1" applyBorder="1" applyAlignment="1">
      <alignment horizontal="center" vertical="center"/>
    </xf>
    <xf numFmtId="0" fontId="1" fillId="2" borderId="7" xfId="0" applyFont="1" applyFill="1" applyBorder="1"/>
    <xf numFmtId="3" fontId="1" fillId="0" borderId="7" xfId="0" applyNumberFormat="1" applyFont="1" applyFill="1" applyBorder="1" applyAlignment="1">
      <alignment horizontal="center" vertical="center"/>
    </xf>
    <xf numFmtId="4" fontId="1" fillId="0" borderId="7" xfId="0" applyNumberFormat="1" applyFont="1" applyFill="1" applyBorder="1" applyAlignment="1">
      <alignment horizontal="center"/>
    </xf>
    <xf numFmtId="3" fontId="1" fillId="6" borderId="7" xfId="0" applyNumberFormat="1" applyFont="1" applyFill="1" applyBorder="1" applyAlignment="1">
      <alignment horizontal="center" vertical="center"/>
    </xf>
    <xf numFmtId="0" fontId="1" fillId="3" borderId="7" xfId="0" applyFont="1" applyFill="1" applyBorder="1"/>
    <xf numFmtId="4" fontId="1" fillId="3" borderId="7" xfId="0" applyNumberFormat="1" applyFont="1" applyFill="1" applyBorder="1" applyAlignment="1">
      <alignment horizontal="center"/>
    </xf>
    <xf numFmtId="3" fontId="1" fillId="3" borderId="7" xfId="0" applyNumberFormat="1" applyFont="1" applyFill="1" applyBorder="1" applyAlignment="1">
      <alignment horizontal="center"/>
    </xf>
    <xf numFmtId="0" fontId="1" fillId="3" borderId="10" xfId="0" applyFont="1" applyFill="1" applyBorder="1" applyAlignment="1">
      <alignment horizontal="center" vertical="center"/>
    </xf>
    <xf numFmtId="0" fontId="1" fillId="3" borderId="10" xfId="0" applyFont="1" applyFill="1" applyBorder="1" applyAlignment="1">
      <alignment horizontal="center" vertical="center" wrapText="1"/>
    </xf>
    <xf numFmtId="3" fontId="0" fillId="0" borderId="7" xfId="0" applyNumberFormat="1" applyFill="1" applyBorder="1" applyAlignment="1" applyProtection="1">
      <alignment horizontal="center"/>
      <protection locked="0"/>
    </xf>
    <xf numFmtId="4" fontId="0" fillId="0" borderId="7" xfId="0" applyNumberFormat="1" applyFill="1" applyBorder="1" applyAlignment="1" applyProtection="1">
      <alignment horizontal="center"/>
      <protection locked="0"/>
    </xf>
    <xf numFmtId="3" fontId="0" fillId="6" borderId="7" xfId="0" applyNumberFormat="1" applyFill="1" applyBorder="1" applyAlignment="1" applyProtection="1">
      <alignment horizontal="center"/>
      <protection locked="0"/>
    </xf>
    <xf numFmtId="4" fontId="0" fillId="6" borderId="7" xfId="0" applyNumberFormat="1" applyFill="1" applyBorder="1" applyAlignment="1" applyProtection="1">
      <alignment horizontal="center"/>
      <protection locked="0"/>
    </xf>
    <xf numFmtId="4" fontId="1" fillId="2" borderId="7" xfId="0" applyNumberFormat="1" applyFont="1" applyFill="1" applyBorder="1" applyAlignment="1">
      <alignment horizontal="center" vertical="center"/>
    </xf>
    <xf numFmtId="3" fontId="1" fillId="2" borderId="7" xfId="0" applyNumberFormat="1" applyFont="1" applyFill="1" applyBorder="1" applyAlignment="1">
      <alignment horizontal="center" vertical="center"/>
    </xf>
    <xf numFmtId="4" fontId="1" fillId="2" borderId="7" xfId="0" applyNumberFormat="1" applyFont="1" applyFill="1" applyBorder="1" applyAlignment="1">
      <alignment horizontal="center"/>
    </xf>
    <xf numFmtId="0" fontId="1" fillId="3" borderId="8" xfId="0" applyFont="1" applyFill="1" applyBorder="1" applyAlignment="1">
      <alignment horizontal="center" vertical="center"/>
    </xf>
    <xf numFmtId="0" fontId="1" fillId="3" borderId="9" xfId="0" applyFont="1" applyFill="1" applyBorder="1" applyAlignment="1">
      <alignment horizontal="center" vertical="center"/>
    </xf>
    <xf numFmtId="0" fontId="1" fillId="3" borderId="8" xfId="0" applyFont="1" applyFill="1" applyBorder="1" applyAlignment="1">
      <alignment horizontal="center" vertical="center" wrapText="1"/>
    </xf>
    <xf numFmtId="0" fontId="15" fillId="3" borderId="7" xfId="0" applyFont="1" applyFill="1" applyBorder="1" applyAlignment="1">
      <alignment horizontal="center"/>
    </xf>
    <xf numFmtId="166" fontId="16" fillId="0" borderId="7" xfId="0" applyNumberFormat="1" applyFont="1" applyBorder="1" applyAlignment="1">
      <alignment horizontal="center"/>
    </xf>
    <xf numFmtId="166" fontId="16" fillId="0" borderId="0" xfId="0" applyNumberFormat="1" applyFont="1" applyFill="1" applyBorder="1" applyAlignment="1">
      <alignment horizontal="center"/>
    </xf>
    <xf numFmtId="0" fontId="0" fillId="0" borderId="0" xfId="0" applyBorder="1"/>
    <xf numFmtId="4" fontId="4" fillId="0" borderId="7" xfId="0" applyNumberFormat="1" applyFont="1" applyFill="1" applyBorder="1" applyAlignment="1">
      <alignment horizontal="center" vertical="center"/>
    </xf>
    <xf numFmtId="10" fontId="1" fillId="0" borderId="7" xfId="0" applyNumberFormat="1" applyFont="1" applyFill="1" applyBorder="1" applyAlignment="1">
      <alignment horizontal="center" vertical="center"/>
    </xf>
    <xf numFmtId="4" fontId="1" fillId="0" borderId="0" xfId="0" applyNumberFormat="1" applyFont="1" applyFill="1" applyBorder="1" applyAlignment="1">
      <alignment horizontal="center" vertical="center"/>
    </xf>
    <xf numFmtId="3" fontId="1" fillId="0" borderId="0" xfId="0" applyNumberFormat="1" applyFont="1" applyFill="1" applyBorder="1" applyAlignment="1">
      <alignment horizontal="center" vertical="center"/>
    </xf>
    <xf numFmtId="4" fontId="1" fillId="0" borderId="0" xfId="0" applyNumberFormat="1" applyFont="1" applyFill="1" applyBorder="1" applyAlignment="1">
      <alignment horizontal="center"/>
    </xf>
    <xf numFmtId="4" fontId="1" fillId="4" borderId="7" xfId="0" applyNumberFormat="1" applyFont="1" applyFill="1" applyBorder="1" applyAlignment="1">
      <alignment horizontal="center" vertical="center"/>
    </xf>
    <xf numFmtId="10" fontId="1" fillId="4" borderId="7" xfId="0" applyNumberFormat="1" applyFont="1" applyFill="1" applyBorder="1" applyAlignment="1">
      <alignment horizontal="center" vertical="center"/>
    </xf>
    <xf numFmtId="4" fontId="3" fillId="0" borderId="0" xfId="0" applyNumberFormat="1" applyFont="1" applyFill="1" applyBorder="1" applyAlignment="1">
      <alignment horizontal="center" vertical="center"/>
    </xf>
    <xf numFmtId="10" fontId="1" fillId="6" borderId="7" xfId="0" applyNumberFormat="1" applyFont="1" applyFill="1" applyBorder="1" applyAlignment="1">
      <alignment horizontal="center" vertical="center"/>
    </xf>
    <xf numFmtId="9" fontId="1" fillId="4" borderId="7" xfId="0" applyNumberFormat="1" applyFont="1" applyFill="1" applyBorder="1" applyAlignment="1">
      <alignment horizontal="center" vertical="center"/>
    </xf>
    <xf numFmtId="10" fontId="1" fillId="0" borderId="7" xfId="0" applyNumberFormat="1" applyFont="1" applyFill="1" applyBorder="1" applyAlignment="1">
      <alignment horizontal="center"/>
    </xf>
    <xf numFmtId="9" fontId="1" fillId="3" borderId="7" xfId="0" applyNumberFormat="1" applyFont="1" applyFill="1" applyBorder="1" applyAlignment="1">
      <alignment horizontal="center"/>
    </xf>
    <xf numFmtId="164" fontId="1" fillId="0" borderId="7" xfId="0" applyNumberFormat="1" applyFont="1" applyFill="1" applyBorder="1" applyAlignment="1">
      <alignment horizontal="center" vertical="center"/>
    </xf>
    <xf numFmtId="164" fontId="1" fillId="0" borderId="7" xfId="0" applyNumberFormat="1" applyFont="1" applyFill="1" applyBorder="1"/>
    <xf numFmtId="164" fontId="1" fillId="4" borderId="7" xfId="0" applyNumberFormat="1" applyFont="1" applyFill="1" applyBorder="1"/>
    <xf numFmtId="164" fontId="1" fillId="6" borderId="7" xfId="0" applyNumberFormat="1" applyFont="1" applyFill="1" applyBorder="1"/>
    <xf numFmtId="164" fontId="1" fillId="4" borderId="7" xfId="0" applyNumberFormat="1" applyFont="1" applyFill="1" applyBorder="1" applyAlignment="1">
      <alignment vertical="center"/>
    </xf>
    <xf numFmtId="164" fontId="16" fillId="0" borderId="7" xfId="0" applyNumberFormat="1" applyFont="1" applyBorder="1" applyAlignment="1">
      <alignment horizontal="center"/>
    </xf>
    <xf numFmtId="164" fontId="16" fillId="0" borderId="7" xfId="0" applyNumberFormat="1" applyFont="1" applyFill="1" applyBorder="1" applyAlignment="1">
      <alignment horizontal="center"/>
    </xf>
    <xf numFmtId="0" fontId="16" fillId="0" borderId="0" xfId="0" applyFont="1" applyBorder="1"/>
    <xf numFmtId="0" fontId="16" fillId="0" borderId="21" xfId="0" applyFont="1" applyBorder="1"/>
    <xf numFmtId="0" fontId="15" fillId="3" borderId="22" xfId="0" applyFont="1" applyFill="1" applyBorder="1" applyAlignment="1">
      <alignment horizontal="center"/>
    </xf>
    <xf numFmtId="0" fontId="16" fillId="0" borderId="22" xfId="0" applyFont="1" applyBorder="1"/>
    <xf numFmtId="0" fontId="17" fillId="0" borderId="20" xfId="0" applyFont="1" applyBorder="1"/>
    <xf numFmtId="0" fontId="0" fillId="0" borderId="20" xfId="0" applyBorder="1"/>
    <xf numFmtId="0" fontId="17" fillId="0" borderId="21" xfId="0" applyFont="1" applyBorder="1"/>
    <xf numFmtId="166" fontId="16" fillId="0" borderId="21" xfId="0" applyNumberFormat="1" applyFont="1" applyBorder="1"/>
    <xf numFmtId="9" fontId="16" fillId="0" borderId="25" xfId="0" applyNumberFormat="1" applyFont="1" applyBorder="1" applyAlignment="1">
      <alignment horizontal="center"/>
    </xf>
    <xf numFmtId="164" fontId="16" fillId="0" borderId="25" xfId="0" applyNumberFormat="1" applyFont="1" applyBorder="1" applyAlignment="1">
      <alignment horizontal="center"/>
    </xf>
    <xf numFmtId="0" fontId="0" fillId="0" borderId="21" xfId="0" applyBorder="1"/>
    <xf numFmtId="0" fontId="0" fillId="0" borderId="28" xfId="0" applyBorder="1"/>
    <xf numFmtId="0" fontId="0" fillId="0" borderId="29" xfId="0" applyBorder="1"/>
    <xf numFmtId="0" fontId="0" fillId="0" borderId="30" xfId="0" applyBorder="1"/>
    <xf numFmtId="0" fontId="15" fillId="0" borderId="21" xfId="0" applyFont="1" applyBorder="1" applyAlignment="1">
      <alignment horizontal="center"/>
    </xf>
    <xf numFmtId="0" fontId="15" fillId="0" borderId="21" xfId="0" applyFont="1" applyBorder="1" applyAlignment="1">
      <alignment horizontal="center" wrapText="1"/>
    </xf>
    <xf numFmtId="0" fontId="16" fillId="0" borderId="26" xfId="0" applyFont="1" applyBorder="1" applyAlignment="1">
      <alignment horizontal="left" wrapText="1"/>
    </xf>
    <xf numFmtId="0" fontId="16" fillId="0" borderId="27" xfId="0" applyFont="1" applyBorder="1" applyAlignment="1">
      <alignment horizontal="left" wrapText="1"/>
    </xf>
    <xf numFmtId="0" fontId="16" fillId="0" borderId="26" xfId="0" applyFont="1" applyBorder="1" applyAlignment="1">
      <alignment horizontal="left"/>
    </xf>
    <xf numFmtId="0" fontId="16" fillId="0" borderId="27" xfId="0" applyFont="1" applyBorder="1" applyAlignment="1">
      <alignment horizontal="left"/>
    </xf>
    <xf numFmtId="164" fontId="1" fillId="3" borderId="7" xfId="0" applyNumberFormat="1" applyFont="1" applyFill="1" applyBorder="1" applyAlignment="1">
      <alignment horizontal="center"/>
    </xf>
    <xf numFmtId="3" fontId="0" fillId="0" borderId="7" xfId="0" applyNumberFormat="1" applyFill="1" applyBorder="1" applyAlignment="1">
      <alignment horizontal="center"/>
    </xf>
    <xf numFmtId="0" fontId="1" fillId="3" borderId="8" xfId="0" applyFont="1" applyFill="1" applyBorder="1"/>
    <xf numFmtId="0" fontId="0" fillId="3" borderId="1" xfId="0" applyFill="1" applyBorder="1"/>
    <xf numFmtId="0" fontId="4" fillId="3" borderId="14" xfId="0" applyFont="1" applyFill="1" applyBorder="1" applyAlignment="1">
      <alignment horizontal="center" vertical="center" wrapText="1"/>
    </xf>
    <xf numFmtId="0" fontId="0" fillId="0" borderId="7" xfId="0" applyFill="1" applyBorder="1" applyAlignment="1">
      <alignment horizontal="center"/>
    </xf>
    <xf numFmtId="0" fontId="0" fillId="0" borderId="7" xfId="0" applyFill="1" applyBorder="1" applyAlignment="1" applyProtection="1">
      <alignment horizontal="center"/>
      <protection locked="0"/>
    </xf>
    <xf numFmtId="0" fontId="0" fillId="0" borderId="11" xfId="0" applyFill="1" applyBorder="1" applyAlignment="1" applyProtection="1">
      <alignment horizontal="center"/>
      <protection locked="0"/>
    </xf>
    <xf numFmtId="3" fontId="1" fillId="3" borderId="11" xfId="0" applyNumberFormat="1" applyFont="1" applyFill="1" applyBorder="1" applyAlignment="1">
      <alignment horizontal="center"/>
    </xf>
    <xf numFmtId="3" fontId="0" fillId="0" borderId="10" xfId="0" applyNumberFormat="1" applyFill="1" applyBorder="1" applyAlignment="1" applyProtection="1">
      <alignment horizontal="center"/>
      <protection locked="0"/>
    </xf>
    <xf numFmtId="0" fontId="1" fillId="3" borderId="14" xfId="0" applyFont="1" applyFill="1" applyBorder="1" applyAlignment="1">
      <alignment horizontal="center" vertical="center"/>
    </xf>
    <xf numFmtId="0" fontId="1" fillId="2" borderId="10" xfId="0" applyFont="1" applyFill="1" applyBorder="1"/>
    <xf numFmtId="0" fontId="1" fillId="0" borderId="0" xfId="0" applyFont="1" applyFill="1" applyBorder="1"/>
    <xf numFmtId="3" fontId="1" fillId="0" borderId="0" xfId="0" applyNumberFormat="1" applyFont="1" applyFill="1" applyBorder="1" applyAlignment="1">
      <alignment horizontal="center"/>
    </xf>
    <xf numFmtId="0" fontId="1" fillId="0" borderId="0" xfId="0" applyFont="1" applyFill="1" applyBorder="1" applyAlignment="1">
      <alignment horizontal="center" vertical="center"/>
    </xf>
    <xf numFmtId="0" fontId="1" fillId="0" borderId="0" xfId="0" applyFont="1" applyFill="1" applyBorder="1" applyAlignment="1">
      <alignment horizontal="justify" vertical="center"/>
    </xf>
    <xf numFmtId="3" fontId="4" fillId="3" borderId="7" xfId="0" applyNumberFormat="1" applyFont="1" applyFill="1" applyBorder="1" applyAlignment="1" applyProtection="1">
      <alignment horizontal="center" vertical="center" wrapText="1"/>
      <protection locked="0"/>
    </xf>
    <xf numFmtId="3" fontId="6" fillId="3" borderId="7" xfId="0" applyNumberFormat="1" applyFont="1" applyFill="1" applyBorder="1" applyAlignment="1" applyProtection="1">
      <alignment horizontal="center" vertical="center" wrapText="1"/>
      <protection locked="0"/>
    </xf>
    <xf numFmtId="3" fontId="0" fillId="0" borderId="0" xfId="0" applyNumberFormat="1" applyFill="1" applyBorder="1" applyAlignment="1" applyProtection="1">
      <alignment horizontal="center"/>
      <protection locked="0"/>
    </xf>
    <xf numFmtId="164" fontId="0" fillId="0" borderId="0" xfId="0" applyNumberFormat="1" applyFill="1" applyBorder="1" applyAlignment="1" applyProtection="1">
      <alignment horizontal="center"/>
      <protection locked="0"/>
    </xf>
    <xf numFmtId="10" fontId="0" fillId="0" borderId="0" xfId="0" applyNumberFormat="1" applyFill="1" applyBorder="1" applyAlignment="1" applyProtection="1">
      <alignment horizontal="center"/>
      <protection locked="0"/>
    </xf>
    <xf numFmtId="0" fontId="1" fillId="0" borderId="0" xfId="0" applyFont="1" applyFill="1" applyBorder="1" applyAlignment="1">
      <alignment horizontal="center" vertical="center" wrapText="1"/>
    </xf>
    <xf numFmtId="4" fontId="0" fillId="0" borderId="0" xfId="0" applyNumberFormat="1" applyFill="1" applyBorder="1" applyAlignment="1" applyProtection="1">
      <alignment horizontal="center"/>
      <protection locked="0"/>
    </xf>
    <xf numFmtId="164" fontId="1" fillId="0" borderId="0" xfId="0" applyNumberFormat="1" applyFont="1" applyFill="1" applyBorder="1" applyAlignment="1">
      <alignment horizontal="center" vertical="center"/>
    </xf>
    <xf numFmtId="10" fontId="1" fillId="0" borderId="0" xfId="0" applyNumberFormat="1" applyFont="1" applyFill="1" applyBorder="1" applyAlignment="1">
      <alignment horizontal="center" vertical="center"/>
    </xf>
    <xf numFmtId="10" fontId="1" fillId="0" borderId="0" xfId="0" applyNumberFormat="1" applyFont="1" applyFill="1" applyBorder="1" applyAlignment="1">
      <alignment horizontal="center"/>
    </xf>
    <xf numFmtId="164" fontId="1" fillId="0" borderId="0" xfId="0" applyNumberFormat="1" applyFont="1" applyFill="1" applyBorder="1" applyAlignment="1">
      <alignment horizontal="center"/>
    </xf>
    <xf numFmtId="9" fontId="1" fillId="0" borderId="0" xfId="0" applyNumberFormat="1" applyFont="1" applyFill="1" applyBorder="1" applyAlignment="1">
      <alignment horizontal="center"/>
    </xf>
    <xf numFmtId="0" fontId="18" fillId="3" borderId="10" xfId="0" applyFont="1" applyFill="1" applyBorder="1" applyAlignment="1">
      <alignment horizontal="center" vertical="center" wrapText="1"/>
    </xf>
    <xf numFmtId="4" fontId="0" fillId="0" borderId="7" xfId="0" applyNumberFormat="1" applyFill="1" applyBorder="1" applyAlignment="1">
      <alignment horizontal="center"/>
    </xf>
    <xf numFmtId="164" fontId="0" fillId="0" borderId="7" xfId="0" applyNumberFormat="1" applyBorder="1" applyAlignment="1">
      <alignment horizontal="center"/>
    </xf>
    <xf numFmtId="10" fontId="1" fillId="0" borderId="7" xfId="0" applyNumberFormat="1" applyFont="1" applyBorder="1" applyAlignment="1">
      <alignment horizontal="center"/>
    </xf>
    <xf numFmtId="3" fontId="1" fillId="0" borderId="7" xfId="0" applyNumberFormat="1" applyFont="1" applyBorder="1" applyAlignment="1">
      <alignment horizontal="center"/>
    </xf>
    <xf numFmtId="164" fontId="1" fillId="0" borderId="7" xfId="0" applyNumberFormat="1" applyFont="1" applyBorder="1"/>
    <xf numFmtId="0" fontId="18" fillId="3" borderId="7" xfId="0" applyFont="1" applyFill="1" applyBorder="1" applyAlignment="1">
      <alignment horizontal="center" vertical="center" wrapText="1"/>
    </xf>
    <xf numFmtId="10" fontId="0" fillId="0" borderId="7" xfId="0" applyNumberFormat="1" applyFont="1" applyFill="1" applyBorder="1" applyAlignment="1">
      <alignment horizontal="center" vertical="center"/>
    </xf>
    <xf numFmtId="164" fontId="0" fillId="0" borderId="7" xfId="0" applyNumberFormat="1" applyFont="1" applyFill="1" applyBorder="1" applyAlignment="1">
      <alignment horizontal="center" vertical="center"/>
    </xf>
    <xf numFmtId="0" fontId="1" fillId="3" borderId="7" xfId="0" applyFont="1" applyFill="1" applyBorder="1" applyAlignment="1">
      <alignment horizontal="center" vertical="center"/>
    </xf>
    <xf numFmtId="0" fontId="1" fillId="3" borderId="7" xfId="0" applyFont="1" applyFill="1" applyBorder="1" applyAlignment="1">
      <alignment horizontal="center"/>
    </xf>
    <xf numFmtId="0" fontId="6" fillId="3" borderId="10" xfId="0" applyFont="1" applyFill="1" applyBorder="1" applyAlignment="1">
      <alignment horizontal="center" vertical="center"/>
    </xf>
    <xf numFmtId="0" fontId="4" fillId="3" borderId="10" xfId="0" applyFont="1" applyFill="1" applyBorder="1" applyAlignment="1">
      <alignment horizontal="center" vertical="center"/>
    </xf>
    <xf numFmtId="0" fontId="4" fillId="2" borderId="7" xfId="0" applyFont="1" applyFill="1" applyBorder="1"/>
    <xf numFmtId="3" fontId="1" fillId="9" borderId="7" xfId="0" applyNumberFormat="1" applyFont="1" applyFill="1" applyBorder="1" applyAlignment="1">
      <alignment horizontal="center"/>
    </xf>
    <xf numFmtId="3" fontId="5" fillId="0" borderId="7" xfId="0" applyNumberFormat="1" applyFont="1" applyFill="1" applyBorder="1" applyAlignment="1" applyProtection="1">
      <alignment horizontal="center"/>
      <protection locked="0"/>
    </xf>
    <xf numFmtId="3" fontId="5" fillId="6" borderId="7" xfId="0" applyNumberFormat="1" applyFont="1" applyFill="1" applyBorder="1" applyAlignment="1" applyProtection="1">
      <alignment horizontal="center"/>
      <protection locked="0"/>
    </xf>
    <xf numFmtId="0" fontId="5" fillId="0" borderId="0" xfId="0" applyFont="1"/>
    <xf numFmtId="0" fontId="4" fillId="3" borderId="7" xfId="0" applyFont="1" applyFill="1" applyBorder="1"/>
    <xf numFmtId="3" fontId="4" fillId="9" borderId="7" xfId="0" applyNumberFormat="1" applyFont="1" applyFill="1" applyBorder="1" applyAlignment="1">
      <alignment horizontal="center"/>
    </xf>
    <xf numFmtId="3" fontId="4" fillId="3" borderId="7" xfId="0" applyNumberFormat="1" applyFont="1" applyFill="1" applyBorder="1" applyAlignment="1">
      <alignment horizontal="center"/>
    </xf>
    <xf numFmtId="0" fontId="0" fillId="0" borderId="0" xfId="0" applyFont="1" applyAlignment="1">
      <alignment vertical="center"/>
    </xf>
    <xf numFmtId="0" fontId="0" fillId="0" borderId="0" xfId="0" applyFont="1" applyAlignment="1">
      <alignment horizontal="center" vertical="center"/>
    </xf>
    <xf numFmtId="0" fontId="0" fillId="0" borderId="0" xfId="0" applyFont="1" applyAlignment="1"/>
    <xf numFmtId="0" fontId="1" fillId="12" borderId="11" xfId="0" applyFont="1" applyFill="1" applyBorder="1" applyAlignment="1" applyProtection="1">
      <alignment vertical="center"/>
    </xf>
    <xf numFmtId="0" fontId="1" fillId="0" borderId="12" xfId="0" applyFont="1" applyFill="1" applyBorder="1" applyAlignment="1" applyProtection="1">
      <alignment vertical="center"/>
    </xf>
    <xf numFmtId="0" fontId="1" fillId="0" borderId="12" xfId="0" applyFont="1" applyFill="1" applyBorder="1" applyAlignment="1" applyProtection="1">
      <alignment horizontal="center" vertical="center" wrapText="1"/>
    </xf>
    <xf numFmtId="49" fontId="19" fillId="8" borderId="7" xfId="1" applyNumberFormat="1" applyFont="1" applyBorder="1" applyAlignment="1" applyProtection="1">
      <alignment horizontal="center" vertical="center"/>
    </xf>
    <xf numFmtId="0" fontId="0" fillId="0" borderId="7" xfId="0" applyFont="1" applyBorder="1" applyAlignment="1">
      <alignment horizontal="center" vertical="center"/>
    </xf>
    <xf numFmtId="0" fontId="0" fillId="0" borderId="0" xfId="0" applyFont="1" applyBorder="1" applyAlignment="1">
      <alignment vertical="center"/>
    </xf>
    <xf numFmtId="0" fontId="0" fillId="0" borderId="0" xfId="0" applyFont="1" applyBorder="1" applyAlignment="1">
      <alignment horizontal="center" vertical="center"/>
    </xf>
    <xf numFmtId="0" fontId="1" fillId="0" borderId="16" xfId="0" applyFont="1" applyFill="1" applyBorder="1" applyAlignment="1" applyProtection="1">
      <alignment horizontal="center" vertical="center" wrapText="1"/>
    </xf>
    <xf numFmtId="0" fontId="19" fillId="8" borderId="7" xfId="1" applyFont="1" applyBorder="1" applyAlignment="1" applyProtection="1">
      <alignment horizontal="center" vertical="center"/>
    </xf>
    <xf numFmtId="0" fontId="1" fillId="12" borderId="15" xfId="0" applyFont="1" applyFill="1" applyBorder="1" applyAlignment="1" applyProtection="1">
      <alignment vertical="center"/>
    </xf>
    <xf numFmtId="49" fontId="21" fillId="13" borderId="7" xfId="0" applyNumberFormat="1" applyFont="1" applyFill="1" applyBorder="1" applyAlignment="1" applyProtection="1">
      <alignment horizontal="center" vertical="center"/>
    </xf>
    <xf numFmtId="0" fontId="1" fillId="12" borderId="1" xfId="0" applyFont="1" applyFill="1" applyBorder="1" applyAlignment="1" applyProtection="1">
      <alignment vertical="center"/>
    </xf>
    <xf numFmtId="0" fontId="0" fillId="12" borderId="15" xfId="0" applyFont="1" applyFill="1" applyBorder="1" applyAlignment="1" applyProtection="1">
      <alignment vertical="center"/>
    </xf>
    <xf numFmtId="167" fontId="0" fillId="13" borderId="7" xfId="0" applyNumberFormat="1" applyFont="1" applyFill="1" applyBorder="1" applyAlignment="1" applyProtection="1">
      <alignment horizontal="center" vertical="center"/>
    </xf>
    <xf numFmtId="0" fontId="20" fillId="12" borderId="1" xfId="0" applyFont="1" applyFill="1" applyBorder="1" applyAlignment="1" applyProtection="1">
      <alignment vertical="center"/>
    </xf>
    <xf numFmtId="0" fontId="0" fillId="13" borderId="7" xfId="0" applyFont="1" applyFill="1" applyBorder="1" applyAlignment="1" applyProtection="1">
      <alignment horizontal="center" vertical="center"/>
    </xf>
    <xf numFmtId="0" fontId="1" fillId="12" borderId="14" xfId="0" applyFont="1" applyFill="1" applyBorder="1" applyAlignment="1" applyProtection="1">
      <alignment vertical="center"/>
    </xf>
    <xf numFmtId="0" fontId="1" fillId="12" borderId="15" xfId="0" applyFont="1" applyFill="1" applyBorder="1" applyAlignment="1" applyProtection="1">
      <alignment vertical="center" wrapText="1"/>
    </xf>
    <xf numFmtId="0" fontId="1" fillId="0" borderId="12" xfId="0" applyFont="1" applyFill="1" applyBorder="1" applyAlignment="1" applyProtection="1">
      <alignment vertical="center" wrapText="1"/>
    </xf>
    <xf numFmtId="0" fontId="1" fillId="0" borderId="16" xfId="0" applyFont="1" applyFill="1" applyBorder="1" applyAlignment="1" applyProtection="1">
      <alignment vertical="center" wrapText="1"/>
    </xf>
    <xf numFmtId="0" fontId="1" fillId="0" borderId="16" xfId="0" applyFont="1" applyFill="1" applyBorder="1" applyAlignment="1" applyProtection="1">
      <alignment vertical="center"/>
    </xf>
    <xf numFmtId="0" fontId="0" fillId="0" borderId="15" xfId="0" applyFont="1" applyBorder="1" applyAlignment="1">
      <alignment vertical="center"/>
    </xf>
    <xf numFmtId="0" fontId="0" fillId="0" borderId="34" xfId="0" applyFont="1" applyBorder="1" applyAlignment="1">
      <alignment horizontal="center" vertical="center"/>
    </xf>
    <xf numFmtId="0" fontId="1" fillId="0" borderId="2" xfId="0" applyFont="1" applyFill="1" applyBorder="1" applyAlignment="1" applyProtection="1">
      <alignment vertical="center"/>
    </xf>
    <xf numFmtId="0" fontId="1" fillId="0" borderId="2" xfId="0" applyFont="1" applyFill="1" applyBorder="1" applyAlignment="1" applyProtection="1">
      <alignment horizontal="center" vertical="center" wrapText="1"/>
    </xf>
    <xf numFmtId="0" fontId="18" fillId="3" borderId="7" xfId="0" applyFont="1" applyFill="1" applyBorder="1" applyAlignment="1" applyProtection="1">
      <alignment horizontal="center" vertical="center" wrapText="1"/>
    </xf>
    <xf numFmtId="0" fontId="22" fillId="3" borderId="7" xfId="0" applyFont="1" applyFill="1" applyBorder="1" applyAlignment="1" applyProtection="1">
      <alignment horizontal="center" vertical="center" wrapText="1"/>
    </xf>
    <xf numFmtId="0" fontId="26" fillId="0" borderId="0" xfId="0" applyFont="1" applyFill="1" applyBorder="1"/>
    <xf numFmtId="0" fontId="27" fillId="0" borderId="0" xfId="0" applyFont="1" applyFill="1" applyBorder="1" applyAlignment="1">
      <alignment horizontal="center" vertical="center"/>
    </xf>
    <xf numFmtId="0" fontId="0" fillId="0" borderId="0" xfId="0" applyFill="1" applyBorder="1"/>
    <xf numFmtId="0" fontId="26" fillId="4" borderId="8" xfId="0" applyFont="1" applyFill="1" applyBorder="1"/>
    <xf numFmtId="0" fontId="27" fillId="4" borderId="10" xfId="0" applyFont="1" applyFill="1" applyBorder="1" applyAlignment="1">
      <alignment horizontal="center" vertical="center"/>
    </xf>
    <xf numFmtId="0" fontId="0" fillId="0" borderId="0" xfId="0" applyFont="1"/>
    <xf numFmtId="0" fontId="35" fillId="0" borderId="7" xfId="0" applyFont="1" applyBorder="1" applyAlignment="1">
      <alignment wrapText="1"/>
    </xf>
    <xf numFmtId="3" fontId="21" fillId="0" borderId="7" xfId="0" applyNumberFormat="1" applyFont="1" applyFill="1" applyBorder="1" applyAlignment="1">
      <alignment horizontal="center" vertical="center"/>
    </xf>
    <xf numFmtId="0" fontId="4" fillId="0" borderId="7" xfId="0" applyFont="1" applyFill="1" applyBorder="1" applyAlignment="1">
      <alignment horizontal="left" wrapText="1"/>
    </xf>
    <xf numFmtId="0" fontId="20" fillId="0" borderId="7" xfId="0" applyFont="1" applyBorder="1"/>
    <xf numFmtId="3" fontId="19" fillId="8" borderId="7" xfId="1" applyNumberFormat="1" applyFont="1" applyBorder="1" applyAlignment="1">
      <alignment horizontal="center" vertical="center"/>
    </xf>
    <xf numFmtId="3" fontId="21" fillId="4" borderId="7" xfId="0" applyNumberFormat="1" applyFont="1" applyFill="1" applyBorder="1" applyAlignment="1">
      <alignment horizontal="center" vertical="center"/>
    </xf>
    <xf numFmtId="0" fontId="1" fillId="0" borderId="7" xfId="0" applyFont="1" applyBorder="1"/>
    <xf numFmtId="0" fontId="1" fillId="0" borderId="7" xfId="0" applyFont="1" applyFill="1" applyBorder="1" applyAlignment="1">
      <alignment horizontal="left"/>
    </xf>
    <xf numFmtId="0" fontId="20" fillId="0" borderId="7" xfId="0" applyFont="1" applyFill="1" applyBorder="1"/>
    <xf numFmtId="0" fontId="1" fillId="2" borderId="7" xfId="0" applyFont="1" applyFill="1" applyBorder="1" applyAlignment="1">
      <alignment horizontal="left" vertical="center" wrapText="1"/>
    </xf>
    <xf numFmtId="0" fontId="37" fillId="3" borderId="7" xfId="0" applyFont="1" applyFill="1" applyBorder="1" applyAlignment="1">
      <alignment horizontal="center" vertical="center"/>
    </xf>
    <xf numFmtId="0" fontId="37" fillId="0" borderId="7" xfId="0" applyFont="1" applyFill="1" applyBorder="1" applyAlignment="1">
      <alignment vertical="center"/>
    </xf>
    <xf numFmtId="0" fontId="36" fillId="0" borderId="7" xfId="0" applyFont="1" applyFill="1" applyBorder="1" applyAlignment="1">
      <alignment horizontal="center" vertical="center"/>
    </xf>
    <xf numFmtId="0" fontId="1" fillId="2" borderId="7" xfId="0" applyFont="1" applyFill="1" applyBorder="1" applyAlignment="1">
      <alignment horizontal="center" vertical="center" wrapText="1"/>
    </xf>
    <xf numFmtId="10" fontId="1" fillId="2" borderId="7" xfId="0" applyNumberFormat="1" applyFont="1" applyFill="1" applyBorder="1" applyAlignment="1">
      <alignment horizontal="center" vertical="center" wrapText="1"/>
    </xf>
    <xf numFmtId="0" fontId="1" fillId="0" borderId="7" xfId="0" applyFont="1" applyBorder="1" applyAlignment="1">
      <alignment horizontal="center"/>
    </xf>
    <xf numFmtId="0" fontId="4" fillId="3" borderId="7" xfId="0" applyFont="1" applyFill="1" applyBorder="1" applyAlignment="1">
      <alignment horizontal="center" vertical="center"/>
    </xf>
    <xf numFmtId="0" fontId="4" fillId="12" borderId="7" xfId="0" applyFont="1" applyFill="1" applyBorder="1" applyAlignment="1">
      <alignment horizontal="center" vertical="center"/>
    </xf>
    <xf numFmtId="0" fontId="4" fillId="15" borderId="7" xfId="0" applyFont="1" applyFill="1" applyBorder="1" applyAlignment="1">
      <alignment horizontal="center" vertical="center"/>
    </xf>
    <xf numFmtId="0" fontId="4" fillId="16" borderId="7" xfId="0" applyFont="1" applyFill="1" applyBorder="1" applyAlignment="1">
      <alignment horizontal="center" vertical="center"/>
    </xf>
    <xf numFmtId="0" fontId="4" fillId="17" borderId="7" xfId="0" applyFont="1" applyFill="1" applyBorder="1" applyAlignment="1">
      <alignment horizontal="center" vertical="center"/>
    </xf>
    <xf numFmtId="0" fontId="4" fillId="4" borderId="7" xfId="0" applyFont="1" applyFill="1" applyBorder="1" applyAlignment="1">
      <alignment horizontal="left" vertical="center"/>
    </xf>
    <xf numFmtId="3" fontId="39" fillId="0" borderId="7" xfId="0" applyNumberFormat="1" applyFont="1" applyFill="1" applyBorder="1" applyAlignment="1">
      <alignment horizontal="center" vertical="center"/>
    </xf>
    <xf numFmtId="3" fontId="4" fillId="4" borderId="7" xfId="0" applyNumberFormat="1" applyFont="1" applyFill="1" applyBorder="1" applyAlignment="1">
      <alignment horizontal="center" vertical="center"/>
    </xf>
    <xf numFmtId="3" fontId="4" fillId="3" borderId="7" xfId="0" applyNumberFormat="1" applyFont="1" applyFill="1" applyBorder="1" applyAlignment="1">
      <alignment horizontal="center" vertical="center"/>
    </xf>
    <xf numFmtId="10" fontId="4" fillId="3" borderId="7" xfId="0" applyNumberFormat="1" applyFont="1" applyFill="1" applyBorder="1" applyAlignment="1">
      <alignment horizontal="center" vertical="center"/>
    </xf>
    <xf numFmtId="10" fontId="34" fillId="0" borderId="0" xfId="0" applyNumberFormat="1" applyFont="1"/>
    <xf numFmtId="0" fontId="4" fillId="18" borderId="7" xfId="0" applyFont="1" applyFill="1" applyBorder="1" applyAlignment="1">
      <alignment horizontal="center" vertical="center"/>
    </xf>
    <xf numFmtId="0" fontId="41" fillId="0" borderId="0" xfId="0" applyFont="1"/>
    <xf numFmtId="0" fontId="41" fillId="0" borderId="0" xfId="0" applyFont="1" applyAlignment="1">
      <alignment horizontal="center"/>
    </xf>
    <xf numFmtId="0" fontId="0" fillId="0" borderId="0" xfId="0" applyFill="1" applyAlignment="1">
      <alignment horizontal="center"/>
    </xf>
    <xf numFmtId="0" fontId="41" fillId="14" borderId="0" xfId="0" applyFont="1" applyFill="1" applyAlignment="1">
      <alignment horizontal="center"/>
    </xf>
    <xf numFmtId="22" fontId="4" fillId="0" borderId="0" xfId="0" applyNumberFormat="1" applyFont="1" applyAlignment="1">
      <alignment horizontal="left"/>
    </xf>
    <xf numFmtId="0" fontId="1" fillId="14" borderId="0" xfId="0" applyFont="1" applyFill="1" applyAlignment="1" applyProtection="1">
      <alignment horizontal="center" vertical="center" wrapText="1"/>
      <protection locked="0"/>
    </xf>
    <xf numFmtId="0" fontId="0" fillId="2" borderId="0" xfId="0" quotePrefix="1" applyFill="1"/>
    <xf numFmtId="0" fontId="0" fillId="19" borderId="0" xfId="0" applyFill="1"/>
    <xf numFmtId="0" fontId="0" fillId="20" borderId="0" xfId="0" applyFill="1"/>
    <xf numFmtId="0" fontId="1" fillId="0" borderId="0" xfId="0" applyFont="1"/>
    <xf numFmtId="0" fontId="43" fillId="20" borderId="0" xfId="0" applyFont="1" applyFill="1"/>
    <xf numFmtId="0" fontId="43" fillId="19" borderId="0" xfId="0" applyFont="1" applyFill="1"/>
    <xf numFmtId="0" fontId="0" fillId="21" borderId="0" xfId="0" applyFill="1"/>
    <xf numFmtId="0" fontId="4" fillId="21" borderId="0" xfId="0" applyFont="1" applyFill="1"/>
    <xf numFmtId="0" fontId="43" fillId="12" borderId="15" xfId="0" applyFont="1" applyFill="1" applyBorder="1" applyAlignment="1" applyProtection="1">
      <alignment horizontal="center" vertical="center" wrapText="1"/>
    </xf>
    <xf numFmtId="0" fontId="43" fillId="0" borderId="16" xfId="0" applyFont="1" applyFill="1" applyBorder="1" applyAlignment="1" applyProtection="1">
      <alignment horizontal="center" vertical="center"/>
    </xf>
    <xf numFmtId="0" fontId="43" fillId="0" borderId="12" xfId="0" applyFont="1" applyFill="1" applyBorder="1" applyAlignment="1" applyProtection="1">
      <alignment horizontal="center" wrapText="1"/>
    </xf>
    <xf numFmtId="0" fontId="43" fillId="0" borderId="16" xfId="0" applyFont="1" applyFill="1" applyBorder="1" applyAlignment="1" applyProtection="1">
      <alignment horizontal="center" wrapText="1"/>
    </xf>
    <xf numFmtId="0" fontId="41" fillId="0" borderId="16" xfId="0" applyFont="1" applyFill="1" applyBorder="1" applyAlignment="1" applyProtection="1">
      <alignment wrapText="1"/>
    </xf>
    <xf numFmtId="0" fontId="41" fillId="0" borderId="16" xfId="0" applyFont="1" applyFill="1" applyBorder="1" applyAlignment="1" applyProtection="1">
      <alignment horizontal="center" wrapText="1"/>
    </xf>
    <xf numFmtId="0" fontId="41" fillId="0" borderId="2" xfId="0" applyFont="1" applyFill="1" applyBorder="1" applyAlignment="1" applyProtection="1">
      <alignment horizontal="left" wrapText="1"/>
    </xf>
    <xf numFmtId="49" fontId="41" fillId="0" borderId="2" xfId="0" applyNumberFormat="1" applyFont="1" applyFill="1" applyBorder="1" applyAlignment="1" applyProtection="1">
      <alignment horizontal="justify" vertical="center"/>
    </xf>
    <xf numFmtId="0" fontId="41" fillId="0" borderId="16" xfId="0" applyFont="1" applyFill="1" applyBorder="1" applyAlignment="1" applyProtection="1">
      <alignment horizontal="center" vertical="center" wrapText="1"/>
    </xf>
    <xf numFmtId="49" fontId="45" fillId="8" borderId="7" xfId="1" applyNumberFormat="1" applyFont="1" applyBorder="1" applyAlignment="1" applyProtection="1">
      <alignment horizontal="center"/>
    </xf>
    <xf numFmtId="0" fontId="43" fillId="12" borderId="0" xfId="0" applyFont="1" applyFill="1" applyBorder="1" applyAlignment="1" applyProtection="1">
      <alignment horizontal="center" vertical="center"/>
    </xf>
    <xf numFmtId="0" fontId="41" fillId="11" borderId="12" xfId="0" applyNumberFormat="1" applyFont="1" applyFill="1" applyBorder="1" applyAlignment="1" applyProtection="1">
      <alignment horizontal="center"/>
    </xf>
    <xf numFmtId="0" fontId="41" fillId="11" borderId="16" xfId="0" applyFont="1" applyFill="1" applyBorder="1" applyAlignment="1" applyProtection="1">
      <alignment horizontal="justify"/>
    </xf>
    <xf numFmtId="0" fontId="43" fillId="12" borderId="15" xfId="0" applyFont="1" applyFill="1" applyBorder="1" applyAlignment="1" applyProtection="1">
      <alignment horizontal="justify" vertical="center"/>
    </xf>
    <xf numFmtId="0" fontId="43" fillId="0" borderId="16" xfId="0" applyFont="1" applyFill="1" applyBorder="1" applyAlignment="1" applyProtection="1">
      <alignment horizontal="justify"/>
    </xf>
    <xf numFmtId="49" fontId="41" fillId="13" borderId="0" xfId="0" applyNumberFormat="1" applyFont="1" applyFill="1" applyBorder="1" applyAlignment="1" applyProtection="1">
      <alignment horizontal="center"/>
    </xf>
    <xf numFmtId="0" fontId="41" fillId="0" borderId="16" xfId="0" applyFont="1" applyFill="1" applyBorder="1" applyAlignment="1" applyProtection="1">
      <alignment horizontal="left" wrapText="1"/>
    </xf>
    <xf numFmtId="49" fontId="46" fillId="13" borderId="0" xfId="0" applyNumberFormat="1" applyFont="1" applyFill="1" applyBorder="1" applyAlignment="1" applyProtection="1">
      <alignment horizontal="center" vertical="center"/>
    </xf>
    <xf numFmtId="0" fontId="43" fillId="12" borderId="0" xfId="0" applyFont="1" applyFill="1" applyAlignment="1" applyProtection="1">
      <alignment horizontal="justify" vertical="center"/>
    </xf>
    <xf numFmtId="49" fontId="41" fillId="13" borderId="0" xfId="0" applyNumberFormat="1" applyFont="1" applyFill="1" applyBorder="1" applyAlignment="1" applyProtection="1">
      <alignment horizontal="center" vertical="center"/>
    </xf>
    <xf numFmtId="0" fontId="43" fillId="0" borderId="12" xfId="0" applyFont="1" applyFill="1" applyBorder="1" applyAlignment="1" applyProtection="1">
      <alignment horizontal="justify"/>
    </xf>
    <xf numFmtId="0" fontId="41" fillId="12" borderId="0" xfId="0" applyFont="1" applyFill="1" applyAlignment="1" applyProtection="1">
      <alignment horizontal="justify" vertical="center"/>
    </xf>
    <xf numFmtId="0" fontId="45" fillId="8" borderId="7" xfId="1" applyFont="1" applyBorder="1" applyAlignment="1" applyProtection="1">
      <alignment horizontal="center"/>
    </xf>
    <xf numFmtId="49" fontId="41" fillId="0" borderId="16" xfId="0" applyNumberFormat="1" applyFont="1" applyFill="1" applyBorder="1" applyAlignment="1" applyProtection="1">
      <alignment wrapText="1"/>
    </xf>
    <xf numFmtId="0" fontId="44" fillId="12" borderId="1" xfId="0" applyFont="1" applyFill="1" applyBorder="1" applyAlignment="1" applyProtection="1">
      <alignment horizontal="justify" vertical="center"/>
    </xf>
    <xf numFmtId="0" fontId="43" fillId="9" borderId="12" xfId="0" applyFont="1" applyFill="1" applyBorder="1" applyAlignment="1" applyProtection="1">
      <alignment horizontal="center" wrapText="1"/>
    </xf>
    <xf numFmtId="0" fontId="43" fillId="12" borderId="1" xfId="0" applyFont="1" applyFill="1" applyBorder="1" applyAlignment="1" applyProtection="1">
      <alignment horizontal="justify" vertical="center"/>
    </xf>
    <xf numFmtId="0" fontId="43" fillId="12" borderId="0" xfId="0" applyFont="1" applyFill="1" applyBorder="1" applyAlignment="1" applyProtection="1">
      <alignment horizontal="justify" vertical="center"/>
    </xf>
    <xf numFmtId="0" fontId="43" fillId="9" borderId="16" xfId="0" applyFont="1" applyFill="1" applyBorder="1" applyAlignment="1" applyProtection="1">
      <alignment horizontal="center" wrapText="1"/>
    </xf>
    <xf numFmtId="0" fontId="41" fillId="0" borderId="12" xfId="0" applyFont="1" applyFill="1" applyBorder="1" applyAlignment="1" applyProtection="1">
      <alignment wrapText="1"/>
    </xf>
    <xf numFmtId="0" fontId="41" fillId="0" borderId="12" xfId="0" applyFont="1" applyFill="1" applyBorder="1" applyAlignment="1" applyProtection="1">
      <alignment horizontal="center" wrapText="1"/>
    </xf>
    <xf numFmtId="0" fontId="41" fillId="0" borderId="13" xfId="0" applyFont="1" applyFill="1" applyBorder="1" applyAlignment="1" applyProtection="1">
      <alignment horizontal="left" wrapText="1"/>
    </xf>
    <xf numFmtId="0" fontId="43" fillId="12" borderId="2" xfId="0" applyFont="1" applyFill="1" applyBorder="1" applyAlignment="1" applyProtection="1">
      <alignment horizontal="justify" vertical="center"/>
    </xf>
    <xf numFmtId="49" fontId="46" fillId="13" borderId="0" xfId="0" applyNumberFormat="1" applyFont="1" applyFill="1" applyBorder="1" applyAlignment="1" applyProtection="1">
      <alignment horizontal="center"/>
    </xf>
    <xf numFmtId="0" fontId="41" fillId="12" borderId="16" xfId="0" applyFont="1" applyFill="1" applyBorder="1" applyAlignment="1" applyProtection="1">
      <alignment horizontal="justify" vertical="center"/>
    </xf>
    <xf numFmtId="0" fontId="43" fillId="0" borderId="16" xfId="0" applyFont="1" applyFill="1" applyBorder="1" applyAlignment="1" applyProtection="1">
      <alignment wrapText="1"/>
    </xf>
    <xf numFmtId="0" fontId="41" fillId="0" borderId="12" xfId="0" applyFont="1" applyFill="1" applyBorder="1" applyAlignment="1" applyProtection="1">
      <alignment horizontal="left" wrapText="1"/>
    </xf>
    <xf numFmtId="49" fontId="41" fillId="0" borderId="12" xfId="0" applyNumberFormat="1" applyFont="1" applyFill="1" applyBorder="1" applyAlignment="1" applyProtection="1">
      <alignment horizontal="justify" vertical="center"/>
    </xf>
    <xf numFmtId="0" fontId="43" fillId="0" borderId="12" xfId="0" applyFont="1" applyFill="1" applyBorder="1" applyAlignment="1" applyProtection="1">
      <alignment wrapText="1"/>
    </xf>
    <xf numFmtId="0" fontId="41" fillId="13" borderId="0" xfId="0" applyFont="1" applyFill="1" applyBorder="1" applyAlignment="1" applyProtection="1">
      <alignment horizontal="center"/>
    </xf>
    <xf numFmtId="167" fontId="41" fillId="22" borderId="7" xfId="0" applyNumberFormat="1" applyFont="1" applyFill="1" applyBorder="1" applyAlignment="1" applyProtection="1">
      <alignment horizontal="center"/>
    </xf>
    <xf numFmtId="0" fontId="41" fillId="13" borderId="12" xfId="0" applyFont="1" applyFill="1" applyBorder="1" applyAlignment="1" applyProtection="1">
      <alignment horizontal="center"/>
    </xf>
    <xf numFmtId="0" fontId="41" fillId="13" borderId="2" xfId="0" applyFont="1" applyFill="1" applyBorder="1" applyAlignment="1" applyProtection="1">
      <alignment horizontal="center"/>
    </xf>
    <xf numFmtId="0" fontId="47" fillId="22" borderId="12" xfId="0" applyFont="1" applyFill="1" applyBorder="1" applyAlignment="1" applyProtection="1">
      <alignment wrapText="1"/>
    </xf>
    <xf numFmtId="0" fontId="47" fillId="22" borderId="12" xfId="0" applyFont="1" applyFill="1" applyBorder="1" applyAlignment="1" applyProtection="1">
      <alignment horizontal="center" wrapText="1"/>
    </xf>
    <xf numFmtId="0" fontId="44" fillId="22" borderId="12" xfId="0" applyFont="1" applyFill="1" applyBorder="1" applyAlignment="1" applyProtection="1">
      <alignment horizontal="justify" wrapText="1"/>
    </xf>
    <xf numFmtId="0" fontId="46" fillId="22" borderId="12" xfId="0" applyFont="1" applyFill="1" applyBorder="1" applyAlignment="1" applyProtection="1">
      <alignment horizontal="center"/>
    </xf>
    <xf numFmtId="0" fontId="46" fillId="22" borderId="16" xfId="0" applyFont="1" applyFill="1" applyBorder="1" applyAlignment="1" applyProtection="1">
      <alignment horizontal="center" wrapText="1"/>
    </xf>
    <xf numFmtId="0" fontId="41" fillId="22" borderId="12" xfId="0" applyFont="1" applyFill="1" applyBorder="1" applyAlignment="1" applyProtection="1">
      <alignment horizontal="center" wrapText="1"/>
    </xf>
    <xf numFmtId="0" fontId="41" fillId="22" borderId="16" xfId="0" applyFont="1" applyFill="1" applyBorder="1" applyAlignment="1" applyProtection="1">
      <alignment wrapText="1"/>
    </xf>
    <xf numFmtId="0" fontId="41" fillId="22" borderId="12" xfId="0" applyFont="1" applyFill="1" applyBorder="1" applyAlignment="1" applyProtection="1">
      <alignment horizontal="center"/>
    </xf>
    <xf numFmtId="0" fontId="44" fillId="12" borderId="0" xfId="0" applyFont="1" applyFill="1" applyBorder="1" applyAlignment="1" applyProtection="1">
      <alignment horizontal="justify" vertical="center"/>
    </xf>
    <xf numFmtId="0" fontId="43" fillId="12" borderId="16" xfId="0" applyFont="1" applyFill="1" applyBorder="1" applyAlignment="1" applyProtection="1">
      <alignment horizontal="justify" vertical="center"/>
    </xf>
    <xf numFmtId="0" fontId="43" fillId="0" borderId="12" xfId="0" applyFont="1" applyFill="1" applyBorder="1" applyAlignment="1" applyProtection="1">
      <alignment vertical="justify" wrapText="1"/>
    </xf>
    <xf numFmtId="0" fontId="43" fillId="0" borderId="16" xfId="0" applyFont="1" applyFill="1" applyBorder="1" applyAlignment="1" applyProtection="1">
      <alignment vertical="justify" wrapText="1"/>
    </xf>
    <xf numFmtId="0" fontId="47" fillId="12" borderId="12" xfId="0" applyFont="1" applyFill="1" applyBorder="1" applyAlignment="1" applyProtection="1">
      <alignment horizontal="left" wrapText="1"/>
    </xf>
    <xf numFmtId="0" fontId="47" fillId="12" borderId="12" xfId="0" applyFont="1" applyFill="1" applyBorder="1" applyAlignment="1" applyProtection="1">
      <alignment horizontal="center" wrapText="1"/>
    </xf>
    <xf numFmtId="0" fontId="44" fillId="12" borderId="12" xfId="0" applyFont="1" applyFill="1" applyBorder="1" applyAlignment="1" applyProtection="1">
      <alignment horizontal="justify" wrapText="1"/>
    </xf>
    <xf numFmtId="0" fontId="41" fillId="12" borderId="12" xfId="0" applyFont="1" applyFill="1" applyBorder="1" applyAlignment="1" applyProtection="1">
      <alignment horizontal="center"/>
    </xf>
    <xf numFmtId="0" fontId="46" fillId="12" borderId="12" xfId="0" applyFont="1" applyFill="1" applyBorder="1" applyAlignment="1" applyProtection="1">
      <alignment horizontal="center" wrapText="1"/>
    </xf>
    <xf numFmtId="0" fontId="41" fillId="12" borderId="12" xfId="0" applyFont="1" applyFill="1" applyBorder="1" applyAlignment="1" applyProtection="1">
      <alignment horizontal="center" wrapText="1"/>
    </xf>
    <xf numFmtId="0" fontId="41" fillId="12" borderId="12" xfId="0" applyFont="1" applyFill="1" applyBorder="1" applyAlignment="1" applyProtection="1">
      <alignment wrapText="1"/>
    </xf>
    <xf numFmtId="0" fontId="43" fillId="0" borderId="12" xfId="0" applyFont="1" applyFill="1" applyBorder="1" applyAlignment="1" applyProtection="1">
      <alignment horizontal="left" wrapText="1"/>
    </xf>
    <xf numFmtId="0" fontId="47" fillId="12" borderId="12" xfId="0" applyFont="1" applyFill="1" applyBorder="1" applyAlignment="1" applyProtection="1">
      <alignment vertical="justify" wrapText="1"/>
    </xf>
    <xf numFmtId="0" fontId="46" fillId="12" borderId="16" xfId="0" applyFont="1" applyFill="1" applyBorder="1" applyAlignment="1" applyProtection="1">
      <alignment horizontal="center" wrapText="1"/>
    </xf>
    <xf numFmtId="0" fontId="41" fillId="12" borderId="13" xfId="0" applyFont="1" applyFill="1" applyBorder="1" applyAlignment="1" applyProtection="1">
      <alignment horizontal="center"/>
    </xf>
    <xf numFmtId="0" fontId="43" fillId="0" borderId="2" xfId="0" applyFont="1" applyFill="1" applyBorder="1" applyAlignment="1" applyProtection="1">
      <alignment wrapText="1"/>
    </xf>
    <xf numFmtId="0" fontId="43" fillId="0" borderId="2" xfId="0" applyFont="1" applyFill="1" applyBorder="1" applyAlignment="1" applyProtection="1">
      <alignment horizontal="center" wrapText="1"/>
    </xf>
    <xf numFmtId="0" fontId="47" fillId="12" borderId="12" xfId="0" applyFont="1" applyFill="1" applyBorder="1" applyAlignment="1" applyProtection="1">
      <alignment wrapText="1"/>
    </xf>
    <xf numFmtId="0" fontId="41" fillId="13" borderId="16" xfId="0" applyFont="1" applyFill="1" applyBorder="1" applyAlignment="1" applyProtection="1">
      <alignment horizontal="center"/>
    </xf>
    <xf numFmtId="0" fontId="41" fillId="12" borderId="16" xfId="0" applyFont="1" applyFill="1" applyBorder="1" applyAlignment="1" applyProtection="1">
      <alignment wrapText="1"/>
    </xf>
    <xf numFmtId="0" fontId="43" fillId="12" borderId="1" xfId="0" applyFont="1" applyFill="1" applyBorder="1" applyProtection="1"/>
    <xf numFmtId="0" fontId="43" fillId="0" borderId="16" xfId="0" applyFont="1" applyFill="1" applyBorder="1" applyProtection="1"/>
    <xf numFmtId="0" fontId="41" fillId="12" borderId="0" xfId="0" applyFont="1" applyFill="1" applyProtection="1"/>
    <xf numFmtId="0" fontId="43" fillId="0" borderId="12" xfId="0" applyFont="1" applyFill="1" applyBorder="1" applyProtection="1"/>
    <xf numFmtId="0" fontId="41" fillId="0" borderId="12" xfId="0" applyFont="1" applyBorder="1" applyAlignment="1" applyProtection="1">
      <alignment horizontal="center"/>
    </xf>
    <xf numFmtId="0" fontId="43" fillId="12" borderId="12" xfId="0" applyFont="1" applyFill="1" applyBorder="1" applyAlignment="1" applyProtection="1">
      <alignment wrapText="1"/>
    </xf>
    <xf numFmtId="0" fontId="43" fillId="12" borderId="0" xfId="0" applyFont="1" applyFill="1" applyAlignment="1" applyProtection="1">
      <alignment wrapText="1"/>
    </xf>
    <xf numFmtId="0" fontId="41" fillId="12" borderId="0" xfId="0" applyFont="1" applyFill="1" applyAlignment="1" applyProtection="1">
      <alignment wrapText="1"/>
    </xf>
    <xf numFmtId="0" fontId="41" fillId="12" borderId="16" xfId="0" applyFont="1" applyFill="1" applyBorder="1" applyProtection="1"/>
    <xf numFmtId="0" fontId="43" fillId="12" borderId="0" xfId="0" applyFont="1" applyFill="1" applyProtection="1"/>
    <xf numFmtId="0" fontId="41" fillId="13" borderId="0" xfId="0" applyFont="1" applyFill="1" applyBorder="1" applyAlignment="1" applyProtection="1">
      <alignment horizontal="justify"/>
    </xf>
    <xf numFmtId="0" fontId="46" fillId="12" borderId="12" xfId="0" applyFont="1" applyFill="1" applyBorder="1" applyAlignment="1" applyProtection="1">
      <alignment horizontal="justify" wrapText="1"/>
    </xf>
    <xf numFmtId="0" fontId="46" fillId="12" borderId="12" xfId="0" applyFont="1" applyFill="1" applyBorder="1" applyAlignment="1" applyProtection="1">
      <alignment horizontal="center"/>
    </xf>
    <xf numFmtId="0" fontId="43" fillId="0" borderId="16" xfId="0" applyFont="1" applyFill="1" applyBorder="1" applyAlignment="1" applyProtection="1">
      <alignment vertical="justify"/>
    </xf>
    <xf numFmtId="0" fontId="43" fillId="22" borderId="0" xfId="0" applyFont="1" applyFill="1" applyAlignment="1" applyProtection="1">
      <alignment horizontal="justify" vertical="center"/>
    </xf>
    <xf numFmtId="0" fontId="41" fillId="22" borderId="0" xfId="0" applyFont="1" applyFill="1" applyAlignment="1" applyProtection="1">
      <alignment horizontal="justify" vertical="center"/>
    </xf>
    <xf numFmtId="0" fontId="41" fillId="22" borderId="0" xfId="0" applyFont="1" applyFill="1" applyProtection="1"/>
    <xf numFmtId="0" fontId="43" fillId="0" borderId="16" xfId="0" applyFont="1" applyFill="1" applyBorder="1" applyAlignment="1" applyProtection="1">
      <alignment horizontal="left" wrapText="1"/>
    </xf>
    <xf numFmtId="0" fontId="43" fillId="12" borderId="1" xfId="0" applyFont="1" applyFill="1" applyBorder="1" applyAlignment="1" applyProtection="1">
      <alignment horizontal="justify"/>
    </xf>
    <xf numFmtId="0" fontId="41" fillId="12" borderId="0" xfId="0" applyFont="1" applyFill="1" applyAlignment="1" applyProtection="1">
      <alignment horizontal="justify"/>
    </xf>
    <xf numFmtId="0" fontId="41" fillId="13" borderId="0" xfId="0" applyFont="1" applyFill="1" applyBorder="1" applyAlignment="1" applyProtection="1">
      <alignment horizontal="center" wrapText="1"/>
    </xf>
    <xf numFmtId="0" fontId="47" fillId="12" borderId="12" xfId="0" applyFont="1" applyFill="1" applyBorder="1" applyProtection="1"/>
    <xf numFmtId="0" fontId="41" fillId="12" borderId="16" xfId="0" applyFont="1" applyFill="1" applyBorder="1" applyAlignment="1" applyProtection="1">
      <alignment horizontal="center"/>
    </xf>
    <xf numFmtId="0" fontId="41" fillId="12" borderId="12" xfId="0" applyFont="1" applyFill="1" applyBorder="1" applyAlignment="1" applyProtection="1">
      <alignment horizontal="justify"/>
    </xf>
    <xf numFmtId="0" fontId="43" fillId="12" borderId="11" xfId="0" applyFont="1" applyFill="1" applyBorder="1" applyAlignment="1" applyProtection="1">
      <alignment horizontal="justify"/>
    </xf>
    <xf numFmtId="0" fontId="43" fillId="12" borderId="2" xfId="0" applyFont="1" applyFill="1" applyBorder="1" applyAlignment="1" applyProtection="1">
      <alignment horizontal="left" wrapText="1"/>
    </xf>
    <xf numFmtId="0" fontId="43" fillId="12" borderId="0" xfId="0" applyFont="1" applyFill="1" applyBorder="1" applyAlignment="1" applyProtection="1">
      <alignment horizontal="justify"/>
    </xf>
    <xf numFmtId="0" fontId="43" fillId="12" borderId="2" xfId="0" applyFont="1" applyFill="1" applyBorder="1" applyAlignment="1" applyProtection="1">
      <alignment horizontal="justify"/>
    </xf>
    <xf numFmtId="0" fontId="43" fillId="12" borderId="16" xfId="0" applyFont="1" applyFill="1" applyBorder="1" applyAlignment="1" applyProtection="1">
      <alignment horizontal="justify"/>
    </xf>
    <xf numFmtId="0" fontId="47" fillId="12" borderId="16" xfId="0" applyFont="1" applyFill="1" applyBorder="1" applyAlignment="1" applyProtection="1">
      <alignment horizontal="center" wrapText="1"/>
    </xf>
    <xf numFmtId="0" fontId="44" fillId="12" borderId="16" xfId="0" applyFont="1" applyFill="1" applyBorder="1" applyAlignment="1" applyProtection="1">
      <alignment wrapText="1"/>
    </xf>
    <xf numFmtId="0" fontId="46" fillId="12" borderId="16" xfId="0" applyFont="1" applyFill="1" applyBorder="1" applyAlignment="1" applyProtection="1">
      <alignment horizontal="center"/>
    </xf>
    <xf numFmtId="0" fontId="43" fillId="23" borderId="12" xfId="0" applyFont="1" applyFill="1" applyBorder="1" applyAlignment="1" applyProtection="1">
      <alignment horizontal="center" wrapText="1"/>
    </xf>
    <xf numFmtId="0" fontId="48" fillId="12" borderId="11" xfId="0" applyFont="1" applyFill="1" applyBorder="1" applyAlignment="1" applyProtection="1">
      <alignment horizontal="justify"/>
    </xf>
    <xf numFmtId="0" fontId="47" fillId="12" borderId="16" xfId="0" applyFont="1" applyFill="1" applyBorder="1" applyProtection="1"/>
    <xf numFmtId="0" fontId="49" fillId="12" borderId="16" xfId="0" applyFont="1" applyFill="1" applyBorder="1" applyAlignment="1" applyProtection="1">
      <alignment horizontal="left" wrapText="1"/>
    </xf>
    <xf numFmtId="0" fontId="43" fillId="12" borderId="12" xfId="0" applyFont="1" applyFill="1" applyBorder="1" applyAlignment="1" applyProtection="1">
      <alignment horizontal="justify"/>
    </xf>
    <xf numFmtId="0" fontId="41" fillId="13" borderId="12" xfId="0" applyFont="1" applyFill="1" applyBorder="1" applyAlignment="1" applyProtection="1">
      <alignment horizontal="center" wrapText="1"/>
    </xf>
    <xf numFmtId="0" fontId="43" fillId="12" borderId="0" xfId="0" applyFont="1" applyFill="1" applyAlignment="1" applyProtection="1">
      <alignment horizontal="justify"/>
    </xf>
    <xf numFmtId="0" fontId="43" fillId="23" borderId="16" xfId="0" applyFont="1" applyFill="1" applyBorder="1" applyAlignment="1" applyProtection="1">
      <alignment horizontal="center" wrapText="1"/>
    </xf>
    <xf numFmtId="0" fontId="41" fillId="12" borderId="16" xfId="0" applyFont="1" applyFill="1" applyBorder="1" applyAlignment="1" applyProtection="1">
      <alignment horizontal="justify"/>
    </xf>
    <xf numFmtId="0" fontId="43" fillId="12" borderId="15" xfId="0" applyFont="1" applyFill="1" applyBorder="1" applyAlignment="1" applyProtection="1">
      <alignment horizontal="justify"/>
    </xf>
    <xf numFmtId="0" fontId="43" fillId="12" borderId="14" xfId="0" applyFont="1" applyFill="1" applyBorder="1" applyAlignment="1" applyProtection="1">
      <alignment horizontal="justify"/>
    </xf>
    <xf numFmtId="0" fontId="43" fillId="12" borderId="1" xfId="0" applyFont="1" applyFill="1" applyBorder="1" applyAlignment="1" applyProtection="1">
      <alignment horizontal="left" wrapText="1"/>
    </xf>
    <xf numFmtId="0" fontId="41" fillId="12" borderId="15" xfId="0" applyFont="1" applyFill="1" applyBorder="1" applyAlignment="1" applyProtection="1">
      <alignment horizontal="justify"/>
    </xf>
    <xf numFmtId="0" fontId="47" fillId="22" borderId="12" xfId="0" applyFont="1" applyFill="1" applyBorder="1" applyProtection="1"/>
    <xf numFmtId="0" fontId="43" fillId="22" borderId="12" xfId="0" applyFont="1" applyFill="1" applyBorder="1" applyAlignment="1" applyProtection="1">
      <alignment wrapText="1"/>
    </xf>
    <xf numFmtId="0" fontId="41" fillId="22" borderId="16" xfId="0" applyFont="1" applyFill="1" applyBorder="1" applyAlignment="1" applyProtection="1">
      <alignment horizontal="center"/>
    </xf>
    <xf numFmtId="0" fontId="41" fillId="12" borderId="14" xfId="0" applyFont="1" applyFill="1" applyBorder="1" applyAlignment="1" applyProtection="1">
      <alignment horizontal="justify"/>
    </xf>
    <xf numFmtId="0" fontId="41" fillId="13" borderId="2" xfId="0" applyFont="1" applyFill="1" applyBorder="1" applyAlignment="1" applyProtection="1">
      <alignment horizontal="center" wrapText="1"/>
    </xf>
    <xf numFmtId="49" fontId="41" fillId="0" borderId="16" xfId="0" applyNumberFormat="1" applyFont="1" applyFill="1" applyBorder="1" applyAlignment="1" applyProtection="1">
      <alignment horizontal="justify" vertical="center"/>
    </xf>
    <xf numFmtId="49" fontId="41" fillId="0" borderId="16" xfId="0" applyNumberFormat="1" applyFont="1" applyFill="1" applyBorder="1" applyAlignment="1" applyProtection="1">
      <alignment horizontal="left" vertical="center" wrapText="1"/>
    </xf>
    <xf numFmtId="49" fontId="41" fillId="0" borderId="16" xfId="0" applyNumberFormat="1" applyFont="1" applyFill="1" applyBorder="1" applyAlignment="1" applyProtection="1">
      <alignment horizontal="justify" vertical="center" wrapText="1"/>
    </xf>
    <xf numFmtId="49" fontId="41" fillId="0" borderId="12" xfId="0" applyNumberFormat="1" applyFont="1" applyFill="1" applyBorder="1" applyAlignment="1" applyProtection="1">
      <alignment horizontal="justify" vertical="center" wrapText="1"/>
    </xf>
    <xf numFmtId="49" fontId="41" fillId="0" borderId="12" xfId="0" applyNumberFormat="1" applyFont="1" applyFill="1" applyBorder="1" applyAlignment="1" applyProtection="1">
      <alignment horizontal="left" vertical="center" wrapText="1"/>
    </xf>
    <xf numFmtId="0" fontId="43" fillId="7" borderId="7" xfId="0" applyFont="1" applyFill="1" applyBorder="1" applyAlignment="1" applyProtection="1">
      <alignment horizontal="center" vertical="center"/>
    </xf>
    <xf numFmtId="0" fontId="43" fillId="7" borderId="7" xfId="0" applyFont="1" applyFill="1" applyBorder="1" applyAlignment="1" applyProtection="1">
      <alignment horizontal="center" vertical="center" wrapText="1"/>
    </xf>
    <xf numFmtId="0" fontId="44" fillId="7" borderId="7" xfId="0" applyFont="1" applyFill="1" applyBorder="1" applyAlignment="1" applyProtection="1">
      <alignment horizontal="center" vertical="center" wrapText="1"/>
    </xf>
    <xf numFmtId="0" fontId="43" fillId="12" borderId="0" xfId="0" applyFont="1" applyFill="1" applyAlignment="1" applyProtection="1">
      <alignment horizontal="justify" vertical="center" wrapText="1"/>
    </xf>
    <xf numFmtId="0" fontId="43" fillId="7" borderId="7" xfId="0" applyFont="1" applyFill="1" applyBorder="1" applyAlignment="1" applyProtection="1">
      <alignment horizontal="center" vertical="justify"/>
    </xf>
    <xf numFmtId="0" fontId="41" fillId="12" borderId="0" xfId="0" applyFont="1" applyFill="1" applyAlignment="1" applyProtection="1">
      <alignment horizontal="justify" vertical="center" wrapText="1"/>
    </xf>
    <xf numFmtId="0" fontId="44" fillId="12" borderId="1" xfId="0" applyFont="1" applyFill="1" applyBorder="1" applyAlignment="1" applyProtection="1">
      <alignment horizontal="justify" vertical="center" wrapText="1"/>
    </xf>
    <xf numFmtId="0" fontId="43" fillId="12" borderId="1" xfId="0" applyFont="1" applyFill="1" applyBorder="1" applyAlignment="1" applyProtection="1">
      <alignment horizontal="justify" vertical="center" wrapText="1"/>
    </xf>
    <xf numFmtId="0" fontId="43" fillId="0" borderId="12" xfId="0" applyFont="1" applyFill="1" applyBorder="1" applyAlignment="1" applyProtection="1">
      <alignment horizontal="left" vertical="justify" wrapText="1"/>
    </xf>
    <xf numFmtId="0" fontId="43" fillId="12" borderId="15" xfId="0" applyFont="1" applyFill="1" applyBorder="1" applyAlignment="1" applyProtection="1">
      <alignment horizontal="center" vertical="center"/>
    </xf>
    <xf numFmtId="0" fontId="41" fillId="0" borderId="12" xfId="0" applyNumberFormat="1" applyFont="1" applyFill="1" applyBorder="1" applyAlignment="1" applyProtection="1">
      <alignment horizontal="justify" vertical="center"/>
    </xf>
    <xf numFmtId="49" fontId="0" fillId="0" borderId="13" xfId="0" applyNumberFormat="1" applyBorder="1" applyAlignment="1">
      <alignment horizontal="center" vertical="center"/>
    </xf>
    <xf numFmtId="49" fontId="41" fillId="13" borderId="16" xfId="0" applyNumberFormat="1" applyFont="1" applyFill="1" applyBorder="1" applyAlignment="1" applyProtection="1">
      <alignment horizontal="center"/>
    </xf>
    <xf numFmtId="49" fontId="41" fillId="13" borderId="16" xfId="0" applyNumberFormat="1" applyFont="1" applyFill="1" applyBorder="1" applyAlignment="1" applyProtection="1">
      <alignment horizontal="center" vertical="center"/>
    </xf>
    <xf numFmtId="0" fontId="41" fillId="13" borderId="12" xfId="0" applyFont="1" applyFill="1" applyBorder="1" applyAlignment="1" applyProtection="1">
      <alignment horizontal="left" wrapText="1"/>
    </xf>
    <xf numFmtId="0" fontId="41" fillId="13" borderId="12" xfId="0" applyFont="1" applyFill="1" applyBorder="1" applyAlignment="1" applyProtection="1">
      <alignment horizontal="justify" vertical="center"/>
    </xf>
    <xf numFmtId="49" fontId="46" fillId="13" borderId="16" xfId="0" applyNumberFormat="1" applyFont="1" applyFill="1" applyBorder="1" applyAlignment="1" applyProtection="1">
      <alignment horizontal="center"/>
    </xf>
    <xf numFmtId="49" fontId="46" fillId="13" borderId="16" xfId="0" applyNumberFormat="1" applyFont="1" applyFill="1" applyBorder="1" applyAlignment="1" applyProtection="1">
      <alignment horizontal="center" vertical="center"/>
    </xf>
    <xf numFmtId="0" fontId="41" fillId="13" borderId="16" xfId="0" applyFont="1" applyFill="1" applyBorder="1" applyAlignment="1" applyProtection="1">
      <alignment horizontal="justify"/>
    </xf>
    <xf numFmtId="0" fontId="41" fillId="13" borderId="16" xfId="0" applyFont="1" applyFill="1" applyBorder="1" applyAlignment="1" applyProtection="1">
      <alignment horizontal="center" wrapText="1"/>
    </xf>
    <xf numFmtId="0" fontId="7" fillId="0" borderId="0" xfId="0" applyFont="1"/>
    <xf numFmtId="0" fontId="0" fillId="22" borderId="0" xfId="0" applyFill="1"/>
    <xf numFmtId="0" fontId="7" fillId="22" borderId="0" xfId="0" applyFont="1" applyFill="1"/>
    <xf numFmtId="10" fontId="51" fillId="22" borderId="0" xfId="0" applyNumberFormat="1" applyFont="1" applyFill="1"/>
    <xf numFmtId="0" fontId="1" fillId="2" borderId="13" xfId="0" applyFont="1" applyFill="1" applyBorder="1" applyAlignment="1">
      <alignment horizontal="center"/>
    </xf>
    <xf numFmtId="0" fontId="1" fillId="2" borderId="7" xfId="0" applyFont="1" applyFill="1" applyBorder="1" applyAlignment="1">
      <alignment horizontal="center"/>
    </xf>
    <xf numFmtId="0" fontId="1" fillId="0" borderId="0" xfId="0" applyFont="1" applyFill="1" applyBorder="1" applyAlignment="1">
      <alignment horizontal="center"/>
    </xf>
    <xf numFmtId="0" fontId="1" fillId="0" borderId="0" xfId="0" applyFont="1" applyFill="1" applyBorder="1" applyAlignment="1">
      <alignment horizontal="center" vertical="center" wrapText="1"/>
    </xf>
    <xf numFmtId="0" fontId="0" fillId="0" borderId="0" xfId="0" applyFill="1"/>
    <xf numFmtId="0" fontId="1" fillId="14" borderId="7" xfId="0" applyFont="1" applyFill="1" applyBorder="1" applyAlignment="1">
      <alignment horizontal="center" vertical="center"/>
    </xf>
    <xf numFmtId="0" fontId="4" fillId="14" borderId="7" xfId="0" applyFont="1" applyFill="1" applyBorder="1" applyAlignment="1">
      <alignment horizontal="center" vertical="center" wrapText="1"/>
    </xf>
    <xf numFmtId="0" fontId="0" fillId="0" borderId="7" xfId="0" applyBorder="1"/>
    <xf numFmtId="0" fontId="0" fillId="0" borderId="33" xfId="0" applyBorder="1" applyAlignment="1">
      <alignment horizontal="center"/>
    </xf>
    <xf numFmtId="10" fontId="0" fillId="0" borderId="10" xfId="0" applyNumberFormat="1" applyBorder="1" applyAlignment="1">
      <alignment horizontal="center"/>
    </xf>
    <xf numFmtId="10" fontId="0" fillId="0" borderId="14" xfId="0" applyNumberFormat="1" applyBorder="1" applyAlignment="1">
      <alignment horizontal="center"/>
    </xf>
    <xf numFmtId="10" fontId="0" fillId="0" borderId="0" xfId="0" applyNumberFormat="1" applyFill="1" applyBorder="1" applyAlignment="1">
      <alignment horizontal="center"/>
    </xf>
    <xf numFmtId="0" fontId="0" fillId="0" borderId="7" xfId="0" applyNumberFormat="1" applyFont="1" applyBorder="1"/>
    <xf numFmtId="0" fontId="0" fillId="0" borderId="0" xfId="0" applyNumberFormat="1" applyFont="1" applyFill="1" applyBorder="1"/>
    <xf numFmtId="0" fontId="0" fillId="0" borderId="13" xfId="0" applyBorder="1" applyAlignment="1">
      <alignment horizontal="center"/>
    </xf>
    <xf numFmtId="10" fontId="1" fillId="2" borderId="7" xfId="0" applyNumberFormat="1" applyFont="1" applyFill="1" applyBorder="1" applyAlignment="1">
      <alignment horizontal="center"/>
    </xf>
    <xf numFmtId="10" fontId="1" fillId="25" borderId="11" xfId="0" applyNumberFormat="1" applyFont="1" applyFill="1" applyBorder="1" applyAlignment="1">
      <alignment horizontal="center"/>
    </xf>
    <xf numFmtId="10" fontId="1" fillId="25" borderId="0" xfId="0" applyNumberFormat="1" applyFont="1" applyFill="1" applyBorder="1" applyAlignment="1">
      <alignment horizontal="center"/>
    </xf>
    <xf numFmtId="10" fontId="1" fillId="25" borderId="7" xfId="0" applyNumberFormat="1" applyFont="1" applyFill="1" applyBorder="1" applyAlignment="1">
      <alignment horizontal="center"/>
    </xf>
    <xf numFmtId="10" fontId="0" fillId="0" borderId="7" xfId="0" applyNumberFormat="1" applyBorder="1" applyAlignment="1">
      <alignment horizontal="center"/>
    </xf>
    <xf numFmtId="1" fontId="0" fillId="0" borderId="7" xfId="0" applyNumberFormat="1" applyBorder="1" applyAlignment="1">
      <alignment horizontal="center"/>
    </xf>
    <xf numFmtId="0" fontId="1" fillId="14" borderId="7" xfId="0" applyFont="1" applyFill="1" applyBorder="1" applyAlignment="1">
      <alignment horizontal="center" vertical="center" wrapText="1"/>
    </xf>
    <xf numFmtId="0" fontId="0" fillId="0" borderId="7" xfId="0" applyNumberFormat="1" applyFont="1" applyFill="1" applyBorder="1"/>
    <xf numFmtId="0" fontId="1" fillId="12" borderId="7" xfId="0" applyFont="1" applyFill="1" applyBorder="1"/>
    <xf numFmtId="0" fontId="1" fillId="12" borderId="7" xfId="0" applyFont="1" applyFill="1" applyBorder="1" applyAlignment="1">
      <alignment horizontal="center"/>
    </xf>
    <xf numFmtId="10" fontId="1" fillId="12" borderId="7" xfId="0" applyNumberFormat="1" applyFont="1" applyFill="1" applyBorder="1" applyAlignment="1">
      <alignment horizontal="center"/>
    </xf>
    <xf numFmtId="0" fontId="0" fillId="0" borderId="7" xfId="0" applyFill="1" applyBorder="1"/>
    <xf numFmtId="10" fontId="0" fillId="0" borderId="7" xfId="0" applyNumberFormat="1" applyFill="1" applyBorder="1" applyAlignment="1">
      <alignment horizontal="center"/>
    </xf>
    <xf numFmtId="1" fontId="0" fillId="0" borderId="7" xfId="0" applyNumberFormat="1" applyFill="1" applyBorder="1" applyAlignment="1">
      <alignment horizontal="center"/>
    </xf>
    <xf numFmtId="0" fontId="34" fillId="0" borderId="0" xfId="0" applyFont="1"/>
    <xf numFmtId="0" fontId="34" fillId="2" borderId="0" xfId="0" applyFont="1" applyFill="1"/>
    <xf numFmtId="0" fontId="0" fillId="0" borderId="10" xfId="0" applyBorder="1" applyAlignment="1">
      <alignment horizontal="center"/>
    </xf>
    <xf numFmtId="0" fontId="0" fillId="2" borderId="0" xfId="0" applyFill="1" applyBorder="1" applyAlignment="1">
      <alignment horizontal="center" vertical="center"/>
    </xf>
    <xf numFmtId="3" fontId="1" fillId="2" borderId="0" xfId="0" applyNumberFormat="1" applyFont="1" applyFill="1" applyBorder="1" applyAlignment="1">
      <alignment horizontal="center" vertical="center"/>
    </xf>
    <xf numFmtId="0" fontId="1" fillId="2" borderId="0" xfId="0" applyFont="1" applyFill="1" applyAlignment="1">
      <alignment horizontal="center" vertical="center"/>
    </xf>
    <xf numFmtId="0" fontId="1" fillId="2" borderId="0" xfId="0" applyFont="1" applyFill="1" applyBorder="1" applyAlignment="1">
      <alignment horizontal="center" vertical="center" wrapText="1"/>
    </xf>
    <xf numFmtId="0" fontId="42" fillId="2" borderId="0" xfId="0" applyFont="1" applyFill="1" applyAlignment="1">
      <alignment horizontal="center" vertical="center" wrapText="1"/>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5" xfId="0" applyFill="1" applyBorder="1" applyAlignment="1">
      <alignment horizontal="center" vertical="center"/>
    </xf>
    <xf numFmtId="0" fontId="0" fillId="2" borderId="6" xfId="0" applyFill="1" applyBorder="1" applyAlignment="1">
      <alignment horizontal="center" vertical="center"/>
    </xf>
    <xf numFmtId="3" fontId="1" fillId="2" borderId="1" xfId="0" applyNumberFormat="1" applyFont="1" applyFill="1" applyBorder="1" applyAlignment="1">
      <alignment horizontal="center" vertical="center"/>
    </xf>
    <xf numFmtId="3" fontId="1" fillId="2" borderId="2" xfId="0" applyNumberFormat="1" applyFont="1" applyFill="1" applyBorder="1" applyAlignment="1">
      <alignment horizontal="center" vertical="center"/>
    </xf>
    <xf numFmtId="3" fontId="1" fillId="2" borderId="3" xfId="0" applyNumberFormat="1" applyFont="1" applyFill="1" applyBorder="1" applyAlignment="1">
      <alignment horizontal="center" vertical="center"/>
    </xf>
    <xf numFmtId="3" fontId="1" fillId="2" borderId="4" xfId="0" applyNumberFormat="1" applyFont="1" applyFill="1" applyBorder="1" applyAlignment="1">
      <alignment horizontal="center" vertical="center"/>
    </xf>
    <xf numFmtId="3" fontId="1" fillId="2" borderId="5" xfId="0" applyNumberFormat="1" applyFont="1" applyFill="1" applyBorder="1" applyAlignment="1">
      <alignment horizontal="center" vertical="center"/>
    </xf>
    <xf numFmtId="3" fontId="1" fillId="2" borderId="6" xfId="0" applyNumberFormat="1"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2" fillId="12" borderId="0" xfId="0" applyFont="1" applyFill="1" applyAlignment="1">
      <alignment horizontal="center" vertical="center"/>
    </xf>
    <xf numFmtId="0" fontId="50" fillId="2" borderId="0" xfId="0" applyFont="1" applyFill="1" applyAlignment="1">
      <alignment horizontal="center" vertical="center"/>
    </xf>
    <xf numFmtId="3" fontId="4" fillId="2" borderId="9" xfId="0" applyNumberFormat="1" applyFont="1" applyFill="1" applyBorder="1" applyAlignment="1" applyProtection="1">
      <alignment horizontal="center" vertical="center"/>
    </xf>
    <xf numFmtId="3" fontId="4" fillId="2" borderId="10" xfId="0" applyNumberFormat="1" applyFont="1" applyFill="1" applyBorder="1" applyAlignment="1" applyProtection="1">
      <alignment horizontal="center" vertical="center"/>
    </xf>
    <xf numFmtId="0" fontId="1" fillId="2" borderId="7" xfId="0" applyFont="1" applyFill="1" applyBorder="1" applyAlignment="1" applyProtection="1">
      <alignment horizontal="center" vertical="center"/>
    </xf>
    <xf numFmtId="0" fontId="4" fillId="2" borderId="8" xfId="0" applyFont="1" applyFill="1" applyBorder="1" applyAlignment="1" applyProtection="1">
      <alignment horizontal="center" vertical="center" textRotation="90"/>
    </xf>
    <xf numFmtId="0" fontId="4" fillId="2" borderId="9" xfId="0" applyFont="1" applyFill="1" applyBorder="1" applyAlignment="1" applyProtection="1">
      <alignment horizontal="center" vertical="center" textRotation="90"/>
    </xf>
    <xf numFmtId="0" fontId="4" fillId="2" borderId="10" xfId="0" applyFont="1" applyFill="1" applyBorder="1" applyAlignment="1" applyProtection="1">
      <alignment horizontal="center" vertical="center" textRotation="90"/>
    </xf>
    <xf numFmtId="3" fontId="4" fillId="2" borderId="8" xfId="0" applyNumberFormat="1" applyFont="1" applyFill="1" applyBorder="1" applyAlignment="1" applyProtection="1">
      <alignment horizontal="center" vertical="center"/>
    </xf>
    <xf numFmtId="0" fontId="4" fillId="2" borderId="7" xfId="0" applyFont="1" applyFill="1" applyBorder="1" applyAlignment="1" applyProtection="1">
      <alignment horizontal="center" vertical="center" textRotation="90"/>
    </xf>
    <xf numFmtId="0" fontId="5" fillId="0" borderId="7" xfId="0" applyFont="1" applyFill="1" applyBorder="1" applyAlignment="1" applyProtection="1">
      <alignment horizont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13" xfId="0" applyBorder="1" applyAlignment="1" applyProtection="1">
      <alignment horizontal="center" vertical="center"/>
    </xf>
    <xf numFmtId="0" fontId="5" fillId="0" borderId="11" xfId="0" applyFont="1" applyFill="1" applyBorder="1" applyAlignment="1" applyProtection="1">
      <alignment horizontal="center"/>
    </xf>
    <xf numFmtId="0" fontId="5" fillId="0" borderId="12" xfId="0" applyFont="1" applyFill="1" applyBorder="1" applyAlignment="1" applyProtection="1">
      <alignment horizontal="center"/>
    </xf>
    <xf numFmtId="0" fontId="5" fillId="0" borderId="13" xfId="0" applyFont="1" applyFill="1" applyBorder="1" applyAlignment="1" applyProtection="1">
      <alignment horizontal="center"/>
    </xf>
    <xf numFmtId="0" fontId="12" fillId="3" borderId="0" xfId="0" applyFont="1" applyFill="1" applyAlignment="1" applyProtection="1">
      <alignment horizontal="center" vertical="center"/>
    </xf>
    <xf numFmtId="0" fontId="1" fillId="3" borderId="0" xfId="0" applyFont="1" applyFill="1" applyAlignment="1">
      <alignment horizontal="center" vertical="center"/>
    </xf>
    <xf numFmtId="0" fontId="1" fillId="2" borderId="7" xfId="0" applyFont="1" applyFill="1" applyBorder="1" applyAlignment="1">
      <alignment horizontal="left" vertical="center" wrapText="1"/>
    </xf>
    <xf numFmtId="3" fontId="1" fillId="2" borderId="7" xfId="0" applyNumberFormat="1" applyFont="1" applyFill="1" applyBorder="1" applyAlignment="1">
      <alignment horizontal="center" vertical="center"/>
    </xf>
    <xf numFmtId="0" fontId="1" fillId="3" borderId="7" xfId="0" applyFont="1" applyFill="1" applyBorder="1" applyAlignment="1">
      <alignment horizontal="center" vertical="center" wrapText="1"/>
    </xf>
    <xf numFmtId="0" fontId="1" fillId="3" borderId="11" xfId="0" applyFont="1" applyFill="1" applyBorder="1" applyAlignment="1">
      <alignment horizontal="center" vertical="center"/>
    </xf>
    <xf numFmtId="0" fontId="1" fillId="3" borderId="13"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10" xfId="0" applyFont="1" applyFill="1" applyBorder="1" applyAlignment="1">
      <alignment horizontal="center" vertical="center"/>
    </xf>
    <xf numFmtId="0" fontId="37" fillId="3" borderId="7" xfId="0" applyFont="1" applyFill="1" applyBorder="1" applyAlignment="1">
      <alignment horizontal="center" vertical="center"/>
    </xf>
    <xf numFmtId="0" fontId="1" fillId="2" borderId="7"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40" fillId="0" borderId="1" xfId="0" applyFont="1" applyBorder="1" applyAlignment="1">
      <alignment horizontal="left" vertical="center" wrapText="1"/>
    </xf>
    <xf numFmtId="0" fontId="40" fillId="0" borderId="2" xfId="0" applyFont="1" applyBorder="1" applyAlignment="1">
      <alignment horizontal="left" vertical="center" wrapText="1"/>
    </xf>
    <xf numFmtId="0" fontId="40" fillId="0" borderId="3" xfId="0" applyFont="1" applyBorder="1" applyAlignment="1">
      <alignment horizontal="left" vertical="center" wrapText="1"/>
    </xf>
    <xf numFmtId="0" fontId="40" fillId="0" borderId="15" xfId="0" applyFont="1" applyBorder="1" applyAlignment="1">
      <alignment horizontal="left" vertical="center" wrapText="1"/>
    </xf>
    <xf numFmtId="0" fontId="40" fillId="0" borderId="0" xfId="0" applyFont="1" applyBorder="1" applyAlignment="1">
      <alignment horizontal="left" vertical="center" wrapText="1"/>
    </xf>
    <xf numFmtId="0" fontId="40" fillId="0" borderId="34" xfId="0" applyFont="1" applyBorder="1" applyAlignment="1">
      <alignment horizontal="left" vertical="center" wrapText="1"/>
    </xf>
    <xf numFmtId="0" fontId="40" fillId="0" borderId="14" xfId="0" applyFont="1" applyBorder="1" applyAlignment="1">
      <alignment horizontal="left" vertical="center" wrapText="1"/>
    </xf>
    <xf numFmtId="0" fontId="40" fillId="0" borderId="16" xfId="0" applyFont="1" applyBorder="1" applyAlignment="1">
      <alignment horizontal="left" vertical="center" wrapText="1"/>
    </xf>
    <xf numFmtId="0" fontId="40" fillId="0" borderId="33" xfId="0" applyFont="1" applyBorder="1" applyAlignment="1">
      <alignment horizontal="left" vertical="center" wrapText="1"/>
    </xf>
    <xf numFmtId="10" fontId="37" fillId="3" borderId="7" xfId="0" applyNumberFormat="1" applyFont="1" applyFill="1" applyBorder="1" applyAlignment="1">
      <alignment horizontal="center" vertical="center"/>
    </xf>
    <xf numFmtId="0" fontId="37" fillId="2" borderId="7" xfId="0" applyFont="1" applyFill="1" applyBorder="1" applyAlignment="1">
      <alignment horizontal="left" vertical="center" wrapText="1"/>
    </xf>
    <xf numFmtId="10" fontId="1" fillId="2" borderId="7" xfId="0" applyNumberFormat="1" applyFont="1" applyFill="1" applyBorder="1" applyAlignment="1">
      <alignment horizontal="center" vertical="center" wrapText="1"/>
    </xf>
    <xf numFmtId="0" fontId="18" fillId="2" borderId="0" xfId="0" applyFont="1" applyFill="1" applyAlignment="1">
      <alignment horizontal="center"/>
    </xf>
    <xf numFmtId="0" fontId="38" fillId="0" borderId="16" xfId="0" applyFont="1" applyBorder="1" applyAlignment="1">
      <alignment horizontal="left"/>
    </xf>
    <xf numFmtId="0" fontId="12" fillId="3" borderId="0" xfId="0" applyFont="1" applyFill="1" applyAlignment="1">
      <alignment horizontal="center" vertical="center"/>
    </xf>
    <xf numFmtId="0" fontId="4" fillId="3" borderId="7" xfId="0" applyFont="1" applyFill="1" applyBorder="1" applyAlignment="1">
      <alignment horizontal="center" vertical="center" wrapText="1"/>
    </xf>
    <xf numFmtId="0" fontId="1" fillId="3" borderId="7" xfId="0" applyFont="1" applyFill="1" applyBorder="1" applyAlignment="1">
      <alignment horizontal="center" vertical="center"/>
    </xf>
    <xf numFmtId="0" fontId="1" fillId="3" borderId="12" xfId="0" applyFont="1" applyFill="1" applyBorder="1" applyAlignment="1">
      <alignment horizontal="center" vertical="center"/>
    </xf>
    <xf numFmtId="0" fontId="4" fillId="3" borderId="8"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12" fillId="3" borderId="0" xfId="0" applyFont="1" applyFill="1" applyAlignment="1">
      <alignment horizontal="center" vertical="center" wrapText="1"/>
    </xf>
    <xf numFmtId="0" fontId="50" fillId="2" borderId="16" xfId="0" applyFont="1" applyFill="1" applyBorder="1" applyAlignment="1">
      <alignment horizontal="center"/>
    </xf>
    <xf numFmtId="0" fontId="43" fillId="22" borderId="2" xfId="0" applyFont="1" applyFill="1" applyBorder="1" applyAlignment="1" applyProtection="1">
      <alignment horizontal="center" vertical="top" wrapText="1"/>
    </xf>
    <xf numFmtId="0" fontId="43" fillId="22" borderId="0" xfId="0" applyFont="1" applyFill="1" applyAlignment="1" applyProtection="1">
      <alignment horizontal="center" vertical="top" wrapText="1"/>
    </xf>
    <xf numFmtId="0" fontId="43" fillId="12" borderId="2" xfId="0" applyFont="1" applyFill="1" applyBorder="1" applyAlignment="1" applyProtection="1">
      <alignment horizontal="left" wrapText="1"/>
    </xf>
    <xf numFmtId="0" fontId="43" fillId="12" borderId="0" xfId="0" applyFont="1" applyFill="1" applyBorder="1" applyAlignment="1" applyProtection="1">
      <alignment horizontal="left" wrapText="1"/>
    </xf>
    <xf numFmtId="0" fontId="1" fillId="12" borderId="1" xfId="0" applyFont="1" applyFill="1" applyBorder="1" applyAlignment="1" applyProtection="1">
      <alignment horizontal="left" vertical="center"/>
    </xf>
    <xf numFmtId="0" fontId="1" fillId="12" borderId="15" xfId="0" applyFont="1" applyFill="1" applyBorder="1" applyAlignment="1" applyProtection="1">
      <alignment horizontal="left" vertical="center"/>
    </xf>
    <xf numFmtId="0" fontId="1" fillId="12" borderId="14" xfId="0" applyFont="1" applyFill="1" applyBorder="1" applyAlignment="1" applyProtection="1">
      <alignment horizontal="left" vertical="center"/>
    </xf>
    <xf numFmtId="0" fontId="12" fillId="10" borderId="0" xfId="0" applyFont="1" applyFill="1" applyAlignment="1">
      <alignment horizontal="center" vertical="center"/>
    </xf>
    <xf numFmtId="0" fontId="0" fillId="13" borderId="7" xfId="0" applyFont="1" applyFill="1" applyBorder="1" applyAlignment="1" applyProtection="1">
      <alignment horizontal="center" vertical="center"/>
    </xf>
    <xf numFmtId="0" fontId="1" fillId="12" borderId="1" xfId="0" applyFont="1" applyFill="1" applyBorder="1" applyAlignment="1" applyProtection="1">
      <alignment horizontal="center" vertical="center"/>
    </xf>
    <xf numFmtId="0" fontId="1" fillId="12" borderId="15" xfId="0" applyFont="1" applyFill="1" applyBorder="1" applyAlignment="1" applyProtection="1">
      <alignment horizontal="center" vertical="center"/>
    </xf>
    <xf numFmtId="0" fontId="1" fillId="12" borderId="14" xfId="0" applyFont="1" applyFill="1" applyBorder="1" applyAlignment="1" applyProtection="1">
      <alignment horizontal="center" vertical="center"/>
    </xf>
    <xf numFmtId="49" fontId="21" fillId="13" borderId="7" xfId="0" applyNumberFormat="1" applyFont="1" applyFill="1" applyBorder="1" applyAlignment="1" applyProtection="1">
      <alignment horizontal="center" vertical="center"/>
    </xf>
    <xf numFmtId="0" fontId="1" fillId="12" borderId="1" xfId="0" applyFont="1" applyFill="1" applyBorder="1" applyAlignment="1" applyProtection="1">
      <alignment vertical="center" wrapText="1"/>
    </xf>
    <xf numFmtId="0" fontId="1" fillId="12" borderId="15" xfId="0" applyFont="1" applyFill="1" applyBorder="1" applyAlignment="1" applyProtection="1">
      <alignment vertical="center" wrapText="1"/>
    </xf>
    <xf numFmtId="0" fontId="1" fillId="12" borderId="15" xfId="0" applyFont="1" applyFill="1" applyBorder="1" applyAlignment="1" applyProtection="1">
      <alignment vertical="center"/>
    </xf>
    <xf numFmtId="0" fontId="1" fillId="12" borderId="14" xfId="0" applyFont="1" applyFill="1" applyBorder="1" applyAlignment="1" applyProtection="1">
      <alignment vertical="center"/>
    </xf>
    <xf numFmtId="0" fontId="1" fillId="12" borderId="1" xfId="0" applyFont="1" applyFill="1" applyBorder="1" applyAlignment="1" applyProtection="1">
      <alignment vertical="center"/>
    </xf>
    <xf numFmtId="0" fontId="1" fillId="12" borderId="14" xfId="0" applyFont="1" applyFill="1" applyBorder="1" applyAlignment="1" applyProtection="1">
      <alignment vertical="center" wrapText="1"/>
    </xf>
    <xf numFmtId="0" fontId="20" fillId="12" borderId="15" xfId="0" applyFont="1" applyFill="1" applyBorder="1" applyAlignment="1" applyProtection="1">
      <alignment vertical="center"/>
    </xf>
    <xf numFmtId="0" fontId="20" fillId="12" borderId="1" xfId="0" applyFont="1" applyFill="1" applyBorder="1" applyAlignment="1" applyProtection="1">
      <alignment vertical="center"/>
    </xf>
    <xf numFmtId="0" fontId="20" fillId="12" borderId="14" xfId="0" applyFont="1" applyFill="1" applyBorder="1" applyAlignment="1" applyProtection="1">
      <alignment vertical="center"/>
    </xf>
    <xf numFmtId="167" fontId="0" fillId="13" borderId="7" xfId="0" applyNumberFormat="1" applyFont="1" applyFill="1" applyBorder="1" applyAlignment="1" applyProtection="1">
      <alignment horizontal="center" vertical="center"/>
    </xf>
    <xf numFmtId="49" fontId="19" fillId="11" borderId="7" xfId="1" applyNumberFormat="1" applyFont="1" applyFill="1" applyBorder="1" applyAlignment="1" applyProtection="1">
      <alignment horizontal="center" vertical="center"/>
    </xf>
    <xf numFmtId="3" fontId="4" fillId="0" borderId="7" xfId="0" applyNumberFormat="1" applyFont="1" applyBorder="1" applyAlignment="1">
      <alignment horizontal="center"/>
    </xf>
    <xf numFmtId="0" fontId="4" fillId="0" borderId="7" xfId="0" applyFont="1" applyBorder="1" applyAlignment="1">
      <alignment horizontal="center"/>
    </xf>
    <xf numFmtId="0" fontId="14" fillId="3" borderId="0" xfId="0" applyFont="1" applyFill="1" applyAlignment="1">
      <alignment horizontal="center" vertical="center"/>
    </xf>
    <xf numFmtId="0" fontId="4" fillId="3" borderId="11" xfId="0" applyFont="1" applyFill="1" applyBorder="1" applyAlignment="1">
      <alignment horizontal="center" vertical="center"/>
    </xf>
    <xf numFmtId="0" fontId="4" fillId="3" borderId="13" xfId="0" applyFont="1" applyFill="1" applyBorder="1" applyAlignment="1">
      <alignment horizontal="center" vertical="center"/>
    </xf>
    <xf numFmtId="0" fontId="4" fillId="3" borderId="14"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4" fillId="0" borderId="11" xfId="0" applyFont="1" applyBorder="1" applyAlignment="1">
      <alignment horizontal="center"/>
    </xf>
    <xf numFmtId="0" fontId="4" fillId="0" borderId="13" xfId="0" applyFont="1" applyBorder="1" applyAlignment="1">
      <alignment horizontal="center"/>
    </xf>
    <xf numFmtId="0" fontId="4" fillId="3" borderId="11" xfId="0" applyFont="1" applyFill="1" applyBorder="1" applyAlignment="1">
      <alignment horizontal="center"/>
    </xf>
    <xf numFmtId="0" fontId="4" fillId="3" borderId="13" xfId="0" applyFont="1" applyFill="1" applyBorder="1" applyAlignment="1">
      <alignment horizontal="center"/>
    </xf>
    <xf numFmtId="0" fontId="4" fillId="3" borderId="1" xfId="0" applyFont="1" applyFill="1" applyBorder="1" applyAlignment="1">
      <alignment horizontal="center"/>
    </xf>
    <xf numFmtId="0" fontId="4" fillId="3" borderId="3" xfId="0" applyFont="1" applyFill="1" applyBorder="1" applyAlignment="1">
      <alignment horizontal="center"/>
    </xf>
    <xf numFmtId="0" fontId="4" fillId="3"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1" fillId="3" borderId="7" xfId="0" applyFont="1" applyFill="1" applyBorder="1" applyAlignment="1">
      <alignment horizontal="center"/>
    </xf>
    <xf numFmtId="0" fontId="1" fillId="3" borderId="11" xfId="0" applyFont="1" applyFill="1" applyBorder="1" applyAlignment="1">
      <alignment horizontal="center"/>
    </xf>
    <xf numFmtId="0" fontId="1" fillId="3" borderId="12" xfId="0" applyFont="1" applyFill="1" applyBorder="1" applyAlignment="1">
      <alignment horizontal="center"/>
    </xf>
    <xf numFmtId="0" fontId="1" fillId="3" borderId="13" xfId="0" applyFont="1" applyFill="1" applyBorder="1" applyAlignment="1">
      <alignment horizontal="center"/>
    </xf>
    <xf numFmtId="3" fontId="1" fillId="2" borderId="11" xfId="0" applyNumberFormat="1" applyFont="1" applyFill="1" applyBorder="1" applyAlignment="1">
      <alignment horizontal="center"/>
    </xf>
    <xf numFmtId="0" fontId="1" fillId="2" borderId="12" xfId="0" applyFont="1" applyFill="1" applyBorder="1" applyAlignment="1">
      <alignment horizontal="center"/>
    </xf>
    <xf numFmtId="0" fontId="1" fillId="2" borderId="13" xfId="0" applyFont="1" applyFill="1" applyBorder="1" applyAlignment="1">
      <alignment horizontal="center"/>
    </xf>
    <xf numFmtId="3" fontId="1" fillId="2" borderId="7" xfId="0" applyNumberFormat="1" applyFont="1" applyFill="1" applyBorder="1" applyAlignment="1">
      <alignment horizontal="center"/>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4" fillId="9" borderId="8" xfId="0" applyFont="1" applyFill="1" applyBorder="1" applyAlignment="1">
      <alignment horizontal="center" vertical="justify" wrapText="1"/>
    </xf>
    <xf numFmtId="0" fontId="4" fillId="9" borderId="9" xfId="0" applyFont="1" applyFill="1" applyBorder="1" applyAlignment="1">
      <alignment horizontal="center" vertical="justify" wrapText="1"/>
    </xf>
    <xf numFmtId="0" fontId="4" fillId="9" borderId="10" xfId="0" applyFont="1" applyFill="1" applyBorder="1" applyAlignment="1">
      <alignment horizontal="center" vertical="justify" wrapText="1"/>
    </xf>
    <xf numFmtId="0" fontId="4" fillId="3" borderId="7" xfId="0" applyFont="1" applyFill="1" applyBorder="1" applyAlignment="1">
      <alignment horizontal="center"/>
    </xf>
    <xf numFmtId="0" fontId="4" fillId="3" borderId="10" xfId="0" applyFont="1" applyFill="1" applyBorder="1" applyAlignment="1">
      <alignment horizontal="center"/>
    </xf>
    <xf numFmtId="0" fontId="4" fillId="3" borderId="12" xfId="0" applyFont="1" applyFill="1" applyBorder="1" applyAlignment="1">
      <alignment horizontal="center"/>
    </xf>
    <xf numFmtId="0" fontId="1" fillId="2" borderId="7" xfId="0" applyFont="1" applyFill="1" applyBorder="1" applyAlignment="1">
      <alignment horizontal="center"/>
    </xf>
    <xf numFmtId="0" fontId="1" fillId="3" borderId="7" xfId="0" applyFont="1" applyFill="1" applyBorder="1" applyAlignment="1">
      <alignment horizontal="center" vertical="justify"/>
    </xf>
    <xf numFmtId="0" fontId="1" fillId="3" borderId="8" xfId="0" applyFont="1" applyFill="1" applyBorder="1" applyAlignment="1">
      <alignment horizontal="center" vertical="center" wrapText="1"/>
    </xf>
    <xf numFmtId="0" fontId="0" fillId="3" borderId="10" xfId="0" applyFill="1" applyBorder="1" applyAlignment="1">
      <alignment horizontal="center" vertical="center" wrapText="1"/>
    </xf>
    <xf numFmtId="0" fontId="4" fillId="3" borderId="7" xfId="0" applyFont="1" applyFill="1" applyBorder="1" applyAlignment="1">
      <alignment horizontal="center" vertical="justify"/>
    </xf>
    <xf numFmtId="0" fontId="1" fillId="0" borderId="11" xfId="0" applyFont="1" applyFill="1" applyBorder="1" applyAlignment="1">
      <alignment horizontal="center" vertical="center"/>
    </xf>
    <xf numFmtId="0" fontId="1" fillId="0" borderId="13" xfId="0" applyFont="1" applyFill="1" applyBorder="1" applyAlignment="1">
      <alignment horizontal="center" vertical="center"/>
    </xf>
    <xf numFmtId="0" fontId="1" fillId="3" borderId="1" xfId="0" applyFont="1" applyFill="1" applyBorder="1" applyAlignment="1">
      <alignment horizontal="center" vertical="center" wrapText="1"/>
    </xf>
    <xf numFmtId="0" fontId="1" fillId="3" borderId="14"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1" fillId="0" borderId="12" xfId="0" applyFont="1" applyFill="1" applyBorder="1" applyAlignment="1">
      <alignment horizontal="center" vertical="center"/>
    </xf>
    <xf numFmtId="0" fontId="1" fillId="3" borderId="9" xfId="0" applyFont="1" applyFill="1" applyBorder="1" applyAlignment="1">
      <alignment horizontal="center" vertical="center"/>
    </xf>
    <xf numFmtId="0" fontId="1" fillId="3" borderId="10" xfId="0" applyFont="1" applyFill="1" applyBorder="1" applyAlignment="1">
      <alignment horizontal="center"/>
    </xf>
    <xf numFmtId="0" fontId="14" fillId="3" borderId="15" xfId="0" applyFont="1" applyFill="1" applyBorder="1" applyAlignment="1">
      <alignment horizontal="center" vertical="center"/>
    </xf>
    <xf numFmtId="0" fontId="14" fillId="3" borderId="0" xfId="0" applyFont="1" applyFill="1" applyBorder="1" applyAlignment="1">
      <alignment horizontal="center" vertical="center"/>
    </xf>
    <xf numFmtId="0" fontId="1" fillId="3" borderId="10" xfId="0" applyFont="1" applyFill="1" applyBorder="1" applyAlignment="1">
      <alignment horizontal="center" vertical="center" wrapText="1"/>
    </xf>
    <xf numFmtId="0" fontId="15" fillId="0" borderId="20" xfId="0" applyFont="1" applyBorder="1" applyAlignment="1">
      <alignment horizontal="center" wrapText="1"/>
    </xf>
    <xf numFmtId="0" fontId="15" fillId="0" borderId="0" xfId="0" applyFont="1" applyBorder="1" applyAlignment="1">
      <alignment horizontal="center" wrapText="1"/>
    </xf>
    <xf numFmtId="0" fontId="15" fillId="0" borderId="23" xfId="0" applyFont="1" applyBorder="1" applyAlignment="1">
      <alignment horizontal="center" wrapText="1"/>
    </xf>
    <xf numFmtId="0" fontId="15" fillId="0" borderId="16" xfId="0" applyFont="1" applyBorder="1" applyAlignment="1">
      <alignment horizontal="center" wrapText="1"/>
    </xf>
    <xf numFmtId="0" fontId="15" fillId="3" borderId="8" xfId="0" applyFont="1" applyFill="1" applyBorder="1" applyAlignment="1">
      <alignment horizontal="center" vertical="center"/>
    </xf>
    <xf numFmtId="0" fontId="15" fillId="3" borderId="10" xfId="0" applyFont="1" applyFill="1" applyBorder="1" applyAlignment="1">
      <alignment horizontal="center" vertical="center"/>
    </xf>
    <xf numFmtId="0" fontId="15" fillId="0" borderId="17" xfId="0" applyFont="1" applyBorder="1" applyAlignment="1">
      <alignment horizontal="center"/>
    </xf>
    <xf numFmtId="0" fontId="15" fillId="0" borderId="18" xfId="0" applyFont="1" applyBorder="1" applyAlignment="1">
      <alignment horizontal="center"/>
    </xf>
    <xf numFmtId="0" fontId="15" fillId="0" borderId="19" xfId="0" applyFont="1" applyBorder="1" applyAlignment="1">
      <alignment horizontal="center"/>
    </xf>
    <xf numFmtId="0" fontId="15" fillId="0" borderId="20" xfId="0" applyFont="1" applyBorder="1" applyAlignment="1">
      <alignment horizontal="center"/>
    </xf>
    <xf numFmtId="0" fontId="15" fillId="0" borderId="0" xfId="0" applyFont="1" applyBorder="1" applyAlignment="1">
      <alignment horizontal="center"/>
    </xf>
    <xf numFmtId="0" fontId="15" fillId="0" borderId="23" xfId="0" applyFont="1" applyBorder="1" applyAlignment="1">
      <alignment horizontal="center"/>
    </xf>
    <xf numFmtId="0" fontId="15" fillId="0" borderId="16" xfId="0" applyFont="1" applyBorder="1" applyAlignment="1">
      <alignment horizontal="center"/>
    </xf>
    <xf numFmtId="0" fontId="15" fillId="0" borderId="24" xfId="0" applyFont="1" applyBorder="1" applyAlignment="1">
      <alignment horizontal="center"/>
    </xf>
    <xf numFmtId="0" fontId="1" fillId="2" borderId="8" xfId="0" applyFont="1" applyFill="1" applyBorder="1" applyAlignment="1">
      <alignment horizontal="center" vertical="center"/>
    </xf>
    <xf numFmtId="0" fontId="1" fillId="2" borderId="10" xfId="0" applyFont="1" applyFill="1" applyBorder="1" applyAlignment="1">
      <alignment horizontal="center" vertical="center"/>
    </xf>
    <xf numFmtId="0" fontId="1" fillId="2" borderId="9" xfId="0" applyFont="1" applyFill="1" applyBorder="1" applyAlignment="1">
      <alignment horizontal="center" vertical="center"/>
    </xf>
    <xf numFmtId="0" fontId="1" fillId="4" borderId="7" xfId="0" applyFont="1" applyFill="1" applyBorder="1" applyAlignment="1">
      <alignment horizontal="center" vertical="center"/>
    </xf>
    <xf numFmtId="0" fontId="1" fillId="0" borderId="0"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33" xfId="0" applyFont="1" applyFill="1" applyBorder="1" applyAlignment="1">
      <alignment horizontal="center" vertical="center" wrapText="1"/>
    </xf>
    <xf numFmtId="0" fontId="1" fillId="0" borderId="0" xfId="0" applyFont="1" applyFill="1" applyBorder="1" applyAlignment="1">
      <alignment horizontal="center"/>
    </xf>
    <xf numFmtId="0" fontId="15" fillId="3" borderId="26" xfId="0" applyFont="1" applyFill="1" applyBorder="1" applyAlignment="1">
      <alignment horizontal="center" vertical="center"/>
    </xf>
    <xf numFmtId="0" fontId="15" fillId="3" borderId="27" xfId="0" applyFont="1" applyFill="1" applyBorder="1" applyAlignment="1">
      <alignment horizontal="center" vertical="center"/>
    </xf>
    <xf numFmtId="0" fontId="15" fillId="3" borderId="31" xfId="0" applyFont="1" applyFill="1" applyBorder="1" applyAlignment="1">
      <alignment horizontal="center" vertical="center"/>
    </xf>
    <xf numFmtId="0" fontId="15" fillId="3" borderId="32" xfId="0" applyFont="1" applyFill="1" applyBorder="1" applyAlignment="1">
      <alignment horizontal="center" vertical="center"/>
    </xf>
    <xf numFmtId="0" fontId="33" fillId="10" borderId="0" xfId="0" applyFont="1" applyFill="1" applyAlignment="1">
      <alignment horizontal="center" vertical="center"/>
    </xf>
    <xf numFmtId="0" fontId="26" fillId="4" borderId="39" xfId="0" applyFont="1" applyFill="1" applyBorder="1" applyAlignment="1">
      <alignment horizontal="left"/>
    </xf>
    <xf numFmtId="0" fontId="26" fillId="4" borderId="2" xfId="0" applyFont="1" applyFill="1" applyBorder="1" applyAlignment="1">
      <alignment horizontal="left"/>
    </xf>
    <xf numFmtId="0" fontId="26" fillId="4" borderId="40" xfId="0" applyFont="1" applyFill="1" applyBorder="1" applyAlignment="1">
      <alignment horizontal="left"/>
    </xf>
    <xf numFmtId="0" fontId="26" fillId="4" borderId="3" xfId="0" applyFont="1" applyFill="1" applyBorder="1" applyAlignment="1">
      <alignment horizontal="left"/>
    </xf>
    <xf numFmtId="0" fontId="26" fillId="4" borderId="1" xfId="0" applyFont="1" applyFill="1" applyBorder="1" applyAlignment="1">
      <alignment horizontal="left"/>
    </xf>
    <xf numFmtId="0" fontId="26" fillId="4" borderId="1" xfId="0" applyFont="1" applyFill="1" applyBorder="1" applyAlignment="1">
      <alignment horizontal="left" wrapText="1"/>
    </xf>
    <xf numFmtId="0" fontId="26" fillId="4" borderId="2" xfId="0" applyFont="1" applyFill="1" applyBorder="1" applyAlignment="1">
      <alignment horizontal="left" wrapText="1"/>
    </xf>
    <xf numFmtId="0" fontId="26" fillId="4" borderId="40" xfId="0" applyFont="1" applyFill="1" applyBorder="1" applyAlignment="1">
      <alignment horizontal="left" wrapText="1"/>
    </xf>
    <xf numFmtId="0" fontId="31" fillId="4" borderId="39" xfId="0" applyFont="1" applyFill="1" applyBorder="1" applyAlignment="1">
      <alignment horizontal="left" vertical="center"/>
    </xf>
    <xf numFmtId="0" fontId="31" fillId="4" borderId="2" xfId="0" applyFont="1" applyFill="1" applyBorder="1" applyAlignment="1">
      <alignment horizontal="left" vertical="center"/>
    </xf>
    <xf numFmtId="0" fontId="31" fillId="4" borderId="40" xfId="0" applyFont="1" applyFill="1" applyBorder="1" applyAlignment="1">
      <alignment horizontal="left" vertical="center"/>
    </xf>
    <xf numFmtId="0" fontId="26" fillId="4" borderId="39" xfId="0" applyFont="1" applyFill="1" applyBorder="1" applyAlignment="1">
      <alignment horizontal="left" vertical="top"/>
    </xf>
    <xf numFmtId="0" fontId="26" fillId="4" borderId="2" xfId="0" applyFont="1" applyFill="1" applyBorder="1" applyAlignment="1">
      <alignment horizontal="left" vertical="top"/>
    </xf>
    <xf numFmtId="0" fontId="26" fillId="4" borderId="3" xfId="0" applyFont="1" applyFill="1" applyBorder="1" applyAlignment="1">
      <alignment horizontal="left" vertical="top"/>
    </xf>
    <xf numFmtId="0" fontId="26" fillId="4" borderId="1" xfId="0" applyFont="1" applyFill="1" applyBorder="1" applyAlignment="1">
      <alignment horizontal="left" vertical="top"/>
    </xf>
    <xf numFmtId="0" fontId="27" fillId="4" borderId="23" xfId="0" applyFont="1" applyFill="1" applyBorder="1" applyAlignment="1">
      <alignment horizontal="left" vertical="center" wrapText="1"/>
    </xf>
    <xf numFmtId="0" fontId="27" fillId="4" borderId="16" xfId="0" applyFont="1" applyFill="1" applyBorder="1" applyAlignment="1">
      <alignment horizontal="left" vertical="center" wrapText="1"/>
    </xf>
    <xf numFmtId="0" fontId="27" fillId="4" borderId="33" xfId="0" applyFont="1" applyFill="1" applyBorder="1" applyAlignment="1">
      <alignment horizontal="left" vertical="center" wrapText="1"/>
    </xf>
    <xf numFmtId="0" fontId="27" fillId="4" borderId="14" xfId="0" applyFont="1" applyFill="1" applyBorder="1" applyAlignment="1">
      <alignment horizontal="left" vertical="center" wrapText="1"/>
    </xf>
    <xf numFmtId="0" fontId="27" fillId="4" borderId="14" xfId="0" applyFont="1" applyFill="1" applyBorder="1" applyAlignment="1">
      <alignment horizontal="center" vertical="center" wrapText="1"/>
    </xf>
    <xf numFmtId="0" fontId="27" fillId="4" borderId="16" xfId="0" applyFont="1" applyFill="1" applyBorder="1" applyAlignment="1">
      <alignment horizontal="center" vertical="center" wrapText="1"/>
    </xf>
    <xf numFmtId="0" fontId="27" fillId="4" borderId="24" xfId="0" applyFont="1" applyFill="1" applyBorder="1" applyAlignment="1">
      <alignment horizontal="center" vertical="center" wrapText="1"/>
    </xf>
    <xf numFmtId="0" fontId="32" fillId="14" borderId="39" xfId="0" applyFont="1" applyFill="1" applyBorder="1" applyAlignment="1">
      <alignment horizontal="left"/>
    </xf>
    <xf numFmtId="0" fontId="32" fillId="14" borderId="2" xfId="0" applyFont="1" applyFill="1" applyBorder="1" applyAlignment="1">
      <alignment horizontal="left"/>
    </xf>
    <xf numFmtId="0" fontId="32" fillId="14" borderId="3" xfId="0" applyFont="1" applyFill="1" applyBorder="1" applyAlignment="1">
      <alignment horizontal="left"/>
    </xf>
    <xf numFmtId="0" fontId="28" fillId="14" borderId="23" xfId="0" applyFont="1" applyFill="1" applyBorder="1" applyAlignment="1">
      <alignment horizontal="left" vertical="center" wrapText="1"/>
    </xf>
    <xf numFmtId="0" fontId="28" fillId="14" borderId="16" xfId="0" applyFont="1" applyFill="1" applyBorder="1" applyAlignment="1">
      <alignment horizontal="left" vertical="center" wrapText="1"/>
    </xf>
    <xf numFmtId="0" fontId="28" fillId="14" borderId="33" xfId="0" applyFont="1" applyFill="1" applyBorder="1" applyAlignment="1">
      <alignment horizontal="left" vertical="center" wrapText="1"/>
    </xf>
    <xf numFmtId="0" fontId="27" fillId="4" borderId="14" xfId="0" applyFont="1" applyFill="1" applyBorder="1" applyAlignment="1">
      <alignment horizontal="center" vertical="center"/>
    </xf>
    <xf numFmtId="0" fontId="27" fillId="4" borderId="16" xfId="0" applyFont="1" applyFill="1" applyBorder="1" applyAlignment="1">
      <alignment horizontal="center" vertical="center"/>
    </xf>
    <xf numFmtId="0" fontId="27" fillId="4" borderId="33" xfId="0" applyFont="1" applyFill="1" applyBorder="1" applyAlignment="1">
      <alignment horizontal="center" vertical="center"/>
    </xf>
    <xf numFmtId="0" fontId="27" fillId="4" borderId="24" xfId="0" applyFont="1" applyFill="1" applyBorder="1" applyAlignment="1">
      <alignment horizontal="center" vertical="center"/>
    </xf>
    <xf numFmtId="0" fontId="23" fillId="3" borderId="35" xfId="0" applyFont="1" applyFill="1" applyBorder="1" applyAlignment="1">
      <alignment horizontal="center" vertical="center"/>
    </xf>
    <xf numFmtId="0" fontId="23" fillId="3" borderId="38" xfId="0" applyFont="1" applyFill="1" applyBorder="1" applyAlignment="1">
      <alignment horizontal="center" vertical="center"/>
    </xf>
    <xf numFmtId="0" fontId="23" fillId="3" borderId="27" xfId="0" applyFont="1" applyFill="1" applyBorder="1" applyAlignment="1">
      <alignment horizontal="center" vertical="center"/>
    </xf>
    <xf numFmtId="0" fontId="24" fillId="3" borderId="36" xfId="0" applyFont="1" applyFill="1" applyBorder="1" applyAlignment="1">
      <alignment horizontal="left"/>
    </xf>
    <xf numFmtId="0" fontId="24" fillId="3" borderId="18" xfId="0" applyFont="1" applyFill="1" applyBorder="1" applyAlignment="1">
      <alignment horizontal="left"/>
    </xf>
    <xf numFmtId="0" fontId="24" fillId="3" borderId="37" xfId="0" applyFont="1" applyFill="1" applyBorder="1" applyAlignment="1">
      <alignment horizontal="left"/>
    </xf>
    <xf numFmtId="0" fontId="25" fillId="3" borderId="36" xfId="0" applyFont="1" applyFill="1" applyBorder="1" applyAlignment="1">
      <alignment horizontal="center" vertical="center"/>
    </xf>
    <xf numFmtId="0" fontId="25" fillId="3" borderId="18" xfId="0" applyFont="1" applyFill="1" applyBorder="1" applyAlignment="1">
      <alignment horizontal="center" vertical="center"/>
    </xf>
    <xf numFmtId="0" fontId="25" fillId="3" borderId="19" xfId="0" applyFont="1" applyFill="1" applyBorder="1" applyAlignment="1">
      <alignment horizontal="center" vertical="center"/>
    </xf>
    <xf numFmtId="0" fontId="25" fillId="3" borderId="15" xfId="0" applyFont="1" applyFill="1" applyBorder="1" applyAlignment="1">
      <alignment horizontal="center" vertical="center"/>
    </xf>
    <xf numFmtId="0" fontId="25" fillId="3" borderId="0" xfId="0" applyFont="1" applyFill="1" applyBorder="1" applyAlignment="1">
      <alignment horizontal="center" vertical="center"/>
    </xf>
    <xf numFmtId="0" fontId="25" fillId="3" borderId="21" xfId="0" applyFont="1" applyFill="1" applyBorder="1" applyAlignment="1">
      <alignment horizontal="center" vertical="center"/>
    </xf>
    <xf numFmtId="0" fontId="25" fillId="3" borderId="14" xfId="0" applyFont="1" applyFill="1" applyBorder="1" applyAlignment="1">
      <alignment horizontal="center" vertical="center"/>
    </xf>
    <xf numFmtId="0" fontId="25" fillId="3" borderId="16" xfId="0" applyFont="1" applyFill="1" applyBorder="1" applyAlignment="1">
      <alignment horizontal="center" vertical="center"/>
    </xf>
    <xf numFmtId="0" fontId="25" fillId="3" borderId="24" xfId="0" applyFont="1" applyFill="1" applyBorder="1" applyAlignment="1">
      <alignment horizontal="center" vertical="center"/>
    </xf>
    <xf numFmtId="0" fontId="24" fillId="3" borderId="15" xfId="0" applyFont="1" applyFill="1" applyBorder="1" applyAlignment="1">
      <alignment horizontal="left"/>
    </xf>
    <xf numFmtId="0" fontId="24" fillId="3" borderId="0" xfId="0" applyFont="1" applyFill="1" applyBorder="1" applyAlignment="1">
      <alignment horizontal="left"/>
    </xf>
    <xf numFmtId="0" fontId="24" fillId="3" borderId="34" xfId="0" applyFont="1" applyFill="1" applyBorder="1" applyAlignment="1">
      <alignment horizontal="left"/>
    </xf>
    <xf numFmtId="0" fontId="27" fillId="4" borderId="24" xfId="0" applyFont="1" applyFill="1" applyBorder="1" applyAlignment="1">
      <alignment horizontal="left" vertical="center" wrapText="1"/>
    </xf>
    <xf numFmtId="9" fontId="27" fillId="4" borderId="23" xfId="0" applyNumberFormat="1" applyFont="1" applyFill="1" applyBorder="1" applyAlignment="1">
      <alignment horizontal="left" vertical="center" wrapText="1"/>
    </xf>
    <xf numFmtId="0" fontId="27" fillId="4" borderId="28" xfId="0" applyFont="1" applyFill="1" applyBorder="1" applyAlignment="1">
      <alignment horizontal="center" vertical="center"/>
    </xf>
    <xf numFmtId="0" fontId="27" fillId="4" borderId="29" xfId="0" applyFont="1" applyFill="1" applyBorder="1" applyAlignment="1">
      <alignment horizontal="center" vertical="center"/>
    </xf>
    <xf numFmtId="0" fontId="27" fillId="4" borderId="41" xfId="0" applyFont="1" applyFill="1" applyBorder="1" applyAlignment="1">
      <alignment horizontal="center" vertical="center"/>
    </xf>
    <xf numFmtId="0" fontId="27" fillId="4" borderId="42" xfId="0" applyFont="1" applyFill="1" applyBorder="1" applyAlignment="1">
      <alignment horizontal="center" vertical="center"/>
    </xf>
    <xf numFmtId="0" fontId="27" fillId="4" borderId="30" xfId="0" applyFont="1" applyFill="1" applyBorder="1" applyAlignment="1">
      <alignment horizontal="center" vertical="center"/>
    </xf>
    <xf numFmtId="9" fontId="27" fillId="4" borderId="14" xfId="0" applyNumberFormat="1" applyFont="1" applyFill="1" applyBorder="1" applyAlignment="1">
      <alignment horizontal="center" vertical="center" wrapText="1"/>
    </xf>
    <xf numFmtId="0" fontId="24" fillId="3" borderId="14" xfId="0" applyFont="1" applyFill="1" applyBorder="1" applyAlignment="1">
      <alignment horizontal="left" vertical="center"/>
    </xf>
    <xf numFmtId="0" fontId="24" fillId="3" borderId="16" xfId="0" applyFont="1" applyFill="1" applyBorder="1" applyAlignment="1">
      <alignment horizontal="left" vertical="center"/>
    </xf>
    <xf numFmtId="0" fontId="24" fillId="3" borderId="33" xfId="0" applyFont="1" applyFill="1" applyBorder="1" applyAlignment="1">
      <alignment horizontal="left" vertical="center"/>
    </xf>
    <xf numFmtId="0" fontId="27" fillId="4" borderId="23" xfId="0" applyFont="1" applyFill="1" applyBorder="1" applyAlignment="1">
      <alignment horizontal="left" vertical="center"/>
    </xf>
    <xf numFmtId="0" fontId="27" fillId="4" borderId="16" xfId="0" applyFont="1" applyFill="1" applyBorder="1" applyAlignment="1">
      <alignment horizontal="left" vertical="center"/>
    </xf>
    <xf numFmtId="0" fontId="27" fillId="4" borderId="24" xfId="0" applyFont="1" applyFill="1" applyBorder="1" applyAlignment="1">
      <alignment horizontal="left" vertical="center"/>
    </xf>
    <xf numFmtId="0" fontId="27" fillId="4" borderId="33" xfId="0" applyFont="1" applyFill="1" applyBorder="1" applyAlignment="1">
      <alignment horizontal="left" vertical="center"/>
    </xf>
    <xf numFmtId="0" fontId="27" fillId="4" borderId="33" xfId="0" applyFont="1" applyFill="1" applyBorder="1" applyAlignment="1">
      <alignment horizontal="center" vertical="center" wrapText="1"/>
    </xf>
    <xf numFmtId="9" fontId="27" fillId="4" borderId="23" xfId="0" applyNumberFormat="1" applyFont="1" applyFill="1" applyBorder="1" applyAlignment="1">
      <alignment horizontal="left" vertical="center"/>
    </xf>
    <xf numFmtId="49" fontId="27" fillId="4" borderId="23" xfId="0" applyNumberFormat="1" applyFont="1" applyFill="1" applyBorder="1" applyAlignment="1">
      <alignment horizontal="left" vertical="center"/>
    </xf>
    <xf numFmtId="49" fontId="27" fillId="4" borderId="16" xfId="0" applyNumberFormat="1" applyFont="1" applyFill="1" applyBorder="1" applyAlignment="1">
      <alignment horizontal="left" vertical="center"/>
    </xf>
    <xf numFmtId="49" fontId="27" fillId="4" borderId="24" xfId="0" applyNumberFormat="1" applyFont="1" applyFill="1" applyBorder="1" applyAlignment="1">
      <alignment horizontal="left" vertical="center"/>
    </xf>
    <xf numFmtId="0" fontId="1" fillId="0" borderId="7" xfId="0" applyFont="1" applyBorder="1" applyAlignment="1">
      <alignment horizontal="center" vertical="center" wrapText="1"/>
    </xf>
    <xf numFmtId="10" fontId="52" fillId="24" borderId="7" xfId="0" applyNumberFormat="1" applyFont="1" applyFill="1" applyBorder="1" applyAlignment="1">
      <alignment horizontal="center" vertical="center"/>
    </xf>
    <xf numFmtId="0" fontId="1" fillId="14" borderId="7" xfId="0" applyFont="1" applyFill="1" applyBorder="1" applyAlignment="1">
      <alignment horizontal="center" vertical="center" wrapText="1"/>
    </xf>
    <xf numFmtId="0" fontId="1" fillId="0" borderId="7" xfId="0" applyFont="1" applyBorder="1" applyAlignment="1">
      <alignment horizontal="center" vertical="center"/>
    </xf>
    <xf numFmtId="0" fontId="1" fillId="14" borderId="7" xfId="0" applyFont="1" applyFill="1" applyBorder="1" applyAlignment="1">
      <alignment horizontal="center"/>
    </xf>
    <xf numFmtId="0" fontId="1" fillId="0" borderId="7" xfId="0" applyFont="1" applyFill="1" applyBorder="1" applyAlignment="1">
      <alignment horizontal="center" vertical="center"/>
    </xf>
    <xf numFmtId="1" fontId="0" fillId="0" borderId="7" xfId="0" applyNumberFormat="1" applyBorder="1" applyAlignment="1">
      <alignment horizontal="center" vertical="center"/>
    </xf>
    <xf numFmtId="10" fontId="0" fillId="0" borderId="7" xfId="0" applyNumberFormat="1" applyBorder="1" applyAlignment="1">
      <alignment horizontal="center" vertical="center"/>
    </xf>
    <xf numFmtId="0" fontId="1" fillId="14" borderId="11" xfId="0" applyFont="1" applyFill="1" applyBorder="1" applyAlignment="1">
      <alignment horizontal="center"/>
    </xf>
    <xf numFmtId="0" fontId="1" fillId="14" borderId="12" xfId="0" applyFont="1" applyFill="1" applyBorder="1" applyAlignment="1">
      <alignment horizontal="center"/>
    </xf>
    <xf numFmtId="0" fontId="1" fillId="14" borderId="13" xfId="0" applyFont="1" applyFill="1" applyBorder="1" applyAlignment="1">
      <alignment horizontal="center"/>
    </xf>
    <xf numFmtId="10" fontId="1" fillId="0" borderId="7" xfId="0" applyNumberFormat="1" applyFont="1" applyBorder="1" applyAlignment="1">
      <alignment horizontal="center" vertical="center"/>
    </xf>
    <xf numFmtId="0" fontId="1" fillId="14" borderId="7" xfId="0" applyFont="1" applyFill="1" applyBorder="1" applyAlignment="1">
      <alignment horizontal="center" vertical="center"/>
    </xf>
    <xf numFmtId="0" fontId="1" fillId="14" borderId="11" xfId="0" applyFont="1" applyFill="1" applyBorder="1" applyAlignment="1">
      <alignment horizontal="center" vertical="center"/>
    </xf>
    <xf numFmtId="0" fontId="1" fillId="14" borderId="13" xfId="0" applyFont="1" applyFill="1" applyBorder="1" applyAlignment="1">
      <alignment horizontal="center" vertical="center"/>
    </xf>
    <xf numFmtId="0" fontId="1" fillId="14" borderId="8" xfId="0" applyFont="1" applyFill="1" applyBorder="1" applyAlignment="1">
      <alignment horizontal="center" vertical="center" wrapText="1"/>
    </xf>
    <xf numFmtId="0" fontId="1" fillId="14" borderId="10" xfId="0" applyFont="1" applyFill="1" applyBorder="1" applyAlignment="1">
      <alignment horizontal="center" vertical="center" wrapText="1"/>
    </xf>
  </cellXfs>
  <cellStyles count="2">
    <cellStyle name="Neutra" xfId="1" builtinId="28"/>
    <cellStyle name="Normal" xfId="0" builtinId="0"/>
  </cellStyles>
  <dxfs count="910">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theme="9" tint="0.39994506668294322"/>
        </patternFill>
      </fill>
    </dxf>
    <dxf>
      <fill>
        <patternFill>
          <bgColor rgb="FF98B7EA"/>
        </patternFill>
      </fill>
    </dxf>
    <dxf>
      <fill>
        <patternFill>
          <bgColor rgb="FFFFFF99"/>
        </patternFill>
      </fill>
    </dxf>
    <dxf>
      <fill>
        <patternFill>
          <bgColor rgb="FFFF0000"/>
        </patternFill>
      </fill>
    </dxf>
    <dxf>
      <fill>
        <patternFill>
          <bgColor rgb="FF92D050"/>
        </patternFill>
      </fill>
    </dxf>
    <dxf>
      <font>
        <color rgb="FF9C0006"/>
      </font>
      <fill>
        <patternFill>
          <bgColor rgb="FFFFC7CE"/>
        </patternFill>
      </fill>
    </dxf>
    <dxf>
      <fill>
        <patternFill>
          <bgColor rgb="FF92D050"/>
        </patternFill>
      </fill>
    </dxf>
    <dxf>
      <font>
        <color rgb="FF9C0006"/>
      </font>
      <fill>
        <patternFill>
          <bgColor rgb="FFFFC7CE"/>
        </patternFill>
      </fill>
    </dxf>
    <dxf>
      <fill>
        <patternFill>
          <bgColor rgb="FF92D050"/>
        </patternFill>
      </fill>
    </dxf>
    <dxf>
      <font>
        <color rgb="FF9C0006"/>
      </font>
      <fill>
        <patternFill>
          <bgColor rgb="FFFFC7CE"/>
        </patternFill>
      </fill>
    </dxf>
    <dxf>
      <fill>
        <patternFill>
          <bgColor rgb="FF92D050"/>
        </patternFill>
      </fill>
    </dxf>
    <dxf>
      <font>
        <color rgb="FF9C0006"/>
      </font>
      <fill>
        <patternFill>
          <bgColor rgb="FFFFC7CE"/>
        </patternFill>
      </fill>
    </dxf>
    <dxf>
      <fill>
        <patternFill>
          <bgColor rgb="FF92D050"/>
        </patternFill>
      </fill>
    </dxf>
    <dxf>
      <font>
        <color rgb="FF9C0006"/>
      </font>
      <fill>
        <patternFill>
          <bgColor rgb="FFFFC7CE"/>
        </patternFill>
      </fill>
    </dxf>
    <dxf>
      <fill>
        <patternFill>
          <bgColor rgb="FF92D050"/>
        </patternFill>
      </fill>
    </dxf>
    <dxf>
      <font>
        <color rgb="FF9C0006"/>
      </font>
      <fill>
        <patternFill>
          <bgColor rgb="FFFFC7CE"/>
        </patternFill>
      </fill>
    </dxf>
    <dxf>
      <fill>
        <patternFill>
          <bgColor rgb="FF92D050"/>
        </patternFill>
      </fill>
    </dxf>
    <dxf>
      <font>
        <color rgb="FF9C0006"/>
      </font>
      <fill>
        <patternFill>
          <bgColor rgb="FFFFC7CE"/>
        </patternFill>
      </fill>
    </dxf>
    <dxf>
      <fill>
        <patternFill>
          <bgColor rgb="FF92D050"/>
        </patternFill>
      </fill>
    </dxf>
    <dxf>
      <font>
        <color rgb="FF9C0006"/>
      </font>
      <fill>
        <patternFill>
          <bgColor rgb="FFFFC7CE"/>
        </patternFill>
      </fill>
    </dxf>
    <dxf>
      <fill>
        <patternFill>
          <bgColor rgb="FF92D050"/>
        </patternFill>
      </fill>
    </dxf>
    <dxf>
      <font>
        <color rgb="FF9C0006"/>
      </font>
      <fill>
        <patternFill>
          <bgColor rgb="FFFFC7CE"/>
        </patternFill>
      </fill>
    </dxf>
    <dxf>
      <fill>
        <patternFill>
          <bgColor rgb="FF92D050"/>
        </patternFill>
      </fill>
    </dxf>
    <dxf>
      <font>
        <color rgb="FF9C0006"/>
      </font>
      <fill>
        <patternFill>
          <bgColor rgb="FFFFC7CE"/>
        </patternFill>
      </fill>
    </dxf>
    <dxf>
      <fill>
        <patternFill>
          <bgColor rgb="FF92D050"/>
        </patternFill>
      </fill>
    </dxf>
    <dxf>
      <font>
        <color rgb="FF9C0006"/>
      </font>
      <fill>
        <patternFill>
          <bgColor rgb="FFFFC7CE"/>
        </patternFill>
      </fill>
    </dxf>
    <dxf>
      <fill>
        <patternFill>
          <bgColor rgb="FF92D050"/>
        </patternFill>
      </fill>
    </dxf>
    <dxf>
      <font>
        <color rgb="FF9C0006"/>
      </font>
      <fill>
        <patternFill>
          <bgColor rgb="FFFFC7CE"/>
        </patternFill>
      </fill>
    </dxf>
    <dxf>
      <fill>
        <patternFill>
          <bgColor rgb="FF92D050"/>
        </patternFill>
      </fill>
    </dxf>
    <dxf>
      <font>
        <color rgb="FF9C0006"/>
      </font>
      <fill>
        <patternFill>
          <bgColor rgb="FFFFC7CE"/>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ill>
        <patternFill>
          <bgColor theme="4" tint="0.59996337778862885"/>
        </patternFill>
      </fill>
    </dxf>
    <dxf>
      <fill>
        <patternFill>
          <bgColor rgb="FFFFFF00"/>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ill>
        <patternFill>
          <bgColor theme="4" tint="0.59996337778862885"/>
        </patternFill>
      </fill>
    </dxf>
    <dxf>
      <fill>
        <patternFill>
          <bgColor rgb="FFFFFF00"/>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ill>
        <patternFill>
          <bgColor theme="4" tint="0.59996337778862885"/>
        </patternFill>
      </fill>
    </dxf>
    <dxf>
      <fill>
        <patternFill>
          <bgColor rgb="FFFFFF00"/>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ill>
        <patternFill>
          <bgColor theme="4" tint="0.59996337778862885"/>
        </patternFill>
      </fill>
    </dxf>
    <dxf>
      <fill>
        <patternFill>
          <bgColor rgb="FFFFFF00"/>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
      <font>
        <color rgb="FF9C0006"/>
      </font>
      <fill>
        <patternFill>
          <bgColor rgb="FFFFC7CE"/>
        </patternFill>
      </fill>
    </dxf>
    <dxf>
      <fill>
        <patternFill>
          <bgColor theme="7"/>
        </patternFill>
      </fill>
    </dxf>
  </dxfs>
  <tableStyles count="0" defaultTableStyle="TableStyleMedium2" defaultPivotStyle="PivotStyleLight16"/>
  <colors>
    <mruColors>
      <color rgb="FFEFB3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tyles" Target="styles.xml"/><Relationship Id="rId8" Type="http://schemas.openxmlformats.org/officeDocument/2006/relationships/worksheet" Target="worksheets/sheet8.xml"/><Relationship Id="rId51" Type="http://schemas.microsoft.com/office/2006/relationships/vbaProject" Target="vbaProject.bin"/><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89.xml"/><Relationship Id="rId1" Type="http://schemas.microsoft.com/office/2011/relationships/chartStyle" Target="style89.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90.xml"/><Relationship Id="rId1" Type="http://schemas.microsoft.com/office/2011/relationships/chartStyle" Target="style90.xml"/></Relationships>
</file>

<file path=xl/charts/_rels/chart103.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04.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05.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06.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07.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08.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09.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11.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12.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13.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14.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15.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16.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17.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18.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19.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21.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22.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23.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24.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25.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26.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27.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28.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29.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31.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32.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33.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34.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35.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36.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37.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38.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39.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41.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42.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43.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44.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45.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46.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47.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48.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49.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51.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52.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53.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54.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55.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56.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57.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58.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59.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61.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62.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63.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64.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65.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66.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67.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68.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69.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71.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72.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73.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74.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75.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76.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77.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78.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79.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81.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82.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83.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84.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85.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86.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87.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88.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89.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91.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92.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93.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4.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85.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86.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87.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88.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89.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_rels/chart9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9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83.xml"/><Relationship Id="rId1" Type="http://schemas.microsoft.com/office/2011/relationships/chartStyle" Target="style83.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84.xml"/><Relationship Id="rId1" Type="http://schemas.microsoft.com/office/2011/relationships/chartStyle" Target="style84.xml"/></Relationships>
</file>

<file path=xl/charts/_rels/chart9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97.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98.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99.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Exercício MME por situação</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9699999999999999"/>
          <c:y val="0.23408926262439678"/>
          <c:w val="0.40044466316710409"/>
          <c:h val="0.66052704114618199"/>
        </c:manualLayout>
      </c:layout>
      <c:pieChart>
        <c:varyColors val="1"/>
        <c:dLbls>
          <c:dLblPos val="inEnd"/>
          <c:showLegendKey val="0"/>
          <c:showVal val="0"/>
          <c:showCatName val="0"/>
          <c:showSerName val="0"/>
          <c:showPercent val="1"/>
          <c:showBubbleSize val="0"/>
          <c:showLeaderLines val="0"/>
        </c:dLbls>
        <c:firstSliceAng val="0"/>
      </c:pieChart>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10622292941792E-2"/>
          <c:y val="5.1183631555232784E-2"/>
          <c:w val="0.89937108730368542"/>
          <c:h val="0.88739601057848794"/>
        </c:manualLayout>
      </c:layout>
      <c:barChart>
        <c:barDir val="col"/>
        <c:grouping val="clustered"/>
        <c:varyColors val="0"/>
        <c:ser>
          <c:idx val="0"/>
          <c:order val="0"/>
          <c:spPr>
            <a:solidFill>
              <a:srgbClr val="92D050"/>
            </a:solidFill>
            <a:ln>
              <a:noFill/>
            </a:ln>
            <a:effectLst/>
            <a:scene3d>
              <a:camera prst="orthographicFront"/>
              <a:lightRig rig="threePt" dir="t"/>
            </a:scene3d>
            <a:sp3d>
              <a:bevelT w="190500" h="381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'[1]IDADE-COR-SALARIO'!$B$16:$G$16</c:f>
              <c:strCache>
                <c:ptCount val="6"/>
                <c:pt idx="0">
                  <c:v>PARDA</c:v>
                </c:pt>
                <c:pt idx="1">
                  <c:v>BRANCA</c:v>
                </c:pt>
                <c:pt idx="2">
                  <c:v>AMARELA</c:v>
                </c:pt>
                <c:pt idx="3">
                  <c:v>PRETA</c:v>
                </c:pt>
                <c:pt idx="4">
                  <c:v>INDIGENA</c:v>
                </c:pt>
                <c:pt idx="5">
                  <c:v>NÃO INFORMADO</c:v>
                </c:pt>
              </c:strCache>
            </c:strRef>
          </c:cat>
          <c:val>
            <c:numRef>
              <c:f>'[1]IDADE-COR-SALARIO'!$B$18:$G$18</c:f>
              <c:numCache>
                <c:formatCode>General</c:formatCode>
                <c:ptCount val="6"/>
                <c:pt idx="0">
                  <c:v>0.3520309477756286</c:v>
                </c:pt>
                <c:pt idx="1">
                  <c:v>0.60541586073500964</c:v>
                </c:pt>
                <c:pt idx="2">
                  <c:v>1.5473887814313346E-2</c:v>
                </c:pt>
                <c:pt idx="3">
                  <c:v>2.7079303675048357E-2</c:v>
                </c:pt>
                <c:pt idx="4">
                  <c:v>0</c:v>
                </c:pt>
                <c:pt idx="5">
                  <c:v>0</c:v>
                </c:pt>
              </c:numCache>
            </c:numRef>
          </c:val>
          <c:extLst>
            <c:ext xmlns:c16="http://schemas.microsoft.com/office/drawing/2014/chart" uri="{C3380CC4-5D6E-409C-BE32-E72D297353CC}">
              <c16:uniqueId val="{00000000-AB31-4B2F-974B-EC48B3337596}"/>
            </c:ext>
          </c:extLst>
        </c:ser>
        <c:dLbls>
          <c:showLegendKey val="0"/>
          <c:showVal val="0"/>
          <c:showCatName val="0"/>
          <c:showSerName val="0"/>
          <c:showPercent val="0"/>
          <c:showBubbleSize val="0"/>
        </c:dLbls>
        <c:gapWidth val="219"/>
        <c:overlap val="-27"/>
        <c:axId val="616596040"/>
        <c:axId val="616594072"/>
      </c:barChart>
      <c:catAx>
        <c:axId val="616596040"/>
        <c:scaling>
          <c:orientation val="minMax"/>
        </c:scaling>
        <c:delete val="1"/>
        <c:axPos val="b"/>
        <c:numFmt formatCode="General" sourceLinked="1"/>
        <c:majorTickMark val="none"/>
        <c:minorTickMark val="none"/>
        <c:tickLblPos val="nextTo"/>
        <c:crossAx val="616594072"/>
        <c:crosses val="autoZero"/>
        <c:auto val="1"/>
        <c:lblAlgn val="ctr"/>
        <c:lblOffset val="100"/>
        <c:noMultiLvlLbl val="0"/>
      </c:catAx>
      <c:valAx>
        <c:axId val="616594072"/>
        <c:scaling>
          <c:orientation val="minMax"/>
        </c:scaling>
        <c:delete val="1"/>
        <c:axPos val="l"/>
        <c:numFmt formatCode="General" sourceLinked="1"/>
        <c:majorTickMark val="none"/>
        <c:minorTickMark val="none"/>
        <c:tickLblPos val="nextTo"/>
        <c:crossAx val="6165960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a:pPr>
            <a:r>
              <a:rPr lang="pt-BR" sz="1200" b="1"/>
              <a:t>Indicador Institucional</a:t>
            </a:r>
          </a:p>
          <a:p>
            <a:pPr>
              <a:defRPr sz="1200" b="1"/>
            </a:pPr>
            <a:r>
              <a:rPr lang="pt-BR" sz="1200" b="1"/>
              <a:t>% de servidores Capacitados</a:t>
            </a:r>
          </a:p>
        </c:rich>
      </c:tx>
      <c:overlay val="0"/>
    </c:title>
    <c:autoTitleDeleted val="0"/>
    <c:plotArea>
      <c:layout/>
      <c:lineChart>
        <c:grouping val="standard"/>
        <c:varyColors val="0"/>
        <c:ser>
          <c:idx val="0"/>
          <c:order val="0"/>
          <c:tx>
            <c:strRef>
              <c:f>[1]PINDICINSTEV!$B$10</c:f>
              <c:strCache>
                <c:ptCount val="1"/>
                <c:pt idx="0">
                  <c:v>Aferição                (%)</c:v>
                </c:pt>
              </c:strCache>
            </c:strRef>
          </c:tx>
          <c:spPr>
            <a:ln w="38100" cap="rnd">
              <a:solidFill>
                <a:schemeClr val="accent1"/>
              </a:solidFill>
              <a:round/>
            </a:ln>
            <a:effectLst/>
          </c:spPr>
          <c:marker>
            <c:spPr>
              <a:scene3d>
                <a:camera prst="orthographicFront"/>
                <a:lightRig rig="threePt" dir="t"/>
              </a:scene3d>
              <a:sp3d>
                <a:bevelT w="190500" h="38100"/>
              </a:sp3d>
            </c:spPr>
          </c:marker>
          <c:dLbls>
            <c:dLbl>
              <c:idx val="0"/>
              <c:layout>
                <c:manualLayout>
                  <c:x val="-5.6944444444444443E-2"/>
                  <c:y val="8.7962780694079909E-2"/>
                </c:manualLayout>
              </c:layout>
              <c:showLegendKey val="0"/>
              <c:showVal val="1"/>
              <c:showCatName val="0"/>
              <c:showSerName val="0"/>
              <c:showPercent val="0"/>
              <c:showBubbleSize val="0"/>
              <c:extLst>
                <c:ext xmlns:c15="http://schemas.microsoft.com/office/drawing/2012/chart" uri="{CE6537A1-D6FC-4f65-9D91-7224C49458BB}">
                  <c15:layout>
                    <c:manualLayout>
                      <c:w val="7.6347112860892394E-2"/>
                      <c:h val="6.4745552639253412E-2"/>
                    </c:manualLayout>
                  </c15:layout>
                </c:ext>
                <c:ext xmlns:c16="http://schemas.microsoft.com/office/drawing/2014/chart" uri="{C3380CC4-5D6E-409C-BE32-E72D297353CC}">
                  <c16:uniqueId val="{00000000-3D24-4D5F-9A2C-8BECED801C25}"/>
                </c:ext>
              </c:extLst>
            </c:dLbl>
            <c:dLbl>
              <c:idx val="1"/>
              <c:layout>
                <c:manualLayout>
                  <c:x val="-5.555555555555558E-2"/>
                  <c:y val="-9.2592592592592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24-4D5F-9A2C-8BECED801C25}"/>
                </c:ext>
              </c:extLst>
            </c:dLbl>
            <c:dLbl>
              <c:idx val="2"/>
              <c:layout>
                <c:manualLayout>
                  <c:x val="-5.2777777777777778E-2"/>
                  <c:y val="9.2592592592592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24-4D5F-9A2C-8BECED801C25}"/>
                </c:ext>
              </c:extLst>
            </c:dLbl>
            <c:dLbl>
              <c:idx val="3"/>
              <c:layout>
                <c:manualLayout>
                  <c:x val="-5.2777777777777826E-2"/>
                  <c:y val="-9.7222222222222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24-4D5F-9A2C-8BECED801C25}"/>
                </c:ext>
              </c:extLst>
            </c:dLbl>
            <c:dLbl>
              <c:idx val="4"/>
              <c:layout>
                <c:manualLayout>
                  <c:x val="-5.2777777777777826E-2"/>
                  <c:y val="8.7962962962962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24-4D5F-9A2C-8BECED801C25}"/>
                </c:ext>
              </c:extLst>
            </c:dLbl>
            <c:dLbl>
              <c:idx val="5"/>
              <c:layout>
                <c:manualLayout>
                  <c:x val="-6.8547181215949243E-2"/>
                  <c:y val="-9.1577004487342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D24-4D5F-9A2C-8BECED801C25}"/>
                </c:ext>
              </c:extLst>
            </c:dLbl>
            <c:dLbl>
              <c:idx val="6"/>
              <c:layout>
                <c:manualLayout>
                  <c:x val="-5.2777777777777778E-2"/>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D24-4D5F-9A2C-8BECED801C25}"/>
                </c:ext>
              </c:extLst>
            </c:dLbl>
            <c:dLbl>
              <c:idx val="7"/>
              <c:layout>
                <c:manualLayout>
                  <c:x val="-1.3888888888888888E-2"/>
                  <c:y val="-0.11111111111111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D24-4D5F-9A2C-8BECED801C25}"/>
                </c:ext>
              </c:extLst>
            </c:dLbl>
            <c:dLbl>
              <c:idx val="8"/>
              <c:layout>
                <c:manualLayout>
                  <c:x val="-1.6666666666666666E-2"/>
                  <c:y val="-9.2592592592592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D24-4D5F-9A2C-8BECED801C25}"/>
                </c:ext>
              </c:extLst>
            </c:dLbl>
            <c:dLbl>
              <c:idx val="9"/>
              <c:layout>
                <c:manualLayout>
                  <c:x val="-1.3888888888888788E-2"/>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D24-4D5F-9A2C-8BECED801C2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[1]PINDICINSTEV!$A$11:$A$20</c:f>
              <c:strCache>
                <c:ptCount val="10"/>
                <c:pt idx="0">
                  <c:v>Out/2010 a Set/2011 </c:v>
                </c:pt>
                <c:pt idx="1">
                  <c:v>Out/2011 a Set/2012</c:v>
                </c:pt>
                <c:pt idx="2">
                  <c:v>Out/2012 a Set/2013</c:v>
                </c:pt>
                <c:pt idx="3">
                  <c:v>Out/2013 a Set/2014</c:v>
                </c:pt>
                <c:pt idx="4">
                  <c:v>Out/2014 a Set/2015</c:v>
                </c:pt>
                <c:pt idx="5">
                  <c:v>Out/2015 a Set/2016</c:v>
                </c:pt>
                <c:pt idx="6">
                  <c:v>Out/2016 a Set/2017</c:v>
                </c:pt>
                <c:pt idx="7">
                  <c:v>Out/2017 a Set/2018</c:v>
                </c:pt>
                <c:pt idx="8">
                  <c:v>Out/2018 a Set/2019</c:v>
                </c:pt>
                <c:pt idx="9">
                  <c:v>Out/2019 a Set/2020</c:v>
                </c:pt>
              </c:strCache>
            </c:strRef>
          </c:cat>
          <c:val>
            <c:numRef>
              <c:f>[1]PINDICINSTEV!$B$11:$B$20</c:f>
              <c:numCache>
                <c:formatCode>General</c:formatCode>
                <c:ptCount val="10"/>
                <c:pt idx="0">
                  <c:v>56.083086053412465</c:v>
                </c:pt>
                <c:pt idx="1">
                  <c:v>61.09375</c:v>
                </c:pt>
                <c:pt idx="2">
                  <c:v>56.606606606606604</c:v>
                </c:pt>
                <c:pt idx="3">
                  <c:v>65.92</c:v>
                </c:pt>
                <c:pt idx="4">
                  <c:v>46.551724137931032</c:v>
                </c:pt>
                <c:pt idx="5">
                  <c:v>38.134206219312603</c:v>
                </c:pt>
                <c:pt idx="6">
                  <c:v>76.964285714285722</c:v>
                </c:pt>
                <c:pt idx="7">
                  <c:v>37.016574585635361</c:v>
                </c:pt>
                <c:pt idx="8">
                  <c:v>54.945054945054949</c:v>
                </c:pt>
                <c:pt idx="9">
                  <c:v>11.155378486055776</c:v>
                </c:pt>
              </c:numCache>
            </c:numRef>
          </c:val>
          <c:smooth val="0"/>
          <c:extLst>
            <c:ext xmlns:c16="http://schemas.microsoft.com/office/drawing/2014/chart" uri="{C3380CC4-5D6E-409C-BE32-E72D297353CC}">
              <c16:uniqueId val="{0000000A-3D24-4D5F-9A2C-8BECED801C25}"/>
            </c:ext>
          </c:extLst>
        </c:ser>
        <c:ser>
          <c:idx val="1"/>
          <c:order val="1"/>
          <c:tx>
            <c:strRef>
              <c:f>[1]PINDICINSTEV!$D$10</c:f>
              <c:strCache>
                <c:ptCount val="1"/>
                <c:pt idx="0">
                  <c:v>Faixa de Aceitação                                    (%)</c:v>
                </c:pt>
              </c:strCache>
            </c:strRef>
          </c:tx>
          <c:spPr>
            <a:ln w="28575" cap="rnd">
              <a:solidFill>
                <a:schemeClr val="accent2"/>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B-3D24-4D5F-9A2C-8BECED801C25}"/>
                </c:ext>
              </c:extLst>
            </c:dLbl>
            <c:dLbl>
              <c:idx val="1"/>
              <c:delete val="1"/>
              <c:extLst>
                <c:ext xmlns:c15="http://schemas.microsoft.com/office/drawing/2012/chart" uri="{CE6537A1-D6FC-4f65-9D91-7224C49458BB}"/>
                <c:ext xmlns:c16="http://schemas.microsoft.com/office/drawing/2014/chart" uri="{C3380CC4-5D6E-409C-BE32-E72D297353CC}">
                  <c16:uniqueId val="{0000000C-3D24-4D5F-9A2C-8BECED801C25}"/>
                </c:ext>
              </c:extLst>
            </c:dLbl>
            <c:dLbl>
              <c:idx val="2"/>
              <c:delete val="1"/>
              <c:extLst>
                <c:ext xmlns:c15="http://schemas.microsoft.com/office/drawing/2012/chart" uri="{CE6537A1-D6FC-4f65-9D91-7224C49458BB}"/>
                <c:ext xmlns:c16="http://schemas.microsoft.com/office/drawing/2014/chart" uri="{C3380CC4-5D6E-409C-BE32-E72D297353CC}">
                  <c16:uniqueId val="{0000000D-3D24-4D5F-9A2C-8BECED801C25}"/>
                </c:ext>
              </c:extLst>
            </c:dLbl>
            <c:dLbl>
              <c:idx val="3"/>
              <c:delete val="1"/>
              <c:extLst>
                <c:ext xmlns:c15="http://schemas.microsoft.com/office/drawing/2012/chart" uri="{CE6537A1-D6FC-4f65-9D91-7224C49458BB}"/>
                <c:ext xmlns:c16="http://schemas.microsoft.com/office/drawing/2014/chart" uri="{C3380CC4-5D6E-409C-BE32-E72D297353CC}">
                  <c16:uniqueId val="{0000000E-3D24-4D5F-9A2C-8BECED801C25}"/>
                </c:ext>
              </c:extLst>
            </c:dLbl>
            <c:dLbl>
              <c:idx val="4"/>
              <c:delete val="1"/>
              <c:extLst>
                <c:ext xmlns:c15="http://schemas.microsoft.com/office/drawing/2012/chart" uri="{CE6537A1-D6FC-4f65-9D91-7224C49458BB}"/>
                <c:ext xmlns:c16="http://schemas.microsoft.com/office/drawing/2014/chart" uri="{C3380CC4-5D6E-409C-BE32-E72D297353CC}">
                  <c16:uniqueId val="{0000000F-3D24-4D5F-9A2C-8BECED801C25}"/>
                </c:ext>
              </c:extLst>
            </c:dLbl>
            <c:dLbl>
              <c:idx val="5"/>
              <c:delete val="1"/>
              <c:extLst>
                <c:ext xmlns:c15="http://schemas.microsoft.com/office/drawing/2012/chart" uri="{CE6537A1-D6FC-4f65-9D91-7224C49458BB}"/>
                <c:ext xmlns:c16="http://schemas.microsoft.com/office/drawing/2014/chart" uri="{C3380CC4-5D6E-409C-BE32-E72D297353CC}">
                  <c16:uniqueId val="{00000010-3D24-4D5F-9A2C-8BECED801C25}"/>
                </c:ext>
              </c:extLst>
            </c:dLbl>
            <c:dLbl>
              <c:idx val="6"/>
              <c:delete val="1"/>
              <c:extLst>
                <c:ext xmlns:c15="http://schemas.microsoft.com/office/drawing/2012/chart" uri="{CE6537A1-D6FC-4f65-9D91-7224C49458BB}"/>
                <c:ext xmlns:c16="http://schemas.microsoft.com/office/drawing/2014/chart" uri="{C3380CC4-5D6E-409C-BE32-E72D297353CC}">
                  <c16:uniqueId val="{00000011-3D24-4D5F-9A2C-8BECED801C25}"/>
                </c:ext>
              </c:extLst>
            </c:dLbl>
            <c:dLbl>
              <c:idx val="7"/>
              <c:delete val="1"/>
              <c:extLst>
                <c:ext xmlns:c15="http://schemas.microsoft.com/office/drawing/2012/chart" uri="{CE6537A1-D6FC-4f65-9D91-7224C49458BB}"/>
                <c:ext xmlns:c16="http://schemas.microsoft.com/office/drawing/2014/chart" uri="{C3380CC4-5D6E-409C-BE32-E72D297353CC}">
                  <c16:uniqueId val="{00000012-3D24-4D5F-9A2C-8BECED801C25}"/>
                </c:ext>
              </c:extLst>
            </c:dLbl>
            <c:dLbl>
              <c:idx val="8"/>
              <c:delete val="1"/>
              <c:extLst>
                <c:ext xmlns:c15="http://schemas.microsoft.com/office/drawing/2012/chart" uri="{CE6537A1-D6FC-4f65-9D91-7224C49458BB}"/>
                <c:ext xmlns:c16="http://schemas.microsoft.com/office/drawing/2014/chart" uri="{C3380CC4-5D6E-409C-BE32-E72D297353CC}">
                  <c16:uniqueId val="{00000013-3D24-4D5F-9A2C-8BECED801C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[1]PINDICINSTEV!$A$11:$A$20</c:f>
              <c:strCache>
                <c:ptCount val="10"/>
                <c:pt idx="0">
                  <c:v>Out/2010 a Set/2011 </c:v>
                </c:pt>
                <c:pt idx="1">
                  <c:v>Out/2011 a Set/2012</c:v>
                </c:pt>
                <c:pt idx="2">
                  <c:v>Out/2012 a Set/2013</c:v>
                </c:pt>
                <c:pt idx="3">
                  <c:v>Out/2013 a Set/2014</c:v>
                </c:pt>
                <c:pt idx="4">
                  <c:v>Out/2014 a Set/2015</c:v>
                </c:pt>
                <c:pt idx="5">
                  <c:v>Out/2015 a Set/2016</c:v>
                </c:pt>
                <c:pt idx="6">
                  <c:v>Out/2016 a Set/2017</c:v>
                </c:pt>
                <c:pt idx="7">
                  <c:v>Out/2017 a Set/2018</c:v>
                </c:pt>
                <c:pt idx="8">
                  <c:v>Out/2018 a Set/2019</c:v>
                </c:pt>
                <c:pt idx="9">
                  <c:v>Out/2019 a Set/2020</c:v>
                </c:pt>
              </c:strCache>
            </c:strRef>
          </c:cat>
          <c:val>
            <c:numRef>
              <c:f>[1]PINDICINSTEV!$D$11:$D$20</c:f>
              <c:numCache>
                <c:formatCode>General</c:formatCode>
                <c:ptCount val="10"/>
                <c:pt idx="0">
                  <c:v>30</c:v>
                </c:pt>
                <c:pt idx="1">
                  <c:v>30</c:v>
                </c:pt>
                <c:pt idx="2">
                  <c:v>30</c:v>
                </c:pt>
                <c:pt idx="3">
                  <c:v>30</c:v>
                </c:pt>
                <c:pt idx="4">
                  <c:v>30</c:v>
                </c:pt>
                <c:pt idx="5">
                  <c:v>30</c:v>
                </c:pt>
                <c:pt idx="6">
                  <c:v>30</c:v>
                </c:pt>
                <c:pt idx="7">
                  <c:v>30</c:v>
                </c:pt>
                <c:pt idx="8">
                  <c:v>30</c:v>
                </c:pt>
                <c:pt idx="9">
                  <c:v>30</c:v>
                </c:pt>
              </c:numCache>
            </c:numRef>
          </c:val>
          <c:smooth val="0"/>
          <c:extLst>
            <c:ext xmlns:c16="http://schemas.microsoft.com/office/drawing/2014/chart" uri="{C3380CC4-5D6E-409C-BE32-E72D297353CC}">
              <c16:uniqueId val="{00000014-3D24-4D5F-9A2C-8BECED801C25}"/>
            </c:ext>
          </c:extLst>
        </c:ser>
        <c:ser>
          <c:idx val="2"/>
          <c:order val="2"/>
          <c:tx>
            <c:strRef>
              <c:f>[1]PINDICINSTEV!$E$10</c:f>
              <c:strCache>
                <c:ptCount val="1"/>
                <c:pt idx="0">
                  <c:v>Meta                  (%)</c:v>
                </c:pt>
              </c:strCache>
            </c:strRef>
          </c:tx>
          <c:spPr>
            <a:ln w="28575" cap="rnd">
              <a:solidFill>
                <a:schemeClr val="accent3"/>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5-3D24-4D5F-9A2C-8BECED801C25}"/>
                </c:ext>
              </c:extLst>
            </c:dLbl>
            <c:dLbl>
              <c:idx val="1"/>
              <c:delete val="1"/>
              <c:extLst>
                <c:ext xmlns:c15="http://schemas.microsoft.com/office/drawing/2012/chart" uri="{CE6537A1-D6FC-4f65-9D91-7224C49458BB}"/>
                <c:ext xmlns:c16="http://schemas.microsoft.com/office/drawing/2014/chart" uri="{C3380CC4-5D6E-409C-BE32-E72D297353CC}">
                  <c16:uniqueId val="{00000016-3D24-4D5F-9A2C-8BECED801C25}"/>
                </c:ext>
              </c:extLst>
            </c:dLbl>
            <c:dLbl>
              <c:idx val="2"/>
              <c:delete val="1"/>
              <c:extLst>
                <c:ext xmlns:c15="http://schemas.microsoft.com/office/drawing/2012/chart" uri="{CE6537A1-D6FC-4f65-9D91-7224C49458BB}"/>
                <c:ext xmlns:c16="http://schemas.microsoft.com/office/drawing/2014/chart" uri="{C3380CC4-5D6E-409C-BE32-E72D297353CC}">
                  <c16:uniqueId val="{00000017-3D24-4D5F-9A2C-8BECED801C25}"/>
                </c:ext>
              </c:extLst>
            </c:dLbl>
            <c:dLbl>
              <c:idx val="3"/>
              <c:delete val="1"/>
              <c:extLst>
                <c:ext xmlns:c15="http://schemas.microsoft.com/office/drawing/2012/chart" uri="{CE6537A1-D6FC-4f65-9D91-7224C49458BB}"/>
                <c:ext xmlns:c16="http://schemas.microsoft.com/office/drawing/2014/chart" uri="{C3380CC4-5D6E-409C-BE32-E72D297353CC}">
                  <c16:uniqueId val="{00000018-3D24-4D5F-9A2C-8BECED801C25}"/>
                </c:ext>
              </c:extLst>
            </c:dLbl>
            <c:dLbl>
              <c:idx val="4"/>
              <c:delete val="1"/>
              <c:extLst>
                <c:ext xmlns:c15="http://schemas.microsoft.com/office/drawing/2012/chart" uri="{CE6537A1-D6FC-4f65-9D91-7224C49458BB}"/>
                <c:ext xmlns:c16="http://schemas.microsoft.com/office/drawing/2014/chart" uri="{C3380CC4-5D6E-409C-BE32-E72D297353CC}">
                  <c16:uniqueId val="{00000019-3D24-4D5F-9A2C-8BECED801C25}"/>
                </c:ext>
              </c:extLst>
            </c:dLbl>
            <c:dLbl>
              <c:idx val="5"/>
              <c:delete val="1"/>
              <c:extLst>
                <c:ext xmlns:c15="http://schemas.microsoft.com/office/drawing/2012/chart" uri="{CE6537A1-D6FC-4f65-9D91-7224C49458BB}"/>
                <c:ext xmlns:c16="http://schemas.microsoft.com/office/drawing/2014/chart" uri="{C3380CC4-5D6E-409C-BE32-E72D297353CC}">
                  <c16:uniqueId val="{0000001A-3D24-4D5F-9A2C-8BECED801C25}"/>
                </c:ext>
              </c:extLst>
            </c:dLbl>
            <c:dLbl>
              <c:idx val="6"/>
              <c:delete val="1"/>
              <c:extLst>
                <c:ext xmlns:c15="http://schemas.microsoft.com/office/drawing/2012/chart" uri="{CE6537A1-D6FC-4f65-9D91-7224C49458BB}"/>
                <c:ext xmlns:c16="http://schemas.microsoft.com/office/drawing/2014/chart" uri="{C3380CC4-5D6E-409C-BE32-E72D297353CC}">
                  <c16:uniqueId val="{0000001B-3D24-4D5F-9A2C-8BECED801C25}"/>
                </c:ext>
              </c:extLst>
            </c:dLbl>
            <c:dLbl>
              <c:idx val="7"/>
              <c:delete val="1"/>
              <c:extLst>
                <c:ext xmlns:c15="http://schemas.microsoft.com/office/drawing/2012/chart" uri="{CE6537A1-D6FC-4f65-9D91-7224C49458BB}"/>
                <c:ext xmlns:c16="http://schemas.microsoft.com/office/drawing/2014/chart" uri="{C3380CC4-5D6E-409C-BE32-E72D297353CC}">
                  <c16:uniqueId val="{0000001C-3D24-4D5F-9A2C-8BECED801C25}"/>
                </c:ext>
              </c:extLst>
            </c:dLbl>
            <c:dLbl>
              <c:idx val="8"/>
              <c:delete val="1"/>
              <c:extLst>
                <c:ext xmlns:c15="http://schemas.microsoft.com/office/drawing/2012/chart" uri="{CE6537A1-D6FC-4f65-9D91-7224C49458BB}"/>
                <c:ext xmlns:c16="http://schemas.microsoft.com/office/drawing/2014/chart" uri="{C3380CC4-5D6E-409C-BE32-E72D297353CC}">
                  <c16:uniqueId val="{0000001D-3D24-4D5F-9A2C-8BECED801C25}"/>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[1]PINDICINSTEV!$A$11:$A$20</c:f>
              <c:strCache>
                <c:ptCount val="10"/>
                <c:pt idx="0">
                  <c:v>Out/2010 a Set/2011 </c:v>
                </c:pt>
                <c:pt idx="1">
                  <c:v>Out/2011 a Set/2012</c:v>
                </c:pt>
                <c:pt idx="2">
                  <c:v>Out/2012 a Set/2013</c:v>
                </c:pt>
                <c:pt idx="3">
                  <c:v>Out/2013 a Set/2014</c:v>
                </c:pt>
                <c:pt idx="4">
                  <c:v>Out/2014 a Set/2015</c:v>
                </c:pt>
                <c:pt idx="5">
                  <c:v>Out/2015 a Set/2016</c:v>
                </c:pt>
                <c:pt idx="6">
                  <c:v>Out/2016 a Set/2017</c:v>
                </c:pt>
                <c:pt idx="7">
                  <c:v>Out/2017 a Set/2018</c:v>
                </c:pt>
                <c:pt idx="8">
                  <c:v>Out/2018 a Set/2019</c:v>
                </c:pt>
                <c:pt idx="9">
                  <c:v>Out/2019 a Set/2020</c:v>
                </c:pt>
              </c:strCache>
            </c:strRef>
          </c:cat>
          <c:val>
            <c:numRef>
              <c:f>[1]PINDICINSTEV!$E$11:$E$20</c:f>
              <c:numCache>
                <c:formatCode>General</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1E-3D24-4D5F-9A2C-8BECED801C25}"/>
            </c:ext>
          </c:extLst>
        </c:ser>
        <c:dLbls>
          <c:showLegendKey val="0"/>
          <c:showVal val="0"/>
          <c:showCatName val="0"/>
          <c:showSerName val="0"/>
          <c:showPercent val="0"/>
          <c:showBubbleSize val="0"/>
        </c:dLbls>
        <c:marker val="1"/>
        <c:smooth val="0"/>
        <c:axId val="97772672"/>
        <c:axId val="97774208"/>
      </c:lineChart>
      <c:catAx>
        <c:axId val="9777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7774208"/>
        <c:crosses val="autoZero"/>
        <c:auto val="1"/>
        <c:lblAlgn val="ctr"/>
        <c:lblOffset val="100"/>
        <c:noMultiLvlLbl val="0"/>
      </c:catAx>
      <c:valAx>
        <c:axId val="97774208"/>
        <c:scaling>
          <c:orientation val="minMax"/>
        </c:scaling>
        <c:delete val="1"/>
        <c:axPos val="l"/>
        <c:numFmt formatCode="General" sourceLinked="1"/>
        <c:majorTickMark val="none"/>
        <c:minorTickMark val="none"/>
        <c:tickLblPos val="nextTo"/>
        <c:crossAx val="97772672"/>
        <c:crosses val="autoZero"/>
        <c:crossBetween val="between"/>
      </c:valAx>
      <c:spPr>
        <a:noFill/>
        <a:ln>
          <a:noFill/>
        </a:ln>
        <a:effectLst/>
      </c:spPr>
    </c:plotArea>
    <c:legend>
      <c:legendPos val="b"/>
      <c:layout>
        <c:manualLayout>
          <c:xMode val="edge"/>
          <c:yMode val="edge"/>
          <c:x val="2.0969597550306199E-2"/>
          <c:y val="0.90634324440788183"/>
          <c:w val="0.91639391951006122"/>
          <c:h val="6.587879500137110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noFill/>
    <a:ln w="9525" cap="flat" cmpd="sng" algn="ctr">
      <a:no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MOVIMENTAÇÃO - ÍNDICE</a:t>
            </a:r>
            <a:r>
              <a:rPr lang="pt-BR" sz="1100" b="1" baseline="0"/>
              <a:t> DE PERDA POR EXERCÍCIO</a:t>
            </a:r>
            <a:endParaRPr lang="pt-BR"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[1]MEMORIAPERDA!$I$12</c:f>
              <c:strCache>
                <c:ptCount val="1"/>
                <c:pt idx="0">
                  <c:v>Egressos no Exercício</c:v>
                </c:pt>
              </c:strCache>
            </c:strRef>
          </c:tx>
          <c:spPr>
            <a:solidFill>
              <a:srgbClr val="FF0000"/>
            </a:solidFill>
            <a:ln>
              <a:noFill/>
            </a:ln>
            <a:effectLst/>
            <a:scene3d>
              <a:camera prst="orthographicFront"/>
              <a:lightRig rig="threePt" dir="t"/>
            </a:scene3d>
            <a:sp3d>
              <a:bevelT w="190500" h="381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[1]MEMORIAPERDA!$H$14:$H$17</c:f>
              <c:numCache>
                <c:formatCode>General</c:formatCode>
                <c:ptCount val="4"/>
                <c:pt idx="0">
                  <c:v>2017</c:v>
                </c:pt>
                <c:pt idx="1">
                  <c:v>2018</c:v>
                </c:pt>
                <c:pt idx="2">
                  <c:v>2019</c:v>
                </c:pt>
                <c:pt idx="3">
                  <c:v>2020</c:v>
                </c:pt>
              </c:numCache>
            </c:numRef>
          </c:cat>
          <c:val>
            <c:numRef>
              <c:f>[1]MEMORIAPERDA!$I$14:$I$17</c:f>
              <c:numCache>
                <c:formatCode>General</c:formatCode>
                <c:ptCount val="4"/>
                <c:pt idx="0">
                  <c:v>0.58571428571428574</c:v>
                </c:pt>
                <c:pt idx="1">
                  <c:v>0.58974358974358976</c:v>
                </c:pt>
                <c:pt idx="2">
                  <c:v>0.54385964912280704</c:v>
                </c:pt>
                <c:pt idx="3">
                  <c:v>0.66666666666666663</c:v>
                </c:pt>
              </c:numCache>
            </c:numRef>
          </c:val>
          <c:extLst>
            <c:ext xmlns:c16="http://schemas.microsoft.com/office/drawing/2014/chart" uri="{C3380CC4-5D6E-409C-BE32-E72D297353CC}">
              <c16:uniqueId val="{00000000-A82F-4617-BF5D-2BFB1FBDD86F}"/>
            </c:ext>
          </c:extLst>
        </c:ser>
        <c:ser>
          <c:idx val="1"/>
          <c:order val="1"/>
          <c:tx>
            <c:strRef>
              <c:f>[1]MEMORIAPERDA!$J$12</c:f>
              <c:strCache>
                <c:ptCount val="1"/>
                <c:pt idx="0">
                  <c:v>Ingressos no Exercício</c:v>
                </c:pt>
              </c:strCache>
            </c:strRef>
          </c:tx>
          <c:spPr>
            <a:solidFill>
              <a:srgbClr val="92D050"/>
            </a:solidFill>
            <a:ln>
              <a:noFill/>
            </a:ln>
            <a:effectLst/>
            <a:scene3d>
              <a:camera prst="orthographicFront"/>
              <a:lightRig rig="threePt" dir="t"/>
            </a:scene3d>
            <a:sp3d>
              <a:bevelT w="190500" h="381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[1]MEMORIAPERDA!$H$14:$H$17</c:f>
              <c:numCache>
                <c:formatCode>General</c:formatCode>
                <c:ptCount val="4"/>
                <c:pt idx="0">
                  <c:v>2017</c:v>
                </c:pt>
                <c:pt idx="1">
                  <c:v>2018</c:v>
                </c:pt>
                <c:pt idx="2">
                  <c:v>2019</c:v>
                </c:pt>
                <c:pt idx="3">
                  <c:v>2020</c:v>
                </c:pt>
              </c:numCache>
            </c:numRef>
          </c:cat>
          <c:val>
            <c:numRef>
              <c:f>[1]MEMORIAPERDA!$J$14:$J$17</c:f>
              <c:numCache>
                <c:formatCode>General</c:formatCode>
                <c:ptCount val="4"/>
                <c:pt idx="0">
                  <c:v>0.41428571428571426</c:v>
                </c:pt>
                <c:pt idx="1">
                  <c:v>0.41025641025641024</c:v>
                </c:pt>
                <c:pt idx="2">
                  <c:v>0.45614035087719296</c:v>
                </c:pt>
                <c:pt idx="3">
                  <c:v>0.33333333333333337</c:v>
                </c:pt>
              </c:numCache>
            </c:numRef>
          </c:val>
          <c:extLst>
            <c:ext xmlns:c16="http://schemas.microsoft.com/office/drawing/2014/chart" uri="{C3380CC4-5D6E-409C-BE32-E72D297353CC}">
              <c16:uniqueId val="{00000001-A82F-4617-BF5D-2BFB1FBDD86F}"/>
            </c:ext>
          </c:extLst>
        </c:ser>
        <c:dLbls>
          <c:showLegendKey val="0"/>
          <c:showVal val="0"/>
          <c:showCatName val="0"/>
          <c:showSerName val="0"/>
          <c:showPercent val="0"/>
          <c:showBubbleSize val="0"/>
        </c:dLbls>
        <c:gapWidth val="150"/>
        <c:overlap val="100"/>
        <c:axId val="158347919"/>
        <c:axId val="158352079"/>
      </c:barChart>
      <c:catAx>
        <c:axId val="158347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352079"/>
        <c:crosses val="autoZero"/>
        <c:auto val="1"/>
        <c:lblAlgn val="ctr"/>
        <c:lblOffset val="100"/>
        <c:noMultiLvlLbl val="0"/>
      </c:catAx>
      <c:valAx>
        <c:axId val="158352079"/>
        <c:scaling>
          <c:orientation val="minMax"/>
        </c:scaling>
        <c:delete val="1"/>
        <c:axPos val="l"/>
        <c:numFmt formatCode="General" sourceLinked="1"/>
        <c:majorTickMark val="none"/>
        <c:minorTickMark val="none"/>
        <c:tickLblPos val="nextTo"/>
        <c:crossAx val="158347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Movimentação</a:t>
            </a:r>
            <a:r>
              <a:rPr lang="pt-BR" sz="1100" b="1" baseline="0"/>
              <a:t> - Índice de Perda por Período de 12 meses</a:t>
            </a:r>
            <a:endParaRPr lang="pt-BR"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[1]MEMORIAPERDA!$I$46</c:f>
              <c:strCache>
                <c:ptCount val="1"/>
                <c:pt idx="0">
                  <c:v>Egressos no Exercício</c:v>
                </c:pt>
              </c:strCache>
            </c:strRef>
          </c:tx>
          <c:spPr>
            <a:solidFill>
              <a:srgbClr val="FF0000"/>
            </a:solidFill>
            <a:ln>
              <a:noFill/>
            </a:ln>
            <a:effectLst/>
            <a:scene3d>
              <a:camera prst="orthographicFront"/>
              <a:lightRig rig="threePt" dir="t"/>
            </a:scene3d>
            <a:sp3d>
              <a:bevelT w="190500" h="381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[1]MEMORIAPERDA!$H$48</c:f>
              <c:numCache>
                <c:formatCode>General</c:formatCode>
                <c:ptCount val="1"/>
                <c:pt idx="0">
                  <c:v>2020</c:v>
                </c:pt>
              </c:numCache>
            </c:numRef>
          </c:cat>
          <c:val>
            <c:numRef>
              <c:f>[1]MEMORIAPERDA!$I$48</c:f>
              <c:numCache>
                <c:formatCode>General</c:formatCode>
                <c:ptCount val="1"/>
                <c:pt idx="0">
                  <c:v>0.6</c:v>
                </c:pt>
              </c:numCache>
            </c:numRef>
          </c:val>
          <c:extLst>
            <c:ext xmlns:c16="http://schemas.microsoft.com/office/drawing/2014/chart" uri="{C3380CC4-5D6E-409C-BE32-E72D297353CC}">
              <c16:uniqueId val="{00000000-5B8C-42FB-9F89-A69B25801F26}"/>
            </c:ext>
          </c:extLst>
        </c:ser>
        <c:ser>
          <c:idx val="1"/>
          <c:order val="1"/>
          <c:tx>
            <c:strRef>
              <c:f>[1]MEMORIAPERDA!$J$46</c:f>
              <c:strCache>
                <c:ptCount val="1"/>
                <c:pt idx="0">
                  <c:v>Ingressos no Exercício</c:v>
                </c:pt>
              </c:strCache>
            </c:strRef>
          </c:tx>
          <c:spPr>
            <a:solidFill>
              <a:srgbClr val="92D050"/>
            </a:solidFill>
            <a:ln>
              <a:noFill/>
            </a:ln>
            <a:effectLst/>
            <a:scene3d>
              <a:camera prst="orthographicFront"/>
              <a:lightRig rig="threePt" dir="t"/>
            </a:scene3d>
            <a:sp3d>
              <a:bevelT w="190500" h="381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[1]MEMORIAPERDA!$H$48</c:f>
              <c:numCache>
                <c:formatCode>General</c:formatCode>
                <c:ptCount val="1"/>
                <c:pt idx="0">
                  <c:v>2020</c:v>
                </c:pt>
              </c:numCache>
            </c:numRef>
          </c:cat>
          <c:val>
            <c:numRef>
              <c:f>[1]MEMORIAPERDA!$J$48</c:f>
              <c:numCache>
                <c:formatCode>General</c:formatCode>
                <c:ptCount val="1"/>
                <c:pt idx="0">
                  <c:v>0.4</c:v>
                </c:pt>
              </c:numCache>
            </c:numRef>
          </c:val>
          <c:extLst>
            <c:ext xmlns:c16="http://schemas.microsoft.com/office/drawing/2014/chart" uri="{C3380CC4-5D6E-409C-BE32-E72D297353CC}">
              <c16:uniqueId val="{00000001-5B8C-42FB-9F89-A69B25801F26}"/>
            </c:ext>
          </c:extLst>
        </c:ser>
        <c:dLbls>
          <c:showLegendKey val="0"/>
          <c:showVal val="0"/>
          <c:showCatName val="0"/>
          <c:showSerName val="0"/>
          <c:showPercent val="0"/>
          <c:showBubbleSize val="0"/>
        </c:dLbls>
        <c:gapWidth val="437"/>
        <c:overlap val="100"/>
        <c:axId val="1971292656"/>
        <c:axId val="1971277680"/>
      </c:barChart>
      <c:catAx>
        <c:axId val="1971292656"/>
        <c:scaling>
          <c:orientation val="minMax"/>
        </c:scaling>
        <c:delete val="1"/>
        <c:axPos val="b"/>
        <c:numFmt formatCode="General" sourceLinked="1"/>
        <c:majorTickMark val="none"/>
        <c:minorTickMark val="none"/>
        <c:tickLblPos val="nextTo"/>
        <c:crossAx val="1971277680"/>
        <c:crosses val="autoZero"/>
        <c:auto val="1"/>
        <c:lblAlgn val="ctr"/>
        <c:lblOffset val="100"/>
        <c:noMultiLvlLbl val="0"/>
      </c:catAx>
      <c:valAx>
        <c:axId val="1971277680"/>
        <c:scaling>
          <c:orientation val="minMax"/>
        </c:scaling>
        <c:delete val="1"/>
        <c:axPos val="l"/>
        <c:numFmt formatCode="General" sourceLinked="1"/>
        <c:majorTickMark val="none"/>
        <c:minorTickMark val="none"/>
        <c:tickLblPos val="nextTo"/>
        <c:crossAx val="1971292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pt-BR" sz="1200" b="1">
                <a:solidFill>
                  <a:sysClr val="windowText" lastClr="000000"/>
                </a:solidFill>
              </a:rPr>
              <a:t>Índice de Absenteísmo</a:t>
            </a:r>
            <a:r>
              <a:rPr lang="pt-BR" sz="1200" b="1" baseline="0">
                <a:solidFill>
                  <a:sysClr val="windowText" lastClr="000000"/>
                </a:solidFill>
              </a:rPr>
              <a:t> Anual - Exercício MME</a:t>
            </a:r>
            <a:endParaRPr lang="pt-BR" sz="1200" b="1">
              <a:solidFill>
                <a:sysClr val="windowText" lastClr="000000"/>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pt-BR"/>
        </a:p>
      </c:txPr>
    </c:title>
    <c:autoTitleDeleted val="0"/>
    <c:plotArea>
      <c:layout/>
      <c:barChart>
        <c:barDir val="col"/>
        <c:grouping val="clustered"/>
        <c:varyColors val="0"/>
        <c:ser>
          <c:idx val="0"/>
          <c:order val="0"/>
          <c:tx>
            <c:strRef>
              <c:f>[1]PINDICABSENTEVOL!$D$10</c:f>
              <c:strCache>
                <c:ptCount val="1"/>
                <c:pt idx="0">
                  <c:v>Índice de absenteísmo</c:v>
                </c:pt>
              </c:strCache>
            </c:strRef>
          </c:tx>
          <c:spPr>
            <a:solidFill>
              <a:schemeClr val="accent1"/>
            </a:solidFill>
            <a:ln>
              <a:noFill/>
            </a:ln>
            <a:effectLst/>
            <a:scene3d>
              <a:camera prst="orthographicFront"/>
              <a:lightRig rig="threePt" dir="t"/>
            </a:scene3d>
            <a:sp3d>
              <a:bevelT w="190500" h="381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[1]PINDICABSENTEVOL!$D$11:$D$16</c:f>
              <c:numCache>
                <c:formatCode>General</c:formatCode>
                <c:ptCount val="6"/>
                <c:pt idx="0">
                  <c:v>4.2461341677896808E-2</c:v>
                </c:pt>
                <c:pt idx="1">
                  <c:v>7.4580008882218713E-3</c:v>
                </c:pt>
              </c:numCache>
            </c:numRef>
          </c:val>
          <c:extLst>
            <c:ext xmlns:c16="http://schemas.microsoft.com/office/drawing/2014/chart" uri="{C3380CC4-5D6E-409C-BE32-E72D297353CC}">
              <c16:uniqueId val="{00000000-AA53-4B59-A9F3-98C692178A7B}"/>
            </c:ext>
          </c:extLst>
        </c:ser>
        <c:dLbls>
          <c:showLegendKey val="0"/>
          <c:showVal val="0"/>
          <c:showCatName val="0"/>
          <c:showSerName val="0"/>
          <c:showPercent val="0"/>
          <c:showBubbleSize val="0"/>
        </c:dLbls>
        <c:gapWidth val="219"/>
        <c:overlap val="-27"/>
        <c:axId val="830104144"/>
        <c:axId val="830105808"/>
      </c:barChart>
      <c:lineChart>
        <c:grouping val="standard"/>
        <c:varyColors val="0"/>
        <c:ser>
          <c:idx val="1"/>
          <c:order val="1"/>
          <c:tx>
            <c:strRef>
              <c:f>[1]PINDICABSENTEVOL!$F$10</c:f>
              <c:strCache>
                <c:ptCount val="1"/>
                <c:pt idx="0">
                  <c:v>Índice Aceitável</c:v>
                </c:pt>
              </c:strCache>
            </c:strRef>
          </c:tx>
          <c:spPr>
            <a:ln w="38100" cap="rnd">
              <a:solidFill>
                <a:schemeClr val="accent2"/>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AA53-4B59-A9F3-98C692178A7B}"/>
                </c:ext>
              </c:extLst>
            </c:dLbl>
            <c:dLbl>
              <c:idx val="1"/>
              <c:delete val="1"/>
              <c:extLst>
                <c:ext xmlns:c15="http://schemas.microsoft.com/office/drawing/2012/chart" uri="{CE6537A1-D6FC-4f65-9D91-7224C49458BB}"/>
                <c:ext xmlns:c16="http://schemas.microsoft.com/office/drawing/2014/chart" uri="{C3380CC4-5D6E-409C-BE32-E72D297353CC}">
                  <c16:uniqueId val="{00000002-AA53-4B59-A9F3-98C692178A7B}"/>
                </c:ext>
              </c:extLst>
            </c:dLbl>
            <c:dLbl>
              <c:idx val="2"/>
              <c:delete val="1"/>
              <c:extLst>
                <c:ext xmlns:c15="http://schemas.microsoft.com/office/drawing/2012/chart" uri="{CE6537A1-D6FC-4f65-9D91-7224C49458BB}"/>
                <c:ext xmlns:c16="http://schemas.microsoft.com/office/drawing/2014/chart" uri="{C3380CC4-5D6E-409C-BE32-E72D297353CC}">
                  <c16:uniqueId val="{00000003-AA53-4B59-A9F3-98C692178A7B}"/>
                </c:ext>
              </c:extLst>
            </c:dLbl>
            <c:dLbl>
              <c:idx val="3"/>
              <c:delete val="1"/>
              <c:extLst>
                <c:ext xmlns:c15="http://schemas.microsoft.com/office/drawing/2012/chart" uri="{CE6537A1-D6FC-4f65-9D91-7224C49458BB}"/>
                <c:ext xmlns:c16="http://schemas.microsoft.com/office/drawing/2014/chart" uri="{C3380CC4-5D6E-409C-BE32-E72D297353CC}">
                  <c16:uniqueId val="{00000004-AA53-4B59-A9F3-98C692178A7B}"/>
                </c:ext>
              </c:extLst>
            </c:dLbl>
            <c:dLbl>
              <c:idx val="4"/>
              <c:delete val="1"/>
              <c:extLst>
                <c:ext xmlns:c15="http://schemas.microsoft.com/office/drawing/2012/chart" uri="{CE6537A1-D6FC-4f65-9D91-7224C49458BB}"/>
                <c:ext xmlns:c16="http://schemas.microsoft.com/office/drawing/2014/chart" uri="{C3380CC4-5D6E-409C-BE32-E72D297353CC}">
                  <c16:uniqueId val="{00000005-AA53-4B59-A9F3-98C692178A7B}"/>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[1]PINDICABSENTEVOL!$A$11:$A$16</c:f>
              <c:numCache>
                <c:formatCode>General</c:formatCode>
                <c:ptCount val="6"/>
                <c:pt idx="0">
                  <c:v>2019</c:v>
                </c:pt>
                <c:pt idx="1">
                  <c:v>2020</c:v>
                </c:pt>
                <c:pt idx="2">
                  <c:v>2021</c:v>
                </c:pt>
                <c:pt idx="3">
                  <c:v>2022</c:v>
                </c:pt>
                <c:pt idx="4">
                  <c:v>2023</c:v>
                </c:pt>
                <c:pt idx="5">
                  <c:v>2024</c:v>
                </c:pt>
              </c:numCache>
            </c:numRef>
          </c:cat>
          <c:val>
            <c:numRef>
              <c:f>[1]PINDICABSENTEVOL!$F$11:$F$16</c:f>
              <c:numCache>
                <c:formatCode>General</c:formatCode>
                <c:ptCount val="6"/>
                <c:pt idx="0">
                  <c:v>0.05</c:v>
                </c:pt>
                <c:pt idx="1">
                  <c:v>0.05</c:v>
                </c:pt>
                <c:pt idx="2">
                  <c:v>0.05</c:v>
                </c:pt>
                <c:pt idx="3">
                  <c:v>0.05</c:v>
                </c:pt>
                <c:pt idx="4">
                  <c:v>0.05</c:v>
                </c:pt>
                <c:pt idx="5">
                  <c:v>0.05</c:v>
                </c:pt>
              </c:numCache>
            </c:numRef>
          </c:val>
          <c:smooth val="0"/>
          <c:extLst>
            <c:ext xmlns:c16="http://schemas.microsoft.com/office/drawing/2014/chart" uri="{C3380CC4-5D6E-409C-BE32-E72D297353CC}">
              <c16:uniqueId val="{00000006-AA53-4B59-A9F3-98C692178A7B}"/>
            </c:ext>
          </c:extLst>
        </c:ser>
        <c:ser>
          <c:idx val="2"/>
          <c:order val="2"/>
          <c:tx>
            <c:strRef>
              <c:f>[1]PINDICABSENTEVOL!$G$10</c:f>
              <c:strCache>
                <c:ptCount val="1"/>
                <c:pt idx="0">
                  <c:v>Índice Ideal</c:v>
                </c:pt>
              </c:strCache>
            </c:strRef>
          </c:tx>
          <c:spPr>
            <a:ln w="38100" cap="rnd">
              <a:solidFill>
                <a:schemeClr val="accent3"/>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7-AA53-4B59-A9F3-98C692178A7B}"/>
                </c:ext>
              </c:extLst>
            </c:dLbl>
            <c:dLbl>
              <c:idx val="1"/>
              <c:delete val="1"/>
              <c:extLst>
                <c:ext xmlns:c15="http://schemas.microsoft.com/office/drawing/2012/chart" uri="{CE6537A1-D6FC-4f65-9D91-7224C49458BB}"/>
                <c:ext xmlns:c16="http://schemas.microsoft.com/office/drawing/2014/chart" uri="{C3380CC4-5D6E-409C-BE32-E72D297353CC}">
                  <c16:uniqueId val="{00000008-AA53-4B59-A9F3-98C692178A7B}"/>
                </c:ext>
              </c:extLst>
            </c:dLbl>
            <c:dLbl>
              <c:idx val="2"/>
              <c:delete val="1"/>
              <c:extLst>
                <c:ext xmlns:c15="http://schemas.microsoft.com/office/drawing/2012/chart" uri="{CE6537A1-D6FC-4f65-9D91-7224C49458BB}"/>
                <c:ext xmlns:c16="http://schemas.microsoft.com/office/drawing/2014/chart" uri="{C3380CC4-5D6E-409C-BE32-E72D297353CC}">
                  <c16:uniqueId val="{00000009-AA53-4B59-A9F3-98C692178A7B}"/>
                </c:ext>
              </c:extLst>
            </c:dLbl>
            <c:dLbl>
              <c:idx val="3"/>
              <c:delete val="1"/>
              <c:extLst>
                <c:ext xmlns:c15="http://schemas.microsoft.com/office/drawing/2012/chart" uri="{CE6537A1-D6FC-4f65-9D91-7224C49458BB}"/>
                <c:ext xmlns:c16="http://schemas.microsoft.com/office/drawing/2014/chart" uri="{C3380CC4-5D6E-409C-BE32-E72D297353CC}">
                  <c16:uniqueId val="{0000000A-AA53-4B59-A9F3-98C692178A7B}"/>
                </c:ext>
              </c:extLst>
            </c:dLbl>
            <c:dLbl>
              <c:idx val="4"/>
              <c:delete val="1"/>
              <c:extLst>
                <c:ext xmlns:c15="http://schemas.microsoft.com/office/drawing/2012/chart" uri="{CE6537A1-D6FC-4f65-9D91-7224C49458BB}"/>
                <c:ext xmlns:c16="http://schemas.microsoft.com/office/drawing/2014/chart" uri="{C3380CC4-5D6E-409C-BE32-E72D297353CC}">
                  <c16:uniqueId val="{0000000B-AA53-4B59-A9F3-98C692178A7B}"/>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[1]PINDICABSENTEVOL!$A$11:$A$16</c:f>
              <c:numCache>
                <c:formatCode>General</c:formatCode>
                <c:ptCount val="6"/>
                <c:pt idx="0">
                  <c:v>2019</c:v>
                </c:pt>
                <c:pt idx="1">
                  <c:v>2020</c:v>
                </c:pt>
                <c:pt idx="2">
                  <c:v>2021</c:v>
                </c:pt>
                <c:pt idx="3">
                  <c:v>2022</c:v>
                </c:pt>
                <c:pt idx="4">
                  <c:v>2023</c:v>
                </c:pt>
                <c:pt idx="5">
                  <c:v>2024</c:v>
                </c:pt>
              </c:numCache>
            </c:numRef>
          </c:cat>
          <c:val>
            <c:numRef>
              <c:f>[1]PINDICABSENTEVOL!$G$11:$G$16</c:f>
              <c:numCache>
                <c:formatCode>General</c:formatCode>
                <c:ptCount val="6"/>
                <c:pt idx="0">
                  <c:v>1.4999999999999999E-2</c:v>
                </c:pt>
                <c:pt idx="1">
                  <c:v>1.4999999999999999E-2</c:v>
                </c:pt>
                <c:pt idx="2">
                  <c:v>1.4999999999999999E-2</c:v>
                </c:pt>
                <c:pt idx="3">
                  <c:v>1.4999999999999999E-2</c:v>
                </c:pt>
                <c:pt idx="4">
                  <c:v>1.4999999999999999E-2</c:v>
                </c:pt>
                <c:pt idx="5">
                  <c:v>1.4999999999999999E-2</c:v>
                </c:pt>
              </c:numCache>
            </c:numRef>
          </c:val>
          <c:smooth val="0"/>
          <c:extLst>
            <c:ext xmlns:c16="http://schemas.microsoft.com/office/drawing/2014/chart" uri="{C3380CC4-5D6E-409C-BE32-E72D297353CC}">
              <c16:uniqueId val="{0000000C-AA53-4B59-A9F3-98C692178A7B}"/>
            </c:ext>
          </c:extLst>
        </c:ser>
        <c:dLbls>
          <c:showLegendKey val="0"/>
          <c:showVal val="0"/>
          <c:showCatName val="0"/>
          <c:showSerName val="0"/>
          <c:showPercent val="0"/>
          <c:showBubbleSize val="0"/>
        </c:dLbls>
        <c:marker val="1"/>
        <c:smooth val="0"/>
        <c:axId val="830104144"/>
        <c:axId val="830105808"/>
      </c:lineChart>
      <c:catAx>
        <c:axId val="8301041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30105808"/>
        <c:crosses val="autoZero"/>
        <c:auto val="1"/>
        <c:lblAlgn val="ctr"/>
        <c:lblOffset val="100"/>
        <c:noMultiLvlLbl val="0"/>
      </c:catAx>
      <c:valAx>
        <c:axId val="830105808"/>
        <c:scaling>
          <c:orientation val="minMax"/>
        </c:scaling>
        <c:delete val="1"/>
        <c:axPos val="l"/>
        <c:numFmt formatCode="General" sourceLinked="1"/>
        <c:majorTickMark val="none"/>
        <c:minorTickMark val="none"/>
        <c:tickLblPos val="nextTo"/>
        <c:crossAx val="83010414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 DE PARTICIPAÇÃO DOS SERVIDORES /EMPREGADOS</a:t>
            </a:r>
          </a:p>
        </c:rich>
      </c:tx>
      <c:layout>
        <c:manualLayout>
          <c:xMode val="edge"/>
          <c:yMode val="edge"/>
          <c:x val="0.16022222222222224"/>
          <c:y val="4.6296296296296294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'[4]VD-CATEGORIAFUNCIONAL'!$B$3:$C$3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'[4]VD-CATEGORIAFUNCIONAL'!$A$5:$A$9</c:f>
              <c:strCache>
                <c:ptCount val="5"/>
                <c:pt idx="0">
                  <c:v>PGPE</c:v>
                </c:pt>
                <c:pt idx="1">
                  <c:v>EXERCÍCIO DESCENTRALIZADO</c:v>
                </c:pt>
                <c:pt idx="2">
                  <c:v>ANISTIADO</c:v>
                </c:pt>
                <c:pt idx="3">
                  <c:v>REQUISITADO OUTROS ÓRGÃOS</c:v>
                </c:pt>
                <c:pt idx="4">
                  <c:v>SEM VÍNCULO</c:v>
                </c:pt>
              </c:strCache>
            </c:strRef>
          </c:cat>
          <c:val>
            <c:numRef>
              <c:f>'[4]VD-CATEGORIAFUNCIONAL'!$C$5:$C$9</c:f>
              <c:numCache>
                <c:formatCode>General</c:formatCode>
                <c:ptCount val="5"/>
                <c:pt idx="0">
                  <c:v>0.22395833333333334</c:v>
                </c:pt>
                <c:pt idx="1">
                  <c:v>0.21875</c:v>
                </c:pt>
                <c:pt idx="2">
                  <c:v>0.13020833333333334</c:v>
                </c:pt>
                <c:pt idx="3">
                  <c:v>0.13541666666666666</c:v>
                </c:pt>
                <c:pt idx="4">
                  <c:v>0.29166666666666669</c:v>
                </c:pt>
              </c:numCache>
            </c:numRef>
          </c:val>
          <c:extLst>
            <c:ext xmlns:c16="http://schemas.microsoft.com/office/drawing/2014/chart" uri="{C3380CC4-5D6E-409C-BE32-E72D297353CC}">
              <c16:uniqueId val="{00000000-D07C-4671-BA8A-312490112E1E}"/>
            </c:ext>
          </c:extLst>
        </c:ser>
        <c:ser>
          <c:idx val="1"/>
          <c:order val="1"/>
          <c:tx>
            <c:strRef>
              <c:f>'[4]VD-CATEGORIAFUNCIONAL'!$D$3:$E$3</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'[4]VD-CATEGORIAFUNCIONAL'!$A$5:$A$9</c:f>
              <c:strCache>
                <c:ptCount val="5"/>
                <c:pt idx="0">
                  <c:v>PGPE</c:v>
                </c:pt>
                <c:pt idx="1">
                  <c:v>EXERCÍCIO DESCENTRALIZADO</c:v>
                </c:pt>
                <c:pt idx="2">
                  <c:v>ANISTIADO</c:v>
                </c:pt>
                <c:pt idx="3">
                  <c:v>REQUISITADO OUTROS ÓRGÃOS</c:v>
                </c:pt>
                <c:pt idx="4">
                  <c:v>SEM VÍNCULO</c:v>
                </c:pt>
              </c:strCache>
            </c:strRef>
          </c:cat>
          <c:val>
            <c:numRef>
              <c:f>'[4]VD-CATEGORIAFUNCIONAL'!$E$5:$E$9</c:f>
              <c:numCache>
                <c:formatCode>General</c:formatCode>
                <c:ptCount val="5"/>
                <c:pt idx="0">
                  <c:v>0.27225130890052357</c:v>
                </c:pt>
                <c:pt idx="1">
                  <c:v>0.24083769633507854</c:v>
                </c:pt>
                <c:pt idx="2">
                  <c:v>0.1256544502617801</c:v>
                </c:pt>
                <c:pt idx="3">
                  <c:v>0.13089005235602094</c:v>
                </c:pt>
                <c:pt idx="4">
                  <c:v>0.23036649214659685</c:v>
                </c:pt>
              </c:numCache>
            </c:numRef>
          </c:val>
          <c:extLst>
            <c:ext xmlns:c16="http://schemas.microsoft.com/office/drawing/2014/chart" uri="{C3380CC4-5D6E-409C-BE32-E72D297353CC}">
              <c16:uniqueId val="{00000001-D07C-4671-BA8A-312490112E1E}"/>
            </c:ext>
          </c:extLst>
        </c:ser>
        <c:dLbls>
          <c:showLegendKey val="0"/>
          <c:showVal val="0"/>
          <c:showCatName val="0"/>
          <c:showSerName val="0"/>
          <c:showPercent val="0"/>
          <c:showBubbleSize val="0"/>
        </c:dLbls>
        <c:gapWidth val="219"/>
        <c:overlap val="-27"/>
        <c:axId val="323579247"/>
        <c:axId val="323581327"/>
      </c:barChart>
      <c:catAx>
        <c:axId val="32357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23581327"/>
        <c:crosses val="autoZero"/>
        <c:auto val="1"/>
        <c:lblAlgn val="ctr"/>
        <c:lblOffset val="100"/>
        <c:noMultiLvlLbl val="0"/>
      </c:catAx>
      <c:valAx>
        <c:axId val="323581327"/>
        <c:scaling>
          <c:orientation val="minMax"/>
        </c:scaling>
        <c:delete val="1"/>
        <c:axPos val="l"/>
        <c:numFmt formatCode="General" sourceLinked="1"/>
        <c:majorTickMark val="none"/>
        <c:minorTickMark val="none"/>
        <c:tickLblPos val="nextTo"/>
        <c:crossAx val="32357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100" b="1"/>
              <a:t>CATEGORIA</a:t>
            </a:r>
            <a:r>
              <a:rPr lang="pt-BR" sz="1100" b="1" baseline="0"/>
              <a:t> FUNCIONAL (2020)</a:t>
            </a:r>
            <a:endParaRPr lang="pt-BR" sz="11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3182685690970764"/>
          <c:y val="0.22927307645159972"/>
          <c:w val="0.5146909768529514"/>
          <c:h val="0.63020382062639568"/>
        </c:manualLayout>
      </c:layout>
      <c:pieChart>
        <c:varyColors val="1"/>
        <c:ser>
          <c:idx val="0"/>
          <c:order val="0"/>
          <c:spPr>
            <a:scene3d>
              <a:camera prst="orthographicFront"/>
              <a:lightRig rig="threePt" dir="t"/>
            </a:scene3d>
            <a:sp3d>
              <a:bevelT w="139700" h="139700" prst="divot"/>
            </a:sp3d>
          </c:spPr>
          <c:dPt>
            <c:idx val="0"/>
            <c:bubble3D val="0"/>
            <c:explosion val="6"/>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D5DD-4C23-B66A-5B366A9DCFFE}"/>
              </c:ext>
            </c:extLst>
          </c:dPt>
          <c:dPt>
            <c:idx val="1"/>
            <c:bubble3D val="0"/>
            <c:explosion val="5"/>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D5DD-4C23-B66A-5B366A9DCFFE}"/>
              </c:ext>
            </c:extLst>
          </c:dPt>
          <c:dPt>
            <c:idx val="2"/>
            <c:bubble3D val="0"/>
            <c:explosion val="7"/>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D5DD-4C23-B66A-5B366A9DCFFE}"/>
              </c:ext>
            </c:extLst>
          </c:dPt>
          <c:dPt>
            <c:idx val="3"/>
            <c:bubble3D val="0"/>
            <c:explosion val="2"/>
            <c:spPr>
              <a:solidFill>
                <a:schemeClr val="accent4"/>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D5DD-4C23-B66A-5B366A9DCFFE}"/>
              </c:ext>
            </c:extLst>
          </c:dPt>
          <c:dPt>
            <c:idx val="4"/>
            <c:bubble3D val="0"/>
            <c:explosion val="7"/>
            <c:spPr>
              <a:solidFill>
                <a:schemeClr val="accent5"/>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9-D5DD-4C23-B66A-5B366A9DCFFE}"/>
              </c:ext>
            </c:extLst>
          </c:dPt>
          <c:dLbls>
            <c:dLbl>
              <c:idx val="0"/>
              <c:layout>
                <c:manualLayout>
                  <c:x val="8.383891076115485E-2"/>
                  <c:y val="-4.1389617964421111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DD-4C23-B66A-5B366A9DCFFE}"/>
                </c:ext>
              </c:extLst>
            </c:dLbl>
            <c:dLbl>
              <c:idx val="1"/>
              <c:layout>
                <c:manualLayout>
                  <c:x val="0.10916449669429372"/>
                  <c:y val="6.555437614219993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extLst>
                <c:ext xmlns:c15="http://schemas.microsoft.com/office/drawing/2012/chart" uri="{CE6537A1-D6FC-4f65-9D91-7224C49458BB}">
                  <c15:layout>
                    <c:manualLayout>
                      <c:w val="0.28566320161255943"/>
                      <c:h val="0.28767043207442611"/>
                    </c:manualLayout>
                  </c15:layout>
                </c:ext>
                <c:ext xmlns:c16="http://schemas.microsoft.com/office/drawing/2014/chart" uri="{C3380CC4-5D6E-409C-BE32-E72D297353CC}">
                  <c16:uniqueId val="{00000003-D5DD-4C23-B66A-5B366A9DCFFE}"/>
                </c:ext>
              </c:extLst>
            </c:dLbl>
            <c:dLbl>
              <c:idx val="2"/>
              <c:layout>
                <c:manualLayout>
                  <c:x val="-0.12571861811937082"/>
                  <c:y val="-1.183756506872910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5DD-4C23-B66A-5B366A9DCFFE}"/>
                </c:ext>
              </c:extLst>
            </c:dLbl>
            <c:dLbl>
              <c:idx val="3"/>
              <c:layout>
                <c:manualLayout>
                  <c:x val="-9.5922790901137353E-2"/>
                  <c:y val="-0.15106882473024205"/>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5DD-4C23-B66A-5B366A9DCFFE}"/>
                </c:ext>
              </c:extLst>
            </c:dLbl>
            <c:dLbl>
              <c:idx val="4"/>
              <c:layout>
                <c:manualLayout>
                  <c:x val="-5.9976596675415557E-2"/>
                  <c:y val="-4.556284631087780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5DD-4C23-B66A-5B366A9DCFF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'[4]VD-CATEGORIAFUNCIONAL'!$A$5:$A$9</c:f>
              <c:strCache>
                <c:ptCount val="5"/>
                <c:pt idx="0">
                  <c:v>PGPE</c:v>
                </c:pt>
                <c:pt idx="1">
                  <c:v>EXERCÍCIO DESCENTRALIZADO</c:v>
                </c:pt>
                <c:pt idx="2">
                  <c:v>ANISTIADO</c:v>
                </c:pt>
                <c:pt idx="3">
                  <c:v>REQUISITADO OUTROS ÓRGÃOS</c:v>
                </c:pt>
                <c:pt idx="4">
                  <c:v>SEM VÍNCULO</c:v>
                </c:pt>
              </c:strCache>
            </c:strRef>
          </c:cat>
          <c:val>
            <c:numRef>
              <c:f>'[4]VD-CATEGORIAFUNCIONAL'!$C$5:$C$9</c:f>
              <c:numCache>
                <c:formatCode>General</c:formatCode>
                <c:ptCount val="5"/>
                <c:pt idx="0">
                  <c:v>0.22395833333333334</c:v>
                </c:pt>
                <c:pt idx="1">
                  <c:v>0.21875</c:v>
                </c:pt>
                <c:pt idx="2">
                  <c:v>0.13020833333333334</c:v>
                </c:pt>
                <c:pt idx="3">
                  <c:v>0.13541666666666666</c:v>
                </c:pt>
                <c:pt idx="4">
                  <c:v>0.29166666666666669</c:v>
                </c:pt>
              </c:numCache>
            </c:numRef>
          </c:val>
          <c:extLst>
            <c:ext xmlns:c16="http://schemas.microsoft.com/office/drawing/2014/chart" uri="{C3380CC4-5D6E-409C-BE32-E72D297353CC}">
              <c16:uniqueId val="{0000000A-D5DD-4C23-B66A-5B366A9DCFF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a:t>TEMPO DE SERVIÇO</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'[4]VD-TEMPODESERVIÇO'!$B$3:$C$3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'[4]VD-TEMPODESERVIÇO'!$A$5:$A$9</c:f>
              <c:strCache>
                <c:ptCount val="5"/>
                <c:pt idx="0">
                  <c:v>menos de 1 ano</c:v>
                </c:pt>
                <c:pt idx="1">
                  <c:v>de 1 a 3 anos</c:v>
                </c:pt>
                <c:pt idx="2">
                  <c:v>de 4 a 9 anos</c:v>
                </c:pt>
                <c:pt idx="3">
                  <c:v>de 10 a 19 anos</c:v>
                </c:pt>
                <c:pt idx="4">
                  <c:v>acima de 20 anos</c:v>
                </c:pt>
              </c:strCache>
            </c:strRef>
          </c:cat>
          <c:val>
            <c:numRef>
              <c:f>'[4]VD-TEMPODESERVIÇO'!$C$5:$C$9</c:f>
              <c:numCache>
                <c:formatCode>General</c:formatCode>
                <c:ptCount val="5"/>
                <c:pt idx="0">
                  <c:v>4.1666666666666664E-2</c:v>
                </c:pt>
                <c:pt idx="1">
                  <c:v>0.13541666666666666</c:v>
                </c:pt>
                <c:pt idx="2">
                  <c:v>0.140625</c:v>
                </c:pt>
                <c:pt idx="3">
                  <c:v>0.390625</c:v>
                </c:pt>
                <c:pt idx="4">
                  <c:v>0.29166666666666669</c:v>
                </c:pt>
              </c:numCache>
            </c:numRef>
          </c:val>
          <c:extLst>
            <c:ext xmlns:c16="http://schemas.microsoft.com/office/drawing/2014/chart" uri="{C3380CC4-5D6E-409C-BE32-E72D297353CC}">
              <c16:uniqueId val="{00000000-85E0-446D-A11D-665C175032BA}"/>
            </c:ext>
          </c:extLst>
        </c:ser>
        <c:ser>
          <c:idx val="1"/>
          <c:order val="1"/>
          <c:tx>
            <c:strRef>
              <c:f>'[4]VD-TEMPODESERVIÇO'!$D$3:$E$3</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'[4]VD-TEMPODESERVIÇO'!$A$5:$A$9</c:f>
              <c:strCache>
                <c:ptCount val="5"/>
                <c:pt idx="0">
                  <c:v>menos de 1 ano</c:v>
                </c:pt>
                <c:pt idx="1">
                  <c:v>de 1 a 3 anos</c:v>
                </c:pt>
                <c:pt idx="2">
                  <c:v>de 4 a 9 anos</c:v>
                </c:pt>
                <c:pt idx="3">
                  <c:v>de 10 a 19 anos</c:v>
                </c:pt>
                <c:pt idx="4">
                  <c:v>acima de 20 anos</c:v>
                </c:pt>
              </c:strCache>
            </c:strRef>
          </c:cat>
          <c:val>
            <c:numRef>
              <c:f>'[4]VD-TEMPODESERVIÇO'!$E$5:$E$9</c:f>
              <c:numCache>
                <c:formatCode>General</c:formatCode>
                <c:ptCount val="5"/>
                <c:pt idx="0">
                  <c:v>5.8201058201058198E-2</c:v>
                </c:pt>
                <c:pt idx="1">
                  <c:v>8.4656084656084651E-2</c:v>
                </c:pt>
                <c:pt idx="2">
                  <c:v>0.33862433862433861</c:v>
                </c:pt>
                <c:pt idx="3">
                  <c:v>0.20634920634920634</c:v>
                </c:pt>
                <c:pt idx="4">
                  <c:v>0.31216931216931215</c:v>
                </c:pt>
              </c:numCache>
            </c:numRef>
          </c:val>
          <c:extLst>
            <c:ext xmlns:c16="http://schemas.microsoft.com/office/drawing/2014/chart" uri="{C3380CC4-5D6E-409C-BE32-E72D297353CC}">
              <c16:uniqueId val="{00000001-85E0-446D-A11D-665C175032BA}"/>
            </c:ext>
          </c:extLst>
        </c:ser>
        <c:dLbls>
          <c:showLegendKey val="0"/>
          <c:showVal val="0"/>
          <c:showCatName val="0"/>
          <c:showSerName val="0"/>
          <c:showPercent val="0"/>
          <c:showBubbleSize val="0"/>
        </c:dLbls>
        <c:gapWidth val="219"/>
        <c:overlap val="-27"/>
        <c:axId val="397285007"/>
        <c:axId val="397285839"/>
      </c:barChart>
      <c:catAx>
        <c:axId val="39728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97285839"/>
        <c:crosses val="autoZero"/>
        <c:auto val="1"/>
        <c:lblAlgn val="ctr"/>
        <c:lblOffset val="100"/>
        <c:noMultiLvlLbl val="0"/>
      </c:catAx>
      <c:valAx>
        <c:axId val="397285839"/>
        <c:scaling>
          <c:orientation val="minMax"/>
        </c:scaling>
        <c:delete val="1"/>
        <c:axPos val="l"/>
        <c:numFmt formatCode="General" sourceLinked="1"/>
        <c:majorTickMark val="none"/>
        <c:minorTickMark val="none"/>
        <c:tickLblPos val="nextTo"/>
        <c:crossAx val="39728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TEMPO DE SERVIÇO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7177892132033238"/>
          <c:y val="0.2141216296826533"/>
          <c:w val="0.5183856263838208"/>
          <c:h val="0.6339915891195419"/>
        </c:manualLayout>
      </c:layout>
      <c:pieChart>
        <c:varyColors val="1"/>
        <c:ser>
          <c:idx val="0"/>
          <c:order val="0"/>
          <c:spPr>
            <a:scene3d>
              <a:camera prst="orthographicFront"/>
              <a:lightRig rig="threePt" dir="t"/>
            </a:scene3d>
            <a:sp3d>
              <a:bevelT w="139700" h="139700" prst="divot"/>
            </a:sp3d>
          </c:spPr>
          <c:dPt>
            <c:idx val="0"/>
            <c:bubble3D val="0"/>
            <c:explosion val="9"/>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54AE-4990-8C62-8C286EC25859}"/>
              </c:ext>
            </c:extLst>
          </c:dPt>
          <c:dPt>
            <c:idx val="1"/>
            <c:bubble3D val="0"/>
            <c:explosion val="8"/>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54AE-4990-8C62-8C286EC25859}"/>
              </c:ext>
            </c:extLst>
          </c:dPt>
          <c:dPt>
            <c:idx val="2"/>
            <c:bubble3D val="0"/>
            <c:explosion val="9"/>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54AE-4990-8C62-8C286EC25859}"/>
              </c:ext>
            </c:extLst>
          </c:dPt>
          <c:dPt>
            <c:idx val="3"/>
            <c:bubble3D val="0"/>
            <c:explosion val="7"/>
            <c:spPr>
              <a:solidFill>
                <a:schemeClr val="accent4"/>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54AE-4990-8C62-8C286EC25859}"/>
              </c:ext>
            </c:extLst>
          </c:dPt>
          <c:dPt>
            <c:idx val="4"/>
            <c:bubble3D val="0"/>
            <c:explosion val="11"/>
            <c:spPr>
              <a:solidFill>
                <a:schemeClr val="accent5"/>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9-54AE-4990-8C62-8C286EC25859}"/>
              </c:ext>
            </c:extLst>
          </c:dPt>
          <c:dLbls>
            <c:dLbl>
              <c:idx val="0"/>
              <c:layout>
                <c:manualLayout>
                  <c:x val="-0.12562525713246123"/>
                  <c:y val="-1.498180625149129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AE-4990-8C62-8C286EC25859}"/>
                </c:ext>
              </c:extLst>
            </c:dLbl>
            <c:dLbl>
              <c:idx val="1"/>
              <c:layout>
                <c:manualLayout>
                  <c:x val="4.2082539428603204E-2"/>
                  <c:y val="1.433160343593414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AE-4990-8C62-8C286EC25859}"/>
                </c:ext>
              </c:extLst>
            </c:dLbl>
            <c:dLbl>
              <c:idx val="2"/>
              <c:layout>
                <c:manualLayout>
                  <c:x val="6.1455725173898974E-4"/>
                  <c:y val="0.1643879742304939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AE-4990-8C62-8C286EC25859}"/>
                </c:ext>
              </c:extLst>
            </c:dLbl>
            <c:dLbl>
              <c:idx val="3"/>
              <c:layout>
                <c:manualLayout>
                  <c:x val="-0.18046546858893023"/>
                  <c:y val="-1.7352660462896683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AE-4990-8C62-8C286EC25859}"/>
                </c:ext>
              </c:extLst>
            </c:dLbl>
            <c:dLbl>
              <c:idx val="4"/>
              <c:layout>
                <c:manualLayout>
                  <c:x val="-7.6392148982334651E-2"/>
                  <c:y val="0.1347849558577905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4AE-4990-8C62-8C286EC25859}"/>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'[4]VD-TEMPODESERVIÇO'!$A$5:$A$9</c:f>
              <c:strCache>
                <c:ptCount val="5"/>
                <c:pt idx="0">
                  <c:v>menos de 1 ano</c:v>
                </c:pt>
                <c:pt idx="1">
                  <c:v>de 1 a 3 anos</c:v>
                </c:pt>
                <c:pt idx="2">
                  <c:v>de 4 a 9 anos</c:v>
                </c:pt>
                <c:pt idx="3">
                  <c:v>de 10 a 19 anos</c:v>
                </c:pt>
                <c:pt idx="4">
                  <c:v>acima de 20 anos</c:v>
                </c:pt>
              </c:strCache>
            </c:strRef>
          </c:cat>
          <c:val>
            <c:numRef>
              <c:f>'[4]VD-TEMPODESERVIÇO'!$C$5:$C$9</c:f>
              <c:numCache>
                <c:formatCode>General</c:formatCode>
                <c:ptCount val="5"/>
                <c:pt idx="0">
                  <c:v>4.1666666666666664E-2</c:v>
                </c:pt>
                <c:pt idx="1">
                  <c:v>0.13541666666666666</c:v>
                </c:pt>
                <c:pt idx="2">
                  <c:v>0.140625</c:v>
                </c:pt>
                <c:pt idx="3">
                  <c:v>0.390625</c:v>
                </c:pt>
                <c:pt idx="4">
                  <c:v>0.29166666666666669</c:v>
                </c:pt>
              </c:numCache>
            </c:numRef>
          </c:val>
          <c:extLst>
            <c:ext xmlns:c16="http://schemas.microsoft.com/office/drawing/2014/chart" uri="{C3380CC4-5D6E-409C-BE32-E72D297353CC}">
              <c16:uniqueId val="{0000000A-54AE-4990-8C62-8C286EC2585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GÊNERO</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'[4]VD-SEXO'!$B$3:$C$3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'[4]VD-SEXO'!$A$5:$A$6</c:f>
              <c:strCache>
                <c:ptCount val="2"/>
                <c:pt idx="0">
                  <c:v>Masculino</c:v>
                </c:pt>
                <c:pt idx="1">
                  <c:v>Feminino</c:v>
                </c:pt>
              </c:strCache>
            </c:strRef>
          </c:cat>
          <c:val>
            <c:numRef>
              <c:f>'[4]VD-SEXO'!$C$5:$C$6</c:f>
              <c:numCache>
                <c:formatCode>General</c:formatCode>
                <c:ptCount val="2"/>
                <c:pt idx="0">
                  <c:v>0.50520833333333337</c:v>
                </c:pt>
                <c:pt idx="1">
                  <c:v>0.49479166666666669</c:v>
                </c:pt>
              </c:numCache>
            </c:numRef>
          </c:val>
          <c:extLst>
            <c:ext xmlns:c16="http://schemas.microsoft.com/office/drawing/2014/chart" uri="{C3380CC4-5D6E-409C-BE32-E72D297353CC}">
              <c16:uniqueId val="{00000000-B1F2-4344-905D-5558FFC5B1EA}"/>
            </c:ext>
          </c:extLst>
        </c:ser>
        <c:ser>
          <c:idx val="1"/>
          <c:order val="1"/>
          <c:tx>
            <c:strRef>
              <c:f>'[4]VD-SEXO'!$D$3:$E$3</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'[4]VD-SEXO'!$A$5:$A$6</c:f>
              <c:strCache>
                <c:ptCount val="2"/>
                <c:pt idx="0">
                  <c:v>Masculino</c:v>
                </c:pt>
                <c:pt idx="1">
                  <c:v>Feminino</c:v>
                </c:pt>
              </c:strCache>
            </c:strRef>
          </c:cat>
          <c:val>
            <c:numRef>
              <c:f>'[4]VD-SEXO'!$E$5:$E$6</c:f>
              <c:numCache>
                <c:formatCode>General</c:formatCode>
                <c:ptCount val="2"/>
                <c:pt idx="0">
                  <c:v>0.44444444444444442</c:v>
                </c:pt>
                <c:pt idx="1">
                  <c:v>0.55555555555555558</c:v>
                </c:pt>
              </c:numCache>
            </c:numRef>
          </c:val>
          <c:extLst>
            <c:ext xmlns:c16="http://schemas.microsoft.com/office/drawing/2014/chart" uri="{C3380CC4-5D6E-409C-BE32-E72D297353CC}">
              <c16:uniqueId val="{00000001-B1F2-4344-905D-5558FFC5B1EA}"/>
            </c:ext>
          </c:extLst>
        </c:ser>
        <c:dLbls>
          <c:showLegendKey val="0"/>
          <c:showVal val="0"/>
          <c:showCatName val="0"/>
          <c:showSerName val="0"/>
          <c:showPercent val="0"/>
          <c:showBubbleSize val="0"/>
        </c:dLbls>
        <c:gapWidth val="500"/>
        <c:overlap val="-27"/>
        <c:axId val="319919791"/>
        <c:axId val="319921871"/>
      </c:barChart>
      <c:catAx>
        <c:axId val="319919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19921871"/>
        <c:crosses val="autoZero"/>
        <c:auto val="1"/>
        <c:lblAlgn val="ctr"/>
        <c:lblOffset val="100"/>
        <c:noMultiLvlLbl val="0"/>
      </c:catAx>
      <c:valAx>
        <c:axId val="319921871"/>
        <c:scaling>
          <c:orientation val="minMax"/>
        </c:scaling>
        <c:delete val="1"/>
        <c:axPos val="l"/>
        <c:numFmt formatCode="General" sourceLinked="1"/>
        <c:majorTickMark val="none"/>
        <c:minorTickMark val="none"/>
        <c:tickLblPos val="nextTo"/>
        <c:crossAx val="3199197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GÊNERO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0605560319414284"/>
          <c:y val="0.183818599379623"/>
          <c:w val="0.54442765415102656"/>
          <c:h val="0.66429461942257217"/>
        </c:manualLayout>
      </c:layout>
      <c:pieChart>
        <c:varyColors val="1"/>
        <c:ser>
          <c:idx val="0"/>
          <c:order val="0"/>
          <c:spPr>
            <a:scene3d>
              <a:camera prst="orthographicFront"/>
              <a:lightRig rig="threePt" dir="t"/>
            </a:scene3d>
            <a:sp3d>
              <a:bevelT w="139700" h="139700" prst="divot"/>
            </a:sp3d>
          </c:spPr>
          <c:explosion val="14"/>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10E2-42AA-AA23-B32A68812AF2}"/>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10E2-42AA-AA23-B32A68812AF2}"/>
              </c:ext>
            </c:extLst>
          </c:dPt>
          <c:dLbls>
            <c:dLbl>
              <c:idx val="0"/>
              <c:layout>
                <c:manualLayout>
                  <c:x val="0.11550470253718285"/>
                  <c:y val="-0.187213108778069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E2-42AA-AA23-B32A68812AF2}"/>
                </c:ext>
              </c:extLst>
            </c:dLbl>
            <c:dLbl>
              <c:idx val="1"/>
              <c:layout>
                <c:manualLayout>
                  <c:x val="-5.517508748906387E-2"/>
                  <c:y val="-7.224154272382618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E2-42AA-AA23-B32A68812AF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'[4]VD-SEXO'!$A$5:$A$6</c:f>
              <c:strCache>
                <c:ptCount val="2"/>
                <c:pt idx="0">
                  <c:v>Masculino</c:v>
                </c:pt>
                <c:pt idx="1">
                  <c:v>Feminino</c:v>
                </c:pt>
              </c:strCache>
            </c:strRef>
          </c:cat>
          <c:val>
            <c:numRef>
              <c:f>'[4]VD-SEXO'!$C$5:$C$6</c:f>
              <c:numCache>
                <c:formatCode>General</c:formatCode>
                <c:ptCount val="2"/>
                <c:pt idx="0">
                  <c:v>0.50520833333333337</c:v>
                </c:pt>
                <c:pt idx="1">
                  <c:v>0.49479166666666669</c:v>
                </c:pt>
              </c:numCache>
            </c:numRef>
          </c:val>
          <c:extLst>
            <c:ext xmlns:c16="http://schemas.microsoft.com/office/drawing/2014/chart" uri="{C3380CC4-5D6E-409C-BE32-E72D297353CC}">
              <c16:uniqueId val="{00000004-10E2-42AA-AA23-B32A68812AF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a:scene3d>
              <a:camera prst="orthographicFront"/>
              <a:lightRig rig="threePt" dir="t"/>
            </a:scene3d>
            <a:sp3d>
              <a:bevelT w="190500" h="381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'[1]IDADE-COR-SALARIO'!$B$58:$G$58</c:f>
              <c:strCache>
                <c:ptCount val="6"/>
                <c:pt idx="0">
                  <c:v>Até 5 mil</c:v>
                </c:pt>
                <c:pt idx="1">
                  <c:v>&gt; 5 até 10 mil</c:v>
                </c:pt>
                <c:pt idx="2">
                  <c:v>&gt;10 até 15 mil</c:v>
                </c:pt>
                <c:pt idx="3">
                  <c:v>&gt;15 até 20 mil</c:v>
                </c:pt>
                <c:pt idx="4">
                  <c:v>Acima de 20 mil</c:v>
                </c:pt>
                <c:pt idx="5">
                  <c:v>Média Salarial</c:v>
                </c:pt>
              </c:strCache>
            </c:strRef>
          </c:cat>
          <c:val>
            <c:numRef>
              <c:f>'[1]IDADE-COR-SALARIO'!$B$60:$F$60</c:f>
              <c:numCache>
                <c:formatCode>General</c:formatCode>
                <c:ptCount val="5"/>
                <c:pt idx="0">
                  <c:v>0.6228070175438597</c:v>
                </c:pt>
                <c:pt idx="1">
                  <c:v>0.15692007797270954</c:v>
                </c:pt>
                <c:pt idx="2">
                  <c:v>8.4795321637426896E-2</c:v>
                </c:pt>
                <c:pt idx="3">
                  <c:v>3.8011695906432746E-2</c:v>
                </c:pt>
                <c:pt idx="4">
                  <c:v>9.7465886939571145E-2</c:v>
                </c:pt>
              </c:numCache>
            </c:numRef>
          </c:val>
          <c:extLst>
            <c:ext xmlns:c16="http://schemas.microsoft.com/office/drawing/2014/chart" uri="{C3380CC4-5D6E-409C-BE32-E72D297353CC}">
              <c16:uniqueId val="{00000000-8C80-43D5-8DA9-9A052B85C363}"/>
            </c:ext>
          </c:extLst>
        </c:ser>
        <c:dLbls>
          <c:showLegendKey val="0"/>
          <c:showVal val="0"/>
          <c:showCatName val="0"/>
          <c:showSerName val="0"/>
          <c:showPercent val="0"/>
          <c:showBubbleSize val="0"/>
        </c:dLbls>
        <c:gapWidth val="219"/>
        <c:overlap val="-27"/>
        <c:axId val="588662512"/>
        <c:axId val="588664152"/>
      </c:barChart>
      <c:catAx>
        <c:axId val="58866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88664152"/>
        <c:crosses val="autoZero"/>
        <c:auto val="1"/>
        <c:lblAlgn val="ctr"/>
        <c:lblOffset val="100"/>
        <c:noMultiLvlLbl val="0"/>
      </c:catAx>
      <c:valAx>
        <c:axId val="588664152"/>
        <c:scaling>
          <c:orientation val="minMax"/>
        </c:scaling>
        <c:delete val="1"/>
        <c:axPos val="l"/>
        <c:numFmt formatCode="General" sourceLinked="1"/>
        <c:majorTickMark val="none"/>
        <c:minorTickMark val="none"/>
        <c:tickLblPos val="nextTo"/>
        <c:crossAx val="58866251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IDADE</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'[4]VD-IDADE'!$B$3:$C$3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'[4]VD-IDADE'!$A$5:$A$9</c:f>
              <c:strCache>
                <c:ptCount val="5"/>
                <c:pt idx="0">
                  <c:v>20 a 30 anos</c:v>
                </c:pt>
                <c:pt idx="1">
                  <c:v>31 a 45 anos</c:v>
                </c:pt>
                <c:pt idx="2">
                  <c:v>46 a 55 anos</c:v>
                </c:pt>
                <c:pt idx="3">
                  <c:v>56 a 65 anos</c:v>
                </c:pt>
                <c:pt idx="4">
                  <c:v>acima de 66 anos</c:v>
                </c:pt>
              </c:strCache>
            </c:strRef>
          </c:cat>
          <c:val>
            <c:numRef>
              <c:f>'[4]VD-IDADE'!$C$5:$C$9</c:f>
              <c:numCache>
                <c:formatCode>General</c:formatCode>
                <c:ptCount val="5"/>
                <c:pt idx="0">
                  <c:v>5.2083333333333336E-2</c:v>
                </c:pt>
                <c:pt idx="1">
                  <c:v>0.3125</c:v>
                </c:pt>
                <c:pt idx="2">
                  <c:v>0.28125</c:v>
                </c:pt>
                <c:pt idx="3">
                  <c:v>0.25</c:v>
                </c:pt>
                <c:pt idx="4">
                  <c:v>0.10416666666666667</c:v>
                </c:pt>
              </c:numCache>
            </c:numRef>
          </c:val>
          <c:extLst>
            <c:ext xmlns:c16="http://schemas.microsoft.com/office/drawing/2014/chart" uri="{C3380CC4-5D6E-409C-BE32-E72D297353CC}">
              <c16:uniqueId val="{00000000-667D-4B1E-A6E9-4A62C94C4479}"/>
            </c:ext>
          </c:extLst>
        </c:ser>
        <c:ser>
          <c:idx val="1"/>
          <c:order val="1"/>
          <c:tx>
            <c:strRef>
              <c:f>'[4]VD-IDADE'!$D$3:$E$3</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'[4]VD-IDADE'!$A$5:$A$9</c:f>
              <c:strCache>
                <c:ptCount val="5"/>
                <c:pt idx="0">
                  <c:v>20 a 30 anos</c:v>
                </c:pt>
                <c:pt idx="1">
                  <c:v>31 a 45 anos</c:v>
                </c:pt>
                <c:pt idx="2">
                  <c:v>46 a 55 anos</c:v>
                </c:pt>
                <c:pt idx="3">
                  <c:v>56 a 65 anos</c:v>
                </c:pt>
                <c:pt idx="4">
                  <c:v>acima de 66 anos</c:v>
                </c:pt>
              </c:strCache>
            </c:strRef>
          </c:cat>
          <c:val>
            <c:numRef>
              <c:f>'[4]VD-IDADE'!$E$5:$E$9</c:f>
              <c:numCache>
                <c:formatCode>General</c:formatCode>
                <c:ptCount val="5"/>
                <c:pt idx="0">
                  <c:v>4.2328042328042326E-2</c:v>
                </c:pt>
                <c:pt idx="1">
                  <c:v>0.34920634920634919</c:v>
                </c:pt>
                <c:pt idx="2">
                  <c:v>0.29100529100529099</c:v>
                </c:pt>
                <c:pt idx="3">
                  <c:v>0.26984126984126983</c:v>
                </c:pt>
                <c:pt idx="4">
                  <c:v>4.7619047619047616E-2</c:v>
                </c:pt>
              </c:numCache>
            </c:numRef>
          </c:val>
          <c:extLst>
            <c:ext xmlns:c16="http://schemas.microsoft.com/office/drawing/2014/chart" uri="{C3380CC4-5D6E-409C-BE32-E72D297353CC}">
              <c16:uniqueId val="{00000001-667D-4B1E-A6E9-4A62C94C4479}"/>
            </c:ext>
          </c:extLst>
        </c:ser>
        <c:dLbls>
          <c:showLegendKey val="0"/>
          <c:showVal val="0"/>
          <c:showCatName val="0"/>
          <c:showSerName val="0"/>
          <c:showPercent val="0"/>
          <c:showBubbleSize val="0"/>
        </c:dLbls>
        <c:gapWidth val="219"/>
        <c:overlap val="-27"/>
        <c:axId val="317537455"/>
        <c:axId val="317533295"/>
      </c:barChart>
      <c:catAx>
        <c:axId val="317537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17533295"/>
        <c:crosses val="autoZero"/>
        <c:auto val="1"/>
        <c:lblAlgn val="ctr"/>
        <c:lblOffset val="100"/>
        <c:noMultiLvlLbl val="0"/>
      </c:catAx>
      <c:valAx>
        <c:axId val="317533295"/>
        <c:scaling>
          <c:orientation val="minMax"/>
        </c:scaling>
        <c:delete val="1"/>
        <c:axPos val="l"/>
        <c:numFmt formatCode="General" sourceLinked="1"/>
        <c:majorTickMark val="none"/>
        <c:minorTickMark val="none"/>
        <c:tickLblPos val="nextTo"/>
        <c:crossAx val="317537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IDADE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6248740096665951"/>
          <c:y val="0.19518223574325935"/>
          <c:w val="0.53387149363994213"/>
          <c:h val="0.65293098305893582"/>
        </c:manualLayout>
      </c:layout>
      <c:pieChart>
        <c:varyColors val="1"/>
        <c:ser>
          <c:idx val="0"/>
          <c:order val="0"/>
          <c:spPr>
            <a:scene3d>
              <a:camera prst="orthographicFront"/>
              <a:lightRig rig="threePt" dir="t"/>
            </a:scene3d>
            <a:sp3d>
              <a:bevelT w="139700" h="139700" prst="divot"/>
            </a:sp3d>
          </c:spPr>
          <c:explosion val="8"/>
          <c:dPt>
            <c:idx val="0"/>
            <c:bubble3D val="0"/>
            <c:explosion val="1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6E11-4B19-9E74-FA4BF8A4D86D}"/>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6E11-4B19-9E74-FA4BF8A4D86D}"/>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6E11-4B19-9E74-FA4BF8A4D86D}"/>
              </c:ext>
            </c:extLst>
          </c:dPt>
          <c:dPt>
            <c:idx val="3"/>
            <c:bubble3D val="0"/>
            <c:explosion val="14"/>
            <c:spPr>
              <a:solidFill>
                <a:schemeClr val="accent4"/>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6E11-4B19-9E74-FA4BF8A4D86D}"/>
              </c:ext>
            </c:extLst>
          </c:dPt>
          <c:dPt>
            <c:idx val="4"/>
            <c:bubble3D val="0"/>
            <c:explosion val="11"/>
            <c:spPr>
              <a:solidFill>
                <a:schemeClr val="accent5"/>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9-6E11-4B19-9E74-FA4BF8A4D86D}"/>
              </c:ext>
            </c:extLst>
          </c:dPt>
          <c:dLbls>
            <c:dLbl>
              <c:idx val="0"/>
              <c:layout>
                <c:manualLayout>
                  <c:x val="6.2309886592238579E-2"/>
                  <c:y val="-1.320120496301599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11-4B19-9E74-FA4BF8A4D86D}"/>
                </c:ext>
              </c:extLst>
            </c:dLbl>
            <c:dLbl>
              <c:idx val="1"/>
              <c:layout>
                <c:manualLayout>
                  <c:x val="-2.4645209026285246E-2"/>
                  <c:y val="-0.14583959675495109"/>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11-4B19-9E74-FA4BF8A4D86D}"/>
                </c:ext>
              </c:extLst>
            </c:dLbl>
            <c:dLbl>
              <c:idx val="2"/>
              <c:layout>
                <c:manualLayout>
                  <c:x val="0.22721742377112328"/>
                  <c:y val="4.5609639704127895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E11-4B19-9E74-FA4BF8A4D86D}"/>
                </c:ext>
              </c:extLst>
            </c:dLbl>
            <c:dLbl>
              <c:idx val="3"/>
              <c:layout>
                <c:manualLayout>
                  <c:x val="-3.7803684563370486E-2"/>
                  <c:y val="-7.693837986160820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E11-4B19-9E74-FA4BF8A4D86D}"/>
                </c:ext>
              </c:extLst>
            </c:dLbl>
            <c:dLbl>
              <c:idx val="4"/>
              <c:layout>
                <c:manualLayout>
                  <c:x val="-6.2422677357686709E-2"/>
                  <c:y val="-3.159985683607730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E11-4B19-9E74-FA4BF8A4D86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'[4]VD-IDADE'!$A$5:$A$9</c:f>
              <c:strCache>
                <c:ptCount val="5"/>
                <c:pt idx="0">
                  <c:v>20 a 30 anos</c:v>
                </c:pt>
                <c:pt idx="1">
                  <c:v>31 a 45 anos</c:v>
                </c:pt>
                <c:pt idx="2">
                  <c:v>46 a 55 anos</c:v>
                </c:pt>
                <c:pt idx="3">
                  <c:v>56 a 65 anos</c:v>
                </c:pt>
                <c:pt idx="4">
                  <c:v>acima de 66 anos</c:v>
                </c:pt>
              </c:strCache>
            </c:strRef>
          </c:cat>
          <c:val>
            <c:numRef>
              <c:f>'[4]VD-IDADE'!$C$5:$C$9</c:f>
              <c:numCache>
                <c:formatCode>General</c:formatCode>
                <c:ptCount val="5"/>
                <c:pt idx="0">
                  <c:v>5.2083333333333336E-2</c:v>
                </c:pt>
                <c:pt idx="1">
                  <c:v>0.3125</c:v>
                </c:pt>
                <c:pt idx="2">
                  <c:v>0.28125</c:v>
                </c:pt>
                <c:pt idx="3">
                  <c:v>0.25</c:v>
                </c:pt>
                <c:pt idx="4">
                  <c:v>0.10416666666666667</c:v>
                </c:pt>
              </c:numCache>
            </c:numRef>
          </c:val>
          <c:extLst>
            <c:ext xmlns:c16="http://schemas.microsoft.com/office/drawing/2014/chart" uri="{C3380CC4-5D6E-409C-BE32-E72D297353CC}">
              <c16:uniqueId val="{0000000A-6E11-4B19-9E74-FA4BF8A4D86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ESCOLARIDADE</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'[4]VD-ESCOLARIDADE'!$B$3:$C$3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'[4]VD-ESCOLARIDADE'!$A$5:$A$9</c:f>
              <c:strCache>
                <c:ptCount val="5"/>
                <c:pt idx="0">
                  <c:v>Nível Médio</c:v>
                </c:pt>
                <c:pt idx="1">
                  <c:v>Superior</c:v>
                </c:pt>
                <c:pt idx="2">
                  <c:v>Pós Graduação</c:v>
                </c:pt>
                <c:pt idx="3">
                  <c:v>Mestrado</c:v>
                </c:pt>
                <c:pt idx="4">
                  <c:v>Doutorado</c:v>
                </c:pt>
              </c:strCache>
            </c:strRef>
          </c:cat>
          <c:val>
            <c:numRef>
              <c:f>'[4]VD-ESCOLARIDADE'!$C$5:$C$9</c:f>
              <c:numCache>
                <c:formatCode>General</c:formatCode>
                <c:ptCount val="5"/>
                <c:pt idx="0">
                  <c:v>9.375E-2</c:v>
                </c:pt>
                <c:pt idx="1">
                  <c:v>0.33854166666666669</c:v>
                </c:pt>
                <c:pt idx="2">
                  <c:v>0.390625</c:v>
                </c:pt>
                <c:pt idx="3">
                  <c:v>0.13541666666666666</c:v>
                </c:pt>
                <c:pt idx="4">
                  <c:v>4.1666666666666664E-2</c:v>
                </c:pt>
              </c:numCache>
            </c:numRef>
          </c:val>
          <c:extLst>
            <c:ext xmlns:c16="http://schemas.microsoft.com/office/drawing/2014/chart" uri="{C3380CC4-5D6E-409C-BE32-E72D297353CC}">
              <c16:uniqueId val="{00000000-55CE-4331-BA2C-4CB169E71AF1}"/>
            </c:ext>
          </c:extLst>
        </c:ser>
        <c:ser>
          <c:idx val="1"/>
          <c:order val="1"/>
          <c:tx>
            <c:strRef>
              <c:f>'[4]VD-ESCOLARIDADE'!$D$3:$E$3</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'[4]VD-ESCOLARIDADE'!$A$5:$A$9</c:f>
              <c:strCache>
                <c:ptCount val="5"/>
                <c:pt idx="0">
                  <c:v>Nível Médio</c:v>
                </c:pt>
                <c:pt idx="1">
                  <c:v>Superior</c:v>
                </c:pt>
                <c:pt idx="2">
                  <c:v>Pós Graduação</c:v>
                </c:pt>
                <c:pt idx="3">
                  <c:v>Mestrado</c:v>
                </c:pt>
                <c:pt idx="4">
                  <c:v>Doutorado</c:v>
                </c:pt>
              </c:strCache>
            </c:strRef>
          </c:cat>
          <c:val>
            <c:numRef>
              <c:f>'[4]VD-ESCOLARIDADE'!$E$5:$E$9</c:f>
              <c:numCache>
                <c:formatCode>General</c:formatCode>
                <c:ptCount val="5"/>
                <c:pt idx="0">
                  <c:v>0.12698412698412698</c:v>
                </c:pt>
                <c:pt idx="1">
                  <c:v>0.30687830687830686</c:v>
                </c:pt>
                <c:pt idx="2">
                  <c:v>0.40740740740740738</c:v>
                </c:pt>
                <c:pt idx="3">
                  <c:v>0.1111111111111111</c:v>
                </c:pt>
                <c:pt idx="4">
                  <c:v>4.7619047619047616E-2</c:v>
                </c:pt>
              </c:numCache>
            </c:numRef>
          </c:val>
          <c:extLst>
            <c:ext xmlns:c16="http://schemas.microsoft.com/office/drawing/2014/chart" uri="{C3380CC4-5D6E-409C-BE32-E72D297353CC}">
              <c16:uniqueId val="{00000001-55CE-4331-BA2C-4CB169E71AF1}"/>
            </c:ext>
          </c:extLst>
        </c:ser>
        <c:dLbls>
          <c:showLegendKey val="0"/>
          <c:showVal val="0"/>
          <c:showCatName val="0"/>
          <c:showSerName val="0"/>
          <c:showPercent val="0"/>
          <c:showBubbleSize val="0"/>
        </c:dLbls>
        <c:gapWidth val="219"/>
        <c:overlap val="-27"/>
        <c:axId val="317535375"/>
        <c:axId val="317539119"/>
      </c:barChart>
      <c:catAx>
        <c:axId val="3175353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17539119"/>
        <c:crosses val="autoZero"/>
        <c:auto val="1"/>
        <c:lblAlgn val="ctr"/>
        <c:lblOffset val="100"/>
        <c:noMultiLvlLbl val="0"/>
      </c:catAx>
      <c:valAx>
        <c:axId val="317539119"/>
        <c:scaling>
          <c:orientation val="minMax"/>
        </c:scaling>
        <c:delete val="1"/>
        <c:axPos val="l"/>
        <c:numFmt formatCode="General" sourceLinked="1"/>
        <c:majorTickMark val="none"/>
        <c:minorTickMark val="none"/>
        <c:tickLblPos val="nextTo"/>
        <c:crossAx val="3175353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ESCOLARIDADE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0605560319414284"/>
          <c:y val="0.183818599379623"/>
          <c:w val="0.52269696220081796"/>
          <c:h val="0.63777946790742068"/>
        </c:manualLayout>
      </c:layout>
      <c:pieChart>
        <c:varyColors val="1"/>
        <c:ser>
          <c:idx val="0"/>
          <c:order val="0"/>
          <c:spPr>
            <a:scene3d>
              <a:camera prst="orthographicFront"/>
              <a:lightRig rig="threePt" dir="t"/>
            </a:scene3d>
            <a:sp3d>
              <a:bevelT w="139700" h="139700" prst="divot"/>
            </a:sp3d>
          </c:spPr>
          <c:explosion val="2"/>
          <c:dPt>
            <c:idx val="0"/>
            <c:bubble3D val="0"/>
            <c:explosion val="6"/>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E0E8-4AC0-B3C1-BD2C46819508}"/>
              </c:ext>
            </c:extLst>
          </c:dPt>
          <c:dPt>
            <c:idx val="1"/>
            <c:bubble3D val="0"/>
            <c:explosion val="6"/>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E0E8-4AC0-B3C1-BD2C46819508}"/>
              </c:ext>
            </c:extLst>
          </c:dPt>
          <c:dPt>
            <c:idx val="2"/>
            <c:bubble3D val="0"/>
            <c:explosion val="9"/>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E0E8-4AC0-B3C1-BD2C46819508}"/>
              </c:ext>
            </c:extLst>
          </c:dPt>
          <c:dPt>
            <c:idx val="3"/>
            <c:bubble3D val="0"/>
            <c:explosion val="9"/>
            <c:spPr>
              <a:solidFill>
                <a:schemeClr val="accent4"/>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E0E8-4AC0-B3C1-BD2C46819508}"/>
              </c:ext>
            </c:extLst>
          </c:dPt>
          <c:dPt>
            <c:idx val="4"/>
            <c:bubble3D val="0"/>
            <c:explosion val="8"/>
            <c:spPr>
              <a:solidFill>
                <a:schemeClr val="accent5"/>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9-E0E8-4AC0-B3C1-BD2C46819508}"/>
              </c:ext>
            </c:extLst>
          </c:dPt>
          <c:dLbls>
            <c:dLbl>
              <c:idx val="0"/>
              <c:layout>
                <c:manualLayout>
                  <c:x val="0.12235552878668918"/>
                  <c:y val="-4.2221426867096075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E8-4AC0-B3C1-BD2C46819508}"/>
                </c:ext>
              </c:extLst>
            </c:dLbl>
            <c:dLbl>
              <c:idx val="1"/>
              <c:layout>
                <c:manualLayout>
                  <c:x val="4.9684208313492975E-2"/>
                  <c:y val="0.26354957050823191"/>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E8-4AC0-B3C1-BD2C46819508}"/>
                </c:ext>
              </c:extLst>
            </c:dLbl>
            <c:dLbl>
              <c:idx val="2"/>
              <c:layout>
                <c:manualLayout>
                  <c:x val="-1.0747526025497996E-2"/>
                  <c:y val="4.006144118348842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0E8-4AC0-B3C1-BD2C46819508}"/>
                </c:ext>
              </c:extLst>
            </c:dLbl>
            <c:dLbl>
              <c:idx val="3"/>
              <c:layout>
                <c:manualLayout>
                  <c:x val="-9.4659896337999525E-2"/>
                  <c:y val="0.136743915533285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0E8-4AC0-B3C1-BD2C46819508}"/>
                </c:ext>
              </c:extLst>
            </c:dLbl>
            <c:dLbl>
              <c:idx val="4"/>
              <c:layout>
                <c:manualLayout>
                  <c:x val="-0.16046881584595213"/>
                  <c:y val="-2.2551300405631116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0E8-4AC0-B3C1-BD2C4681950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'[4]VD-ESCOLARIDADE'!$A$5:$A$9</c:f>
              <c:strCache>
                <c:ptCount val="5"/>
                <c:pt idx="0">
                  <c:v>Nível Médio</c:v>
                </c:pt>
                <c:pt idx="1">
                  <c:v>Superior</c:v>
                </c:pt>
                <c:pt idx="2">
                  <c:v>Pós Graduação</c:v>
                </c:pt>
                <c:pt idx="3">
                  <c:v>Mestrado</c:v>
                </c:pt>
                <c:pt idx="4">
                  <c:v>Doutorado</c:v>
                </c:pt>
              </c:strCache>
            </c:strRef>
          </c:cat>
          <c:val>
            <c:numRef>
              <c:f>'[4]VD-ESCOLARIDADE'!$C$5:$C$9</c:f>
              <c:numCache>
                <c:formatCode>General</c:formatCode>
                <c:ptCount val="5"/>
                <c:pt idx="0">
                  <c:v>9.375E-2</c:v>
                </c:pt>
                <c:pt idx="1">
                  <c:v>0.33854166666666669</c:v>
                </c:pt>
                <c:pt idx="2">
                  <c:v>0.390625</c:v>
                </c:pt>
                <c:pt idx="3">
                  <c:v>0.13541666666666666</c:v>
                </c:pt>
                <c:pt idx="4">
                  <c:v>4.1666666666666664E-2</c:v>
                </c:pt>
              </c:numCache>
            </c:numRef>
          </c:val>
          <c:extLst>
            <c:ext xmlns:c16="http://schemas.microsoft.com/office/drawing/2014/chart" uri="{C3380CC4-5D6E-409C-BE32-E72D297353CC}">
              <c16:uniqueId val="{0000000A-E0E8-4AC0-B3C1-BD2C4681950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NÍVEL CARGO DE OCUPAÇÃO NO MME</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'[4]VD-NIVELCARGO'!$B$3:$C$3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'[4]VD-NIVELCARGO'!$A$5:$A$7</c:f>
              <c:strCache>
                <c:ptCount val="3"/>
                <c:pt idx="0">
                  <c:v>Auxiliar</c:v>
                </c:pt>
                <c:pt idx="1">
                  <c:v>Intermediário</c:v>
                </c:pt>
                <c:pt idx="2">
                  <c:v>Superior</c:v>
                </c:pt>
              </c:strCache>
            </c:strRef>
          </c:cat>
          <c:val>
            <c:numRef>
              <c:f>'[4]VD-NIVELCARGO'!$C$5:$C$7</c:f>
              <c:numCache>
                <c:formatCode>General</c:formatCode>
                <c:ptCount val="3"/>
                <c:pt idx="0">
                  <c:v>0.11458333333333333</c:v>
                </c:pt>
                <c:pt idx="1">
                  <c:v>0.29166666666666669</c:v>
                </c:pt>
                <c:pt idx="2">
                  <c:v>0.59375</c:v>
                </c:pt>
              </c:numCache>
            </c:numRef>
          </c:val>
          <c:extLst>
            <c:ext xmlns:c16="http://schemas.microsoft.com/office/drawing/2014/chart" uri="{C3380CC4-5D6E-409C-BE32-E72D297353CC}">
              <c16:uniqueId val="{00000000-B3FC-4DF3-9000-17E894E16F13}"/>
            </c:ext>
          </c:extLst>
        </c:ser>
        <c:ser>
          <c:idx val="1"/>
          <c:order val="1"/>
          <c:tx>
            <c:strRef>
              <c:f>'[4]VD-NIVELCARGO'!$D$3:$E$3</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'[4]VD-NIVELCARGO'!$A$5:$A$7</c:f>
              <c:strCache>
                <c:ptCount val="3"/>
                <c:pt idx="0">
                  <c:v>Auxiliar</c:v>
                </c:pt>
                <c:pt idx="1">
                  <c:v>Intermediário</c:v>
                </c:pt>
                <c:pt idx="2">
                  <c:v>Superior</c:v>
                </c:pt>
              </c:strCache>
            </c:strRef>
          </c:cat>
          <c:val>
            <c:numRef>
              <c:f>'[4]VD-NIVELCARGO'!$E$5:$E$7</c:f>
              <c:numCache>
                <c:formatCode>General</c:formatCode>
                <c:ptCount val="3"/>
                <c:pt idx="0">
                  <c:v>6.8783068783068779E-2</c:v>
                </c:pt>
                <c:pt idx="1">
                  <c:v>0.35449735449735448</c:v>
                </c:pt>
                <c:pt idx="2">
                  <c:v>0.57671957671957674</c:v>
                </c:pt>
              </c:numCache>
            </c:numRef>
          </c:val>
          <c:extLst>
            <c:ext xmlns:c16="http://schemas.microsoft.com/office/drawing/2014/chart" uri="{C3380CC4-5D6E-409C-BE32-E72D297353CC}">
              <c16:uniqueId val="{00000001-B3FC-4DF3-9000-17E894E16F13}"/>
            </c:ext>
          </c:extLst>
        </c:ser>
        <c:dLbls>
          <c:showLegendKey val="0"/>
          <c:showVal val="0"/>
          <c:showCatName val="0"/>
          <c:showSerName val="0"/>
          <c:showPercent val="0"/>
          <c:showBubbleSize val="0"/>
        </c:dLbls>
        <c:gapWidth val="437"/>
        <c:overlap val="-27"/>
        <c:axId val="415838767"/>
        <c:axId val="415839599"/>
      </c:barChart>
      <c:catAx>
        <c:axId val="4158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15839599"/>
        <c:crosses val="autoZero"/>
        <c:auto val="1"/>
        <c:lblAlgn val="ctr"/>
        <c:lblOffset val="100"/>
        <c:noMultiLvlLbl val="0"/>
      </c:catAx>
      <c:valAx>
        <c:axId val="415839599"/>
        <c:scaling>
          <c:orientation val="minMax"/>
        </c:scaling>
        <c:delete val="1"/>
        <c:axPos val="l"/>
        <c:numFmt formatCode="General" sourceLinked="1"/>
        <c:majorTickMark val="none"/>
        <c:minorTickMark val="none"/>
        <c:tickLblPos val="nextTo"/>
        <c:crossAx val="4158387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NÍVEL CARGO DE</a:t>
            </a:r>
            <a:r>
              <a:rPr lang="pt-BR" sz="1100" b="1" baseline="0"/>
              <a:t> OCUPAÇÃO NO MME (2020)</a:t>
            </a:r>
            <a:endParaRPr lang="pt-BR"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0434829373682917"/>
          <c:y val="0.18347482768619927"/>
          <c:w val="0.53840546882331164"/>
          <c:h val="0.65356025964176578"/>
        </c:manualLayout>
      </c:layout>
      <c:pieChart>
        <c:varyColors val="1"/>
        <c:ser>
          <c:idx val="0"/>
          <c:order val="0"/>
          <c:spPr>
            <a:scene3d>
              <a:camera prst="orthographicFront"/>
              <a:lightRig rig="threePt" dir="t"/>
            </a:scene3d>
            <a:sp3d>
              <a:bevelT w="139700" h="139700" prst="divot"/>
            </a:sp3d>
          </c:spPr>
          <c:explosion val="6"/>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FA3C-45E7-A6FF-4DA49159C8AE}"/>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FA3C-45E7-A6FF-4DA49159C8AE}"/>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FA3C-45E7-A6FF-4DA49159C8AE}"/>
              </c:ext>
            </c:extLst>
          </c:dPt>
          <c:dLbls>
            <c:dLbl>
              <c:idx val="0"/>
              <c:layout>
                <c:manualLayout>
                  <c:x val="0.12935153399651056"/>
                  <c:y val="3.363684355319607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3C-45E7-A6FF-4DA49159C8AE}"/>
                </c:ext>
              </c:extLst>
            </c:dLbl>
            <c:dLbl>
              <c:idx val="1"/>
              <c:layout>
                <c:manualLayout>
                  <c:x val="1.2827630680469234E-2"/>
                  <c:y val="0.1509158097447450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3C-45E7-A6FF-4DA49159C8AE}"/>
                </c:ext>
              </c:extLst>
            </c:dLbl>
            <c:dLbl>
              <c:idx val="2"/>
              <c:layout>
                <c:manualLayout>
                  <c:x val="-1.3216094326960701E-2"/>
                  <c:y val="0.15881480820563151"/>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3C-45E7-A6FF-4DA49159C8A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'[4]VD-NIVELCARGO'!$A$5:$A$7</c:f>
              <c:strCache>
                <c:ptCount val="3"/>
                <c:pt idx="0">
                  <c:v>Auxiliar</c:v>
                </c:pt>
                <c:pt idx="1">
                  <c:v>Intermediário</c:v>
                </c:pt>
                <c:pt idx="2">
                  <c:v>Superior</c:v>
                </c:pt>
              </c:strCache>
            </c:strRef>
          </c:cat>
          <c:val>
            <c:numRef>
              <c:f>'[4]VD-NIVELCARGO'!$C$5:$C$7</c:f>
              <c:numCache>
                <c:formatCode>General</c:formatCode>
                <c:ptCount val="3"/>
                <c:pt idx="0">
                  <c:v>0.11458333333333333</c:v>
                </c:pt>
                <c:pt idx="1">
                  <c:v>0.29166666666666669</c:v>
                </c:pt>
                <c:pt idx="2">
                  <c:v>0.59375</c:v>
                </c:pt>
              </c:numCache>
            </c:numRef>
          </c:val>
          <c:extLst>
            <c:ext xmlns:c16="http://schemas.microsoft.com/office/drawing/2014/chart" uri="{C3380CC4-5D6E-409C-BE32-E72D297353CC}">
              <c16:uniqueId val="{00000006-FA3C-45E7-A6FF-4DA49159C8A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r>
              <a:rPr lang="pt-BR" sz="1100" i="0"/>
              <a:t>LOTAÇÃO</a:t>
            </a:r>
          </a:p>
        </c:rich>
      </c:tx>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pt-BR"/>
        </a:p>
      </c:txPr>
    </c:title>
    <c:autoTitleDeleted val="0"/>
    <c:plotArea>
      <c:layout/>
      <c:barChart>
        <c:barDir val="col"/>
        <c:grouping val="clustered"/>
        <c:varyColors val="0"/>
        <c:ser>
          <c:idx val="0"/>
          <c:order val="0"/>
          <c:tx>
            <c:strRef>
              <c:f>'[4]VD-LOTAÇÃO'!$B$3:$C$3</c:f>
              <c:strCache>
                <c:ptCount val="1"/>
                <c:pt idx="0">
                  <c:v>2020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'[4]VD-LOTAÇÃO'!$A$5:$A$6</c:f>
              <c:strCache>
                <c:ptCount val="2"/>
                <c:pt idx="0">
                  <c:v>Área Finalística </c:v>
                </c:pt>
                <c:pt idx="1">
                  <c:v>Área Meio</c:v>
                </c:pt>
              </c:strCache>
            </c:strRef>
          </c:cat>
          <c:val>
            <c:numRef>
              <c:f>'[4]VD-LOTAÇÃO'!$C$5:$C$6</c:f>
              <c:numCache>
                <c:formatCode>General</c:formatCode>
                <c:ptCount val="2"/>
                <c:pt idx="0">
                  <c:v>0.36979166666666669</c:v>
                </c:pt>
                <c:pt idx="1">
                  <c:v>0.63020833333333337</c:v>
                </c:pt>
              </c:numCache>
            </c:numRef>
          </c:val>
          <c:extLst>
            <c:ext xmlns:c16="http://schemas.microsoft.com/office/drawing/2014/chart" uri="{C3380CC4-5D6E-409C-BE32-E72D297353CC}">
              <c16:uniqueId val="{00000000-78E5-460B-AC1D-BF50E0AA3B48}"/>
            </c:ext>
          </c:extLst>
        </c:ser>
        <c:ser>
          <c:idx val="1"/>
          <c:order val="1"/>
          <c:tx>
            <c:strRef>
              <c:f>'[4]VD-LOTAÇÃO'!$D$3:$E$3</c:f>
              <c:strCache>
                <c:ptCount val="1"/>
                <c:pt idx="0">
                  <c:v>2017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'[4]VD-LOTAÇÃO'!$A$5:$A$6</c:f>
              <c:strCache>
                <c:ptCount val="2"/>
                <c:pt idx="0">
                  <c:v>Área Finalística </c:v>
                </c:pt>
                <c:pt idx="1">
                  <c:v>Área Meio</c:v>
                </c:pt>
              </c:strCache>
            </c:strRef>
          </c:cat>
          <c:val>
            <c:numRef>
              <c:f>'[4]VD-LOTAÇÃO'!$E$5:$E$6</c:f>
              <c:numCache>
                <c:formatCode>General</c:formatCode>
                <c:ptCount val="2"/>
                <c:pt idx="0">
                  <c:v>0.45744680851063829</c:v>
                </c:pt>
                <c:pt idx="1">
                  <c:v>0.54255319148936165</c:v>
                </c:pt>
              </c:numCache>
            </c:numRef>
          </c:val>
          <c:extLst>
            <c:ext xmlns:c16="http://schemas.microsoft.com/office/drawing/2014/chart" uri="{C3380CC4-5D6E-409C-BE32-E72D297353CC}">
              <c16:uniqueId val="{00000001-78E5-460B-AC1D-BF50E0AA3B48}"/>
            </c:ext>
          </c:extLst>
        </c:ser>
        <c:dLbls>
          <c:showLegendKey val="0"/>
          <c:showVal val="0"/>
          <c:showCatName val="0"/>
          <c:showSerName val="0"/>
          <c:showPercent val="0"/>
          <c:showBubbleSize val="0"/>
        </c:dLbls>
        <c:gapWidth val="500"/>
        <c:overlap val="-24"/>
        <c:axId val="317534959"/>
        <c:axId val="317530799"/>
      </c:barChart>
      <c:catAx>
        <c:axId val="31753495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317530799"/>
        <c:crosses val="autoZero"/>
        <c:auto val="1"/>
        <c:lblAlgn val="ctr"/>
        <c:lblOffset val="100"/>
        <c:noMultiLvlLbl val="0"/>
      </c:catAx>
      <c:valAx>
        <c:axId val="317530799"/>
        <c:scaling>
          <c:orientation val="minMax"/>
        </c:scaling>
        <c:delete val="1"/>
        <c:axPos val="l"/>
        <c:numFmt formatCode="General" sourceLinked="1"/>
        <c:majorTickMark val="none"/>
        <c:minorTickMark val="none"/>
        <c:tickLblPos val="nextTo"/>
        <c:crossAx val="3175349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LOTAÇÃO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1394859618784284"/>
          <c:y val="0.18416403077820404"/>
          <c:w val="0.52254778853280071"/>
          <c:h val="0.64090270767436119"/>
        </c:manualLayout>
      </c:layout>
      <c:pieChart>
        <c:varyColors val="1"/>
        <c:ser>
          <c:idx val="0"/>
          <c:order val="0"/>
          <c:spPr>
            <a:scene3d>
              <a:camera prst="orthographicFront"/>
              <a:lightRig rig="threePt" dir="t"/>
            </a:scene3d>
            <a:sp3d>
              <a:bevelT w="139700" h="139700" prst="divot"/>
            </a:sp3d>
          </c:spPr>
          <c:explosion val="9"/>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2811-4E62-8E5A-D36802A6E8E4}"/>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2811-4E62-8E5A-D36802A6E8E4}"/>
              </c:ext>
            </c:extLst>
          </c:dPt>
          <c:dLbls>
            <c:dLbl>
              <c:idx val="0"/>
              <c:layout>
                <c:manualLayout>
                  <c:x val="1.3360279555265402E-2"/>
                  <c:y val="-0.12025693369525391"/>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11-4E62-8E5A-D36802A6E8E4}"/>
                </c:ext>
              </c:extLst>
            </c:dLbl>
            <c:dLbl>
              <c:idx val="1"/>
              <c:layout>
                <c:manualLayout>
                  <c:x val="-2.8435710361118239E-2"/>
                  <c:y val="8.907014828274670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11-4E62-8E5A-D36802A6E8E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'[4]VD-LOTAÇÃO'!$A$5:$A$6</c:f>
              <c:strCache>
                <c:ptCount val="2"/>
                <c:pt idx="0">
                  <c:v>Área Finalística </c:v>
                </c:pt>
                <c:pt idx="1">
                  <c:v>Área Meio</c:v>
                </c:pt>
              </c:strCache>
            </c:strRef>
          </c:cat>
          <c:val>
            <c:numRef>
              <c:f>'[4]VD-LOTAÇÃO'!$C$5:$C$6</c:f>
              <c:numCache>
                <c:formatCode>General</c:formatCode>
                <c:ptCount val="2"/>
                <c:pt idx="0">
                  <c:v>0.36979166666666669</c:v>
                </c:pt>
                <c:pt idx="1">
                  <c:v>0.63020833333333337</c:v>
                </c:pt>
              </c:numCache>
            </c:numRef>
          </c:val>
          <c:extLst>
            <c:ext xmlns:c16="http://schemas.microsoft.com/office/drawing/2014/chart" uri="{C3380CC4-5D6E-409C-BE32-E72D297353CC}">
              <c16:uniqueId val="{00000004-2811-4E62-8E5A-D36802A6E8E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DESEJO DE DESLIGAMENTO DO MME</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'[4]VD-DESLIGAMENTO'!$B$3:$C$3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'[4]VD-DESLIGAMENTO'!$A$5:$A$6</c:f>
              <c:strCache>
                <c:ptCount val="2"/>
                <c:pt idx="0">
                  <c:v>Sim </c:v>
                </c:pt>
                <c:pt idx="1">
                  <c:v>Não</c:v>
                </c:pt>
              </c:strCache>
            </c:strRef>
          </c:cat>
          <c:val>
            <c:numRef>
              <c:f>'[4]VD-DESLIGAMENTO'!$C$5:$C$6</c:f>
              <c:numCache>
                <c:formatCode>General</c:formatCode>
                <c:ptCount val="2"/>
                <c:pt idx="0">
                  <c:v>0.28645833333333331</c:v>
                </c:pt>
                <c:pt idx="1">
                  <c:v>0.71354166666666663</c:v>
                </c:pt>
              </c:numCache>
            </c:numRef>
          </c:val>
          <c:extLst>
            <c:ext xmlns:c16="http://schemas.microsoft.com/office/drawing/2014/chart" uri="{C3380CC4-5D6E-409C-BE32-E72D297353CC}">
              <c16:uniqueId val="{00000000-6487-4A29-B66D-C254A6CFBF38}"/>
            </c:ext>
          </c:extLst>
        </c:ser>
        <c:ser>
          <c:idx val="1"/>
          <c:order val="1"/>
          <c:tx>
            <c:strRef>
              <c:f>'[4]VD-DESLIGAMENTO'!$D$3:$E$3</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'[4]VD-DESLIGAMENTO'!$A$5:$A$6</c:f>
              <c:strCache>
                <c:ptCount val="2"/>
                <c:pt idx="0">
                  <c:v>Sim </c:v>
                </c:pt>
                <c:pt idx="1">
                  <c:v>Não</c:v>
                </c:pt>
              </c:strCache>
            </c:strRef>
          </c:cat>
          <c:val>
            <c:numRef>
              <c:f>'[4]VD-DESLIGAMENTO'!$E$5:$E$6</c:f>
              <c:numCache>
                <c:formatCode>General</c:formatCode>
                <c:ptCount val="2"/>
                <c:pt idx="0">
                  <c:v>0.31746031746031744</c:v>
                </c:pt>
                <c:pt idx="1">
                  <c:v>0.68253968253968256</c:v>
                </c:pt>
              </c:numCache>
            </c:numRef>
          </c:val>
          <c:extLst>
            <c:ext xmlns:c16="http://schemas.microsoft.com/office/drawing/2014/chart" uri="{C3380CC4-5D6E-409C-BE32-E72D297353CC}">
              <c16:uniqueId val="{00000001-6487-4A29-B66D-C254A6CFBF38}"/>
            </c:ext>
          </c:extLst>
        </c:ser>
        <c:dLbls>
          <c:showLegendKey val="0"/>
          <c:showVal val="0"/>
          <c:showCatName val="0"/>
          <c:showSerName val="0"/>
          <c:showPercent val="0"/>
          <c:showBubbleSize val="0"/>
        </c:dLbls>
        <c:gapWidth val="500"/>
        <c:overlap val="-27"/>
        <c:axId val="678365583"/>
        <c:axId val="678366415"/>
      </c:barChart>
      <c:catAx>
        <c:axId val="678365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78366415"/>
        <c:crosses val="autoZero"/>
        <c:auto val="1"/>
        <c:lblAlgn val="ctr"/>
        <c:lblOffset val="100"/>
        <c:noMultiLvlLbl val="0"/>
      </c:catAx>
      <c:valAx>
        <c:axId val="678366415"/>
        <c:scaling>
          <c:orientation val="minMax"/>
        </c:scaling>
        <c:delete val="1"/>
        <c:axPos val="l"/>
        <c:numFmt formatCode="General" sourceLinked="1"/>
        <c:majorTickMark val="none"/>
        <c:minorTickMark val="none"/>
        <c:tickLblPos val="nextTo"/>
        <c:crossAx val="678365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DESEJO</a:t>
            </a:r>
            <a:r>
              <a:rPr lang="pt-BR" sz="1100" b="1" baseline="0"/>
              <a:t> DE DESLIGAR DO MINISTÉRIO EM UM FUTURO PRÓXIMO (2020)</a:t>
            </a:r>
            <a:endParaRPr lang="pt-BR"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1495538488061458"/>
          <c:y val="0.19900668576886346"/>
          <c:w val="0.52642451825150582"/>
          <c:h val="0.64483240454542035"/>
        </c:manualLayout>
      </c:layout>
      <c:pieChart>
        <c:varyColors val="1"/>
        <c:ser>
          <c:idx val="0"/>
          <c:order val="0"/>
          <c:spPr>
            <a:scene3d>
              <a:camera prst="orthographicFront"/>
              <a:lightRig rig="threePt" dir="t"/>
            </a:scene3d>
            <a:sp3d>
              <a:bevelT w="139700" h="139700" prst="divot"/>
            </a:sp3d>
          </c:spPr>
          <c:explosion val="12"/>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C77A-4417-8027-9E15F5D28DF5}"/>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C77A-4417-8027-9E15F5D28DF5}"/>
              </c:ext>
            </c:extLst>
          </c:dPt>
          <c:dLbls>
            <c:dLbl>
              <c:idx val="0"/>
              <c:layout>
                <c:manualLayout>
                  <c:x val="2.6238243313134926E-2"/>
                  <c:y val="-5.101489820935706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7A-4417-8027-9E15F5D28DF5}"/>
                </c:ext>
              </c:extLst>
            </c:dLbl>
            <c:dLbl>
              <c:idx val="1"/>
              <c:layout>
                <c:manualLayout>
                  <c:x val="1.3414742562386756E-2"/>
                  <c:y val="0.11699478825891749"/>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77A-4417-8027-9E15F5D28D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'[4]VD-DESLIGAMENTO'!$A$5:$A$6</c:f>
              <c:strCache>
                <c:ptCount val="2"/>
                <c:pt idx="0">
                  <c:v>Sim </c:v>
                </c:pt>
                <c:pt idx="1">
                  <c:v>Não</c:v>
                </c:pt>
              </c:strCache>
            </c:strRef>
          </c:cat>
          <c:val>
            <c:numRef>
              <c:f>'[4]VD-DESLIGAMENTO'!$C$5:$C$6</c:f>
              <c:numCache>
                <c:formatCode>General</c:formatCode>
                <c:ptCount val="2"/>
                <c:pt idx="0">
                  <c:v>0.28645833333333331</c:v>
                </c:pt>
                <c:pt idx="1">
                  <c:v>0.71354166666666663</c:v>
                </c:pt>
              </c:numCache>
            </c:numRef>
          </c:val>
          <c:extLst>
            <c:ext xmlns:c16="http://schemas.microsoft.com/office/drawing/2014/chart" uri="{C3380CC4-5D6E-409C-BE32-E72D297353CC}">
              <c16:uniqueId val="{00000004-C77A-4417-8027-9E15F5D28DF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
          <c:y val="0"/>
          <c:w val="0.94799054373522462"/>
          <c:h val="0.95135213527478524"/>
        </c:manualLayout>
      </c:layout>
      <c:barChart>
        <c:barDir val="col"/>
        <c:grouping val="clustered"/>
        <c:varyColors val="0"/>
        <c:ser>
          <c:idx val="0"/>
          <c:order val="0"/>
          <c:spPr>
            <a:solidFill>
              <a:srgbClr val="92D050"/>
            </a:solidFill>
            <a:ln>
              <a:noFill/>
            </a:ln>
            <a:effectLst/>
            <a:scene3d>
              <a:camera prst="orthographicFront"/>
              <a:lightRig rig="threePt" dir="t"/>
            </a:scene3d>
            <a:sp3d>
              <a:bevelT w="190500" h="381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'[1]IDADE-COR-SALARIO'!$B$26:$G$26</c:f>
              <c:strCache>
                <c:ptCount val="6"/>
                <c:pt idx="0">
                  <c:v>Até 5 mil</c:v>
                </c:pt>
                <c:pt idx="1">
                  <c:v>&gt; 5 até 10 mil</c:v>
                </c:pt>
                <c:pt idx="2">
                  <c:v>&gt;10 até 15 mil</c:v>
                </c:pt>
                <c:pt idx="3">
                  <c:v>&gt;15 até 20 mil</c:v>
                </c:pt>
                <c:pt idx="4">
                  <c:v>Acima de 20 mil</c:v>
                </c:pt>
                <c:pt idx="5">
                  <c:v>Média Salarial</c:v>
                </c:pt>
              </c:strCache>
            </c:strRef>
          </c:cat>
          <c:val>
            <c:numRef>
              <c:f>'[1]IDADE-COR-SALARIO'!$B$28:$F$28</c:f>
              <c:numCache>
                <c:formatCode>General</c:formatCode>
                <c:ptCount val="5"/>
                <c:pt idx="0">
                  <c:v>0.2495164410058027</c:v>
                </c:pt>
                <c:pt idx="1">
                  <c:v>0.3114119922630561</c:v>
                </c:pt>
                <c:pt idx="2">
                  <c:v>0.1702127659574468</c:v>
                </c:pt>
                <c:pt idx="3">
                  <c:v>7.5435203094777567E-2</c:v>
                </c:pt>
                <c:pt idx="4">
                  <c:v>0.19342359767891681</c:v>
                </c:pt>
              </c:numCache>
            </c:numRef>
          </c:val>
          <c:extLst>
            <c:ext xmlns:c16="http://schemas.microsoft.com/office/drawing/2014/chart" uri="{C3380CC4-5D6E-409C-BE32-E72D297353CC}">
              <c16:uniqueId val="{00000000-6FED-4E01-A48D-22D126848DA7}"/>
            </c:ext>
          </c:extLst>
        </c:ser>
        <c:dLbls>
          <c:showLegendKey val="0"/>
          <c:showVal val="0"/>
          <c:showCatName val="0"/>
          <c:showSerName val="0"/>
          <c:showPercent val="0"/>
          <c:showBubbleSize val="0"/>
        </c:dLbls>
        <c:gapWidth val="219"/>
        <c:overlap val="-27"/>
        <c:axId val="613592488"/>
        <c:axId val="613597736"/>
      </c:barChart>
      <c:catAx>
        <c:axId val="613592488"/>
        <c:scaling>
          <c:orientation val="minMax"/>
        </c:scaling>
        <c:delete val="1"/>
        <c:axPos val="b"/>
        <c:numFmt formatCode="General" sourceLinked="1"/>
        <c:majorTickMark val="none"/>
        <c:minorTickMark val="none"/>
        <c:tickLblPos val="nextTo"/>
        <c:crossAx val="613597736"/>
        <c:crosses val="autoZero"/>
        <c:auto val="1"/>
        <c:lblAlgn val="ctr"/>
        <c:lblOffset val="100"/>
        <c:noMultiLvlLbl val="0"/>
      </c:catAx>
      <c:valAx>
        <c:axId val="613597736"/>
        <c:scaling>
          <c:orientation val="minMax"/>
        </c:scaling>
        <c:delete val="1"/>
        <c:axPos val="l"/>
        <c:numFmt formatCode="General" sourceLinked="1"/>
        <c:majorTickMark val="none"/>
        <c:minorTickMark val="none"/>
        <c:tickLblPos val="nextTo"/>
        <c:crossAx val="61359248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MOTIVO</a:t>
            </a:r>
            <a:r>
              <a:rPr lang="pt-BR" sz="1100" b="1" baseline="0"/>
              <a:t> DO DESLIGAMENTO</a:t>
            </a:r>
            <a:endParaRPr lang="pt-BR"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'[4]VD-DESLIGAMENTO'!$H$3:$I$3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'[4]VD-DESLIGAMENTO'!$G$5:$G$7</c:f>
              <c:strCache>
                <c:ptCount val="3"/>
                <c:pt idx="0">
                  <c:v>Aposentadoria</c:v>
                </c:pt>
                <c:pt idx="1">
                  <c:v>Atividades em outro órgão</c:v>
                </c:pt>
                <c:pt idx="2">
                  <c:v>Outros</c:v>
                </c:pt>
              </c:strCache>
            </c:strRef>
          </c:cat>
          <c:val>
            <c:numRef>
              <c:f>'[4]VD-DESLIGAMENTO'!$I$5:$I$7</c:f>
              <c:numCache>
                <c:formatCode>General</c:formatCode>
                <c:ptCount val="3"/>
                <c:pt idx="0">
                  <c:v>0.65454545454545454</c:v>
                </c:pt>
                <c:pt idx="1">
                  <c:v>0.10909090909090909</c:v>
                </c:pt>
                <c:pt idx="2">
                  <c:v>0.23636363636363636</c:v>
                </c:pt>
              </c:numCache>
            </c:numRef>
          </c:val>
          <c:extLst>
            <c:ext xmlns:c16="http://schemas.microsoft.com/office/drawing/2014/chart" uri="{C3380CC4-5D6E-409C-BE32-E72D297353CC}">
              <c16:uniqueId val="{00000000-9123-46DD-8CBA-33ABFB15370A}"/>
            </c:ext>
          </c:extLst>
        </c:ser>
        <c:ser>
          <c:idx val="1"/>
          <c:order val="1"/>
          <c:tx>
            <c:strRef>
              <c:f>'[4]VD-DESLIGAMENTO'!$J$3:$K$3</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'[4]VD-DESLIGAMENTO'!$G$5:$G$7</c:f>
              <c:strCache>
                <c:ptCount val="3"/>
                <c:pt idx="0">
                  <c:v>Aposentadoria</c:v>
                </c:pt>
                <c:pt idx="1">
                  <c:v>Atividades em outro órgão</c:v>
                </c:pt>
                <c:pt idx="2">
                  <c:v>Outros</c:v>
                </c:pt>
              </c:strCache>
            </c:strRef>
          </c:cat>
          <c:val>
            <c:numRef>
              <c:f>'[4]VD-DESLIGAMENTO'!$K$5:$K$7</c:f>
              <c:numCache>
                <c:formatCode>General</c:formatCode>
                <c:ptCount val="3"/>
                <c:pt idx="0">
                  <c:v>0.33333333333333331</c:v>
                </c:pt>
                <c:pt idx="1">
                  <c:v>0.26666666666666666</c:v>
                </c:pt>
                <c:pt idx="2">
                  <c:v>0.4</c:v>
                </c:pt>
              </c:numCache>
            </c:numRef>
          </c:val>
          <c:extLst>
            <c:ext xmlns:c16="http://schemas.microsoft.com/office/drawing/2014/chart" uri="{C3380CC4-5D6E-409C-BE32-E72D297353CC}">
              <c16:uniqueId val="{00000001-9123-46DD-8CBA-33ABFB15370A}"/>
            </c:ext>
          </c:extLst>
        </c:ser>
        <c:dLbls>
          <c:showLegendKey val="0"/>
          <c:showVal val="0"/>
          <c:showCatName val="0"/>
          <c:showSerName val="0"/>
          <c:showPercent val="0"/>
          <c:showBubbleSize val="0"/>
        </c:dLbls>
        <c:gapWidth val="346"/>
        <c:overlap val="-27"/>
        <c:axId val="678379727"/>
        <c:axId val="678383055"/>
      </c:barChart>
      <c:catAx>
        <c:axId val="6783797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78383055"/>
        <c:crosses val="autoZero"/>
        <c:auto val="1"/>
        <c:lblAlgn val="ctr"/>
        <c:lblOffset val="100"/>
        <c:noMultiLvlLbl val="0"/>
      </c:catAx>
      <c:valAx>
        <c:axId val="678383055"/>
        <c:scaling>
          <c:orientation val="minMax"/>
        </c:scaling>
        <c:delete val="1"/>
        <c:axPos val="l"/>
        <c:numFmt formatCode="General" sourceLinked="1"/>
        <c:majorTickMark val="none"/>
        <c:minorTickMark val="none"/>
        <c:tickLblPos val="nextTo"/>
        <c:crossAx val="6783797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POR MOTIVO DE (2020) </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1495538488061458"/>
          <c:y val="0.21428844317096471"/>
          <c:w val="0.52018670225332508"/>
          <c:h val="0.63719152584436978"/>
        </c:manualLayout>
      </c:layout>
      <c:pieChart>
        <c:varyColors val="1"/>
        <c:ser>
          <c:idx val="0"/>
          <c:order val="0"/>
          <c:spPr>
            <a:scene3d>
              <a:camera prst="orthographicFront"/>
              <a:lightRig rig="threePt" dir="t"/>
            </a:scene3d>
            <a:sp3d>
              <a:bevelT w="139700" h="139700" prst="divot"/>
            </a:sp3d>
          </c:spPr>
          <c:explosion val="9"/>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D8C1-41A5-8039-FCA08696B3EB}"/>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D8C1-41A5-8039-FCA08696B3EB}"/>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D8C1-41A5-8039-FCA08696B3EB}"/>
              </c:ext>
            </c:extLst>
          </c:dPt>
          <c:dLbls>
            <c:dLbl>
              <c:idx val="0"/>
              <c:layout>
                <c:manualLayout>
                  <c:x val="4.5839352170882759E-2"/>
                  <c:y val="1.160377515992032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C1-41A5-8039-FCA08696B3EB}"/>
                </c:ext>
              </c:extLst>
            </c:dLbl>
            <c:dLbl>
              <c:idx val="1"/>
              <c:layout>
                <c:manualLayout>
                  <c:x val="3.1813352757335697E-2"/>
                  <c:y val="0.1606337224160715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C1-41A5-8039-FCA08696B3EB}"/>
                </c:ext>
              </c:extLst>
            </c:dLbl>
            <c:dLbl>
              <c:idx val="2"/>
              <c:layout>
                <c:manualLayout>
                  <c:x val="-4.6389704361903358E-2"/>
                  <c:y val="-5.280228184247739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C1-41A5-8039-FCA08696B3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'[4]VD-DESLIGAMENTO'!$G$5:$G$7</c:f>
              <c:strCache>
                <c:ptCount val="3"/>
                <c:pt idx="0">
                  <c:v>Aposentadoria</c:v>
                </c:pt>
                <c:pt idx="1">
                  <c:v>Atividades em outro órgão</c:v>
                </c:pt>
                <c:pt idx="2">
                  <c:v>Outros</c:v>
                </c:pt>
              </c:strCache>
            </c:strRef>
          </c:cat>
          <c:val>
            <c:numRef>
              <c:f>'[4]VD-DESLIGAMENTO'!$I$5:$I$7</c:f>
              <c:numCache>
                <c:formatCode>General</c:formatCode>
                <c:ptCount val="3"/>
                <c:pt idx="0">
                  <c:v>0.65454545454545454</c:v>
                </c:pt>
                <c:pt idx="1">
                  <c:v>0.10909090909090909</c:v>
                </c:pt>
                <c:pt idx="2">
                  <c:v>0.23636363636363636</c:v>
                </c:pt>
              </c:numCache>
            </c:numRef>
          </c:val>
          <c:extLst>
            <c:ext xmlns:c16="http://schemas.microsoft.com/office/drawing/2014/chart" uri="{C3380CC4-5D6E-409C-BE32-E72D297353CC}">
              <c16:uniqueId val="{00000006-D8C1-41A5-8039-FCA08696B3E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EM QUANTO</a:t>
            </a:r>
            <a:r>
              <a:rPr lang="pt-BR" sz="1100" b="1" baseline="0"/>
              <a:t> TEMPO</a:t>
            </a:r>
            <a:endParaRPr lang="pt-BR"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'[4]VD-DESLIGAMENTO'!$N$3:$O$3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'[4]VD-DESLIGAMENTO'!$M$5:$M$7</c:f>
              <c:strCache>
                <c:ptCount val="3"/>
                <c:pt idx="0">
                  <c:v>menos de 1 ano</c:v>
                </c:pt>
                <c:pt idx="1">
                  <c:v>de 1 a 3 anos</c:v>
                </c:pt>
                <c:pt idx="2">
                  <c:v>de 4 a 5 anos</c:v>
                </c:pt>
              </c:strCache>
            </c:strRef>
          </c:cat>
          <c:val>
            <c:numRef>
              <c:f>'[4]VD-DESLIGAMENTO'!$O$5:$O$7</c:f>
              <c:numCache>
                <c:formatCode>General</c:formatCode>
                <c:ptCount val="3"/>
                <c:pt idx="0">
                  <c:v>0.12727272727272726</c:v>
                </c:pt>
                <c:pt idx="1">
                  <c:v>0.43636363636363634</c:v>
                </c:pt>
                <c:pt idx="2">
                  <c:v>0.43636363636363634</c:v>
                </c:pt>
              </c:numCache>
            </c:numRef>
          </c:val>
          <c:extLst>
            <c:ext xmlns:c16="http://schemas.microsoft.com/office/drawing/2014/chart" uri="{C3380CC4-5D6E-409C-BE32-E72D297353CC}">
              <c16:uniqueId val="{00000000-A49E-4ABA-9BD5-6576BCB3CD6F}"/>
            </c:ext>
          </c:extLst>
        </c:ser>
        <c:ser>
          <c:idx val="1"/>
          <c:order val="1"/>
          <c:tx>
            <c:strRef>
              <c:f>'[4]VD-DESLIGAMENTO'!$P$3:$Q$3</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'[4]VD-DESLIGAMENTO'!$M$5:$M$7</c:f>
              <c:strCache>
                <c:ptCount val="3"/>
                <c:pt idx="0">
                  <c:v>menos de 1 ano</c:v>
                </c:pt>
                <c:pt idx="1">
                  <c:v>de 1 a 3 anos</c:v>
                </c:pt>
                <c:pt idx="2">
                  <c:v>de 4 a 5 anos</c:v>
                </c:pt>
              </c:strCache>
            </c:strRef>
          </c:cat>
          <c:val>
            <c:numRef>
              <c:f>'[4]VD-DESLIGAMENTO'!$Q$5:$Q$7</c:f>
              <c:numCache>
                <c:formatCode>General</c:formatCode>
                <c:ptCount val="3"/>
                <c:pt idx="0">
                  <c:v>0.26666666666666666</c:v>
                </c:pt>
                <c:pt idx="1">
                  <c:v>0.5</c:v>
                </c:pt>
                <c:pt idx="2">
                  <c:v>0.23333333333333334</c:v>
                </c:pt>
              </c:numCache>
            </c:numRef>
          </c:val>
          <c:extLst>
            <c:ext xmlns:c16="http://schemas.microsoft.com/office/drawing/2014/chart" uri="{C3380CC4-5D6E-409C-BE32-E72D297353CC}">
              <c16:uniqueId val="{00000001-A49E-4ABA-9BD5-6576BCB3CD6F}"/>
            </c:ext>
          </c:extLst>
        </c:ser>
        <c:dLbls>
          <c:showLegendKey val="0"/>
          <c:showVal val="0"/>
          <c:showCatName val="0"/>
          <c:showSerName val="0"/>
          <c:showPercent val="0"/>
          <c:showBubbleSize val="0"/>
        </c:dLbls>
        <c:gapWidth val="304"/>
        <c:overlap val="-27"/>
        <c:axId val="678373903"/>
        <c:axId val="678366831"/>
      </c:barChart>
      <c:catAx>
        <c:axId val="678373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78366831"/>
        <c:crosses val="autoZero"/>
        <c:auto val="1"/>
        <c:lblAlgn val="ctr"/>
        <c:lblOffset val="100"/>
        <c:noMultiLvlLbl val="0"/>
      </c:catAx>
      <c:valAx>
        <c:axId val="678366831"/>
        <c:scaling>
          <c:orientation val="minMax"/>
        </c:scaling>
        <c:delete val="1"/>
        <c:axPos val="l"/>
        <c:numFmt formatCode="General" sourceLinked="1"/>
        <c:majorTickMark val="none"/>
        <c:minorTickMark val="none"/>
        <c:tickLblPos val="nextTo"/>
        <c:crossAx val="6783739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EM QUANTO TEMPO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2924170259959753"/>
          <c:y val="0.1926954100249664"/>
          <c:w val="0.50097103639593732"/>
          <c:h val="0.65294251328340058"/>
        </c:manualLayout>
      </c:layout>
      <c:pieChart>
        <c:varyColors val="1"/>
        <c:ser>
          <c:idx val="0"/>
          <c:order val="0"/>
          <c:spPr>
            <a:scene3d>
              <a:camera prst="orthographicFront"/>
              <a:lightRig rig="threePt" dir="t"/>
            </a:scene3d>
            <a:sp3d>
              <a:bevelT w="139700" h="139700" prst="divot"/>
            </a:sp3d>
          </c:spPr>
          <c:explosion val="9"/>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426F-4470-8E23-52983B1DEC6E}"/>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426F-4470-8E23-52983B1DEC6E}"/>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426F-4470-8E23-52983B1DEC6E}"/>
              </c:ext>
            </c:extLst>
          </c:dPt>
          <c:dLbls>
            <c:dLbl>
              <c:idx val="0"/>
              <c:layout>
                <c:manualLayout>
                  <c:x val="0.1372496339580809"/>
                  <c:y val="1.096312656039946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6F-4470-8E23-52983B1DEC6E}"/>
                </c:ext>
              </c:extLst>
            </c:dLbl>
            <c:dLbl>
              <c:idx val="1"/>
              <c:layout>
                <c:manualLayout>
                  <c:x val="3.1547263244184956E-2"/>
                  <c:y val="3.755329364317265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6F-4470-8E23-52983B1DEC6E}"/>
                </c:ext>
              </c:extLst>
            </c:dLbl>
            <c:dLbl>
              <c:idx val="2"/>
              <c:layout>
                <c:manualLayout>
                  <c:x val="1.9509383492577737E-2"/>
                  <c:y val="-0.2161209269573010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6F-4470-8E23-52983B1DEC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'[4]VD-DESLIGAMENTO'!$M$5:$M$7</c:f>
              <c:strCache>
                <c:ptCount val="3"/>
                <c:pt idx="0">
                  <c:v>menos de 1 ano</c:v>
                </c:pt>
                <c:pt idx="1">
                  <c:v>de 1 a 3 anos</c:v>
                </c:pt>
                <c:pt idx="2">
                  <c:v>de 4 a 5 anos</c:v>
                </c:pt>
              </c:strCache>
            </c:strRef>
          </c:cat>
          <c:val>
            <c:numRef>
              <c:f>'[4]VD-DESLIGAMENTO'!$O$5:$O$7</c:f>
              <c:numCache>
                <c:formatCode>General</c:formatCode>
                <c:ptCount val="3"/>
                <c:pt idx="0">
                  <c:v>0.12727272727272726</c:v>
                </c:pt>
                <c:pt idx="1">
                  <c:v>0.43636363636363634</c:v>
                </c:pt>
                <c:pt idx="2">
                  <c:v>0.43636363636363634</c:v>
                </c:pt>
              </c:numCache>
            </c:numRef>
          </c:val>
          <c:extLst>
            <c:ext xmlns:c16="http://schemas.microsoft.com/office/drawing/2014/chart" uri="{C3380CC4-5D6E-409C-BE32-E72D297353CC}">
              <c16:uniqueId val="{00000006-426F-4470-8E23-52983B1DEC6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CONHECIMENTO DA MISSÃO, VISÃO E VALORES DO MME</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'[4]VCO-PLANEJAMENTOESTRATÉGICO'!$B$3:$D$3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'[4]VCO-PLANEJAMENTOESTRATÉGICO'!$A$5:$A$7</c:f>
              <c:strCache>
                <c:ptCount val="3"/>
                <c:pt idx="0">
                  <c:v>SIM</c:v>
                </c:pt>
                <c:pt idx="1">
                  <c:v>PARCIAL</c:v>
                </c:pt>
                <c:pt idx="2">
                  <c:v>NÃO</c:v>
                </c:pt>
              </c:strCache>
            </c:strRef>
          </c:cat>
          <c:val>
            <c:numRef>
              <c:f>'[4]VCO-PLANEJAMENTOESTRATÉGICO'!$C$5:$C$7</c:f>
              <c:numCache>
                <c:formatCode>General</c:formatCode>
                <c:ptCount val="3"/>
                <c:pt idx="0">
                  <c:v>0.70833333333333337</c:v>
                </c:pt>
                <c:pt idx="1">
                  <c:v>0.28125</c:v>
                </c:pt>
                <c:pt idx="2">
                  <c:v>1.0416666666666666E-2</c:v>
                </c:pt>
              </c:numCache>
            </c:numRef>
          </c:val>
          <c:extLst>
            <c:ext xmlns:c16="http://schemas.microsoft.com/office/drawing/2014/chart" uri="{C3380CC4-5D6E-409C-BE32-E72D297353CC}">
              <c16:uniqueId val="{00000000-6D58-4C12-B85C-4F25716B6FC3}"/>
            </c:ext>
          </c:extLst>
        </c:ser>
        <c:ser>
          <c:idx val="1"/>
          <c:order val="1"/>
          <c:tx>
            <c:strRef>
              <c:f>'[4]VCO-PLANEJAMENTOESTRATÉGICO'!$E$3:$G$3</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'[4]VCO-PLANEJAMENTOESTRATÉGICO'!$A$5:$A$7</c:f>
              <c:strCache>
                <c:ptCount val="3"/>
                <c:pt idx="0">
                  <c:v>SIM</c:v>
                </c:pt>
                <c:pt idx="1">
                  <c:v>PARCIAL</c:v>
                </c:pt>
                <c:pt idx="2">
                  <c:v>NÃO</c:v>
                </c:pt>
              </c:strCache>
            </c:strRef>
          </c:cat>
          <c:val>
            <c:numRef>
              <c:f>'[4]VCO-PLANEJAMENTOESTRATÉGICO'!$F$5:$F$7</c:f>
              <c:numCache>
                <c:formatCode>General</c:formatCode>
                <c:ptCount val="3"/>
                <c:pt idx="0">
                  <c:v>0.70810810810810809</c:v>
                </c:pt>
                <c:pt idx="1">
                  <c:v>0.24324324324324326</c:v>
                </c:pt>
                <c:pt idx="2">
                  <c:v>4.8648648648648651E-2</c:v>
                </c:pt>
              </c:numCache>
            </c:numRef>
          </c:val>
          <c:extLst>
            <c:ext xmlns:c16="http://schemas.microsoft.com/office/drawing/2014/chart" uri="{C3380CC4-5D6E-409C-BE32-E72D297353CC}">
              <c16:uniqueId val="{00000001-6D58-4C12-B85C-4F25716B6FC3}"/>
            </c:ext>
          </c:extLst>
        </c:ser>
        <c:dLbls>
          <c:showLegendKey val="0"/>
          <c:showVal val="0"/>
          <c:showCatName val="0"/>
          <c:showSerName val="0"/>
          <c:showPercent val="0"/>
          <c:showBubbleSize val="0"/>
        </c:dLbls>
        <c:gapWidth val="219"/>
        <c:overlap val="-27"/>
        <c:axId val="678381807"/>
        <c:axId val="678383471"/>
      </c:barChart>
      <c:catAx>
        <c:axId val="6783818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78383471"/>
        <c:crosses val="autoZero"/>
        <c:auto val="1"/>
        <c:lblAlgn val="ctr"/>
        <c:lblOffset val="100"/>
        <c:noMultiLvlLbl val="0"/>
      </c:catAx>
      <c:valAx>
        <c:axId val="678383471"/>
        <c:scaling>
          <c:orientation val="minMax"/>
        </c:scaling>
        <c:delete val="1"/>
        <c:axPos val="l"/>
        <c:numFmt formatCode="General" sourceLinked="1"/>
        <c:majorTickMark val="none"/>
        <c:minorTickMark val="none"/>
        <c:tickLblPos val="nextTo"/>
        <c:crossAx val="6783818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TENHO CONHECIMENTO DA MISSÃO, VISÃO E VALORES DO MME?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3750915396625813"/>
          <c:y val="0.23816764132553611"/>
          <c:w val="0.51558123491199359"/>
          <c:h val="0.64146152783533639"/>
        </c:manualLayout>
      </c:layout>
      <c:pieChart>
        <c:varyColors val="1"/>
        <c:ser>
          <c:idx val="0"/>
          <c:order val="0"/>
          <c:spPr>
            <a:scene3d>
              <a:camera prst="orthographicFront"/>
              <a:lightRig rig="threePt" dir="t"/>
            </a:scene3d>
            <a:sp3d>
              <a:bevelT w="139700" h="139700" prst="divot"/>
            </a:sp3d>
          </c:spPr>
          <c:explosion val="8"/>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3065-4DFC-85E4-C699E85BB176}"/>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3065-4DFC-85E4-C699E85BB176}"/>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3065-4DFC-85E4-C699E85BB176}"/>
              </c:ext>
            </c:extLst>
          </c:dPt>
          <c:dLbls>
            <c:dLbl>
              <c:idx val="0"/>
              <c:layout>
                <c:manualLayout>
                  <c:x val="0.1060806516242245"/>
                  <c:y val="-2.891375420177741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65-4DFC-85E4-C699E85BB176}"/>
                </c:ext>
              </c:extLst>
            </c:dLbl>
            <c:dLbl>
              <c:idx val="1"/>
              <c:layout>
                <c:manualLayout>
                  <c:x val="-5.4585396882420631E-2"/>
                  <c:y val="0.1121554542524289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65-4DFC-85E4-C699E85BB176}"/>
                </c:ext>
              </c:extLst>
            </c:dLbl>
            <c:dLbl>
              <c:idx val="2"/>
              <c:layout>
                <c:manualLayout>
                  <c:x val="0.28554292642678503"/>
                  <c:y val="1.544719190802904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65-4DFC-85E4-C699E85BB17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'[4]VCO-PLANEJAMENTOESTRATÉGICO'!$A$5:$A$7</c:f>
              <c:strCache>
                <c:ptCount val="3"/>
                <c:pt idx="0">
                  <c:v>SIM</c:v>
                </c:pt>
                <c:pt idx="1">
                  <c:v>PARCIAL</c:v>
                </c:pt>
                <c:pt idx="2">
                  <c:v>NÃO</c:v>
                </c:pt>
              </c:strCache>
            </c:strRef>
          </c:cat>
          <c:val>
            <c:numRef>
              <c:f>'[4]VCO-PLANEJAMENTOESTRATÉGICO'!$C$5:$C$7</c:f>
              <c:numCache>
                <c:formatCode>General</c:formatCode>
                <c:ptCount val="3"/>
                <c:pt idx="0">
                  <c:v>0.70833333333333337</c:v>
                </c:pt>
                <c:pt idx="1">
                  <c:v>0.28125</c:v>
                </c:pt>
                <c:pt idx="2">
                  <c:v>1.0416666666666666E-2</c:v>
                </c:pt>
              </c:numCache>
            </c:numRef>
          </c:val>
          <c:extLst>
            <c:ext xmlns:c16="http://schemas.microsoft.com/office/drawing/2014/chart" uri="{C3380CC4-5D6E-409C-BE32-E72D297353CC}">
              <c16:uniqueId val="{00000006-3065-4DFC-85E4-C699E85BB17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INTERESSE EM CONHECER A MISSÃO, VISÃO E VALORES DO MME</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'[4]VCO-PLANEJAMENTOESTRATÉGICO'!$K$3:$M$3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'[4]VCO-PLANEJAMENTOESTRATÉGICO'!$J$5:$J$7</c:f>
              <c:strCache>
                <c:ptCount val="3"/>
                <c:pt idx="0">
                  <c:v>SIM</c:v>
                </c:pt>
                <c:pt idx="1">
                  <c:v>PARCIAL</c:v>
                </c:pt>
                <c:pt idx="2">
                  <c:v>NÃO</c:v>
                </c:pt>
              </c:strCache>
            </c:strRef>
          </c:cat>
          <c:val>
            <c:numRef>
              <c:f>'[4]VCO-PLANEJAMENTOESTRATÉGICO'!$L$5:$L$7</c:f>
              <c:numCache>
                <c:formatCode>General</c:formatCode>
                <c:ptCount val="3"/>
                <c:pt idx="0">
                  <c:v>0.875</c:v>
                </c:pt>
                <c:pt idx="1">
                  <c:v>7.2916666666666671E-2</c:v>
                </c:pt>
                <c:pt idx="2">
                  <c:v>5.2083333333333336E-2</c:v>
                </c:pt>
              </c:numCache>
            </c:numRef>
          </c:val>
          <c:extLst>
            <c:ext xmlns:c16="http://schemas.microsoft.com/office/drawing/2014/chart" uri="{C3380CC4-5D6E-409C-BE32-E72D297353CC}">
              <c16:uniqueId val="{00000000-7E66-4629-B0F0-D4C34D8A0345}"/>
            </c:ext>
          </c:extLst>
        </c:ser>
        <c:ser>
          <c:idx val="1"/>
          <c:order val="1"/>
          <c:tx>
            <c:strRef>
              <c:f>'[4]VCO-PLANEJAMENTOESTRATÉGICO'!$N$3:$P$3</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'[4]VCO-PLANEJAMENTOESTRATÉGICO'!$J$5:$J$7</c:f>
              <c:strCache>
                <c:ptCount val="3"/>
                <c:pt idx="0">
                  <c:v>SIM</c:v>
                </c:pt>
                <c:pt idx="1">
                  <c:v>PARCIAL</c:v>
                </c:pt>
                <c:pt idx="2">
                  <c:v>NÃO</c:v>
                </c:pt>
              </c:strCache>
            </c:strRef>
          </c:cat>
          <c:val>
            <c:numRef>
              <c:f>'[4]VCO-PLANEJAMENTOESTRATÉGICO'!$O$5:$O$7</c:f>
              <c:numCache>
                <c:formatCode>General</c:formatCode>
                <c:ptCount val="3"/>
                <c:pt idx="0">
                  <c:v>0.77837837837837842</c:v>
                </c:pt>
                <c:pt idx="1">
                  <c:v>0.14054054054054055</c:v>
                </c:pt>
                <c:pt idx="2">
                  <c:v>8.1081081081081086E-2</c:v>
                </c:pt>
              </c:numCache>
            </c:numRef>
          </c:val>
          <c:extLst>
            <c:ext xmlns:c16="http://schemas.microsoft.com/office/drawing/2014/chart" uri="{C3380CC4-5D6E-409C-BE32-E72D297353CC}">
              <c16:uniqueId val="{00000001-7E66-4629-B0F0-D4C34D8A0345}"/>
            </c:ext>
          </c:extLst>
        </c:ser>
        <c:dLbls>
          <c:showLegendKey val="0"/>
          <c:showVal val="0"/>
          <c:showCatName val="0"/>
          <c:showSerName val="0"/>
          <c:showPercent val="0"/>
          <c:showBubbleSize val="0"/>
        </c:dLbls>
        <c:gapWidth val="219"/>
        <c:overlap val="-27"/>
        <c:axId val="407678655"/>
        <c:axId val="407679487"/>
      </c:barChart>
      <c:catAx>
        <c:axId val="4076786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7679487"/>
        <c:crosses val="autoZero"/>
        <c:auto val="1"/>
        <c:lblAlgn val="ctr"/>
        <c:lblOffset val="100"/>
        <c:noMultiLvlLbl val="0"/>
      </c:catAx>
      <c:valAx>
        <c:axId val="407679487"/>
        <c:scaling>
          <c:orientation val="minMax"/>
        </c:scaling>
        <c:delete val="1"/>
        <c:axPos val="l"/>
        <c:numFmt formatCode="General" sourceLinked="1"/>
        <c:majorTickMark val="none"/>
        <c:minorTickMark val="none"/>
        <c:tickLblPos val="nextTo"/>
        <c:crossAx val="407678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TENHO</a:t>
            </a:r>
            <a:r>
              <a:rPr lang="pt-BR" sz="1100" b="1" baseline="0"/>
              <a:t> INTERESSE EM CONHECER A MISSÃO, VISÃO E VALORES DO MME? (2020)</a:t>
            </a:r>
            <a:endParaRPr lang="pt-BR"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3613803292861782"/>
          <c:y val="0.21477582846003898"/>
          <c:w val="0.55905986052414969"/>
          <c:h val="0.69555555555555559"/>
        </c:manualLayout>
      </c:layout>
      <c:pieChart>
        <c:varyColors val="1"/>
        <c:ser>
          <c:idx val="0"/>
          <c:order val="0"/>
          <c:spPr>
            <a:scene3d>
              <a:camera prst="orthographicFront"/>
              <a:lightRig rig="threePt" dir="t"/>
            </a:scene3d>
            <a:sp3d>
              <a:bevelT w="139700" h="139700" prst="divot"/>
            </a:sp3d>
          </c:spPr>
          <c:explosion val="14"/>
          <c:dPt>
            <c:idx val="0"/>
            <c:bubble3D val="0"/>
            <c:explosion val="16"/>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6B10-4BED-BB44-B033241EB4BF}"/>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6B10-4BED-BB44-B033241EB4BF}"/>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6B10-4BED-BB44-B033241EB4BF}"/>
              </c:ext>
            </c:extLst>
          </c:dPt>
          <c:dLbls>
            <c:dLbl>
              <c:idx val="0"/>
              <c:layout>
                <c:manualLayout>
                  <c:x val="0.12998126274399885"/>
                  <c:y val="-1.12799496554158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10-4BED-BB44-B033241EB4BF}"/>
                </c:ext>
              </c:extLst>
            </c:dLbl>
            <c:dLbl>
              <c:idx val="1"/>
              <c:layout>
                <c:manualLayout>
                  <c:x val="-0.10292043599527054"/>
                  <c:y val="9.171371122469340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10-4BED-BB44-B033241EB4BF}"/>
                </c:ext>
              </c:extLst>
            </c:dLbl>
            <c:dLbl>
              <c:idx val="2"/>
              <c:layout>
                <c:manualLayout>
                  <c:x val="0.15619577940471091"/>
                  <c:y val="-8.8993261807186388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B10-4BED-BB44-B033241EB4B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'[4]VCO-PLANEJAMENTOESTRATÉGICO'!$J$5:$J$7</c:f>
              <c:strCache>
                <c:ptCount val="3"/>
                <c:pt idx="0">
                  <c:v>SIM</c:v>
                </c:pt>
                <c:pt idx="1">
                  <c:v>PARCIAL</c:v>
                </c:pt>
                <c:pt idx="2">
                  <c:v>NÃO</c:v>
                </c:pt>
              </c:strCache>
            </c:strRef>
          </c:cat>
          <c:val>
            <c:numRef>
              <c:f>'[4]VCO-PLANEJAMENTOESTRATÉGICO'!$L$5:$L$7</c:f>
              <c:numCache>
                <c:formatCode>General</c:formatCode>
                <c:ptCount val="3"/>
                <c:pt idx="0">
                  <c:v>0.875</c:v>
                </c:pt>
                <c:pt idx="1">
                  <c:v>7.2916666666666671E-2</c:v>
                </c:pt>
                <c:pt idx="2">
                  <c:v>5.2083333333333336E-2</c:v>
                </c:pt>
              </c:numCache>
            </c:numRef>
          </c:val>
          <c:extLst>
            <c:ext xmlns:c16="http://schemas.microsoft.com/office/drawing/2014/chart" uri="{C3380CC4-5D6E-409C-BE32-E72D297353CC}">
              <c16:uniqueId val="{00000006-6B10-4BED-BB44-B033241EB4B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VALORIZAÇÃO PROFISSIONAL</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'[4]VCO-MOTIVAÇAO'!$B$3:$D$3</c:f>
              <c:strCache>
                <c:ptCount val="1"/>
                <c:pt idx="0">
                  <c:v>2020</c:v>
                </c:pt>
              </c:strCache>
            </c:strRef>
          </c:tx>
          <c:spPr>
            <a:solidFill>
              <a:schemeClr val="accent1"/>
            </a:solidFill>
            <a:ln>
              <a:noFill/>
            </a:ln>
            <a:effectLst/>
            <a:scene3d>
              <a:camera prst="orthographicFront"/>
              <a:lightRig rig="threePt" dir="t"/>
            </a:scene3d>
            <a:sp3d>
              <a:bevelT w="82550" h="44450" prst="divot"/>
              <a:bevelB w="82550" h="44450" prst="angle"/>
              <a:contourClr>
                <a:srgbClr val="000000"/>
              </a:contourClr>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'[4]VCO-MOTIVAÇAO'!$A$5:$A$7</c:f>
              <c:strCache>
                <c:ptCount val="3"/>
                <c:pt idx="0">
                  <c:v>SIM</c:v>
                </c:pt>
                <c:pt idx="1">
                  <c:v>PARCIAL</c:v>
                </c:pt>
                <c:pt idx="2">
                  <c:v>NÃO</c:v>
                </c:pt>
              </c:strCache>
            </c:strRef>
          </c:cat>
          <c:val>
            <c:numRef>
              <c:f>'[4]VCO-MOTIVAÇAO'!$C$5:$C$7</c:f>
              <c:numCache>
                <c:formatCode>General</c:formatCode>
                <c:ptCount val="3"/>
                <c:pt idx="0">
                  <c:v>0.69270833333333337</c:v>
                </c:pt>
                <c:pt idx="1">
                  <c:v>0.25520833333333331</c:v>
                </c:pt>
                <c:pt idx="2">
                  <c:v>5.2083333333333336E-2</c:v>
                </c:pt>
              </c:numCache>
            </c:numRef>
          </c:val>
          <c:extLst>
            <c:ext xmlns:c16="http://schemas.microsoft.com/office/drawing/2014/chart" uri="{C3380CC4-5D6E-409C-BE32-E72D297353CC}">
              <c16:uniqueId val="{00000000-56B6-4C4D-B820-E52EF8F80BDB}"/>
            </c:ext>
          </c:extLst>
        </c:ser>
        <c:ser>
          <c:idx val="1"/>
          <c:order val="1"/>
          <c:tx>
            <c:strRef>
              <c:f>'[4]VCO-MOTIVAÇAO'!$E$3:$G$3</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'[4]VCO-MOTIVAÇAO'!$A$5:$A$7</c:f>
              <c:strCache>
                <c:ptCount val="3"/>
                <c:pt idx="0">
                  <c:v>SIM</c:v>
                </c:pt>
                <c:pt idx="1">
                  <c:v>PARCIAL</c:v>
                </c:pt>
                <c:pt idx="2">
                  <c:v>NÃO</c:v>
                </c:pt>
              </c:strCache>
            </c:strRef>
          </c:cat>
          <c:val>
            <c:numRef>
              <c:f>'[4]VCO-MOTIVAÇAO'!$F$5:$F$7</c:f>
              <c:numCache>
                <c:formatCode>General</c:formatCode>
                <c:ptCount val="3"/>
                <c:pt idx="0">
                  <c:v>0.36956521739130432</c:v>
                </c:pt>
                <c:pt idx="1">
                  <c:v>0.44021739130434784</c:v>
                </c:pt>
                <c:pt idx="2">
                  <c:v>0.19021739130434784</c:v>
                </c:pt>
              </c:numCache>
            </c:numRef>
          </c:val>
          <c:extLst>
            <c:ext xmlns:c16="http://schemas.microsoft.com/office/drawing/2014/chart" uri="{C3380CC4-5D6E-409C-BE32-E72D297353CC}">
              <c16:uniqueId val="{00000001-56B6-4C4D-B820-E52EF8F80BDB}"/>
            </c:ext>
          </c:extLst>
        </c:ser>
        <c:dLbls>
          <c:showLegendKey val="0"/>
          <c:showVal val="0"/>
          <c:showCatName val="0"/>
          <c:showSerName val="0"/>
          <c:showPercent val="0"/>
          <c:showBubbleSize val="0"/>
        </c:dLbls>
        <c:gapWidth val="219"/>
        <c:overlap val="-27"/>
        <c:axId val="678370159"/>
        <c:axId val="678378895"/>
      </c:barChart>
      <c:catAx>
        <c:axId val="67837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78378895"/>
        <c:crosses val="autoZero"/>
        <c:auto val="1"/>
        <c:lblAlgn val="ctr"/>
        <c:lblOffset val="100"/>
        <c:noMultiLvlLbl val="0"/>
      </c:catAx>
      <c:valAx>
        <c:axId val="678378895"/>
        <c:scaling>
          <c:orientation val="minMax"/>
        </c:scaling>
        <c:delete val="1"/>
        <c:axPos val="l"/>
        <c:numFmt formatCode="General" sourceLinked="1"/>
        <c:majorTickMark val="none"/>
        <c:minorTickMark val="none"/>
        <c:tickLblPos val="nextTo"/>
        <c:crossAx val="67837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OPORTUNIDADE</a:t>
            </a:r>
            <a:r>
              <a:rPr lang="pt-BR" sz="1100" b="1" baseline="0"/>
              <a:t> DE DESENVOLVIMENTO NO SERVIÇO</a:t>
            </a:r>
            <a:endParaRPr lang="pt-BR"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'[4]VCO-MOTIVAÇAO'!$K$3:$M$3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'[4]VCO-MOTIVAÇAO'!$J$5:$J$7</c:f>
              <c:strCache>
                <c:ptCount val="3"/>
                <c:pt idx="0">
                  <c:v>SIM</c:v>
                </c:pt>
                <c:pt idx="1">
                  <c:v>PARCIAL</c:v>
                </c:pt>
                <c:pt idx="2">
                  <c:v>NÃO</c:v>
                </c:pt>
              </c:strCache>
            </c:strRef>
          </c:cat>
          <c:val>
            <c:numRef>
              <c:f>'[4]VCO-MOTIVAÇAO'!$L$5:$L$7</c:f>
              <c:numCache>
                <c:formatCode>General</c:formatCode>
                <c:ptCount val="3"/>
                <c:pt idx="0">
                  <c:v>0.66145833333333337</c:v>
                </c:pt>
                <c:pt idx="1">
                  <c:v>0.265625</c:v>
                </c:pt>
                <c:pt idx="2">
                  <c:v>7.2916666666666671E-2</c:v>
                </c:pt>
              </c:numCache>
            </c:numRef>
          </c:val>
          <c:extLst>
            <c:ext xmlns:c16="http://schemas.microsoft.com/office/drawing/2014/chart" uri="{C3380CC4-5D6E-409C-BE32-E72D297353CC}">
              <c16:uniqueId val="{00000000-BEE6-42CB-8DDF-0EAF806AB0D3}"/>
            </c:ext>
          </c:extLst>
        </c:ser>
        <c:ser>
          <c:idx val="1"/>
          <c:order val="1"/>
          <c:tx>
            <c:strRef>
              <c:f>'[4]VCO-MOTIVAÇAO'!$N$3:$P$3</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'[4]VCO-MOTIVAÇAO'!$J$5:$J$7</c:f>
              <c:strCache>
                <c:ptCount val="3"/>
                <c:pt idx="0">
                  <c:v>SIM</c:v>
                </c:pt>
                <c:pt idx="1">
                  <c:v>PARCIAL</c:v>
                </c:pt>
                <c:pt idx="2">
                  <c:v>NÃO</c:v>
                </c:pt>
              </c:strCache>
            </c:strRef>
          </c:cat>
          <c:val>
            <c:numRef>
              <c:f>'[4]VCO-MOTIVAÇAO'!$O$5:$O$7</c:f>
              <c:numCache>
                <c:formatCode>General</c:formatCode>
                <c:ptCount val="3"/>
                <c:pt idx="0">
                  <c:v>0.40217391304347827</c:v>
                </c:pt>
                <c:pt idx="1">
                  <c:v>0.38043478260869568</c:v>
                </c:pt>
                <c:pt idx="2">
                  <c:v>0.21739130434782608</c:v>
                </c:pt>
              </c:numCache>
            </c:numRef>
          </c:val>
          <c:extLst>
            <c:ext xmlns:c16="http://schemas.microsoft.com/office/drawing/2014/chart" uri="{C3380CC4-5D6E-409C-BE32-E72D297353CC}">
              <c16:uniqueId val="{00000001-BEE6-42CB-8DDF-0EAF806AB0D3}"/>
            </c:ext>
          </c:extLst>
        </c:ser>
        <c:dLbls>
          <c:showLegendKey val="0"/>
          <c:showVal val="0"/>
          <c:showCatName val="0"/>
          <c:showSerName val="0"/>
          <c:showPercent val="0"/>
          <c:showBubbleSize val="0"/>
        </c:dLbls>
        <c:gapWidth val="219"/>
        <c:overlap val="-27"/>
        <c:axId val="390179935"/>
        <c:axId val="390180767"/>
      </c:barChart>
      <c:catAx>
        <c:axId val="390179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90180767"/>
        <c:crosses val="autoZero"/>
        <c:auto val="1"/>
        <c:lblAlgn val="ctr"/>
        <c:lblOffset val="100"/>
        <c:noMultiLvlLbl val="0"/>
      </c:catAx>
      <c:valAx>
        <c:axId val="390180767"/>
        <c:scaling>
          <c:orientation val="minMax"/>
        </c:scaling>
        <c:delete val="1"/>
        <c:axPos val="l"/>
        <c:numFmt formatCode="General" sourceLinked="1"/>
        <c:majorTickMark val="none"/>
        <c:minorTickMark val="none"/>
        <c:tickLblPos val="nextTo"/>
        <c:crossAx val="3901799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MME</a:t>
            </a:r>
            <a:r>
              <a:rPr lang="pt-BR" baseline="0"/>
              <a:t> por Sexo</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985627734033246"/>
          <c:y val="0.20412037037037037"/>
          <c:w val="0.38343022747156602"/>
          <c:h val="0.63905037911927665"/>
        </c:manualLayout>
      </c:layout>
      <c:pieChart>
        <c:varyColors val="1"/>
        <c:ser>
          <c:idx val="0"/>
          <c:order val="0"/>
          <c:spPr>
            <a:scene3d>
              <a:camera prst="orthographicFront"/>
              <a:lightRig rig="threePt" dir="t"/>
            </a:scene3d>
            <a:sp3d>
              <a:bevelT w="190500" h="38100"/>
            </a:sp3d>
          </c:spPr>
          <c:explosion val="7"/>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B263-4C47-BD7B-0163F2809ED7}"/>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B263-4C47-BD7B-0163F2809ED7}"/>
              </c:ext>
            </c:extLst>
          </c:dPt>
          <c:dLbls>
            <c:dLbl>
              <c:idx val="0"/>
              <c:layout>
                <c:manualLayout>
                  <c:x val="5.6879593175853019E-2"/>
                  <c:y val="-0.15824766695829687"/>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263-4C47-BD7B-0163F2809ED7}"/>
                </c:ext>
              </c:extLst>
            </c:dLbl>
            <c:dLbl>
              <c:idx val="1"/>
              <c:layout>
                <c:manualLayout>
                  <c:x val="-6.4040463692038502E-2"/>
                  <c:y val="-0.20283829104695247"/>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263-4C47-BD7B-0163F2809E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[1]ATIVO!$M$4:$N$4</c:f>
              <c:strCache>
                <c:ptCount val="2"/>
                <c:pt idx="0">
                  <c:v>Sexo Feminino</c:v>
                </c:pt>
                <c:pt idx="1">
                  <c:v>Sexo Masculino</c:v>
                </c:pt>
              </c:strCache>
            </c:strRef>
          </c:cat>
          <c:val>
            <c:numRef>
              <c:f>[1]ATIVO!$M$16:$N$16</c:f>
              <c:numCache>
                <c:formatCode>General</c:formatCode>
                <c:ptCount val="2"/>
                <c:pt idx="0">
                  <c:v>214</c:v>
                </c:pt>
                <c:pt idx="1">
                  <c:v>276</c:v>
                </c:pt>
              </c:numCache>
            </c:numRef>
          </c:val>
          <c:extLst>
            <c:ext xmlns:c16="http://schemas.microsoft.com/office/drawing/2014/chart" uri="{C3380CC4-5D6E-409C-BE32-E72D297353CC}">
              <c16:uniqueId val="{00000004-B263-4C47-BD7B-0163F2809ED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SOU VALORIZADO PROFISSIONALMENTE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6691487466307912"/>
          <c:y val="0.25906449781551605"/>
          <c:w val="0.50088400181596204"/>
          <c:h val="0.66339660520491361"/>
        </c:manualLayout>
      </c:layout>
      <c:pieChart>
        <c:varyColors val="1"/>
        <c:ser>
          <c:idx val="0"/>
          <c:order val="0"/>
          <c:spPr>
            <a:scene3d>
              <a:camera prst="orthographicFront"/>
              <a:lightRig rig="threePt" dir="t"/>
            </a:scene3d>
            <a:sp3d>
              <a:bevelT w="139700" h="139700" prst="divot"/>
            </a:sp3d>
          </c:spPr>
          <c:explosion val="13"/>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1C1C-42A4-A0F2-17FA5146F6E8}"/>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1C1C-42A4-A0F2-17FA5146F6E8}"/>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1C1C-42A4-A0F2-17FA5146F6E8}"/>
              </c:ext>
            </c:extLst>
          </c:dPt>
          <c:dLbls>
            <c:dLbl>
              <c:idx val="0"/>
              <c:layout>
                <c:manualLayout>
                  <c:x val="6.5096452487666837E-2"/>
                  <c:y val="-3.844823472301071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1C-42A4-A0F2-17FA5146F6E8}"/>
                </c:ext>
              </c:extLst>
            </c:dLbl>
            <c:dLbl>
              <c:idx val="1"/>
              <c:layout>
                <c:manualLayout>
                  <c:x val="-5.8686041567840276E-2"/>
                  <c:y val="-5.880351163001176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1C-42A4-A0F2-17FA5146F6E8}"/>
                </c:ext>
              </c:extLst>
            </c:dLbl>
            <c:dLbl>
              <c:idx val="2"/>
              <c:layout>
                <c:manualLayout>
                  <c:x val="3.7148203929465724E-2"/>
                  <c:y val="-2.940257859617079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1C-42A4-A0F2-17FA5146F6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'[4]VCO-MOTIVAÇAO'!$A$5:$A$7</c:f>
              <c:strCache>
                <c:ptCount val="3"/>
                <c:pt idx="0">
                  <c:v>SIM</c:v>
                </c:pt>
                <c:pt idx="1">
                  <c:v>PARCIAL</c:v>
                </c:pt>
                <c:pt idx="2">
                  <c:v>NÃO</c:v>
                </c:pt>
              </c:strCache>
            </c:strRef>
          </c:cat>
          <c:val>
            <c:numRef>
              <c:f>'[4]VCO-MOTIVAÇAO'!$C$5:$C$7</c:f>
              <c:numCache>
                <c:formatCode>General</c:formatCode>
                <c:ptCount val="3"/>
                <c:pt idx="0">
                  <c:v>0.69270833333333337</c:v>
                </c:pt>
                <c:pt idx="1">
                  <c:v>0.25520833333333331</c:v>
                </c:pt>
                <c:pt idx="2">
                  <c:v>5.2083333333333336E-2</c:v>
                </c:pt>
              </c:numCache>
            </c:numRef>
          </c:val>
          <c:extLst>
            <c:ext xmlns:c16="http://schemas.microsoft.com/office/drawing/2014/chart" uri="{C3380CC4-5D6E-409C-BE32-E72D297353CC}">
              <c16:uniqueId val="{00000006-1C1C-42A4-A0F2-17FA5146F6E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TENHO</a:t>
            </a:r>
            <a:r>
              <a:rPr lang="pt-BR" sz="1100" b="1" baseline="0"/>
              <a:t> OPORTUNIDADE DE DESENVOLVIMENTO NO SERVIÇO (2020)</a:t>
            </a:r>
            <a:endParaRPr lang="pt-BR"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5217450810638897"/>
          <c:y val="0.28806671317983984"/>
          <c:w val="0.4768936590149746"/>
          <c:h val="0.64365560317618531"/>
        </c:manualLayout>
      </c:layout>
      <c:pieChart>
        <c:varyColors val="1"/>
        <c:ser>
          <c:idx val="0"/>
          <c:order val="0"/>
          <c:spPr>
            <a:scene3d>
              <a:camera prst="orthographicFront"/>
              <a:lightRig rig="threePt" dir="t"/>
            </a:scene3d>
            <a:sp3d>
              <a:bevelT w="139700" h="139700" prst="divot"/>
            </a:sp3d>
          </c:spPr>
          <c:explosion val="11"/>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876B-45F7-A646-A79968840570}"/>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876B-45F7-A646-A79968840570}"/>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876B-45F7-A646-A79968840570}"/>
              </c:ext>
            </c:extLst>
          </c:dPt>
          <c:dLbls>
            <c:dLbl>
              <c:idx val="0"/>
              <c:layout>
                <c:manualLayout>
                  <c:x val="7.7668863308580388E-2"/>
                  <c:y val="7.4188511246220802E-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6B-45F7-A646-A79968840570}"/>
                </c:ext>
              </c:extLst>
            </c:dLbl>
            <c:dLbl>
              <c:idx val="1"/>
              <c:layout>
                <c:manualLayout>
                  <c:x val="-6.756686235495997E-2"/>
                  <c:y val="-4.977341439914947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6B-45F7-A646-A79968840570}"/>
                </c:ext>
              </c:extLst>
            </c:dLbl>
            <c:dLbl>
              <c:idx val="2"/>
              <c:layout>
                <c:manualLayout>
                  <c:x val="6.8964799984639669E-2"/>
                  <c:y val="-4.790092694109438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6B-45F7-A646-A7996884057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'[4]VCO-MOTIVAÇAO'!$J$5:$J$7</c:f>
              <c:strCache>
                <c:ptCount val="3"/>
                <c:pt idx="0">
                  <c:v>SIM</c:v>
                </c:pt>
                <c:pt idx="1">
                  <c:v>PARCIAL</c:v>
                </c:pt>
                <c:pt idx="2">
                  <c:v>NÃO</c:v>
                </c:pt>
              </c:strCache>
            </c:strRef>
          </c:cat>
          <c:val>
            <c:numRef>
              <c:f>'[4]VCO-MOTIVAÇAO'!$L$5:$L$7</c:f>
              <c:numCache>
                <c:formatCode>General</c:formatCode>
                <c:ptCount val="3"/>
                <c:pt idx="0">
                  <c:v>0.66145833333333337</c:v>
                </c:pt>
                <c:pt idx="1">
                  <c:v>0.265625</c:v>
                </c:pt>
                <c:pt idx="2">
                  <c:v>7.2916666666666671E-2</c:v>
                </c:pt>
              </c:numCache>
            </c:numRef>
          </c:val>
          <c:extLst>
            <c:ext xmlns:c16="http://schemas.microsoft.com/office/drawing/2014/chart" uri="{C3380CC4-5D6E-409C-BE32-E72D297353CC}">
              <c16:uniqueId val="{00000006-876B-45F7-A646-A7996884057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MME INVESTE NO CRESCIMENTO PROFISSIONAL</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'[4]VCO-MOTIVAÇAO'!$B$42:$D$42</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'[4]VCO-MOTIVAÇAO'!$A$44:$A$46</c:f>
              <c:strCache>
                <c:ptCount val="3"/>
                <c:pt idx="0">
                  <c:v>SIM</c:v>
                </c:pt>
                <c:pt idx="1">
                  <c:v>PARCIAL</c:v>
                </c:pt>
                <c:pt idx="2">
                  <c:v>NÃO</c:v>
                </c:pt>
              </c:strCache>
            </c:strRef>
          </c:cat>
          <c:val>
            <c:numRef>
              <c:f>'[4]VCO-MOTIVAÇAO'!$C$44:$C$46</c:f>
              <c:numCache>
                <c:formatCode>General</c:formatCode>
                <c:ptCount val="3"/>
                <c:pt idx="0">
                  <c:v>0.484375</c:v>
                </c:pt>
                <c:pt idx="1">
                  <c:v>0.390625</c:v>
                </c:pt>
                <c:pt idx="2">
                  <c:v>0.125</c:v>
                </c:pt>
              </c:numCache>
            </c:numRef>
          </c:val>
          <c:extLst>
            <c:ext xmlns:c16="http://schemas.microsoft.com/office/drawing/2014/chart" uri="{C3380CC4-5D6E-409C-BE32-E72D297353CC}">
              <c16:uniqueId val="{00000000-B0DE-4416-A6F1-0F148B85924C}"/>
            </c:ext>
          </c:extLst>
        </c:ser>
        <c:ser>
          <c:idx val="1"/>
          <c:order val="1"/>
          <c:tx>
            <c:strRef>
              <c:f>'[4]VCO-MOTIVAÇAO'!$E$42:$G$42</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'[4]VCO-MOTIVAÇAO'!$A$44:$A$46</c:f>
              <c:strCache>
                <c:ptCount val="3"/>
                <c:pt idx="0">
                  <c:v>SIM</c:v>
                </c:pt>
                <c:pt idx="1">
                  <c:v>PARCIAL</c:v>
                </c:pt>
                <c:pt idx="2">
                  <c:v>NÃO</c:v>
                </c:pt>
              </c:strCache>
            </c:strRef>
          </c:cat>
          <c:val>
            <c:numRef>
              <c:f>'[4]VCO-MOTIVAÇAO'!$F$44:$F$46</c:f>
              <c:numCache>
                <c:formatCode>General</c:formatCode>
                <c:ptCount val="3"/>
                <c:pt idx="0">
                  <c:v>0.2541436464088398</c:v>
                </c:pt>
                <c:pt idx="1">
                  <c:v>0.46961325966850831</c:v>
                </c:pt>
                <c:pt idx="2">
                  <c:v>0.27624309392265195</c:v>
                </c:pt>
              </c:numCache>
            </c:numRef>
          </c:val>
          <c:extLst>
            <c:ext xmlns:c16="http://schemas.microsoft.com/office/drawing/2014/chart" uri="{C3380CC4-5D6E-409C-BE32-E72D297353CC}">
              <c16:uniqueId val="{00000001-B0DE-4416-A6F1-0F148B85924C}"/>
            </c:ext>
          </c:extLst>
        </c:ser>
        <c:dLbls>
          <c:showLegendKey val="0"/>
          <c:showVal val="0"/>
          <c:showCatName val="0"/>
          <c:showSerName val="0"/>
          <c:showPercent val="0"/>
          <c:showBubbleSize val="0"/>
        </c:dLbls>
        <c:gapWidth val="219"/>
        <c:overlap val="-27"/>
        <c:axId val="394687519"/>
        <c:axId val="300764671"/>
      </c:barChart>
      <c:catAx>
        <c:axId val="394687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00764671"/>
        <c:crosses val="autoZero"/>
        <c:auto val="1"/>
        <c:lblAlgn val="ctr"/>
        <c:lblOffset val="100"/>
        <c:noMultiLvlLbl val="0"/>
      </c:catAx>
      <c:valAx>
        <c:axId val="300764671"/>
        <c:scaling>
          <c:orientation val="minMax"/>
        </c:scaling>
        <c:delete val="1"/>
        <c:axPos val="l"/>
        <c:numFmt formatCode="General" sourceLinked="1"/>
        <c:majorTickMark val="none"/>
        <c:minorTickMark val="none"/>
        <c:tickLblPos val="nextTo"/>
        <c:crossAx val="3946875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ORGULHO</a:t>
            </a:r>
            <a:r>
              <a:rPr lang="pt-BR" sz="1100" b="1" baseline="0"/>
              <a:t> DE SER SERVIDOR/EMPREGADO DO MME</a:t>
            </a:r>
            <a:endParaRPr lang="pt-BR"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'[4]VCO-MOTIVAÇAO'!$K$42:$M$42</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'[4]VCO-MOTIVAÇAO'!$J$44:$J$46</c:f>
              <c:strCache>
                <c:ptCount val="3"/>
                <c:pt idx="0">
                  <c:v>SIM</c:v>
                </c:pt>
                <c:pt idx="1">
                  <c:v>PARCIAL</c:v>
                </c:pt>
                <c:pt idx="2">
                  <c:v>NÃO</c:v>
                </c:pt>
              </c:strCache>
            </c:strRef>
          </c:cat>
          <c:val>
            <c:numRef>
              <c:f>'[4]VCO-MOTIVAÇAO'!$L$44:$L$46</c:f>
              <c:numCache>
                <c:formatCode>General</c:formatCode>
                <c:ptCount val="3"/>
                <c:pt idx="0">
                  <c:v>0.83854166666666663</c:v>
                </c:pt>
                <c:pt idx="1">
                  <c:v>0.13541666666666666</c:v>
                </c:pt>
                <c:pt idx="2">
                  <c:v>2.6041666666666668E-2</c:v>
                </c:pt>
              </c:numCache>
            </c:numRef>
          </c:val>
          <c:extLst>
            <c:ext xmlns:c16="http://schemas.microsoft.com/office/drawing/2014/chart" uri="{C3380CC4-5D6E-409C-BE32-E72D297353CC}">
              <c16:uniqueId val="{00000000-A14F-4D39-B5BF-6A5380C414FA}"/>
            </c:ext>
          </c:extLst>
        </c:ser>
        <c:ser>
          <c:idx val="1"/>
          <c:order val="1"/>
          <c:tx>
            <c:strRef>
              <c:f>'[4]VCO-MOTIVAÇAO'!$N$42:$P$42</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'[4]VCO-MOTIVAÇAO'!$J$44:$J$46</c:f>
              <c:strCache>
                <c:ptCount val="3"/>
                <c:pt idx="0">
                  <c:v>SIM</c:v>
                </c:pt>
                <c:pt idx="1">
                  <c:v>PARCIAL</c:v>
                </c:pt>
                <c:pt idx="2">
                  <c:v>NÃO</c:v>
                </c:pt>
              </c:strCache>
            </c:strRef>
          </c:cat>
          <c:val>
            <c:numRef>
              <c:f>'[4]VCO-MOTIVAÇAO'!$O$44:$O$46</c:f>
              <c:numCache>
                <c:formatCode>General</c:formatCode>
                <c:ptCount val="3"/>
                <c:pt idx="0">
                  <c:v>0.6333333333333333</c:v>
                </c:pt>
                <c:pt idx="1">
                  <c:v>0.25555555555555554</c:v>
                </c:pt>
                <c:pt idx="2">
                  <c:v>0.1111111111111111</c:v>
                </c:pt>
              </c:numCache>
            </c:numRef>
          </c:val>
          <c:extLst>
            <c:ext xmlns:c16="http://schemas.microsoft.com/office/drawing/2014/chart" uri="{C3380CC4-5D6E-409C-BE32-E72D297353CC}">
              <c16:uniqueId val="{00000001-A14F-4D39-B5BF-6A5380C414FA}"/>
            </c:ext>
          </c:extLst>
        </c:ser>
        <c:dLbls>
          <c:showLegendKey val="0"/>
          <c:showVal val="0"/>
          <c:showCatName val="0"/>
          <c:showSerName val="0"/>
          <c:showPercent val="0"/>
          <c:showBubbleSize val="0"/>
        </c:dLbls>
        <c:gapWidth val="219"/>
        <c:overlap val="-27"/>
        <c:axId val="299733951"/>
        <c:axId val="299737279"/>
      </c:barChart>
      <c:catAx>
        <c:axId val="299733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99737279"/>
        <c:crosses val="autoZero"/>
        <c:auto val="1"/>
        <c:lblAlgn val="ctr"/>
        <c:lblOffset val="100"/>
        <c:noMultiLvlLbl val="0"/>
      </c:catAx>
      <c:valAx>
        <c:axId val="299737279"/>
        <c:scaling>
          <c:orientation val="minMax"/>
        </c:scaling>
        <c:delete val="1"/>
        <c:axPos val="l"/>
        <c:numFmt formatCode="General" sourceLinked="1"/>
        <c:majorTickMark val="none"/>
        <c:minorTickMark val="none"/>
        <c:tickLblPos val="nextTo"/>
        <c:crossAx val="2997339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SINTO ORGULHO DE SER SERVIDOR/EMPREGADO</a:t>
            </a:r>
            <a:r>
              <a:rPr lang="pt-BR" sz="1100" b="1" baseline="0"/>
              <a:t> DO MME? - 2020</a:t>
            </a:r>
            <a:endParaRPr lang="pt-BR"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spPr>
            <a:scene3d>
              <a:camera prst="orthographicFront"/>
              <a:lightRig rig="threePt" dir="t"/>
            </a:scene3d>
            <a:sp3d>
              <a:bevelT w="139700" h="139700" prst="divot"/>
            </a:sp3d>
          </c:spPr>
          <c:explosion val="15"/>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D6A8-491E-B348-4164607CDB15}"/>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D6A8-491E-B348-4164607CDB15}"/>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D6A8-491E-B348-4164607CDB15}"/>
              </c:ext>
            </c:extLst>
          </c:dPt>
          <c:dLbls>
            <c:dLbl>
              <c:idx val="0"/>
              <c:layout>
                <c:manualLayout>
                  <c:x val="0.12033308542352446"/>
                  <c:y val="-0.1151346685691134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A8-491E-B348-4164607CDB15}"/>
                </c:ext>
              </c:extLst>
            </c:dLbl>
            <c:dLbl>
              <c:idx val="1"/>
              <c:layout>
                <c:manualLayout>
                  <c:x val="-0.12605654679444667"/>
                  <c:y val="6.580457644136765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A8-491E-B348-4164607CDB15}"/>
                </c:ext>
              </c:extLst>
            </c:dLbl>
            <c:dLbl>
              <c:idx val="2"/>
              <c:layout>
                <c:manualLayout>
                  <c:x val="0.14871519685471782"/>
                  <c:y val="-2.29339956666490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6A8-491E-B348-4164607CDB1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'[4]VCO-MOTIVAÇAO'!$J$44:$J$46</c:f>
              <c:strCache>
                <c:ptCount val="3"/>
                <c:pt idx="0">
                  <c:v>SIM</c:v>
                </c:pt>
                <c:pt idx="1">
                  <c:v>PARCIAL</c:v>
                </c:pt>
                <c:pt idx="2">
                  <c:v>NÃO</c:v>
                </c:pt>
              </c:strCache>
            </c:strRef>
          </c:cat>
          <c:val>
            <c:numRef>
              <c:f>'[4]VCO-MOTIVAÇAO'!$L$44:$L$46</c:f>
              <c:numCache>
                <c:formatCode>General</c:formatCode>
                <c:ptCount val="3"/>
                <c:pt idx="0">
                  <c:v>0.83854166666666663</c:v>
                </c:pt>
                <c:pt idx="1">
                  <c:v>0.13541666666666666</c:v>
                </c:pt>
                <c:pt idx="2">
                  <c:v>2.6041666666666668E-2</c:v>
                </c:pt>
              </c:numCache>
            </c:numRef>
          </c:val>
          <c:extLst>
            <c:ext xmlns:c16="http://schemas.microsoft.com/office/drawing/2014/chart" uri="{C3380CC4-5D6E-409C-BE32-E72D297353CC}">
              <c16:uniqueId val="{00000006-D6A8-491E-B348-4164607CDB1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O MME INVESTE O MEU CRESCIMENTO PROFISSIONAL? - 2020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spPr>
            <a:scene3d>
              <a:camera prst="orthographicFront"/>
              <a:lightRig rig="threePt" dir="t"/>
            </a:scene3d>
            <a:sp3d>
              <a:bevelT w="139700" h="139700" prst="divot"/>
            </a:sp3d>
          </c:spPr>
          <c:explosion val="13"/>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C3B9-43D3-A0BD-EF5D0B403E94}"/>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C3B9-43D3-A0BD-EF5D0B403E94}"/>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C3B9-43D3-A0BD-EF5D0B403E94}"/>
              </c:ext>
            </c:extLst>
          </c:dPt>
          <c:dLbls>
            <c:dLbl>
              <c:idx val="0"/>
              <c:layout>
                <c:manualLayout>
                  <c:x val="5.5609740097253869E-2"/>
                  <c:y val="0.108540786706297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B9-43D3-A0BD-EF5D0B403E94}"/>
                </c:ext>
              </c:extLst>
            </c:dLbl>
            <c:dLbl>
              <c:idx val="1"/>
              <c:layout>
                <c:manualLayout>
                  <c:x val="-5.0619074609753269E-2"/>
                  <c:y val="-1.723105803827501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B9-43D3-A0BD-EF5D0B403E94}"/>
                </c:ext>
              </c:extLst>
            </c:dLbl>
            <c:dLbl>
              <c:idx val="2"/>
              <c:layout>
                <c:manualLayout>
                  <c:x val="-6.9254056530891117E-2"/>
                  <c:y val="-2.398950131233595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B9-43D3-A0BD-EF5D0B403E9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'[4]VCO-MOTIVAÇAO'!$A$44:$A$46</c:f>
              <c:strCache>
                <c:ptCount val="3"/>
                <c:pt idx="0">
                  <c:v>SIM</c:v>
                </c:pt>
                <c:pt idx="1">
                  <c:v>PARCIAL</c:v>
                </c:pt>
                <c:pt idx="2">
                  <c:v>NÃO</c:v>
                </c:pt>
              </c:strCache>
            </c:strRef>
          </c:cat>
          <c:val>
            <c:numRef>
              <c:f>'[4]VCO-MOTIVAÇAO'!$C$44:$C$46</c:f>
              <c:numCache>
                <c:formatCode>General</c:formatCode>
                <c:ptCount val="3"/>
                <c:pt idx="0">
                  <c:v>0.484375</c:v>
                </c:pt>
                <c:pt idx="1">
                  <c:v>0.390625</c:v>
                </c:pt>
                <c:pt idx="2">
                  <c:v>0.125</c:v>
                </c:pt>
              </c:numCache>
            </c:numRef>
          </c:val>
          <c:extLst>
            <c:ext xmlns:c16="http://schemas.microsoft.com/office/drawing/2014/chart" uri="{C3380CC4-5D6E-409C-BE32-E72D297353CC}">
              <c16:uniqueId val="{00000006-C3B9-43D3-A0BD-EF5D0B403E9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CHEFIA TEM O PERFIL INDICADO PARA A FUNÇÃO QUE OCUPA</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'[4]VCO-LIDERANÇA'!$B$3:$D$3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'[4]VCO-LIDERANÇA'!$A$5:$A$7</c:f>
              <c:strCache>
                <c:ptCount val="3"/>
                <c:pt idx="0">
                  <c:v>SIM</c:v>
                </c:pt>
                <c:pt idx="1">
                  <c:v>PARCIAL</c:v>
                </c:pt>
                <c:pt idx="2">
                  <c:v>NÃO</c:v>
                </c:pt>
              </c:strCache>
            </c:strRef>
          </c:cat>
          <c:val>
            <c:numRef>
              <c:f>'[4]VCO-LIDERANÇA'!$C$5:$C$7</c:f>
              <c:numCache>
                <c:formatCode>General</c:formatCode>
                <c:ptCount val="3"/>
                <c:pt idx="0">
                  <c:v>0.86458333333333337</c:v>
                </c:pt>
                <c:pt idx="1">
                  <c:v>9.8958333333333329E-2</c:v>
                </c:pt>
                <c:pt idx="2">
                  <c:v>3.6458333333333336E-2</c:v>
                </c:pt>
              </c:numCache>
            </c:numRef>
          </c:val>
          <c:extLst>
            <c:ext xmlns:c16="http://schemas.microsoft.com/office/drawing/2014/chart" uri="{C3380CC4-5D6E-409C-BE32-E72D297353CC}">
              <c16:uniqueId val="{00000000-16D9-4282-AF46-75B2BA8F9F7C}"/>
            </c:ext>
          </c:extLst>
        </c:ser>
        <c:ser>
          <c:idx val="1"/>
          <c:order val="1"/>
          <c:tx>
            <c:strRef>
              <c:f>'[4]VCO-LIDERANÇA'!$E$3:$G$3</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'[4]VCO-LIDERANÇA'!$A$5:$A$7</c:f>
              <c:strCache>
                <c:ptCount val="3"/>
                <c:pt idx="0">
                  <c:v>SIM</c:v>
                </c:pt>
                <c:pt idx="1">
                  <c:v>PARCIAL</c:v>
                </c:pt>
                <c:pt idx="2">
                  <c:v>NÃO</c:v>
                </c:pt>
              </c:strCache>
            </c:strRef>
          </c:cat>
          <c:val>
            <c:numRef>
              <c:f>'[4]VCO-LIDERANÇA'!$F$5:$F$7</c:f>
              <c:numCache>
                <c:formatCode>General</c:formatCode>
                <c:ptCount val="3"/>
                <c:pt idx="0">
                  <c:v>0.71739130434782605</c:v>
                </c:pt>
                <c:pt idx="1">
                  <c:v>0.21195652173913043</c:v>
                </c:pt>
                <c:pt idx="2">
                  <c:v>7.0652173913043473E-2</c:v>
                </c:pt>
              </c:numCache>
            </c:numRef>
          </c:val>
          <c:extLst>
            <c:ext xmlns:c16="http://schemas.microsoft.com/office/drawing/2014/chart" uri="{C3380CC4-5D6E-409C-BE32-E72D297353CC}">
              <c16:uniqueId val="{00000001-16D9-4282-AF46-75B2BA8F9F7C}"/>
            </c:ext>
          </c:extLst>
        </c:ser>
        <c:dLbls>
          <c:showLegendKey val="0"/>
          <c:showVal val="0"/>
          <c:showCatName val="0"/>
          <c:showSerName val="0"/>
          <c:showPercent val="0"/>
          <c:showBubbleSize val="0"/>
        </c:dLbls>
        <c:gapWidth val="219"/>
        <c:overlap val="-27"/>
        <c:axId val="910361583"/>
        <c:axId val="910361167"/>
      </c:barChart>
      <c:catAx>
        <c:axId val="91036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10361167"/>
        <c:crosses val="autoZero"/>
        <c:auto val="1"/>
        <c:lblAlgn val="ctr"/>
        <c:lblOffset val="100"/>
        <c:noMultiLvlLbl val="0"/>
      </c:catAx>
      <c:valAx>
        <c:axId val="910361167"/>
        <c:scaling>
          <c:orientation val="minMax"/>
        </c:scaling>
        <c:delete val="1"/>
        <c:axPos val="l"/>
        <c:numFmt formatCode="General" sourceLinked="1"/>
        <c:majorTickMark val="none"/>
        <c:minorTickMark val="none"/>
        <c:tickLblPos val="nextTo"/>
        <c:crossAx val="91036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CHEFIA IMPULSIONA EQUIPE PARA ALCANÇAR METAS</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'[4]VCO-LIDERANÇA'!$K$3:$M$3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'[4]VCO-LIDERANÇA'!$J$5:$J$7</c:f>
              <c:strCache>
                <c:ptCount val="3"/>
                <c:pt idx="0">
                  <c:v>SIM</c:v>
                </c:pt>
                <c:pt idx="1">
                  <c:v>PARCIAL</c:v>
                </c:pt>
                <c:pt idx="2">
                  <c:v>NÃO</c:v>
                </c:pt>
              </c:strCache>
            </c:strRef>
          </c:cat>
          <c:val>
            <c:numRef>
              <c:f>'[4]VCO-LIDERANÇA'!$L$5:$L$7</c:f>
              <c:numCache>
                <c:formatCode>General</c:formatCode>
                <c:ptCount val="3"/>
                <c:pt idx="0">
                  <c:v>0.84895833333333337</c:v>
                </c:pt>
                <c:pt idx="1">
                  <c:v>0.11979166666666667</c:v>
                </c:pt>
                <c:pt idx="2">
                  <c:v>3.125E-2</c:v>
                </c:pt>
              </c:numCache>
            </c:numRef>
          </c:val>
          <c:extLst>
            <c:ext xmlns:c16="http://schemas.microsoft.com/office/drawing/2014/chart" uri="{C3380CC4-5D6E-409C-BE32-E72D297353CC}">
              <c16:uniqueId val="{00000000-462D-4D74-A257-A71DFDD9A13F}"/>
            </c:ext>
          </c:extLst>
        </c:ser>
        <c:ser>
          <c:idx val="1"/>
          <c:order val="1"/>
          <c:tx>
            <c:strRef>
              <c:f>'[4]VCO-LIDERANÇA'!$N$3:$P$3</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'[4]VCO-LIDERANÇA'!$J$5:$J$7</c:f>
              <c:strCache>
                <c:ptCount val="3"/>
                <c:pt idx="0">
                  <c:v>SIM</c:v>
                </c:pt>
                <c:pt idx="1">
                  <c:v>PARCIAL</c:v>
                </c:pt>
                <c:pt idx="2">
                  <c:v>NÃO</c:v>
                </c:pt>
              </c:strCache>
            </c:strRef>
          </c:cat>
          <c:val>
            <c:numRef>
              <c:f>'[4]VCO-LIDERANÇA'!$O$5:$O$7</c:f>
              <c:numCache>
                <c:formatCode>General</c:formatCode>
                <c:ptCount val="3"/>
                <c:pt idx="0">
                  <c:v>0.60869565217391308</c:v>
                </c:pt>
                <c:pt idx="1">
                  <c:v>0.24456521739130435</c:v>
                </c:pt>
                <c:pt idx="2">
                  <c:v>0.14673913043478262</c:v>
                </c:pt>
              </c:numCache>
            </c:numRef>
          </c:val>
          <c:extLst>
            <c:ext xmlns:c16="http://schemas.microsoft.com/office/drawing/2014/chart" uri="{C3380CC4-5D6E-409C-BE32-E72D297353CC}">
              <c16:uniqueId val="{00000001-462D-4D74-A257-A71DFDD9A13F}"/>
            </c:ext>
          </c:extLst>
        </c:ser>
        <c:dLbls>
          <c:showLegendKey val="0"/>
          <c:showVal val="0"/>
          <c:showCatName val="0"/>
          <c:showSerName val="0"/>
          <c:showPercent val="0"/>
          <c:showBubbleSize val="0"/>
        </c:dLbls>
        <c:gapWidth val="219"/>
        <c:overlap val="-27"/>
        <c:axId val="842532191"/>
        <c:axId val="842544671"/>
      </c:barChart>
      <c:catAx>
        <c:axId val="84253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42544671"/>
        <c:crosses val="autoZero"/>
        <c:auto val="1"/>
        <c:lblAlgn val="ctr"/>
        <c:lblOffset val="100"/>
        <c:noMultiLvlLbl val="0"/>
      </c:catAx>
      <c:valAx>
        <c:axId val="842544671"/>
        <c:scaling>
          <c:orientation val="minMax"/>
        </c:scaling>
        <c:delete val="1"/>
        <c:axPos val="l"/>
        <c:numFmt formatCode="General" sourceLinked="1"/>
        <c:majorTickMark val="none"/>
        <c:minorTickMark val="none"/>
        <c:tickLblPos val="nextTo"/>
        <c:crossAx val="8425321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MEU CHEFE IMPULSIONA A EQUIPE</a:t>
            </a:r>
            <a:r>
              <a:rPr lang="pt-BR" sz="1100" b="1" baseline="0"/>
              <a:t> PARA ALCANÇAR AS METAS? (2020)</a:t>
            </a:r>
            <a:endParaRPr lang="pt-BR"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3268436764061159"/>
          <c:y val="0.2633330982880871"/>
          <c:w val="0.52525235617353527"/>
          <c:h val="0.6687168880009402"/>
        </c:manualLayout>
      </c:layout>
      <c:pieChart>
        <c:varyColors val="1"/>
        <c:ser>
          <c:idx val="0"/>
          <c:order val="0"/>
          <c:spPr>
            <a:scene3d>
              <a:camera prst="orthographicFront"/>
              <a:lightRig rig="threePt" dir="t"/>
            </a:scene3d>
            <a:sp3d>
              <a:bevelT w="139700" h="139700" prst="divot"/>
            </a:sp3d>
          </c:spPr>
          <c:explosion val="13"/>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4C3C-47A4-BE4C-353EA8E5AC8F}"/>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4C3C-47A4-BE4C-353EA8E5AC8F}"/>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4C3C-47A4-BE4C-353EA8E5AC8F}"/>
              </c:ext>
            </c:extLst>
          </c:dPt>
          <c:dLbls>
            <c:dLbl>
              <c:idx val="0"/>
              <c:layout>
                <c:manualLayout>
                  <c:x val="0.10732672921241636"/>
                  <c:y val="-9.568597955106357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3C-47A4-BE4C-353EA8E5AC8F}"/>
                </c:ext>
              </c:extLst>
            </c:dLbl>
            <c:dLbl>
              <c:idx val="1"/>
              <c:layout>
                <c:manualLayout>
                  <c:x val="-8.9851647284508007E-2"/>
                  <c:y val="2.747553570729031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3C-47A4-BE4C-353EA8E5AC8F}"/>
                </c:ext>
              </c:extLst>
            </c:dLbl>
            <c:dLbl>
              <c:idx val="2"/>
              <c:layout>
                <c:manualLayout>
                  <c:x val="0.18223885656135896"/>
                  <c:y val="-1.242825243859442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C3C-47A4-BE4C-353EA8E5AC8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'[4]VCO-LIDERANÇA'!$J$5:$J$7</c:f>
              <c:strCache>
                <c:ptCount val="3"/>
                <c:pt idx="0">
                  <c:v>SIM</c:v>
                </c:pt>
                <c:pt idx="1">
                  <c:v>PARCIAL</c:v>
                </c:pt>
                <c:pt idx="2">
                  <c:v>NÃO</c:v>
                </c:pt>
              </c:strCache>
            </c:strRef>
          </c:cat>
          <c:val>
            <c:numRef>
              <c:f>'[4]VCO-LIDERANÇA'!$L$5:$L$7</c:f>
              <c:numCache>
                <c:formatCode>General</c:formatCode>
                <c:ptCount val="3"/>
                <c:pt idx="0">
                  <c:v>0.84895833333333337</c:v>
                </c:pt>
                <c:pt idx="1">
                  <c:v>0.11979166666666667</c:v>
                </c:pt>
                <c:pt idx="2">
                  <c:v>3.125E-2</c:v>
                </c:pt>
              </c:numCache>
            </c:numRef>
          </c:val>
          <c:extLst>
            <c:ext xmlns:c16="http://schemas.microsoft.com/office/drawing/2014/chart" uri="{C3380CC4-5D6E-409C-BE32-E72D297353CC}">
              <c16:uniqueId val="{00000006-4C3C-47A4-BE4C-353EA8E5AC8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MEU CHEFE TEM O PERFIL INDICADO PARA FUNÇÃO</a:t>
            </a:r>
            <a:r>
              <a:rPr lang="pt-BR" sz="1100" b="1" baseline="0"/>
              <a:t> QUE OCUPA? (2020)</a:t>
            </a:r>
            <a:endParaRPr lang="pt-BR"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4631885917762031"/>
          <c:y val="0.22363815142576204"/>
          <c:w val="0.53899558332843478"/>
          <c:h val="0.67016715830875118"/>
        </c:manualLayout>
      </c:layout>
      <c:pieChart>
        <c:varyColors val="1"/>
        <c:ser>
          <c:idx val="0"/>
          <c:order val="0"/>
          <c:spPr>
            <a:scene3d>
              <a:camera prst="orthographicFront"/>
              <a:lightRig rig="threePt" dir="t"/>
            </a:scene3d>
            <a:sp3d>
              <a:bevelT w="190500" h="38100" prst="divot"/>
            </a:sp3d>
          </c:spPr>
          <c:explosion val="11"/>
          <c:dPt>
            <c:idx val="0"/>
            <c:bubble3D val="0"/>
            <c:spPr>
              <a:solidFill>
                <a:schemeClr val="accent1"/>
              </a:solidFill>
              <a:ln w="19050">
                <a:solidFill>
                  <a:schemeClr val="lt1"/>
                </a:solidFill>
              </a:ln>
              <a:effectLst/>
              <a:scene3d>
                <a:camera prst="orthographicFront"/>
                <a:lightRig rig="threePt" dir="t"/>
              </a:scene3d>
              <a:sp3d>
                <a:bevelT w="190500" h="38100" prst="divot"/>
              </a:sp3d>
            </c:spPr>
            <c:extLst>
              <c:ext xmlns:c16="http://schemas.microsoft.com/office/drawing/2014/chart" uri="{C3380CC4-5D6E-409C-BE32-E72D297353CC}">
                <c16:uniqueId val="{00000001-6C88-4F29-9E06-446528D74E1B}"/>
              </c:ext>
            </c:extLst>
          </c:dPt>
          <c:dPt>
            <c:idx val="1"/>
            <c:bubble3D val="0"/>
            <c:spPr>
              <a:solidFill>
                <a:schemeClr val="accent2"/>
              </a:solidFill>
              <a:ln w="19050">
                <a:solidFill>
                  <a:schemeClr val="lt1"/>
                </a:solidFill>
              </a:ln>
              <a:effectLst/>
              <a:scene3d>
                <a:camera prst="orthographicFront"/>
                <a:lightRig rig="threePt" dir="t"/>
              </a:scene3d>
              <a:sp3d>
                <a:bevelT w="190500" h="38100" prst="divot"/>
              </a:sp3d>
            </c:spPr>
            <c:extLst>
              <c:ext xmlns:c16="http://schemas.microsoft.com/office/drawing/2014/chart" uri="{C3380CC4-5D6E-409C-BE32-E72D297353CC}">
                <c16:uniqueId val="{00000003-6C88-4F29-9E06-446528D74E1B}"/>
              </c:ext>
            </c:extLst>
          </c:dPt>
          <c:dPt>
            <c:idx val="2"/>
            <c:bubble3D val="0"/>
            <c:spPr>
              <a:solidFill>
                <a:schemeClr val="accent3"/>
              </a:solidFill>
              <a:ln w="19050">
                <a:solidFill>
                  <a:schemeClr val="lt1"/>
                </a:solidFill>
              </a:ln>
              <a:effectLst/>
              <a:scene3d>
                <a:camera prst="orthographicFront"/>
                <a:lightRig rig="threePt" dir="t"/>
              </a:scene3d>
              <a:sp3d>
                <a:bevelT w="190500" h="38100" prst="divot"/>
              </a:sp3d>
            </c:spPr>
            <c:extLst>
              <c:ext xmlns:c16="http://schemas.microsoft.com/office/drawing/2014/chart" uri="{C3380CC4-5D6E-409C-BE32-E72D297353CC}">
                <c16:uniqueId val="{00000005-6C88-4F29-9E06-446528D74E1B}"/>
              </c:ext>
            </c:extLst>
          </c:dPt>
          <c:dLbls>
            <c:dLbl>
              <c:idx val="0"/>
              <c:layout>
                <c:manualLayout>
                  <c:x val="0.14738275096966516"/>
                  <c:y val="-5.235562368863184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88-4F29-9E06-446528D74E1B}"/>
                </c:ext>
              </c:extLst>
            </c:dLbl>
            <c:dLbl>
              <c:idx val="1"/>
              <c:layout>
                <c:manualLayout>
                  <c:x val="-0.11044144796686649"/>
                  <c:y val="6.526653194899309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88-4F29-9E06-446528D74E1B}"/>
                </c:ext>
              </c:extLst>
            </c:dLbl>
            <c:dLbl>
              <c:idx val="2"/>
              <c:layout>
                <c:manualLayout>
                  <c:x val="0.18839326011734617"/>
                  <c:y val="1.7296510502558861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88-4F29-9E06-446528D74E1B}"/>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'[4]VCO-LIDERANÇA'!$A$5:$A$7</c:f>
              <c:strCache>
                <c:ptCount val="3"/>
                <c:pt idx="0">
                  <c:v>SIM</c:v>
                </c:pt>
                <c:pt idx="1">
                  <c:v>PARCIAL</c:v>
                </c:pt>
                <c:pt idx="2">
                  <c:v>NÃO</c:v>
                </c:pt>
              </c:strCache>
            </c:strRef>
          </c:cat>
          <c:val>
            <c:numRef>
              <c:f>'[4]VCO-LIDERANÇA'!$C$5:$C$7</c:f>
              <c:numCache>
                <c:formatCode>General</c:formatCode>
                <c:ptCount val="3"/>
                <c:pt idx="0">
                  <c:v>0.86458333333333337</c:v>
                </c:pt>
                <c:pt idx="1">
                  <c:v>9.8958333333333329E-2</c:v>
                </c:pt>
                <c:pt idx="2">
                  <c:v>3.6458333333333336E-2</c:v>
                </c:pt>
              </c:numCache>
            </c:numRef>
          </c:val>
          <c:extLst>
            <c:ext xmlns:c16="http://schemas.microsoft.com/office/drawing/2014/chart" uri="{C3380CC4-5D6E-409C-BE32-E72D297353CC}">
              <c16:uniqueId val="{00000006-6C88-4F29-9E06-446528D74E1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pt-BR" sz="1200" b="1"/>
              <a:t>IDADE &gt;= 60 anos - Exercício</a:t>
            </a:r>
            <a:r>
              <a:rPr lang="pt-BR" sz="1200" b="1" baseline="0"/>
              <a:t> MME</a:t>
            </a:r>
            <a:endParaRPr lang="pt-BR"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rgbClr val="FFC000"/>
            </a:solidFill>
            <a:ln>
              <a:noFill/>
            </a:ln>
            <a:effectLst/>
            <a:scene3d>
              <a:camera prst="orthographicFront"/>
              <a:lightRig rig="threePt" dir="t"/>
            </a:scene3d>
            <a:sp3d>
              <a:bevelT w="190500" h="381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[3]Planilha1!$A$37:$A$57</c:f>
              <c:numCache>
                <c:formatCode>General</c:formatCode>
                <c:ptCount val="21"/>
                <c:pt idx="0">
                  <c:v>60</c:v>
                </c:pt>
                <c:pt idx="1">
                  <c:v>61</c:v>
                </c:pt>
                <c:pt idx="2">
                  <c:v>62</c:v>
                </c:pt>
                <c:pt idx="3">
                  <c:v>63</c:v>
                </c:pt>
                <c:pt idx="4">
                  <c:v>64</c:v>
                </c:pt>
                <c:pt idx="5">
                  <c:v>65</c:v>
                </c:pt>
                <c:pt idx="6">
                  <c:v>66</c:v>
                </c:pt>
                <c:pt idx="7">
                  <c:v>67</c:v>
                </c:pt>
                <c:pt idx="8">
                  <c:v>68</c:v>
                </c:pt>
                <c:pt idx="9">
                  <c:v>69</c:v>
                </c:pt>
                <c:pt idx="10">
                  <c:v>70</c:v>
                </c:pt>
                <c:pt idx="11">
                  <c:v>71</c:v>
                </c:pt>
                <c:pt idx="12">
                  <c:v>72</c:v>
                </c:pt>
                <c:pt idx="13">
                  <c:v>74</c:v>
                </c:pt>
                <c:pt idx="14">
                  <c:v>75</c:v>
                </c:pt>
                <c:pt idx="15">
                  <c:v>76</c:v>
                </c:pt>
                <c:pt idx="16">
                  <c:v>78</c:v>
                </c:pt>
                <c:pt idx="17">
                  <c:v>79</c:v>
                </c:pt>
                <c:pt idx="18">
                  <c:v>80</c:v>
                </c:pt>
                <c:pt idx="19">
                  <c:v>81</c:v>
                </c:pt>
                <c:pt idx="20">
                  <c:v>82</c:v>
                </c:pt>
              </c:numCache>
            </c:numRef>
          </c:cat>
          <c:val>
            <c:numRef>
              <c:f>[3]Planilha1!$Z$37:$Z$57</c:f>
              <c:numCache>
                <c:formatCode>General</c:formatCode>
                <c:ptCount val="21"/>
                <c:pt idx="0">
                  <c:v>18</c:v>
                </c:pt>
                <c:pt idx="1">
                  <c:v>12</c:v>
                </c:pt>
                <c:pt idx="2">
                  <c:v>14</c:v>
                </c:pt>
                <c:pt idx="3">
                  <c:v>11</c:v>
                </c:pt>
                <c:pt idx="4">
                  <c:v>10</c:v>
                </c:pt>
                <c:pt idx="5">
                  <c:v>8</c:v>
                </c:pt>
                <c:pt idx="6">
                  <c:v>13</c:v>
                </c:pt>
                <c:pt idx="7">
                  <c:v>14</c:v>
                </c:pt>
                <c:pt idx="8">
                  <c:v>13</c:v>
                </c:pt>
                <c:pt idx="9">
                  <c:v>10</c:v>
                </c:pt>
                <c:pt idx="10">
                  <c:v>5</c:v>
                </c:pt>
                <c:pt idx="11">
                  <c:v>7</c:v>
                </c:pt>
                <c:pt idx="12">
                  <c:v>7</c:v>
                </c:pt>
                <c:pt idx="13">
                  <c:v>3</c:v>
                </c:pt>
                <c:pt idx="14">
                  <c:v>2</c:v>
                </c:pt>
                <c:pt idx="15">
                  <c:v>3</c:v>
                </c:pt>
                <c:pt idx="16">
                  <c:v>0</c:v>
                </c:pt>
                <c:pt idx="17">
                  <c:v>3</c:v>
                </c:pt>
                <c:pt idx="18">
                  <c:v>1</c:v>
                </c:pt>
                <c:pt idx="19">
                  <c:v>1</c:v>
                </c:pt>
                <c:pt idx="20">
                  <c:v>2</c:v>
                </c:pt>
              </c:numCache>
            </c:numRef>
          </c:val>
          <c:extLst>
            <c:ext xmlns:c16="http://schemas.microsoft.com/office/drawing/2014/chart" uri="{C3380CC4-5D6E-409C-BE32-E72D297353CC}">
              <c16:uniqueId val="{00000000-E1F9-4544-87DE-4877CB015762}"/>
            </c:ext>
          </c:extLst>
        </c:ser>
        <c:dLbls>
          <c:showLegendKey val="0"/>
          <c:showVal val="0"/>
          <c:showCatName val="0"/>
          <c:showSerName val="0"/>
          <c:showPercent val="0"/>
          <c:showBubbleSize val="0"/>
        </c:dLbls>
        <c:gapWidth val="219"/>
        <c:overlap val="-27"/>
        <c:axId val="1042363040"/>
        <c:axId val="1042341824"/>
      </c:barChart>
      <c:catAx>
        <c:axId val="1042363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42341824"/>
        <c:crosses val="autoZero"/>
        <c:auto val="1"/>
        <c:lblAlgn val="ctr"/>
        <c:lblOffset val="100"/>
        <c:noMultiLvlLbl val="0"/>
      </c:catAx>
      <c:valAx>
        <c:axId val="1042341824"/>
        <c:scaling>
          <c:orientation val="minMax"/>
        </c:scaling>
        <c:delete val="1"/>
        <c:axPos val="l"/>
        <c:numFmt formatCode="General" sourceLinked="1"/>
        <c:majorTickMark val="none"/>
        <c:minorTickMark val="none"/>
        <c:tickLblPos val="nextTo"/>
        <c:crossAx val="1042363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EQUIPE DO SETOR/UNIDADE</a:t>
            </a:r>
            <a:r>
              <a:rPr lang="pt-BR" sz="1100" b="1" baseline="0"/>
              <a:t> SUFICIENTE PARA O DESENVOLVIMENTO DAS ATIVIDADES </a:t>
            </a:r>
            <a:endParaRPr lang="pt-BR"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'[4]VCO-EQUIPE'!$B$3:$D$3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'[4]VCO-EQUIPE'!$A$5:$A$7</c:f>
              <c:strCache>
                <c:ptCount val="3"/>
                <c:pt idx="0">
                  <c:v>SIM</c:v>
                </c:pt>
                <c:pt idx="1">
                  <c:v>PARCIAL</c:v>
                </c:pt>
                <c:pt idx="2">
                  <c:v>NÃO</c:v>
                </c:pt>
              </c:strCache>
            </c:strRef>
          </c:cat>
          <c:val>
            <c:numRef>
              <c:f>'[4]VCO-EQUIPE'!$C$5:$C$7</c:f>
              <c:numCache>
                <c:formatCode>General</c:formatCode>
                <c:ptCount val="3"/>
                <c:pt idx="0">
                  <c:v>0.375</c:v>
                </c:pt>
                <c:pt idx="1">
                  <c:v>0.35416666666666669</c:v>
                </c:pt>
                <c:pt idx="2">
                  <c:v>0.27083333333333331</c:v>
                </c:pt>
              </c:numCache>
            </c:numRef>
          </c:val>
          <c:extLst>
            <c:ext xmlns:c16="http://schemas.microsoft.com/office/drawing/2014/chart" uri="{C3380CC4-5D6E-409C-BE32-E72D297353CC}">
              <c16:uniqueId val="{00000000-0EA3-4006-B3CB-634D4F24FE34}"/>
            </c:ext>
          </c:extLst>
        </c:ser>
        <c:ser>
          <c:idx val="1"/>
          <c:order val="1"/>
          <c:tx>
            <c:strRef>
              <c:f>'[4]VCO-EQUIPE'!$E$3:$G$3</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'[4]VCO-EQUIPE'!$A$5:$A$7</c:f>
              <c:strCache>
                <c:ptCount val="3"/>
                <c:pt idx="0">
                  <c:v>SIM</c:v>
                </c:pt>
                <c:pt idx="1">
                  <c:v>PARCIAL</c:v>
                </c:pt>
                <c:pt idx="2">
                  <c:v>NÃO</c:v>
                </c:pt>
              </c:strCache>
            </c:strRef>
          </c:cat>
          <c:val>
            <c:numRef>
              <c:f>'[4]VCO-EQUIPE'!$F$5:$F$7</c:f>
              <c:numCache>
                <c:formatCode>General</c:formatCode>
                <c:ptCount val="3"/>
                <c:pt idx="0">
                  <c:v>0.37158469945355194</c:v>
                </c:pt>
                <c:pt idx="1">
                  <c:v>0.36612021857923499</c:v>
                </c:pt>
                <c:pt idx="2">
                  <c:v>0.26229508196721313</c:v>
                </c:pt>
              </c:numCache>
            </c:numRef>
          </c:val>
          <c:extLst>
            <c:ext xmlns:c16="http://schemas.microsoft.com/office/drawing/2014/chart" uri="{C3380CC4-5D6E-409C-BE32-E72D297353CC}">
              <c16:uniqueId val="{00000001-0EA3-4006-B3CB-634D4F24FE34}"/>
            </c:ext>
          </c:extLst>
        </c:ser>
        <c:dLbls>
          <c:showLegendKey val="0"/>
          <c:showVal val="0"/>
          <c:showCatName val="0"/>
          <c:showSerName val="0"/>
          <c:showPercent val="0"/>
          <c:showBubbleSize val="0"/>
        </c:dLbls>
        <c:gapWidth val="219"/>
        <c:overlap val="-27"/>
        <c:axId val="667754767"/>
        <c:axId val="667769743"/>
      </c:barChart>
      <c:catAx>
        <c:axId val="667754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67769743"/>
        <c:crosses val="autoZero"/>
        <c:auto val="1"/>
        <c:lblAlgn val="ctr"/>
        <c:lblOffset val="100"/>
        <c:noMultiLvlLbl val="0"/>
      </c:catAx>
      <c:valAx>
        <c:axId val="667769743"/>
        <c:scaling>
          <c:orientation val="minMax"/>
        </c:scaling>
        <c:delete val="1"/>
        <c:axPos val="l"/>
        <c:numFmt formatCode="General" sourceLinked="1"/>
        <c:majorTickMark val="none"/>
        <c:minorTickMark val="none"/>
        <c:tickLblPos val="nextTo"/>
        <c:crossAx val="6677547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DISTRIBUIÇÃO ADEQUADA DAS TAREFAS NO</a:t>
            </a:r>
            <a:r>
              <a:rPr lang="pt-BR" sz="1100" b="1" baseline="0"/>
              <a:t> SETOR/UNIDADE EM QUE ATUA</a:t>
            </a:r>
            <a:endParaRPr lang="pt-BR"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'[4]VCO-EQUIPE'!$K$3:$M$3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'[4]VCO-EQUIPE'!$J$5:$J$7</c:f>
              <c:strCache>
                <c:ptCount val="3"/>
                <c:pt idx="0">
                  <c:v>SIM</c:v>
                </c:pt>
                <c:pt idx="1">
                  <c:v>PARCIAL</c:v>
                </c:pt>
                <c:pt idx="2">
                  <c:v>NÃO</c:v>
                </c:pt>
              </c:strCache>
            </c:strRef>
          </c:cat>
          <c:val>
            <c:numRef>
              <c:f>'[4]VCO-EQUIPE'!$L$5:$L$7</c:f>
              <c:numCache>
                <c:formatCode>General</c:formatCode>
                <c:ptCount val="3"/>
                <c:pt idx="0">
                  <c:v>0.4375</c:v>
                </c:pt>
                <c:pt idx="1">
                  <c:v>0.38020833333333331</c:v>
                </c:pt>
                <c:pt idx="2">
                  <c:v>0.18229166666666666</c:v>
                </c:pt>
              </c:numCache>
            </c:numRef>
          </c:val>
          <c:extLst>
            <c:ext xmlns:c16="http://schemas.microsoft.com/office/drawing/2014/chart" uri="{C3380CC4-5D6E-409C-BE32-E72D297353CC}">
              <c16:uniqueId val="{00000000-FD81-4C4D-B020-A983B9B35E70}"/>
            </c:ext>
          </c:extLst>
        </c:ser>
        <c:ser>
          <c:idx val="1"/>
          <c:order val="1"/>
          <c:tx>
            <c:strRef>
              <c:f>'[4]VCO-EQUIPE'!$N$3:$P$3</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'[4]VCO-EQUIPE'!$J$5:$J$7</c:f>
              <c:strCache>
                <c:ptCount val="3"/>
                <c:pt idx="0">
                  <c:v>SIM</c:v>
                </c:pt>
                <c:pt idx="1">
                  <c:v>PARCIAL</c:v>
                </c:pt>
                <c:pt idx="2">
                  <c:v>NÃO</c:v>
                </c:pt>
              </c:strCache>
            </c:strRef>
          </c:cat>
          <c:val>
            <c:numRef>
              <c:f>'[4]VCO-EQUIPE'!$O$5:$O$7</c:f>
              <c:numCache>
                <c:formatCode>General</c:formatCode>
                <c:ptCount val="3"/>
                <c:pt idx="0">
                  <c:v>0.3551912568306011</c:v>
                </c:pt>
                <c:pt idx="1">
                  <c:v>0.3551912568306011</c:v>
                </c:pt>
                <c:pt idx="2">
                  <c:v>0.2896174863387978</c:v>
                </c:pt>
              </c:numCache>
            </c:numRef>
          </c:val>
          <c:extLst>
            <c:ext xmlns:c16="http://schemas.microsoft.com/office/drawing/2014/chart" uri="{C3380CC4-5D6E-409C-BE32-E72D297353CC}">
              <c16:uniqueId val="{00000001-FD81-4C4D-B020-A983B9B35E70}"/>
            </c:ext>
          </c:extLst>
        </c:ser>
        <c:dLbls>
          <c:showLegendKey val="0"/>
          <c:showVal val="0"/>
          <c:showCatName val="0"/>
          <c:showSerName val="0"/>
          <c:showPercent val="0"/>
          <c:showBubbleSize val="0"/>
        </c:dLbls>
        <c:gapWidth val="219"/>
        <c:overlap val="-27"/>
        <c:axId val="678390127"/>
        <c:axId val="678390543"/>
      </c:barChart>
      <c:catAx>
        <c:axId val="678390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78390543"/>
        <c:crosses val="autoZero"/>
        <c:auto val="1"/>
        <c:lblAlgn val="ctr"/>
        <c:lblOffset val="100"/>
        <c:noMultiLvlLbl val="0"/>
      </c:catAx>
      <c:valAx>
        <c:axId val="678390543"/>
        <c:scaling>
          <c:orientation val="minMax"/>
        </c:scaling>
        <c:delete val="1"/>
        <c:axPos val="l"/>
        <c:numFmt formatCode="General" sourceLinked="1"/>
        <c:majorTickMark val="none"/>
        <c:minorTickMark val="none"/>
        <c:tickLblPos val="nextTo"/>
        <c:crossAx val="678390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CONSIDERO ADEQUADA A DISTRIBUIÇÃO DAS TAREFAS NO SETOR/UNIDADE EM QUE ATUO?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4437771002803058"/>
          <c:y val="0.26827223030242237"/>
          <c:w val="0.50807375196085747"/>
          <c:h val="0.68039821455439087"/>
        </c:manualLayout>
      </c:layout>
      <c:pieChart>
        <c:varyColors val="1"/>
        <c:ser>
          <c:idx val="0"/>
          <c:order val="0"/>
          <c:spPr>
            <a:scene3d>
              <a:camera prst="orthographicFront"/>
              <a:lightRig rig="threePt" dir="t"/>
            </a:scene3d>
            <a:sp3d>
              <a:bevelT w="139700" h="139700" prst="divot"/>
            </a:sp3d>
          </c:spPr>
          <c:explosion val="10"/>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9FA9-493C-8E8C-83363B01990E}"/>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9FA9-493C-8E8C-83363B01990E}"/>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9FA9-493C-8E8C-83363B01990E}"/>
              </c:ext>
            </c:extLst>
          </c:dPt>
          <c:dLbls>
            <c:dLbl>
              <c:idx val="0"/>
              <c:layout>
                <c:manualLayout>
                  <c:x val="-1.6301676069711276E-2"/>
                  <c:y val="-0.2015423708979052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A9-493C-8E8C-83363B01990E}"/>
                </c:ext>
              </c:extLst>
            </c:dLbl>
            <c:dLbl>
              <c:idx val="1"/>
              <c:layout>
                <c:manualLayout>
                  <c:x val="-5.6144378034600977E-2"/>
                  <c:y val="-6.851563936673521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A9-493C-8E8C-83363B01990E}"/>
                </c:ext>
              </c:extLst>
            </c:dLbl>
            <c:dLbl>
              <c:idx val="2"/>
              <c:layout>
                <c:manualLayout>
                  <c:x val="-7.6265778302198883E-2"/>
                  <c:y val="8.3765484728421692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A9-493C-8E8C-83363B01990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'[4]VCO-EQUIPE'!$J$5:$J$7</c:f>
              <c:strCache>
                <c:ptCount val="3"/>
                <c:pt idx="0">
                  <c:v>SIM</c:v>
                </c:pt>
                <c:pt idx="1">
                  <c:v>PARCIAL</c:v>
                </c:pt>
                <c:pt idx="2">
                  <c:v>NÃO</c:v>
                </c:pt>
              </c:strCache>
            </c:strRef>
          </c:cat>
          <c:val>
            <c:numRef>
              <c:f>'[4]VCO-EQUIPE'!$L$5:$L$7</c:f>
              <c:numCache>
                <c:formatCode>General</c:formatCode>
                <c:ptCount val="3"/>
                <c:pt idx="0">
                  <c:v>0.4375</c:v>
                </c:pt>
                <c:pt idx="1">
                  <c:v>0.38020833333333331</c:v>
                </c:pt>
                <c:pt idx="2">
                  <c:v>0.18229166666666666</c:v>
                </c:pt>
              </c:numCache>
            </c:numRef>
          </c:val>
          <c:extLst>
            <c:ext xmlns:c16="http://schemas.microsoft.com/office/drawing/2014/chart" uri="{C3380CC4-5D6E-409C-BE32-E72D297353CC}">
              <c16:uniqueId val="{00000006-9FA9-493C-8E8C-83363B01990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mn-lt"/>
                <a:ea typeface="+mn-ea"/>
                <a:cs typeface="+mn-cs"/>
              </a:defRPr>
            </a:pPr>
            <a:r>
              <a:rPr lang="pt-BR" sz="1050" b="1"/>
              <a:t>CONSIDERO A EQUIPE DO MEU SETOR/UNIDADE SUFICIENTE PARA O DESENVOLVIMENTO DAS ATIVIDADES? (2020)</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782482376495069"/>
          <c:y val="0.25992543925639866"/>
          <c:w val="0.44981491250804795"/>
          <c:h val="0.60524466288847656"/>
        </c:manualLayout>
      </c:layout>
      <c:pieChart>
        <c:varyColors val="1"/>
        <c:ser>
          <c:idx val="0"/>
          <c:order val="0"/>
          <c:spPr>
            <a:scene3d>
              <a:camera prst="orthographicFront"/>
              <a:lightRig rig="threePt" dir="t"/>
            </a:scene3d>
            <a:sp3d>
              <a:bevelT w="139700" h="139700" prst="divot"/>
            </a:sp3d>
          </c:spPr>
          <c:dPt>
            <c:idx val="0"/>
            <c:bubble3D val="0"/>
            <c:explosion val="1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7C66-470D-838F-BDD56B4F5354}"/>
              </c:ext>
            </c:extLst>
          </c:dPt>
          <c:dPt>
            <c:idx val="1"/>
            <c:bubble3D val="0"/>
            <c:explosion val="13"/>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7C66-470D-838F-BDD56B4F5354}"/>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7C66-470D-838F-BDD56B4F5354}"/>
              </c:ext>
            </c:extLst>
          </c:dPt>
          <c:dLbls>
            <c:dLbl>
              <c:idx val="0"/>
              <c:layout>
                <c:manualLayout>
                  <c:x val="4.4712973369616132E-2"/>
                  <c:y val="2.547737265325910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66-470D-838F-BDD56B4F5354}"/>
                </c:ext>
              </c:extLst>
            </c:dLbl>
            <c:dLbl>
              <c:idx val="1"/>
              <c:layout>
                <c:manualLayout>
                  <c:x val="-0.19411648646613719"/>
                  <c:y val="-7.974522292993629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66-470D-838F-BDD56B4F5354}"/>
                </c:ext>
              </c:extLst>
            </c:dLbl>
            <c:dLbl>
              <c:idx val="2"/>
              <c:layout>
                <c:manualLayout>
                  <c:x val="-6.9564171574129544E-2"/>
                  <c:y val="7.330925990939030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C66-470D-838F-BDD56B4F535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'[4]VCO-EQUIPE'!$A$5:$A$7</c:f>
              <c:strCache>
                <c:ptCount val="3"/>
                <c:pt idx="0">
                  <c:v>SIM</c:v>
                </c:pt>
                <c:pt idx="1">
                  <c:v>PARCIAL</c:v>
                </c:pt>
                <c:pt idx="2">
                  <c:v>NÃO</c:v>
                </c:pt>
              </c:strCache>
            </c:strRef>
          </c:cat>
          <c:val>
            <c:numRef>
              <c:f>'[4]VCO-EQUIPE'!$C$5:$C$7</c:f>
              <c:numCache>
                <c:formatCode>General</c:formatCode>
                <c:ptCount val="3"/>
                <c:pt idx="0">
                  <c:v>0.375</c:v>
                </c:pt>
                <c:pt idx="1">
                  <c:v>0.35416666666666669</c:v>
                </c:pt>
                <c:pt idx="2">
                  <c:v>0.27083333333333331</c:v>
                </c:pt>
              </c:numCache>
            </c:numRef>
          </c:val>
          <c:extLst>
            <c:ext xmlns:c16="http://schemas.microsoft.com/office/drawing/2014/chart" uri="{C3380CC4-5D6E-409C-BE32-E72D297353CC}">
              <c16:uniqueId val="{00000006-7C66-470D-838F-BDD56B4F535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SALÁRIO JUSTO E ADEQUADO</a:t>
            </a:r>
            <a:r>
              <a:rPr lang="pt-BR" sz="1100" b="1" baseline="0"/>
              <a:t> A MINHA FUNÇÃO</a:t>
            </a:r>
            <a:endParaRPr lang="pt-BR"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'[4]VCO-SALÁRIO'!$B$3:$D$3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'[4]VCO-SALÁRIO'!$A$5:$A$7</c:f>
              <c:strCache>
                <c:ptCount val="3"/>
                <c:pt idx="0">
                  <c:v>SIM</c:v>
                </c:pt>
                <c:pt idx="1">
                  <c:v>PARCIAL</c:v>
                </c:pt>
                <c:pt idx="2">
                  <c:v>NÃO</c:v>
                </c:pt>
              </c:strCache>
            </c:strRef>
          </c:cat>
          <c:val>
            <c:numRef>
              <c:f>'[4]VCO-SALÁRIO'!$C$5:$C$7</c:f>
              <c:numCache>
                <c:formatCode>General</c:formatCode>
                <c:ptCount val="3"/>
                <c:pt idx="0">
                  <c:v>0.46875</c:v>
                </c:pt>
                <c:pt idx="1">
                  <c:v>0.359375</c:v>
                </c:pt>
                <c:pt idx="2">
                  <c:v>0.171875</c:v>
                </c:pt>
              </c:numCache>
            </c:numRef>
          </c:val>
          <c:extLst>
            <c:ext xmlns:c16="http://schemas.microsoft.com/office/drawing/2014/chart" uri="{C3380CC4-5D6E-409C-BE32-E72D297353CC}">
              <c16:uniqueId val="{00000000-AA32-4391-84AE-2278658A1864}"/>
            </c:ext>
          </c:extLst>
        </c:ser>
        <c:ser>
          <c:idx val="1"/>
          <c:order val="1"/>
          <c:tx>
            <c:strRef>
              <c:f>'[4]VCO-SALÁRIO'!$E$3:$G$3</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'[4]VCO-SALÁRIO'!$A$5:$A$7</c:f>
              <c:strCache>
                <c:ptCount val="3"/>
                <c:pt idx="0">
                  <c:v>SIM</c:v>
                </c:pt>
                <c:pt idx="1">
                  <c:v>PARCIAL</c:v>
                </c:pt>
                <c:pt idx="2">
                  <c:v>NÃO</c:v>
                </c:pt>
              </c:strCache>
            </c:strRef>
          </c:cat>
          <c:val>
            <c:numRef>
              <c:f>'[4]VCO-SALÁRIO'!$F$5:$F$7</c:f>
              <c:numCache>
                <c:formatCode>General</c:formatCode>
                <c:ptCount val="3"/>
                <c:pt idx="0">
                  <c:v>0.33333333333333331</c:v>
                </c:pt>
                <c:pt idx="1">
                  <c:v>0.31693989071038253</c:v>
                </c:pt>
                <c:pt idx="2">
                  <c:v>0.34972677595628415</c:v>
                </c:pt>
              </c:numCache>
            </c:numRef>
          </c:val>
          <c:extLst>
            <c:ext xmlns:c16="http://schemas.microsoft.com/office/drawing/2014/chart" uri="{C3380CC4-5D6E-409C-BE32-E72D297353CC}">
              <c16:uniqueId val="{00000001-AA32-4391-84AE-2278658A1864}"/>
            </c:ext>
          </c:extLst>
        </c:ser>
        <c:dLbls>
          <c:showLegendKey val="0"/>
          <c:showVal val="0"/>
          <c:showCatName val="0"/>
          <c:showSerName val="0"/>
          <c:showPercent val="0"/>
          <c:showBubbleSize val="0"/>
        </c:dLbls>
        <c:gapWidth val="219"/>
        <c:overlap val="-27"/>
        <c:axId val="842535103"/>
        <c:axId val="842546335"/>
      </c:barChart>
      <c:catAx>
        <c:axId val="8425351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42546335"/>
        <c:crosses val="autoZero"/>
        <c:auto val="1"/>
        <c:lblAlgn val="ctr"/>
        <c:lblOffset val="100"/>
        <c:noMultiLvlLbl val="0"/>
      </c:catAx>
      <c:valAx>
        <c:axId val="842546335"/>
        <c:scaling>
          <c:orientation val="minMax"/>
        </c:scaling>
        <c:delete val="1"/>
        <c:axPos val="l"/>
        <c:numFmt formatCode="General" sourceLinked="1"/>
        <c:majorTickMark val="none"/>
        <c:minorTickMark val="none"/>
        <c:tickLblPos val="nextTo"/>
        <c:crossAx val="8425351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MEU SALÁRIO É JUSTO E ADEQUADO</a:t>
            </a:r>
            <a:r>
              <a:rPr lang="pt-BR" sz="1100" b="1" baseline="0"/>
              <a:t> A MINHA FUNÇÃO? (2020)</a:t>
            </a:r>
            <a:endParaRPr lang="pt-BR"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spPr>
            <a:scene3d>
              <a:camera prst="orthographicFront"/>
              <a:lightRig rig="threePt" dir="t"/>
            </a:scene3d>
            <a:sp3d>
              <a:bevelT w="139700" h="139700" prst="divot"/>
            </a:sp3d>
          </c:spPr>
          <c:explosion val="6"/>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3849-420A-BFAA-F56465D19B5F}"/>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3849-420A-BFAA-F56465D19B5F}"/>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3849-420A-BFAA-F56465D19B5F}"/>
              </c:ext>
            </c:extLst>
          </c:dPt>
          <c:dLbls>
            <c:dLbl>
              <c:idx val="0"/>
              <c:layout>
                <c:manualLayout>
                  <c:x val="5.1412626204770849E-2"/>
                  <c:y val="7.607288705525228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49-420A-BFAA-F56465D19B5F}"/>
                </c:ext>
              </c:extLst>
            </c:dLbl>
            <c:dLbl>
              <c:idx val="1"/>
              <c:layout>
                <c:manualLayout>
                  <c:x val="-7.5201158557994877E-2"/>
                  <c:y val="1.035277938500498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49-420A-BFAA-F56465D19B5F}"/>
                </c:ext>
              </c:extLst>
            </c:dLbl>
            <c:dLbl>
              <c:idx val="2"/>
              <c:layout>
                <c:manualLayout>
                  <c:x val="-0.10065469559649064"/>
                  <c:y val="-1.665568161807250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849-420A-BFAA-F56465D19B5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'[4]VCO-SALÁRIO'!$A$5:$A$7</c:f>
              <c:strCache>
                <c:ptCount val="3"/>
                <c:pt idx="0">
                  <c:v>SIM</c:v>
                </c:pt>
                <c:pt idx="1">
                  <c:v>PARCIAL</c:v>
                </c:pt>
                <c:pt idx="2">
                  <c:v>NÃO</c:v>
                </c:pt>
              </c:strCache>
            </c:strRef>
          </c:cat>
          <c:val>
            <c:numRef>
              <c:f>'[4]VCO-SALÁRIO'!$C$5:$C$7</c:f>
              <c:numCache>
                <c:formatCode>General</c:formatCode>
                <c:ptCount val="3"/>
                <c:pt idx="0">
                  <c:v>0.46875</c:v>
                </c:pt>
                <c:pt idx="1">
                  <c:v>0.359375</c:v>
                </c:pt>
                <c:pt idx="2">
                  <c:v>0.171875</c:v>
                </c:pt>
              </c:numCache>
            </c:numRef>
          </c:val>
          <c:extLst>
            <c:ext xmlns:c16="http://schemas.microsoft.com/office/drawing/2014/chart" uri="{C3380CC4-5D6E-409C-BE32-E72D297353CC}">
              <c16:uniqueId val="{00000006-3849-420A-BFAA-F56465D19B5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SALÁRIO E BENEFÍCIO ESTÃO NA MÉDIA OU ACIMA DO QUE É OFERECIDO NO MERCADO</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'[4]VCO-SALÁRIO'!$K$3:$M$3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'[4]VCO-SALÁRIO'!$J$5:$J$7</c:f>
              <c:strCache>
                <c:ptCount val="3"/>
                <c:pt idx="0">
                  <c:v>SIM</c:v>
                </c:pt>
                <c:pt idx="1">
                  <c:v>PARCIAL</c:v>
                </c:pt>
                <c:pt idx="2">
                  <c:v>NÃO</c:v>
                </c:pt>
              </c:strCache>
            </c:strRef>
          </c:cat>
          <c:val>
            <c:numRef>
              <c:f>'[4]VCO-SALÁRIO'!$L$5:$L$7</c:f>
              <c:numCache>
                <c:formatCode>General</c:formatCode>
                <c:ptCount val="3"/>
                <c:pt idx="0">
                  <c:v>0.28645833333333331</c:v>
                </c:pt>
                <c:pt idx="1">
                  <c:v>0.421875</c:v>
                </c:pt>
                <c:pt idx="2">
                  <c:v>0.29166666666666669</c:v>
                </c:pt>
              </c:numCache>
            </c:numRef>
          </c:val>
          <c:extLst>
            <c:ext xmlns:c16="http://schemas.microsoft.com/office/drawing/2014/chart" uri="{C3380CC4-5D6E-409C-BE32-E72D297353CC}">
              <c16:uniqueId val="{00000000-7D4D-44CC-AF95-F198C74A0ADB}"/>
            </c:ext>
          </c:extLst>
        </c:ser>
        <c:ser>
          <c:idx val="1"/>
          <c:order val="1"/>
          <c:tx>
            <c:strRef>
              <c:f>'[4]VCO-SALÁRIO'!$N$3:$P$3</c:f>
              <c:strCache>
                <c:ptCount val="1"/>
                <c:pt idx="0">
                  <c:v>2017</c:v>
                </c:pt>
              </c:strCache>
            </c:strRef>
          </c:tx>
          <c:spPr>
            <a:solidFill>
              <a:schemeClr val="accent2"/>
            </a:solidFill>
            <a:ln>
              <a:noFill/>
            </a:ln>
            <a:effectLst/>
          </c:spPr>
          <c:invertIfNegative val="0"/>
          <c:cat>
            <c:strRef>
              <c:f>'[4]VCO-SALÁRIO'!$J$5:$J$7</c:f>
              <c:strCache>
                <c:ptCount val="3"/>
                <c:pt idx="0">
                  <c:v>SIM</c:v>
                </c:pt>
                <c:pt idx="1">
                  <c:v>PARCIAL</c:v>
                </c:pt>
                <c:pt idx="2">
                  <c:v>NÃO</c:v>
                </c:pt>
              </c:strCache>
            </c:strRef>
          </c:cat>
          <c:val>
            <c:numRef>
              <c:f>'[4]VCO-SALÁRIO'!$O$5:$O$7</c:f>
              <c:numCache>
                <c:formatCode>General</c:formatCode>
                <c:ptCount val="3"/>
                <c:pt idx="0">
                  <c:v>0</c:v>
                </c:pt>
                <c:pt idx="1">
                  <c:v>0</c:v>
                </c:pt>
                <c:pt idx="2">
                  <c:v>0</c:v>
                </c:pt>
              </c:numCache>
            </c:numRef>
          </c:val>
          <c:extLst>
            <c:ext xmlns:c16="http://schemas.microsoft.com/office/drawing/2014/chart" uri="{C3380CC4-5D6E-409C-BE32-E72D297353CC}">
              <c16:uniqueId val="{00000001-7D4D-44CC-AF95-F198C74A0ADB}"/>
            </c:ext>
          </c:extLst>
        </c:ser>
        <c:dLbls>
          <c:showLegendKey val="0"/>
          <c:showVal val="0"/>
          <c:showCatName val="0"/>
          <c:showSerName val="0"/>
          <c:showPercent val="0"/>
          <c:showBubbleSize val="0"/>
        </c:dLbls>
        <c:gapWidth val="219"/>
        <c:overlap val="-27"/>
        <c:axId val="678363919"/>
        <c:axId val="678364751"/>
      </c:barChart>
      <c:catAx>
        <c:axId val="6783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78364751"/>
        <c:crosses val="autoZero"/>
        <c:auto val="1"/>
        <c:lblAlgn val="ctr"/>
        <c:lblOffset val="100"/>
        <c:noMultiLvlLbl val="0"/>
      </c:catAx>
      <c:valAx>
        <c:axId val="678364751"/>
        <c:scaling>
          <c:orientation val="minMax"/>
        </c:scaling>
        <c:delete val="1"/>
        <c:axPos val="l"/>
        <c:numFmt formatCode="General" sourceLinked="1"/>
        <c:majorTickMark val="none"/>
        <c:minorTickMark val="none"/>
        <c:tickLblPos val="nextTo"/>
        <c:crossAx val="678363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MEU SALÁRIO E BENEFÍCIOS</a:t>
            </a:r>
            <a:r>
              <a:rPr lang="pt-BR" sz="1100" b="1" baseline="0"/>
              <a:t> ESTÃO NA MÉDIA OU ACIMA DO QUE É OFERECIDO NO MERCADO? (2020)</a:t>
            </a:r>
            <a:endParaRPr lang="pt-BR"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4928765111538936"/>
          <c:y val="0.23595918677367905"/>
          <c:w val="0.50142469776922127"/>
          <c:h val="0.68280831455553581"/>
        </c:manualLayout>
      </c:layout>
      <c:pieChart>
        <c:varyColors val="1"/>
        <c:ser>
          <c:idx val="0"/>
          <c:order val="0"/>
          <c:spPr>
            <a:scene3d>
              <a:camera prst="orthographicFront"/>
              <a:lightRig rig="threePt" dir="t"/>
            </a:scene3d>
            <a:sp3d>
              <a:bevelT w="139700" h="139700" prst="divot"/>
            </a:sp3d>
          </c:spPr>
          <c:explosion val="6"/>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399D-4F5A-B5FD-A780222B596E}"/>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399D-4F5A-B5FD-A780222B596E}"/>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399D-4F5A-B5FD-A780222B596E}"/>
              </c:ext>
            </c:extLst>
          </c:dPt>
          <c:dLbls>
            <c:dLbl>
              <c:idx val="0"/>
              <c:layout>
                <c:manualLayout>
                  <c:x val="4.9038285622774139E-2"/>
                  <c:y val="-4.075178705555695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9D-4F5A-B5FD-A780222B596E}"/>
                </c:ext>
              </c:extLst>
            </c:dLbl>
            <c:dLbl>
              <c:idx val="1"/>
              <c:layout>
                <c:manualLayout>
                  <c:x val="-0.23387652156581398"/>
                  <c:y val="-1.299035369774919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9D-4F5A-B5FD-A780222B596E}"/>
                </c:ext>
              </c:extLst>
            </c:dLbl>
            <c:dLbl>
              <c:idx val="2"/>
              <c:layout>
                <c:manualLayout>
                  <c:x val="-5.5545240041865833E-2"/>
                  <c:y val="-6.4544986539062038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9D-4F5A-B5FD-A780222B596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'[4]VCO-SALÁRIO'!$J$5:$J$7</c:f>
              <c:strCache>
                <c:ptCount val="3"/>
                <c:pt idx="0">
                  <c:v>SIM</c:v>
                </c:pt>
                <c:pt idx="1">
                  <c:v>PARCIAL</c:v>
                </c:pt>
                <c:pt idx="2">
                  <c:v>NÃO</c:v>
                </c:pt>
              </c:strCache>
            </c:strRef>
          </c:cat>
          <c:val>
            <c:numRef>
              <c:f>'[4]VCO-SALÁRIO'!$L$5:$L$7</c:f>
              <c:numCache>
                <c:formatCode>General</c:formatCode>
                <c:ptCount val="3"/>
                <c:pt idx="0">
                  <c:v>0.28645833333333331</c:v>
                </c:pt>
                <c:pt idx="1">
                  <c:v>0.421875</c:v>
                </c:pt>
                <c:pt idx="2">
                  <c:v>0.29166666666666669</c:v>
                </c:pt>
              </c:numCache>
            </c:numRef>
          </c:val>
          <c:extLst>
            <c:ext xmlns:c16="http://schemas.microsoft.com/office/drawing/2014/chart" uri="{C3380CC4-5D6E-409C-BE32-E72D297353CC}">
              <c16:uniqueId val="{00000006-399D-4F5A-B5FD-A780222B596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RELACIONAMENTO</a:t>
            </a:r>
            <a:r>
              <a:rPr lang="pt-BR" sz="1100" b="1" baseline="0"/>
              <a:t> COM OS COLEGAS DE TRABALHO FAVORECE A EXECUÇÃO DAS ATIVIDADES NA UNIDADE/SETOR</a:t>
            </a:r>
            <a:endParaRPr lang="pt-BR"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'[4]VCO-RELACIONAMENTO'!$B$3:$D$3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'[4]VCO-RELACIONAMENTO'!$A$5:$A$7</c:f>
              <c:strCache>
                <c:ptCount val="3"/>
                <c:pt idx="0">
                  <c:v>SIM</c:v>
                </c:pt>
                <c:pt idx="1">
                  <c:v>PARCIAL</c:v>
                </c:pt>
                <c:pt idx="2">
                  <c:v>NÃO</c:v>
                </c:pt>
              </c:strCache>
            </c:strRef>
          </c:cat>
          <c:val>
            <c:numRef>
              <c:f>'[4]VCO-RELACIONAMENTO'!$C$5:$C$7</c:f>
              <c:numCache>
                <c:formatCode>General</c:formatCode>
                <c:ptCount val="3"/>
                <c:pt idx="0">
                  <c:v>0.84375</c:v>
                </c:pt>
                <c:pt idx="1">
                  <c:v>0.15104166666666666</c:v>
                </c:pt>
                <c:pt idx="2">
                  <c:v>5.208333333333333E-3</c:v>
                </c:pt>
              </c:numCache>
            </c:numRef>
          </c:val>
          <c:extLst>
            <c:ext xmlns:c16="http://schemas.microsoft.com/office/drawing/2014/chart" uri="{C3380CC4-5D6E-409C-BE32-E72D297353CC}">
              <c16:uniqueId val="{00000000-B0C2-40CE-9CB5-C6534612F6B9}"/>
            </c:ext>
          </c:extLst>
        </c:ser>
        <c:ser>
          <c:idx val="1"/>
          <c:order val="1"/>
          <c:tx>
            <c:strRef>
              <c:f>'[4]VCO-RELACIONAMENTO'!$E$3:$G$3</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'[4]VCO-RELACIONAMENTO'!$A$5:$A$7</c:f>
              <c:strCache>
                <c:ptCount val="3"/>
                <c:pt idx="0">
                  <c:v>SIM</c:v>
                </c:pt>
                <c:pt idx="1">
                  <c:v>PARCIAL</c:v>
                </c:pt>
                <c:pt idx="2">
                  <c:v>NÃO</c:v>
                </c:pt>
              </c:strCache>
            </c:strRef>
          </c:cat>
          <c:val>
            <c:numRef>
              <c:f>'[4]VCO-RELACIONAMENTO'!$F$5:$F$7</c:f>
              <c:numCache>
                <c:formatCode>General</c:formatCode>
                <c:ptCount val="3"/>
                <c:pt idx="0">
                  <c:v>0.79005524861878451</c:v>
                </c:pt>
                <c:pt idx="1">
                  <c:v>0.19337016574585636</c:v>
                </c:pt>
                <c:pt idx="2">
                  <c:v>1.6574585635359115E-2</c:v>
                </c:pt>
              </c:numCache>
            </c:numRef>
          </c:val>
          <c:extLst>
            <c:ext xmlns:c16="http://schemas.microsoft.com/office/drawing/2014/chart" uri="{C3380CC4-5D6E-409C-BE32-E72D297353CC}">
              <c16:uniqueId val="{00000001-B0C2-40CE-9CB5-C6534612F6B9}"/>
            </c:ext>
          </c:extLst>
        </c:ser>
        <c:dLbls>
          <c:showLegendKey val="0"/>
          <c:showVal val="0"/>
          <c:showCatName val="0"/>
          <c:showSerName val="0"/>
          <c:showPercent val="0"/>
          <c:showBubbleSize val="0"/>
        </c:dLbls>
        <c:gapWidth val="219"/>
        <c:overlap val="-27"/>
        <c:axId val="313584959"/>
        <c:axId val="313587039"/>
      </c:barChart>
      <c:catAx>
        <c:axId val="313584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13587039"/>
        <c:crosses val="autoZero"/>
        <c:auto val="1"/>
        <c:lblAlgn val="ctr"/>
        <c:lblOffset val="100"/>
        <c:noMultiLvlLbl val="0"/>
      </c:catAx>
      <c:valAx>
        <c:axId val="313587039"/>
        <c:scaling>
          <c:orientation val="minMax"/>
        </c:scaling>
        <c:delete val="1"/>
        <c:axPos val="l"/>
        <c:numFmt formatCode="General" sourceLinked="1"/>
        <c:majorTickMark val="none"/>
        <c:minorTickMark val="none"/>
        <c:tickLblPos val="nextTo"/>
        <c:crossAx val="3135849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O RELACIONAMENTO COM OS COLEGAS DE TRABALHO FAVORECE A EXECUÇÃO DAS ATIVIDADES NA UNIDADE/SETOR?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7996439123236977"/>
          <c:y val="0.26097050999938137"/>
          <c:w val="0.47785161426909056"/>
          <c:h val="0.68138108999001379"/>
        </c:manualLayout>
      </c:layout>
      <c:pieChart>
        <c:varyColors val="1"/>
        <c:ser>
          <c:idx val="0"/>
          <c:order val="0"/>
          <c:spPr>
            <a:scene3d>
              <a:camera prst="orthographicFront"/>
              <a:lightRig rig="threePt" dir="t"/>
            </a:scene3d>
            <a:sp3d>
              <a:bevelT w="139700" h="139700" prst="divot"/>
            </a:sp3d>
          </c:spPr>
          <c:explosion val="23"/>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82B3-4D10-B217-44E1DDB998AD}"/>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82B3-4D10-B217-44E1DDB998AD}"/>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82B3-4D10-B217-44E1DDB998AD}"/>
              </c:ext>
            </c:extLst>
          </c:dPt>
          <c:dLbls>
            <c:dLbl>
              <c:idx val="0"/>
              <c:layout>
                <c:manualLayout>
                  <c:x val="0.17257435722505465"/>
                  <c:y val="-6.228655761464160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B3-4D10-B217-44E1DDB998AD}"/>
                </c:ext>
              </c:extLst>
            </c:dLbl>
            <c:dLbl>
              <c:idx val="1"/>
              <c:layout>
                <c:manualLayout>
                  <c:x val="-0.10838015805295106"/>
                  <c:y val="9.17656000070698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B3-4D10-B217-44E1DDB998AD}"/>
                </c:ext>
              </c:extLst>
            </c:dLbl>
            <c:dLbl>
              <c:idx val="2"/>
              <c:layout>
                <c:manualLayout>
                  <c:x val="0.13440376138060081"/>
                  <c:y val="2.721104306406143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B3-4D10-B217-44E1DDB998A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'[4]VCO-RELACIONAMENTO'!$A$5:$A$7</c:f>
              <c:strCache>
                <c:ptCount val="3"/>
                <c:pt idx="0">
                  <c:v>SIM</c:v>
                </c:pt>
                <c:pt idx="1">
                  <c:v>PARCIAL</c:v>
                </c:pt>
                <c:pt idx="2">
                  <c:v>NÃO</c:v>
                </c:pt>
              </c:strCache>
            </c:strRef>
          </c:cat>
          <c:val>
            <c:numRef>
              <c:f>'[4]VCO-RELACIONAMENTO'!$C$5:$C$7</c:f>
              <c:numCache>
                <c:formatCode>General</c:formatCode>
                <c:ptCount val="3"/>
                <c:pt idx="0">
                  <c:v>0.84375</c:v>
                </c:pt>
                <c:pt idx="1">
                  <c:v>0.15104166666666666</c:v>
                </c:pt>
                <c:pt idx="2">
                  <c:v>5.208333333333333E-3</c:v>
                </c:pt>
              </c:numCache>
            </c:numRef>
          </c:val>
          <c:extLst>
            <c:ext xmlns:c16="http://schemas.microsoft.com/office/drawing/2014/chart" uri="{C3380CC4-5D6E-409C-BE32-E72D297353CC}">
              <c16:uniqueId val="{00000006-82B3-4D10-B217-44E1DDB998A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pt-BR" sz="1200" b="1"/>
              <a:t>IDADE</a:t>
            </a:r>
            <a:r>
              <a:rPr lang="pt-BR" sz="1200" b="1" baseline="0"/>
              <a:t> &gt;= 60 anos - Total Geral Exercício MME</a:t>
            </a:r>
            <a:endParaRPr lang="pt-BR"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2"/>
            </a:solidFill>
            <a:ln>
              <a:noFill/>
            </a:ln>
            <a:effectLst/>
            <a:scene3d>
              <a:camera prst="orthographicFront"/>
              <a:lightRig rig="threePt" dir="t"/>
            </a:scene3d>
            <a:sp3d>
              <a:bevelT w="190500" h="381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[3]Planilha1!$A$58</c:f>
              <c:strCache>
                <c:ptCount val="1"/>
                <c:pt idx="0">
                  <c:v>Total</c:v>
                </c:pt>
              </c:strCache>
            </c:strRef>
          </c:cat>
          <c:val>
            <c:numRef>
              <c:f>[3]Planilha1!$Z$61</c:f>
              <c:numCache>
                <c:formatCode>General</c:formatCode>
                <c:ptCount val="1"/>
                <c:pt idx="0">
                  <c:v>157</c:v>
                </c:pt>
              </c:numCache>
            </c:numRef>
          </c:val>
          <c:extLst>
            <c:ext xmlns:c16="http://schemas.microsoft.com/office/drawing/2014/chart" uri="{C3380CC4-5D6E-409C-BE32-E72D297353CC}">
              <c16:uniqueId val="{00000000-279D-4B5F-9065-2BC23F9F128B}"/>
            </c:ext>
          </c:extLst>
        </c:ser>
        <c:dLbls>
          <c:showLegendKey val="0"/>
          <c:showVal val="0"/>
          <c:showCatName val="0"/>
          <c:showSerName val="0"/>
          <c:showPercent val="0"/>
          <c:showBubbleSize val="0"/>
        </c:dLbls>
        <c:gapWidth val="219"/>
        <c:overlap val="-27"/>
        <c:axId val="1255543632"/>
        <c:axId val="1255519504"/>
      </c:barChart>
      <c:catAx>
        <c:axId val="1255543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55519504"/>
        <c:crosses val="autoZero"/>
        <c:auto val="1"/>
        <c:lblAlgn val="ctr"/>
        <c:lblOffset val="100"/>
        <c:noMultiLvlLbl val="0"/>
      </c:catAx>
      <c:valAx>
        <c:axId val="1255519504"/>
        <c:scaling>
          <c:orientation val="minMax"/>
        </c:scaling>
        <c:delete val="1"/>
        <c:axPos val="l"/>
        <c:numFmt formatCode="General" sourceLinked="1"/>
        <c:majorTickMark val="none"/>
        <c:minorTickMark val="none"/>
        <c:tickLblPos val="nextTo"/>
        <c:crossAx val="1255543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AS ATITUDES DOS MEUS COLEGAS DE TRABALHO SÃO ADEQUADAS E COMPATÍVEIS</a:t>
            </a:r>
            <a:r>
              <a:rPr lang="pt-BR" sz="1100" b="1" baseline="0"/>
              <a:t> COM O AMBIENTE DE TRABALHO</a:t>
            </a:r>
            <a:endParaRPr lang="pt-BR"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'[4]VCO-RELACIONAMENTO'!$K$3:$M$3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'[4]VCO-RELACIONAMENTO'!$J$5:$J$7</c:f>
              <c:strCache>
                <c:ptCount val="3"/>
                <c:pt idx="0">
                  <c:v>SIM</c:v>
                </c:pt>
                <c:pt idx="1">
                  <c:v>PARCIAL</c:v>
                </c:pt>
                <c:pt idx="2">
                  <c:v>NÃO</c:v>
                </c:pt>
              </c:strCache>
            </c:strRef>
          </c:cat>
          <c:val>
            <c:numRef>
              <c:f>'[4]VCO-RELACIONAMENTO'!$L$5:$L$7</c:f>
              <c:numCache>
                <c:formatCode>General</c:formatCode>
                <c:ptCount val="3"/>
                <c:pt idx="0">
                  <c:v>0.765625</c:v>
                </c:pt>
                <c:pt idx="1">
                  <c:v>0.21875</c:v>
                </c:pt>
                <c:pt idx="2">
                  <c:v>1.5625E-2</c:v>
                </c:pt>
              </c:numCache>
            </c:numRef>
          </c:val>
          <c:extLst>
            <c:ext xmlns:c16="http://schemas.microsoft.com/office/drawing/2014/chart" uri="{C3380CC4-5D6E-409C-BE32-E72D297353CC}">
              <c16:uniqueId val="{00000000-A579-4534-9BD0-FFE6993958A7}"/>
            </c:ext>
          </c:extLst>
        </c:ser>
        <c:ser>
          <c:idx val="1"/>
          <c:order val="1"/>
          <c:tx>
            <c:strRef>
              <c:f>'[4]VCO-RELACIONAMENTO'!$N$3:$P$3</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'[4]VCO-RELACIONAMENTO'!$J$5:$J$7</c:f>
              <c:strCache>
                <c:ptCount val="3"/>
                <c:pt idx="0">
                  <c:v>SIM</c:v>
                </c:pt>
                <c:pt idx="1">
                  <c:v>PARCIAL</c:v>
                </c:pt>
                <c:pt idx="2">
                  <c:v>NÃO</c:v>
                </c:pt>
              </c:strCache>
            </c:strRef>
          </c:cat>
          <c:val>
            <c:numRef>
              <c:f>'[4]VCO-RELACIONAMENTO'!$O$5:$O$7</c:f>
              <c:numCache>
                <c:formatCode>General</c:formatCode>
                <c:ptCount val="3"/>
                <c:pt idx="0">
                  <c:v>0.5524861878453039</c:v>
                </c:pt>
                <c:pt idx="1">
                  <c:v>0.39779005524861877</c:v>
                </c:pt>
                <c:pt idx="2">
                  <c:v>4.9723756906077346E-2</c:v>
                </c:pt>
              </c:numCache>
            </c:numRef>
          </c:val>
          <c:extLst>
            <c:ext xmlns:c16="http://schemas.microsoft.com/office/drawing/2014/chart" uri="{C3380CC4-5D6E-409C-BE32-E72D297353CC}">
              <c16:uniqueId val="{00000001-A579-4534-9BD0-FFE6993958A7}"/>
            </c:ext>
          </c:extLst>
        </c:ser>
        <c:dLbls>
          <c:showLegendKey val="0"/>
          <c:showVal val="0"/>
          <c:showCatName val="0"/>
          <c:showSerName val="0"/>
          <c:showPercent val="0"/>
          <c:showBubbleSize val="0"/>
        </c:dLbls>
        <c:gapWidth val="219"/>
        <c:overlap val="-27"/>
        <c:axId val="309564575"/>
        <c:axId val="309567071"/>
      </c:barChart>
      <c:catAx>
        <c:axId val="3095645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09567071"/>
        <c:crosses val="autoZero"/>
        <c:auto val="1"/>
        <c:lblAlgn val="ctr"/>
        <c:lblOffset val="100"/>
        <c:noMultiLvlLbl val="0"/>
      </c:catAx>
      <c:valAx>
        <c:axId val="309567071"/>
        <c:scaling>
          <c:orientation val="minMax"/>
        </c:scaling>
        <c:delete val="1"/>
        <c:axPos val="l"/>
        <c:numFmt formatCode="General" sourceLinked="1"/>
        <c:majorTickMark val="none"/>
        <c:minorTickMark val="none"/>
        <c:tickLblPos val="nextTo"/>
        <c:crossAx val="3095645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AS ATITUDES DOS MEUS COLEGAS DE TRABALHO SAO ADEQUADAS E COMPATÍVEIS COM O AMBIENTE DE TRABALHO?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3468362463970696"/>
          <c:y val="0.2812080489938758"/>
          <c:w val="0.45155036828843759"/>
          <c:h val="0.63442834645669288"/>
        </c:manualLayout>
      </c:layout>
      <c:pieChart>
        <c:varyColors val="1"/>
        <c:ser>
          <c:idx val="0"/>
          <c:order val="0"/>
          <c:spPr>
            <a:scene3d>
              <a:camera prst="orthographicFront"/>
              <a:lightRig rig="threePt" dir="t"/>
            </a:scene3d>
            <a:sp3d>
              <a:bevelT w="139700" h="139700" prst="divot"/>
            </a:sp3d>
          </c:spPr>
          <c:explosion val="9"/>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0073-4C8F-8042-BDA95E93A63F}"/>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0073-4C8F-8042-BDA95E93A63F}"/>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0073-4C8F-8042-BDA95E93A63F}"/>
              </c:ext>
            </c:extLst>
          </c:dPt>
          <c:dLbls>
            <c:dLbl>
              <c:idx val="0"/>
              <c:layout>
                <c:manualLayout>
                  <c:x val="0.11039935358977859"/>
                  <c:y val="-4.097602799650043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73-4C8F-8042-BDA95E93A63F}"/>
                </c:ext>
              </c:extLst>
            </c:dLbl>
            <c:dLbl>
              <c:idx val="1"/>
              <c:layout>
                <c:manualLayout>
                  <c:x val="-7.7865506223491754E-2"/>
                  <c:y val="7.175783027121605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73-4C8F-8042-BDA95E93A63F}"/>
                </c:ext>
              </c:extLst>
            </c:dLbl>
            <c:dLbl>
              <c:idx val="2"/>
              <c:layout>
                <c:manualLayout>
                  <c:x val="0.21382187552617971"/>
                  <c:y val="1.885879265091863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073-4C8F-8042-BDA95E93A63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'[4]VCO-RELACIONAMENTO'!$J$5:$J$7</c:f>
              <c:strCache>
                <c:ptCount val="3"/>
                <c:pt idx="0">
                  <c:v>SIM</c:v>
                </c:pt>
                <c:pt idx="1">
                  <c:v>PARCIAL</c:v>
                </c:pt>
                <c:pt idx="2">
                  <c:v>NÃO</c:v>
                </c:pt>
              </c:strCache>
            </c:strRef>
          </c:cat>
          <c:val>
            <c:numRef>
              <c:f>'[4]VCO-RELACIONAMENTO'!$L$5:$L$7</c:f>
              <c:numCache>
                <c:formatCode>General</c:formatCode>
                <c:ptCount val="3"/>
                <c:pt idx="0">
                  <c:v>0.765625</c:v>
                </c:pt>
                <c:pt idx="1">
                  <c:v>0.21875</c:v>
                </c:pt>
                <c:pt idx="2">
                  <c:v>1.5625E-2</c:v>
                </c:pt>
              </c:numCache>
            </c:numRef>
          </c:val>
          <c:extLst>
            <c:ext xmlns:c16="http://schemas.microsoft.com/office/drawing/2014/chart" uri="{C3380CC4-5D6E-409C-BE32-E72D297353CC}">
              <c16:uniqueId val="{00000006-0073-4C8F-8042-BDA95E93A63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CONSIDERO IMPORTANTE AS CAMPANHAS DE VACINAÇÃO, EXAMES PERIÓDICOS, ATENDIMENTOS MÉDICOS, ENFERMAGEM, PSICOLÓGICAS, ODONTOLÓGICAS MASSAGEM EXPRESSA E EVENTOS COMEMORATIVOS?</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'[4]VCO-QUALIDADEVIDA'!$B$3:$D$3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'[4]VCO-QUALIDADEVIDA'!$A$5:$A$7</c:f>
              <c:strCache>
                <c:ptCount val="3"/>
                <c:pt idx="0">
                  <c:v>SIM</c:v>
                </c:pt>
                <c:pt idx="1">
                  <c:v>PARCIAL</c:v>
                </c:pt>
                <c:pt idx="2">
                  <c:v>NÃO</c:v>
                </c:pt>
              </c:strCache>
            </c:strRef>
          </c:cat>
          <c:val>
            <c:numRef>
              <c:f>'[4]VCO-QUALIDADEVIDA'!$C$5:$C$7</c:f>
              <c:numCache>
                <c:formatCode>General</c:formatCode>
                <c:ptCount val="3"/>
                <c:pt idx="0">
                  <c:v>0.96354166666666663</c:v>
                </c:pt>
                <c:pt idx="1">
                  <c:v>2.6041666666666668E-2</c:v>
                </c:pt>
                <c:pt idx="2">
                  <c:v>1.0416666666666666E-2</c:v>
                </c:pt>
              </c:numCache>
            </c:numRef>
          </c:val>
          <c:extLst>
            <c:ext xmlns:c16="http://schemas.microsoft.com/office/drawing/2014/chart" uri="{C3380CC4-5D6E-409C-BE32-E72D297353CC}">
              <c16:uniqueId val="{00000000-7E9C-4F02-BB29-DBE5D7C1805F}"/>
            </c:ext>
          </c:extLst>
        </c:ser>
        <c:ser>
          <c:idx val="1"/>
          <c:order val="1"/>
          <c:tx>
            <c:strRef>
              <c:f>'[4]VCO-QUALIDADEVIDA'!$E$3:$G$3</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'[4]VCO-QUALIDADEVIDA'!$A$5:$A$7</c:f>
              <c:strCache>
                <c:ptCount val="3"/>
                <c:pt idx="0">
                  <c:v>SIM</c:v>
                </c:pt>
                <c:pt idx="1">
                  <c:v>PARCIAL</c:v>
                </c:pt>
                <c:pt idx="2">
                  <c:v>NÃO</c:v>
                </c:pt>
              </c:strCache>
            </c:strRef>
          </c:cat>
          <c:val>
            <c:numRef>
              <c:f>'[4]VCO-QUALIDADEVIDA'!$F$5:$F$7</c:f>
              <c:numCache>
                <c:formatCode>General</c:formatCode>
                <c:ptCount val="3"/>
                <c:pt idx="0">
                  <c:v>0.93888888888888888</c:v>
                </c:pt>
                <c:pt idx="1">
                  <c:v>5.5555555555555552E-2</c:v>
                </c:pt>
                <c:pt idx="2">
                  <c:v>5.5555555555555558E-3</c:v>
                </c:pt>
              </c:numCache>
            </c:numRef>
          </c:val>
          <c:extLst>
            <c:ext xmlns:c16="http://schemas.microsoft.com/office/drawing/2014/chart" uri="{C3380CC4-5D6E-409C-BE32-E72D297353CC}">
              <c16:uniqueId val="{00000001-7E9C-4F02-BB29-DBE5D7C1805F}"/>
            </c:ext>
          </c:extLst>
        </c:ser>
        <c:dLbls>
          <c:showLegendKey val="0"/>
          <c:showVal val="0"/>
          <c:showCatName val="0"/>
          <c:showSerName val="0"/>
          <c:showPercent val="0"/>
          <c:showBubbleSize val="0"/>
        </c:dLbls>
        <c:gapWidth val="219"/>
        <c:overlap val="-27"/>
        <c:axId val="1587886640"/>
        <c:axId val="1587883312"/>
      </c:barChart>
      <c:catAx>
        <c:axId val="1587886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7883312"/>
        <c:crosses val="autoZero"/>
        <c:auto val="1"/>
        <c:lblAlgn val="ctr"/>
        <c:lblOffset val="100"/>
        <c:noMultiLvlLbl val="0"/>
      </c:catAx>
      <c:valAx>
        <c:axId val="1587883312"/>
        <c:scaling>
          <c:orientation val="minMax"/>
        </c:scaling>
        <c:delete val="1"/>
        <c:axPos val="l"/>
        <c:numFmt formatCode="General" sourceLinked="1"/>
        <c:majorTickMark val="none"/>
        <c:minorTickMark val="none"/>
        <c:tickLblPos val="nextTo"/>
        <c:crossAx val="1587886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CONSIDERO IMPORTANTE A DISPONIBILIZAÇÃO DOS ESPAÇOS PARA SERVIÇOS DE RESTAURANTE, COSTUREIRA, SALÃO DE BELEZA, ASSOCIAÇÃO DOS SERVIDORES/EMPREGADOS DO MME, ACADEMIA, AULAS DE IOGA NO AMBIENTE DE TRABALHO?</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'[4]VCO-QUALIDADEVIDA'!$J$3:$L$3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'[4]VCO-QUALIDADEVIDA'!$I$5:$I$7</c:f>
              <c:strCache>
                <c:ptCount val="3"/>
                <c:pt idx="0">
                  <c:v>SIM</c:v>
                </c:pt>
                <c:pt idx="1">
                  <c:v>PARCIAL</c:v>
                </c:pt>
                <c:pt idx="2">
                  <c:v>NÃO</c:v>
                </c:pt>
              </c:strCache>
            </c:strRef>
          </c:cat>
          <c:val>
            <c:numRef>
              <c:f>'[4]VCO-QUALIDADEVIDA'!$K$5:$K$7</c:f>
              <c:numCache>
                <c:formatCode>General</c:formatCode>
                <c:ptCount val="3"/>
                <c:pt idx="0">
                  <c:v>0.90104166666666663</c:v>
                </c:pt>
                <c:pt idx="1">
                  <c:v>8.3333333333333329E-2</c:v>
                </c:pt>
                <c:pt idx="2">
                  <c:v>1.5625E-2</c:v>
                </c:pt>
              </c:numCache>
            </c:numRef>
          </c:val>
          <c:extLst>
            <c:ext xmlns:c16="http://schemas.microsoft.com/office/drawing/2014/chart" uri="{C3380CC4-5D6E-409C-BE32-E72D297353CC}">
              <c16:uniqueId val="{00000000-77B6-4DED-BCEC-FDE41045E32B}"/>
            </c:ext>
          </c:extLst>
        </c:ser>
        <c:ser>
          <c:idx val="1"/>
          <c:order val="1"/>
          <c:tx>
            <c:strRef>
              <c:f>'[4]VCO-QUALIDADEVIDA'!$M$3:$O$3</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'[4]VCO-QUALIDADEVIDA'!$I$5:$I$7</c:f>
              <c:strCache>
                <c:ptCount val="3"/>
                <c:pt idx="0">
                  <c:v>SIM</c:v>
                </c:pt>
                <c:pt idx="1">
                  <c:v>PARCIAL</c:v>
                </c:pt>
                <c:pt idx="2">
                  <c:v>NÃO</c:v>
                </c:pt>
              </c:strCache>
            </c:strRef>
          </c:cat>
          <c:val>
            <c:numRef>
              <c:f>'[4]VCO-QUALIDADEVIDA'!$N$5:$N$7</c:f>
              <c:numCache>
                <c:formatCode>General</c:formatCode>
                <c:ptCount val="3"/>
                <c:pt idx="0">
                  <c:v>0.85</c:v>
                </c:pt>
                <c:pt idx="1">
                  <c:v>0.1388888888888889</c:v>
                </c:pt>
                <c:pt idx="2">
                  <c:v>1.1111111111111112E-2</c:v>
                </c:pt>
              </c:numCache>
            </c:numRef>
          </c:val>
          <c:extLst>
            <c:ext xmlns:c16="http://schemas.microsoft.com/office/drawing/2014/chart" uri="{C3380CC4-5D6E-409C-BE32-E72D297353CC}">
              <c16:uniqueId val="{00000001-77B6-4DED-BCEC-FDE41045E32B}"/>
            </c:ext>
          </c:extLst>
        </c:ser>
        <c:dLbls>
          <c:showLegendKey val="0"/>
          <c:showVal val="0"/>
          <c:showCatName val="0"/>
          <c:showSerName val="0"/>
          <c:showPercent val="0"/>
          <c:showBubbleSize val="0"/>
        </c:dLbls>
        <c:gapWidth val="219"/>
        <c:overlap val="-27"/>
        <c:axId val="1446639904"/>
        <c:axId val="1446632416"/>
      </c:barChart>
      <c:catAx>
        <c:axId val="1446639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46632416"/>
        <c:crosses val="autoZero"/>
        <c:auto val="1"/>
        <c:lblAlgn val="ctr"/>
        <c:lblOffset val="100"/>
        <c:noMultiLvlLbl val="0"/>
      </c:catAx>
      <c:valAx>
        <c:axId val="1446632416"/>
        <c:scaling>
          <c:orientation val="minMax"/>
        </c:scaling>
        <c:delete val="1"/>
        <c:axPos val="l"/>
        <c:numFmt formatCode="General" sourceLinked="1"/>
        <c:majorTickMark val="none"/>
        <c:minorTickMark val="none"/>
        <c:tickLblPos val="nextTo"/>
        <c:crossAx val="1446639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CONSIDERO IMPORTANTE A DISPONIBILIZAÇÃO DOS ESPAÇOS PARA SERVIÇOS DE RESTAURANTE, COSTUREIRA, SALÃO DE BELEZA, ASSOCIAÇÃO DOS SERVIDORES/EMPREGADOS DO MME, ACADEMIA, AULAS DE IOGA NO AMBIENTE DE TRABALHO?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35808058876361387"/>
          <c:y val="0.36013973863023219"/>
          <c:w val="0.28648163165650803"/>
          <c:h val="0.60091269079169984"/>
        </c:manualLayout>
      </c:layout>
      <c:pieChart>
        <c:varyColors val="1"/>
        <c:ser>
          <c:idx val="0"/>
          <c:order val="0"/>
          <c:spPr>
            <a:scene3d>
              <a:camera prst="orthographicFront"/>
              <a:lightRig rig="threePt" dir="t"/>
            </a:scene3d>
            <a:sp3d>
              <a:bevelT w="139700" h="139700" prst="divot"/>
            </a:sp3d>
          </c:spPr>
          <c:explosion val="12"/>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F751-4774-844A-3D3B94C05FB6}"/>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F751-4774-844A-3D3B94C05FB6}"/>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F751-4774-844A-3D3B94C05FB6}"/>
              </c:ext>
            </c:extLst>
          </c:dPt>
          <c:dLbls>
            <c:dLbl>
              <c:idx val="0"/>
              <c:layout>
                <c:manualLayout>
                  <c:x val="0.19489214680866027"/>
                  <c:y val="-6.31571053618297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51-4774-844A-3D3B94C05FB6}"/>
                </c:ext>
              </c:extLst>
            </c:dLbl>
            <c:dLbl>
              <c:idx val="1"/>
              <c:layout>
                <c:manualLayout>
                  <c:x val="-8.8581206282910899E-2"/>
                  <c:y val="8.995975503062117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51-4774-844A-3D3B94C05FB6}"/>
                </c:ext>
              </c:extLst>
            </c:dLbl>
            <c:dLbl>
              <c:idx val="2"/>
              <c:layout>
                <c:manualLayout>
                  <c:x val="0.13438355813774921"/>
                  <c:y val="1.5398075240594927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51-4774-844A-3D3B94C05FB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'[4]VCO-QUALIDADEVIDA'!$I$5:$I$7</c:f>
              <c:strCache>
                <c:ptCount val="3"/>
                <c:pt idx="0">
                  <c:v>SIM</c:v>
                </c:pt>
                <c:pt idx="1">
                  <c:v>PARCIAL</c:v>
                </c:pt>
                <c:pt idx="2">
                  <c:v>NÃO</c:v>
                </c:pt>
              </c:strCache>
            </c:strRef>
          </c:cat>
          <c:val>
            <c:numRef>
              <c:f>'[4]VCO-QUALIDADEVIDA'!$K$5:$K$7</c:f>
              <c:numCache>
                <c:formatCode>General</c:formatCode>
                <c:ptCount val="3"/>
                <c:pt idx="0">
                  <c:v>0.90104166666666663</c:v>
                </c:pt>
                <c:pt idx="1">
                  <c:v>8.3333333333333329E-2</c:v>
                </c:pt>
                <c:pt idx="2">
                  <c:v>1.5625E-2</c:v>
                </c:pt>
              </c:numCache>
            </c:numRef>
          </c:val>
          <c:extLst>
            <c:ext xmlns:c16="http://schemas.microsoft.com/office/drawing/2014/chart" uri="{C3380CC4-5D6E-409C-BE32-E72D297353CC}">
              <c16:uniqueId val="{00000006-F751-4774-844A-3D3B94C05FB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CONSIDERO IMPORTANTE AS CAMPANHAS DE VACINAÇÃO, EXAMES PERIÓDICOS, ATENDIMENTOS MÉDICOS, ENFERMAGEM, PSICOLÓGICAS, ODONTOLÓGICAS MASSAGEM EXPRESSA E EVENTOS COMEMORATIVOS?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36327684205037286"/>
          <c:y val="0.32735819480898221"/>
          <c:w val="0.29110653386869689"/>
          <c:h val="0.61051509186351705"/>
        </c:manualLayout>
      </c:layout>
      <c:pieChart>
        <c:varyColors val="1"/>
        <c:ser>
          <c:idx val="0"/>
          <c:order val="0"/>
          <c:spPr>
            <a:scene3d>
              <a:camera prst="orthographicFront"/>
              <a:lightRig rig="threePt" dir="t"/>
            </a:scene3d>
            <a:sp3d>
              <a:bevelT w="139700" h="139700" prst="divot"/>
            </a:sp3d>
          </c:spPr>
          <c:explosion val="13"/>
          <c:dPt>
            <c:idx val="0"/>
            <c:bubble3D val="0"/>
            <c:explosion val="2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BA6C-4500-8B8F-4829F7109C00}"/>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BA6C-4500-8B8F-4829F7109C00}"/>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BA6C-4500-8B8F-4829F7109C00}"/>
              </c:ext>
            </c:extLst>
          </c:dPt>
          <c:dLbls>
            <c:dLbl>
              <c:idx val="0"/>
              <c:layout>
                <c:manualLayout>
                  <c:x val="0.19227407832299109"/>
                  <c:y val="-5.446741032370953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6C-4500-8B8F-4829F7109C00}"/>
                </c:ext>
              </c:extLst>
            </c:dLbl>
            <c:dLbl>
              <c:idx val="1"/>
              <c:layout>
                <c:manualLayout>
                  <c:x val="-8.240183553214793E-2"/>
                  <c:y val="1.560549722951297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6C-4500-8B8F-4829F7109C00}"/>
                </c:ext>
              </c:extLst>
            </c:dLbl>
            <c:dLbl>
              <c:idx val="2"/>
              <c:layout>
                <c:manualLayout>
                  <c:x val="8.4431697693417462E-2"/>
                  <c:y val="-5.448745990084573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6C-4500-8B8F-4829F7109C0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'[4]VCO-QUALIDADEVIDA'!$A$5:$A$7</c:f>
              <c:strCache>
                <c:ptCount val="3"/>
                <c:pt idx="0">
                  <c:v>SIM</c:v>
                </c:pt>
                <c:pt idx="1">
                  <c:v>PARCIAL</c:v>
                </c:pt>
                <c:pt idx="2">
                  <c:v>NÃO</c:v>
                </c:pt>
              </c:strCache>
            </c:strRef>
          </c:cat>
          <c:val>
            <c:numRef>
              <c:f>'[4]VCO-QUALIDADEVIDA'!$C$5:$C$7</c:f>
              <c:numCache>
                <c:formatCode>General</c:formatCode>
                <c:ptCount val="3"/>
                <c:pt idx="0">
                  <c:v>0.96354166666666663</c:v>
                </c:pt>
                <c:pt idx="1">
                  <c:v>2.6041666666666668E-2</c:v>
                </c:pt>
                <c:pt idx="2">
                  <c:v>1.0416666666666666E-2</c:v>
                </c:pt>
              </c:numCache>
            </c:numRef>
          </c:val>
          <c:extLst>
            <c:ext xmlns:c16="http://schemas.microsoft.com/office/drawing/2014/chart" uri="{C3380CC4-5D6E-409C-BE32-E72D297353CC}">
              <c16:uniqueId val="{00000006-BA6C-4500-8B8F-4829F7109C0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CONSIDERO IMPORTANTE ATIVIDADES DE TREINAMENTO NO AMBIENTE DE TRABALHO - CENTRO DE CAPACITAÇÃO DO MME?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spPr>
            <a:scene3d>
              <a:camera prst="orthographicFront"/>
              <a:lightRig rig="threePt" dir="t"/>
            </a:scene3d>
            <a:sp3d>
              <a:bevelT w="139700" h="139700" prst="divot"/>
            </a:sp3d>
          </c:spPr>
          <c:explosion val="9"/>
          <c:dPt>
            <c:idx val="0"/>
            <c:bubble3D val="0"/>
            <c:explosion val="22"/>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4351-447B-BF35-E79C04166426}"/>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4351-447B-BF35-E79C04166426}"/>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4351-447B-BF35-E79C04166426}"/>
              </c:ext>
            </c:extLst>
          </c:dPt>
          <c:dLbls>
            <c:dLbl>
              <c:idx val="0"/>
              <c:layout>
                <c:manualLayout>
                  <c:x val="0.25788099428747879"/>
                  <c:y val="-7.118879248374207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51-447B-BF35-E79C04166426}"/>
                </c:ext>
              </c:extLst>
            </c:dLbl>
            <c:dLbl>
              <c:idx val="1"/>
              <c:layout>
                <c:manualLayout>
                  <c:x val="-0.13932684884977614"/>
                  <c:y val="1.897086112643562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51-447B-BF35-E79C04166426}"/>
                </c:ext>
              </c:extLst>
            </c:dLbl>
            <c:dLbl>
              <c:idx val="2"/>
              <c:layout>
                <c:manualLayout>
                  <c:x val="0.17764594719777674"/>
                  <c:y val="3.2973235033518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51-447B-BF35-E79C0416642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'[4]VCO-QUALIDADEVIDA'!$Q$5:$Q$7</c:f>
              <c:strCache>
                <c:ptCount val="3"/>
                <c:pt idx="0">
                  <c:v>SIM</c:v>
                </c:pt>
                <c:pt idx="1">
                  <c:v>PARCIAL</c:v>
                </c:pt>
                <c:pt idx="2">
                  <c:v>NÃO</c:v>
                </c:pt>
              </c:strCache>
            </c:strRef>
          </c:cat>
          <c:val>
            <c:numRef>
              <c:f>'[4]VCO-QUALIDADEVIDA'!$S$5:$S$7</c:f>
              <c:numCache>
                <c:formatCode>General</c:formatCode>
                <c:ptCount val="3"/>
                <c:pt idx="0">
                  <c:v>0.96354166666666663</c:v>
                </c:pt>
                <c:pt idx="1">
                  <c:v>3.6458333333333336E-2</c:v>
                </c:pt>
                <c:pt idx="2">
                  <c:v>0</c:v>
                </c:pt>
              </c:numCache>
            </c:numRef>
          </c:val>
          <c:extLst>
            <c:ext xmlns:c16="http://schemas.microsoft.com/office/drawing/2014/chart" uri="{C3380CC4-5D6E-409C-BE32-E72D297353CC}">
              <c16:uniqueId val="{00000006-4351-447B-BF35-E79C0416642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CONSIDERO IMPORTANTE ATIVIDADES DE TREINAMENTO NO AMBIENTE DE TRABALHO - CENTRO DE CAPACITAÇÃO DO MME?</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'[4]VCO-QUALIDADEVIDA'!$R$3:$T$3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'[4]VCO-QUALIDADEVIDA'!$Q$5:$Q$7</c:f>
              <c:strCache>
                <c:ptCount val="3"/>
                <c:pt idx="0">
                  <c:v>SIM</c:v>
                </c:pt>
                <c:pt idx="1">
                  <c:v>PARCIAL</c:v>
                </c:pt>
                <c:pt idx="2">
                  <c:v>NÃO</c:v>
                </c:pt>
              </c:strCache>
            </c:strRef>
          </c:cat>
          <c:val>
            <c:numRef>
              <c:f>'[4]VCO-QUALIDADEVIDA'!$S$5:$S$7</c:f>
              <c:numCache>
                <c:formatCode>General</c:formatCode>
                <c:ptCount val="3"/>
                <c:pt idx="0">
                  <c:v>0.96354166666666663</c:v>
                </c:pt>
                <c:pt idx="1">
                  <c:v>3.6458333333333336E-2</c:v>
                </c:pt>
                <c:pt idx="2">
                  <c:v>0</c:v>
                </c:pt>
              </c:numCache>
            </c:numRef>
          </c:val>
          <c:extLst>
            <c:ext xmlns:c16="http://schemas.microsoft.com/office/drawing/2014/chart" uri="{C3380CC4-5D6E-409C-BE32-E72D297353CC}">
              <c16:uniqueId val="{00000000-BCB6-43B3-8148-20D186284138}"/>
            </c:ext>
          </c:extLst>
        </c:ser>
        <c:ser>
          <c:idx val="1"/>
          <c:order val="1"/>
          <c:tx>
            <c:strRef>
              <c:f>'[4]VCO-QUALIDADEVIDA'!$U$3:$W$3</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'[4]VCO-QUALIDADEVIDA'!$Q$5:$Q$7</c:f>
              <c:strCache>
                <c:ptCount val="3"/>
                <c:pt idx="0">
                  <c:v>SIM</c:v>
                </c:pt>
                <c:pt idx="1">
                  <c:v>PARCIAL</c:v>
                </c:pt>
                <c:pt idx="2">
                  <c:v>NÃO</c:v>
                </c:pt>
              </c:strCache>
            </c:strRef>
          </c:cat>
          <c:val>
            <c:numRef>
              <c:f>'[4]VCO-QUALIDADEVIDA'!$V$5:$V$7</c:f>
              <c:numCache>
                <c:formatCode>General</c:formatCode>
                <c:ptCount val="3"/>
                <c:pt idx="0">
                  <c:v>0.90555555555555556</c:v>
                </c:pt>
                <c:pt idx="1">
                  <c:v>7.7777777777777779E-2</c:v>
                </c:pt>
                <c:pt idx="2">
                  <c:v>1.6666666666666666E-2</c:v>
                </c:pt>
              </c:numCache>
            </c:numRef>
          </c:val>
          <c:extLst>
            <c:ext xmlns:c16="http://schemas.microsoft.com/office/drawing/2014/chart" uri="{C3380CC4-5D6E-409C-BE32-E72D297353CC}">
              <c16:uniqueId val="{00000001-BCB6-43B3-8148-20D186284138}"/>
            </c:ext>
          </c:extLst>
        </c:ser>
        <c:dLbls>
          <c:showLegendKey val="0"/>
          <c:showVal val="0"/>
          <c:showCatName val="0"/>
          <c:showSerName val="0"/>
          <c:showPercent val="0"/>
          <c:showBubbleSize val="0"/>
        </c:dLbls>
        <c:gapWidth val="219"/>
        <c:overlap val="-27"/>
        <c:axId val="1330213216"/>
        <c:axId val="1330214880"/>
      </c:barChart>
      <c:catAx>
        <c:axId val="1330213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30214880"/>
        <c:crosses val="autoZero"/>
        <c:auto val="1"/>
        <c:lblAlgn val="ctr"/>
        <c:lblOffset val="100"/>
        <c:noMultiLvlLbl val="0"/>
      </c:catAx>
      <c:valAx>
        <c:axId val="1330214880"/>
        <c:scaling>
          <c:orientation val="minMax"/>
        </c:scaling>
        <c:delete val="1"/>
        <c:axPos val="l"/>
        <c:numFmt formatCode="General" sourceLinked="1"/>
        <c:majorTickMark val="none"/>
        <c:minorTickMark val="none"/>
        <c:tickLblPos val="nextTo"/>
        <c:crossAx val="1330213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VOCÊ CONTRIBUI PARA REDUZIR A IMPRESSÃO OU CÓPIA DE DOCUMENTOS?</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'[4]VCO-SOCIOAMBIENTAL'!$B$3:$D$3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'[4]VCO-SOCIOAMBIENTAL'!$A$5:$A$7</c:f>
              <c:strCache>
                <c:ptCount val="3"/>
                <c:pt idx="0">
                  <c:v>SIM</c:v>
                </c:pt>
                <c:pt idx="1">
                  <c:v>PARCIAL</c:v>
                </c:pt>
                <c:pt idx="2">
                  <c:v>NÃO</c:v>
                </c:pt>
              </c:strCache>
            </c:strRef>
          </c:cat>
          <c:val>
            <c:numRef>
              <c:f>'[4]VCO-SOCIOAMBIENTAL'!$C$5:$C$7</c:f>
              <c:numCache>
                <c:formatCode>General</c:formatCode>
                <c:ptCount val="3"/>
                <c:pt idx="0">
                  <c:v>0.94270833333333337</c:v>
                </c:pt>
                <c:pt idx="1">
                  <c:v>5.2083333333333336E-2</c:v>
                </c:pt>
                <c:pt idx="2">
                  <c:v>5.208333333333333E-3</c:v>
                </c:pt>
              </c:numCache>
            </c:numRef>
          </c:val>
          <c:extLst>
            <c:ext xmlns:c16="http://schemas.microsoft.com/office/drawing/2014/chart" uri="{C3380CC4-5D6E-409C-BE32-E72D297353CC}">
              <c16:uniqueId val="{00000000-1DE4-4F44-8774-71565664A416}"/>
            </c:ext>
          </c:extLst>
        </c:ser>
        <c:ser>
          <c:idx val="1"/>
          <c:order val="1"/>
          <c:tx>
            <c:strRef>
              <c:f>'[4]VCO-SOCIOAMBIENTAL'!$E$3:$G$3</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'[4]VCO-SOCIOAMBIENTAL'!$A$5:$A$7</c:f>
              <c:strCache>
                <c:ptCount val="3"/>
                <c:pt idx="0">
                  <c:v>SIM</c:v>
                </c:pt>
                <c:pt idx="1">
                  <c:v>PARCIAL</c:v>
                </c:pt>
                <c:pt idx="2">
                  <c:v>NÃO</c:v>
                </c:pt>
              </c:strCache>
            </c:strRef>
          </c:cat>
          <c:val>
            <c:numRef>
              <c:f>'[4]VCO-SOCIOAMBIENTAL'!$F$5:$F$7</c:f>
              <c:numCache>
                <c:formatCode>General</c:formatCode>
                <c:ptCount val="3"/>
                <c:pt idx="0">
                  <c:v>0.87222222222222223</c:v>
                </c:pt>
                <c:pt idx="1">
                  <c:v>0.11666666666666667</c:v>
                </c:pt>
                <c:pt idx="2">
                  <c:v>1.1111111111111112E-2</c:v>
                </c:pt>
              </c:numCache>
            </c:numRef>
          </c:val>
          <c:extLst>
            <c:ext xmlns:c16="http://schemas.microsoft.com/office/drawing/2014/chart" uri="{C3380CC4-5D6E-409C-BE32-E72D297353CC}">
              <c16:uniqueId val="{00000001-1DE4-4F44-8774-71565664A416}"/>
            </c:ext>
          </c:extLst>
        </c:ser>
        <c:dLbls>
          <c:showLegendKey val="0"/>
          <c:showVal val="0"/>
          <c:showCatName val="0"/>
          <c:showSerName val="0"/>
          <c:showPercent val="0"/>
          <c:showBubbleSize val="0"/>
        </c:dLbls>
        <c:gapWidth val="219"/>
        <c:overlap val="-27"/>
        <c:axId val="1587879152"/>
        <c:axId val="1587877904"/>
      </c:barChart>
      <c:catAx>
        <c:axId val="15878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7877904"/>
        <c:crosses val="autoZero"/>
        <c:auto val="1"/>
        <c:lblAlgn val="ctr"/>
        <c:lblOffset val="100"/>
        <c:noMultiLvlLbl val="0"/>
      </c:catAx>
      <c:valAx>
        <c:axId val="1587877904"/>
        <c:scaling>
          <c:orientation val="minMax"/>
        </c:scaling>
        <c:delete val="1"/>
        <c:axPos val="l"/>
        <c:numFmt formatCode="General" sourceLinked="1"/>
        <c:majorTickMark val="none"/>
        <c:minorTickMark val="none"/>
        <c:tickLblPos val="nextTo"/>
        <c:crossAx val="1587879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VOCÊ CONTRIBUI PARA A ECONCOMIA E REAPROVEITAMENTO DO CONSUMO DE ÁGUA E ENERGIA?</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'[4]VCO-SOCIOAMBIENTAL'!$J$3:$L$3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'[4]VCO-SOCIOAMBIENTAL'!$I$5:$I$7</c:f>
              <c:strCache>
                <c:ptCount val="3"/>
                <c:pt idx="0">
                  <c:v>SIM</c:v>
                </c:pt>
                <c:pt idx="1">
                  <c:v>PARCIAL</c:v>
                </c:pt>
                <c:pt idx="2">
                  <c:v>NÃO</c:v>
                </c:pt>
              </c:strCache>
            </c:strRef>
          </c:cat>
          <c:val>
            <c:numRef>
              <c:f>'[4]VCO-SOCIOAMBIENTAL'!$K$5:$K$7</c:f>
              <c:numCache>
                <c:formatCode>General</c:formatCode>
                <c:ptCount val="3"/>
                <c:pt idx="0">
                  <c:v>0.95833333333333337</c:v>
                </c:pt>
                <c:pt idx="1">
                  <c:v>4.1666666666666664E-2</c:v>
                </c:pt>
                <c:pt idx="2">
                  <c:v>0</c:v>
                </c:pt>
              </c:numCache>
            </c:numRef>
          </c:val>
          <c:extLst>
            <c:ext xmlns:c16="http://schemas.microsoft.com/office/drawing/2014/chart" uri="{C3380CC4-5D6E-409C-BE32-E72D297353CC}">
              <c16:uniqueId val="{00000000-816B-457B-AE0A-55846283C242}"/>
            </c:ext>
          </c:extLst>
        </c:ser>
        <c:ser>
          <c:idx val="1"/>
          <c:order val="1"/>
          <c:tx>
            <c:strRef>
              <c:f>'[4]VCO-SOCIOAMBIENTAL'!$M$3:$O$3</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'[4]VCO-SOCIOAMBIENTAL'!$I$5:$I$7</c:f>
              <c:strCache>
                <c:ptCount val="3"/>
                <c:pt idx="0">
                  <c:v>SIM</c:v>
                </c:pt>
                <c:pt idx="1">
                  <c:v>PARCIAL</c:v>
                </c:pt>
                <c:pt idx="2">
                  <c:v>NÃO</c:v>
                </c:pt>
              </c:strCache>
            </c:strRef>
          </c:cat>
          <c:val>
            <c:numRef>
              <c:f>'[4]VCO-SOCIOAMBIENTAL'!$N$5:$N$7</c:f>
              <c:numCache>
                <c:formatCode>General</c:formatCode>
                <c:ptCount val="3"/>
                <c:pt idx="0">
                  <c:v>0.88888888888888884</c:v>
                </c:pt>
                <c:pt idx="1">
                  <c:v>8.8888888888888892E-2</c:v>
                </c:pt>
                <c:pt idx="2">
                  <c:v>2.2222222222222223E-2</c:v>
                </c:pt>
              </c:numCache>
            </c:numRef>
          </c:val>
          <c:extLst>
            <c:ext xmlns:c16="http://schemas.microsoft.com/office/drawing/2014/chart" uri="{C3380CC4-5D6E-409C-BE32-E72D297353CC}">
              <c16:uniqueId val="{00000001-816B-457B-AE0A-55846283C242}"/>
            </c:ext>
          </c:extLst>
        </c:ser>
        <c:dLbls>
          <c:showLegendKey val="0"/>
          <c:showVal val="0"/>
          <c:showCatName val="0"/>
          <c:showSerName val="0"/>
          <c:showPercent val="0"/>
          <c:showBubbleSize val="0"/>
        </c:dLbls>
        <c:gapWidth val="219"/>
        <c:overlap val="-27"/>
        <c:axId val="1601742016"/>
        <c:axId val="1601723296"/>
      </c:barChart>
      <c:catAx>
        <c:axId val="160174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1723296"/>
        <c:crosses val="autoZero"/>
        <c:auto val="1"/>
        <c:lblAlgn val="ctr"/>
        <c:lblOffset val="100"/>
        <c:noMultiLvlLbl val="0"/>
      </c:catAx>
      <c:valAx>
        <c:axId val="1601723296"/>
        <c:scaling>
          <c:orientation val="minMax"/>
        </c:scaling>
        <c:delete val="1"/>
        <c:axPos val="l"/>
        <c:numFmt formatCode="General" sourceLinked="1"/>
        <c:majorTickMark val="none"/>
        <c:minorTickMark val="none"/>
        <c:tickLblPos val="nextTo"/>
        <c:crossAx val="1601742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pt-BR" sz="1200" b="1"/>
              <a:t>IDADE &gt;= 60 anos</a:t>
            </a:r>
            <a:r>
              <a:rPr lang="pt-BR" sz="1200" b="1" baseline="0"/>
              <a:t> em % - Exercício MME</a:t>
            </a:r>
            <a:endParaRPr lang="pt-BR"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4"/>
            </a:solidFill>
            <a:ln>
              <a:noFill/>
            </a:ln>
            <a:effectLst/>
            <a:scene3d>
              <a:camera prst="orthographicFront"/>
              <a:lightRig rig="threePt" dir="t"/>
            </a:scene3d>
            <a:sp3d>
              <a:bevelT w="190500" h="381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[3]Planilha1!$A$37:$A$57</c:f>
              <c:numCache>
                <c:formatCode>General</c:formatCode>
                <c:ptCount val="21"/>
                <c:pt idx="0">
                  <c:v>60</c:v>
                </c:pt>
                <c:pt idx="1">
                  <c:v>61</c:v>
                </c:pt>
                <c:pt idx="2">
                  <c:v>62</c:v>
                </c:pt>
                <c:pt idx="3">
                  <c:v>63</c:v>
                </c:pt>
                <c:pt idx="4">
                  <c:v>64</c:v>
                </c:pt>
                <c:pt idx="5">
                  <c:v>65</c:v>
                </c:pt>
                <c:pt idx="6">
                  <c:v>66</c:v>
                </c:pt>
                <c:pt idx="7">
                  <c:v>67</c:v>
                </c:pt>
                <c:pt idx="8">
                  <c:v>68</c:v>
                </c:pt>
                <c:pt idx="9">
                  <c:v>69</c:v>
                </c:pt>
                <c:pt idx="10">
                  <c:v>70</c:v>
                </c:pt>
                <c:pt idx="11">
                  <c:v>71</c:v>
                </c:pt>
                <c:pt idx="12">
                  <c:v>72</c:v>
                </c:pt>
                <c:pt idx="13">
                  <c:v>74</c:v>
                </c:pt>
                <c:pt idx="14">
                  <c:v>75</c:v>
                </c:pt>
                <c:pt idx="15">
                  <c:v>76</c:v>
                </c:pt>
                <c:pt idx="16">
                  <c:v>78</c:v>
                </c:pt>
                <c:pt idx="17">
                  <c:v>79</c:v>
                </c:pt>
                <c:pt idx="18">
                  <c:v>80</c:v>
                </c:pt>
                <c:pt idx="19">
                  <c:v>81</c:v>
                </c:pt>
                <c:pt idx="20">
                  <c:v>82</c:v>
                </c:pt>
              </c:numCache>
            </c:numRef>
          </c:cat>
          <c:val>
            <c:numRef>
              <c:f>[3]Planilha1!$AA$37:$AA$57</c:f>
              <c:numCache>
                <c:formatCode>General</c:formatCode>
                <c:ptCount val="21"/>
                <c:pt idx="0">
                  <c:v>3.6734693877551024E-2</c:v>
                </c:pt>
                <c:pt idx="1">
                  <c:v>2.4489795918367346E-2</c:v>
                </c:pt>
                <c:pt idx="2">
                  <c:v>2.8571428571428571E-2</c:v>
                </c:pt>
                <c:pt idx="3">
                  <c:v>2.2448979591836733E-2</c:v>
                </c:pt>
                <c:pt idx="4">
                  <c:v>2.0408163265306121E-2</c:v>
                </c:pt>
                <c:pt idx="5">
                  <c:v>1.6326530612244899E-2</c:v>
                </c:pt>
                <c:pt idx="6">
                  <c:v>2.6530612244897958E-2</c:v>
                </c:pt>
                <c:pt idx="7">
                  <c:v>2.8571428571428571E-2</c:v>
                </c:pt>
                <c:pt idx="8">
                  <c:v>2.6530612244897958E-2</c:v>
                </c:pt>
                <c:pt idx="9">
                  <c:v>2.0408163265306121E-2</c:v>
                </c:pt>
                <c:pt idx="10">
                  <c:v>1.020408163265306E-2</c:v>
                </c:pt>
                <c:pt idx="11">
                  <c:v>1.4285714285714285E-2</c:v>
                </c:pt>
                <c:pt idx="12">
                  <c:v>1.4285714285714285E-2</c:v>
                </c:pt>
                <c:pt idx="13">
                  <c:v>6.1224489795918364E-3</c:v>
                </c:pt>
                <c:pt idx="14">
                  <c:v>4.0816326530612249E-3</c:v>
                </c:pt>
                <c:pt idx="15">
                  <c:v>6.1224489795918364E-3</c:v>
                </c:pt>
                <c:pt idx="16">
                  <c:v>0</c:v>
                </c:pt>
                <c:pt idx="17">
                  <c:v>6.1224489795918364E-3</c:v>
                </c:pt>
                <c:pt idx="18">
                  <c:v>2.0408163265306124E-3</c:v>
                </c:pt>
                <c:pt idx="19">
                  <c:v>2.0408163265306124E-3</c:v>
                </c:pt>
                <c:pt idx="20">
                  <c:v>4.0816326530612249E-3</c:v>
                </c:pt>
              </c:numCache>
            </c:numRef>
          </c:val>
          <c:extLst>
            <c:ext xmlns:c16="http://schemas.microsoft.com/office/drawing/2014/chart" uri="{C3380CC4-5D6E-409C-BE32-E72D297353CC}">
              <c16:uniqueId val="{00000000-8603-4FC2-B562-35901E5FD429}"/>
            </c:ext>
          </c:extLst>
        </c:ser>
        <c:dLbls>
          <c:showLegendKey val="0"/>
          <c:showVal val="0"/>
          <c:showCatName val="0"/>
          <c:showSerName val="0"/>
          <c:showPercent val="0"/>
          <c:showBubbleSize val="0"/>
        </c:dLbls>
        <c:gapWidth val="219"/>
        <c:overlap val="-27"/>
        <c:axId val="1042346400"/>
        <c:axId val="1042341408"/>
      </c:barChart>
      <c:catAx>
        <c:axId val="1042346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42341408"/>
        <c:crosses val="autoZero"/>
        <c:auto val="1"/>
        <c:lblAlgn val="ctr"/>
        <c:lblOffset val="100"/>
        <c:noMultiLvlLbl val="0"/>
      </c:catAx>
      <c:valAx>
        <c:axId val="1042341408"/>
        <c:scaling>
          <c:orientation val="minMax"/>
        </c:scaling>
        <c:delete val="1"/>
        <c:axPos val="l"/>
        <c:numFmt formatCode="General" sourceLinked="1"/>
        <c:majorTickMark val="none"/>
        <c:minorTickMark val="none"/>
        <c:tickLblPos val="nextTo"/>
        <c:crossAx val="1042346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VOCÊ CONTRIBUI PARA A ECONCOMIA E REAPROVEITAMENTO DO CONSUMO DE ÁGUA E ENERGIA?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spPr>
            <a:scene3d>
              <a:camera prst="orthographicFront"/>
              <a:lightRig rig="threePt" dir="t"/>
            </a:scene3d>
            <a:sp3d>
              <a:bevelT w="139700" h="139700" prst="divot"/>
            </a:sp3d>
          </c:spPr>
          <c:explosion val="11"/>
          <c:dPt>
            <c:idx val="0"/>
            <c:bubble3D val="0"/>
            <c:explosion val="26"/>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105E-4D6A-81A1-6B9F5F03EAD6}"/>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105E-4D6A-81A1-6B9F5F03EAD6}"/>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105E-4D6A-81A1-6B9F5F03EAD6}"/>
              </c:ext>
            </c:extLst>
          </c:dPt>
          <c:dLbls>
            <c:dLbl>
              <c:idx val="0"/>
              <c:layout>
                <c:manualLayout>
                  <c:x val="0.17822064495459194"/>
                  <c:y val="-2.998951756417444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5E-4D6A-81A1-6B9F5F03EAD6}"/>
                </c:ext>
              </c:extLst>
            </c:dLbl>
            <c:dLbl>
              <c:idx val="1"/>
              <c:layout>
                <c:manualLayout>
                  <c:x val="-0.16444382832427637"/>
                  <c:y val="2.6002941582766552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5E-4D6A-81A1-6B9F5F03EAD6}"/>
                </c:ext>
              </c:extLst>
            </c:dLbl>
            <c:dLbl>
              <c:idx val="2"/>
              <c:layout>
                <c:manualLayout>
                  <c:x val="0.23043707564723423"/>
                  <c:y val="4.140643410285788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05E-4D6A-81A1-6B9F5F03EAD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'[4]VCO-SOCIOAMBIENTAL'!$I$5:$I$7</c:f>
              <c:strCache>
                <c:ptCount val="3"/>
                <c:pt idx="0">
                  <c:v>SIM</c:v>
                </c:pt>
                <c:pt idx="1">
                  <c:v>PARCIAL</c:v>
                </c:pt>
                <c:pt idx="2">
                  <c:v>NÃO</c:v>
                </c:pt>
              </c:strCache>
            </c:strRef>
          </c:cat>
          <c:val>
            <c:numRef>
              <c:f>'[4]VCO-SOCIOAMBIENTAL'!$K$5:$K$7</c:f>
              <c:numCache>
                <c:formatCode>General</c:formatCode>
                <c:ptCount val="3"/>
                <c:pt idx="0">
                  <c:v>0.95833333333333337</c:v>
                </c:pt>
                <c:pt idx="1">
                  <c:v>4.1666666666666664E-2</c:v>
                </c:pt>
                <c:pt idx="2">
                  <c:v>0</c:v>
                </c:pt>
              </c:numCache>
            </c:numRef>
          </c:val>
          <c:extLst>
            <c:ext xmlns:c16="http://schemas.microsoft.com/office/drawing/2014/chart" uri="{C3380CC4-5D6E-409C-BE32-E72D297353CC}">
              <c16:uniqueId val="{00000006-105E-4D6A-81A1-6B9F5F03EAD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VOCÊ CONTRIBUI PARA REDUZIR A IMPRESSÃO OU CÓPIA DE DOCUMENTOS?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spPr>
            <a:scene3d>
              <a:camera prst="orthographicFront"/>
              <a:lightRig rig="threePt" dir="t"/>
            </a:scene3d>
            <a:sp3d>
              <a:bevelT w="139700" h="139700" prst="divot"/>
            </a:sp3d>
          </c:spPr>
          <c:explosion val="13"/>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B358-4B59-89B1-DAF552FF7F2B}"/>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B358-4B59-89B1-DAF552FF7F2B}"/>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B358-4B59-89B1-DAF552FF7F2B}"/>
              </c:ext>
            </c:extLst>
          </c:dPt>
          <c:dLbls>
            <c:dLbl>
              <c:idx val="0"/>
              <c:layout>
                <c:manualLayout>
                  <c:x val="0.25744791719729554"/>
                  <c:y val="-0.10062791514118061"/>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58-4B59-89B1-DAF552FF7F2B}"/>
                </c:ext>
              </c:extLst>
            </c:dLbl>
            <c:dLbl>
              <c:idx val="1"/>
              <c:layout>
                <c:manualLayout>
                  <c:x val="-0.10592106031513951"/>
                  <c:y val="5.972817092130999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58-4B59-89B1-DAF552FF7F2B}"/>
                </c:ext>
              </c:extLst>
            </c:dLbl>
            <c:dLbl>
              <c:idx val="2"/>
              <c:layout>
                <c:manualLayout>
                  <c:x val="0.15420507798473926"/>
                  <c:y val="-7.0518414497550861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358-4B59-89B1-DAF552FF7F2B}"/>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'[4]VCO-SOCIOAMBIENTAL'!$A$5:$A$7</c:f>
              <c:strCache>
                <c:ptCount val="3"/>
                <c:pt idx="0">
                  <c:v>SIM</c:v>
                </c:pt>
                <c:pt idx="1">
                  <c:v>PARCIAL</c:v>
                </c:pt>
                <c:pt idx="2">
                  <c:v>NÃO</c:v>
                </c:pt>
              </c:strCache>
            </c:strRef>
          </c:cat>
          <c:val>
            <c:numRef>
              <c:f>'[4]VCO-SOCIOAMBIENTAL'!$C$5:$C$7</c:f>
              <c:numCache>
                <c:formatCode>General</c:formatCode>
                <c:ptCount val="3"/>
                <c:pt idx="0">
                  <c:v>0.94270833333333337</c:v>
                </c:pt>
                <c:pt idx="1">
                  <c:v>5.2083333333333336E-2</c:v>
                </c:pt>
                <c:pt idx="2">
                  <c:v>5.208333333333333E-3</c:v>
                </c:pt>
              </c:numCache>
            </c:numRef>
          </c:val>
          <c:extLst>
            <c:ext xmlns:c16="http://schemas.microsoft.com/office/drawing/2014/chart" uri="{C3380CC4-5D6E-409C-BE32-E72D297353CC}">
              <c16:uniqueId val="{00000006-B358-4B59-89B1-DAF552FF7F2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VOCÊ CONTRIBUI PARA A COLETA SELETIVA DO LIXO?</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'[4]VCO-SOCIOAMBIENTAL'!$R$3:$T$3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'[4]VCO-SOCIOAMBIENTAL'!$Q$5:$Q$7</c:f>
              <c:strCache>
                <c:ptCount val="3"/>
                <c:pt idx="0">
                  <c:v>SIM</c:v>
                </c:pt>
                <c:pt idx="1">
                  <c:v>PARCIAL</c:v>
                </c:pt>
                <c:pt idx="2">
                  <c:v>NÃO</c:v>
                </c:pt>
              </c:strCache>
            </c:strRef>
          </c:cat>
          <c:val>
            <c:numRef>
              <c:f>'[4]VCO-SOCIOAMBIENTAL'!$S$5:$S$7</c:f>
              <c:numCache>
                <c:formatCode>General</c:formatCode>
                <c:ptCount val="3"/>
                <c:pt idx="0">
                  <c:v>0.890625</c:v>
                </c:pt>
                <c:pt idx="1">
                  <c:v>0.109375</c:v>
                </c:pt>
                <c:pt idx="2">
                  <c:v>0</c:v>
                </c:pt>
              </c:numCache>
            </c:numRef>
          </c:val>
          <c:extLst>
            <c:ext xmlns:c16="http://schemas.microsoft.com/office/drawing/2014/chart" uri="{C3380CC4-5D6E-409C-BE32-E72D297353CC}">
              <c16:uniqueId val="{00000000-2B97-49D5-A4EB-E3263C7297F2}"/>
            </c:ext>
          </c:extLst>
        </c:ser>
        <c:ser>
          <c:idx val="1"/>
          <c:order val="1"/>
          <c:tx>
            <c:strRef>
              <c:f>'[4]VCO-SOCIOAMBIENTAL'!$U$3:$W$3</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'[4]VCO-SOCIOAMBIENTAL'!$Q$5:$Q$7</c:f>
              <c:strCache>
                <c:ptCount val="3"/>
                <c:pt idx="0">
                  <c:v>SIM</c:v>
                </c:pt>
                <c:pt idx="1">
                  <c:v>PARCIAL</c:v>
                </c:pt>
                <c:pt idx="2">
                  <c:v>NÃO</c:v>
                </c:pt>
              </c:strCache>
            </c:strRef>
          </c:cat>
          <c:val>
            <c:numRef>
              <c:f>'[4]VCO-SOCIOAMBIENTAL'!$V$5:$V$7</c:f>
              <c:numCache>
                <c:formatCode>General</c:formatCode>
                <c:ptCount val="3"/>
                <c:pt idx="0">
                  <c:v>0.77222222222222225</c:v>
                </c:pt>
                <c:pt idx="1">
                  <c:v>0.18888888888888888</c:v>
                </c:pt>
                <c:pt idx="2">
                  <c:v>3.888888888888889E-2</c:v>
                </c:pt>
              </c:numCache>
            </c:numRef>
          </c:val>
          <c:extLst>
            <c:ext xmlns:c16="http://schemas.microsoft.com/office/drawing/2014/chart" uri="{C3380CC4-5D6E-409C-BE32-E72D297353CC}">
              <c16:uniqueId val="{00000001-2B97-49D5-A4EB-E3263C7297F2}"/>
            </c:ext>
          </c:extLst>
        </c:ser>
        <c:dLbls>
          <c:showLegendKey val="0"/>
          <c:showVal val="0"/>
          <c:showCatName val="0"/>
          <c:showSerName val="0"/>
          <c:showPercent val="0"/>
          <c:showBubbleSize val="0"/>
        </c:dLbls>
        <c:gapWidth val="219"/>
        <c:overlap val="-27"/>
        <c:axId val="1587891216"/>
        <c:axId val="1587877072"/>
      </c:barChart>
      <c:catAx>
        <c:axId val="1587891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7877072"/>
        <c:crosses val="autoZero"/>
        <c:auto val="1"/>
        <c:lblAlgn val="ctr"/>
        <c:lblOffset val="100"/>
        <c:noMultiLvlLbl val="0"/>
      </c:catAx>
      <c:valAx>
        <c:axId val="1587877072"/>
        <c:scaling>
          <c:orientation val="minMax"/>
        </c:scaling>
        <c:delete val="1"/>
        <c:axPos val="l"/>
        <c:numFmt formatCode="General" sourceLinked="1"/>
        <c:majorTickMark val="none"/>
        <c:minorTickMark val="none"/>
        <c:tickLblPos val="nextTo"/>
        <c:crossAx val="1587891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VOCÊ CONTRIBUI PARA A COLETA SELETIVA DO LIXO?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5215383288356558"/>
          <c:y val="0.25845045931758526"/>
          <c:w val="0.47378334750409717"/>
          <c:h val="0.63072408136482938"/>
        </c:manualLayout>
      </c:layout>
      <c:pieChart>
        <c:varyColors val="1"/>
        <c:ser>
          <c:idx val="0"/>
          <c:order val="0"/>
          <c:spPr>
            <a:scene3d>
              <a:camera prst="orthographicFront"/>
              <a:lightRig rig="threePt" dir="t"/>
            </a:scene3d>
            <a:sp3d>
              <a:bevelT w="139700" h="139700" prst="divot"/>
            </a:sp3d>
          </c:spPr>
          <c:explosion val="9"/>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D586-4BEA-806E-7F26FA32BAA3}"/>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D586-4BEA-806E-7F26FA32BAA3}"/>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D586-4BEA-806E-7F26FA32BAA3}"/>
              </c:ext>
            </c:extLst>
          </c:dPt>
          <c:dLbls>
            <c:dLbl>
              <c:idx val="0"/>
              <c:layout>
                <c:manualLayout>
                  <c:x val="9.6842384138602397E-2"/>
                  <c:y val="-2.538517060367453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86-4BEA-806E-7F26FA32BAA3}"/>
                </c:ext>
              </c:extLst>
            </c:dLbl>
            <c:dLbl>
              <c:idx val="1"/>
              <c:layout>
                <c:manualLayout>
                  <c:x val="-8.7439404581469565E-2"/>
                  <c:y val="6.72191601049868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86-4BEA-806E-7F26FA32BAA3}"/>
                </c:ext>
              </c:extLst>
            </c:dLbl>
            <c:dLbl>
              <c:idx val="2"/>
              <c:layout>
                <c:manualLayout>
                  <c:x val="0.32003006666420208"/>
                  <c:y val="5.410104986876640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586-4BEA-806E-7F26FA32BAA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'[4]VCO-SOCIOAMBIENTAL'!$Q$5:$Q$7</c:f>
              <c:strCache>
                <c:ptCount val="3"/>
                <c:pt idx="0">
                  <c:v>SIM</c:v>
                </c:pt>
                <c:pt idx="1">
                  <c:v>PARCIAL</c:v>
                </c:pt>
                <c:pt idx="2">
                  <c:v>NÃO</c:v>
                </c:pt>
              </c:strCache>
            </c:strRef>
          </c:cat>
          <c:val>
            <c:numRef>
              <c:f>'[4]VCO-SOCIOAMBIENTAL'!$S$5:$S$7</c:f>
              <c:numCache>
                <c:formatCode>General</c:formatCode>
                <c:ptCount val="3"/>
                <c:pt idx="0">
                  <c:v>0.890625</c:v>
                </c:pt>
                <c:pt idx="1">
                  <c:v>0.109375</c:v>
                </c:pt>
                <c:pt idx="2">
                  <c:v>0</c:v>
                </c:pt>
              </c:numCache>
            </c:numRef>
          </c:val>
          <c:extLst>
            <c:ext xmlns:c16="http://schemas.microsoft.com/office/drawing/2014/chart" uri="{C3380CC4-5D6E-409C-BE32-E72D297353CC}">
              <c16:uniqueId val="{00000006-D586-4BEA-806E-7F26FA32BAA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AS INFORMAÇÕES SÃO BEM DIVULGADAS NO ÂMBITO DO MME?</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'[4]VCO-COMUNICAÇÃO'!$B$3:$D$3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'[4]VCO-COMUNICAÇÃO'!$A$5:$A$7</c:f>
              <c:strCache>
                <c:ptCount val="3"/>
                <c:pt idx="0">
                  <c:v>SIM</c:v>
                </c:pt>
                <c:pt idx="1">
                  <c:v>PARCIAL</c:v>
                </c:pt>
                <c:pt idx="2">
                  <c:v>NÃO</c:v>
                </c:pt>
              </c:strCache>
            </c:strRef>
          </c:cat>
          <c:val>
            <c:numRef>
              <c:f>'[4]VCO-COMUNICAÇÃO'!$C$5:$C$7</c:f>
              <c:numCache>
                <c:formatCode>General</c:formatCode>
                <c:ptCount val="3"/>
                <c:pt idx="0">
                  <c:v>0.53645833333333337</c:v>
                </c:pt>
                <c:pt idx="1">
                  <c:v>0.38020833333333331</c:v>
                </c:pt>
                <c:pt idx="2">
                  <c:v>8.3333333333333329E-2</c:v>
                </c:pt>
              </c:numCache>
            </c:numRef>
          </c:val>
          <c:extLst>
            <c:ext xmlns:c16="http://schemas.microsoft.com/office/drawing/2014/chart" uri="{C3380CC4-5D6E-409C-BE32-E72D297353CC}">
              <c16:uniqueId val="{00000000-2BDF-4D6A-9E09-479ADEF04857}"/>
            </c:ext>
          </c:extLst>
        </c:ser>
        <c:ser>
          <c:idx val="1"/>
          <c:order val="1"/>
          <c:tx>
            <c:strRef>
              <c:f>'[4]VCO-COMUNICAÇÃO'!$E$3:$G$3</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'[4]VCO-COMUNICAÇÃO'!$A$5:$A$7</c:f>
              <c:strCache>
                <c:ptCount val="3"/>
                <c:pt idx="0">
                  <c:v>SIM</c:v>
                </c:pt>
                <c:pt idx="1">
                  <c:v>PARCIAL</c:v>
                </c:pt>
                <c:pt idx="2">
                  <c:v>NÃO</c:v>
                </c:pt>
              </c:strCache>
            </c:strRef>
          </c:cat>
          <c:val>
            <c:numRef>
              <c:f>'[4]VCO-COMUNICAÇÃO'!$F$5:$F$7</c:f>
              <c:numCache>
                <c:formatCode>General</c:formatCode>
                <c:ptCount val="3"/>
                <c:pt idx="0">
                  <c:v>0.35</c:v>
                </c:pt>
                <c:pt idx="1">
                  <c:v>0.45555555555555555</c:v>
                </c:pt>
                <c:pt idx="2">
                  <c:v>0.19444444444444445</c:v>
                </c:pt>
              </c:numCache>
            </c:numRef>
          </c:val>
          <c:extLst>
            <c:ext xmlns:c16="http://schemas.microsoft.com/office/drawing/2014/chart" uri="{C3380CC4-5D6E-409C-BE32-E72D297353CC}">
              <c16:uniqueId val="{00000001-2BDF-4D6A-9E09-479ADEF04857}"/>
            </c:ext>
          </c:extLst>
        </c:ser>
        <c:dLbls>
          <c:showLegendKey val="0"/>
          <c:showVal val="0"/>
          <c:showCatName val="0"/>
          <c:showSerName val="0"/>
          <c:showPercent val="0"/>
          <c:showBubbleSize val="0"/>
        </c:dLbls>
        <c:gapWidth val="219"/>
        <c:overlap val="-27"/>
        <c:axId val="1600250640"/>
        <c:axId val="1600227760"/>
      </c:barChart>
      <c:catAx>
        <c:axId val="160025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0227760"/>
        <c:crosses val="autoZero"/>
        <c:auto val="1"/>
        <c:lblAlgn val="ctr"/>
        <c:lblOffset val="100"/>
        <c:noMultiLvlLbl val="0"/>
      </c:catAx>
      <c:valAx>
        <c:axId val="1600227760"/>
        <c:scaling>
          <c:orientation val="minMax"/>
        </c:scaling>
        <c:delete val="1"/>
        <c:axPos val="l"/>
        <c:numFmt formatCode="General" sourceLinked="1"/>
        <c:majorTickMark val="none"/>
        <c:minorTickMark val="none"/>
        <c:tickLblPos val="nextTo"/>
        <c:crossAx val="1600250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A COMUNICAÇÃO ENTRE AS UNIDADES DO MME FACILITA O DESENVOLVIMENTO DO TRABALHO?</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'[4]VCO-COMUNICAÇÃO'!$J$3:$L$3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'[4]VCO-COMUNICAÇÃO'!$I$5:$I$7</c:f>
              <c:strCache>
                <c:ptCount val="3"/>
                <c:pt idx="0">
                  <c:v>SIM</c:v>
                </c:pt>
                <c:pt idx="1">
                  <c:v>PARCIAL</c:v>
                </c:pt>
                <c:pt idx="2">
                  <c:v>NÃO</c:v>
                </c:pt>
              </c:strCache>
            </c:strRef>
          </c:cat>
          <c:val>
            <c:numRef>
              <c:f>'[4]VCO-COMUNICAÇÃO'!$K$5:$K$7</c:f>
              <c:numCache>
                <c:formatCode>General</c:formatCode>
                <c:ptCount val="3"/>
                <c:pt idx="0">
                  <c:v>0.578125</c:v>
                </c:pt>
                <c:pt idx="1">
                  <c:v>0.328125</c:v>
                </c:pt>
                <c:pt idx="2">
                  <c:v>9.375E-2</c:v>
                </c:pt>
              </c:numCache>
            </c:numRef>
          </c:val>
          <c:extLst>
            <c:ext xmlns:c16="http://schemas.microsoft.com/office/drawing/2014/chart" uri="{C3380CC4-5D6E-409C-BE32-E72D297353CC}">
              <c16:uniqueId val="{00000000-7C30-4BF7-8200-62A7ADABA378}"/>
            </c:ext>
          </c:extLst>
        </c:ser>
        <c:ser>
          <c:idx val="1"/>
          <c:order val="1"/>
          <c:tx>
            <c:strRef>
              <c:f>'[4]VCO-COMUNICAÇÃO'!$M$3:$O$3</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'[4]VCO-COMUNICAÇÃO'!$I$5:$I$7</c:f>
              <c:strCache>
                <c:ptCount val="3"/>
                <c:pt idx="0">
                  <c:v>SIM</c:v>
                </c:pt>
                <c:pt idx="1">
                  <c:v>PARCIAL</c:v>
                </c:pt>
                <c:pt idx="2">
                  <c:v>NÃO</c:v>
                </c:pt>
              </c:strCache>
            </c:strRef>
          </c:cat>
          <c:val>
            <c:numRef>
              <c:f>'[4]VCO-COMUNICAÇÃO'!$N$5:$N$7</c:f>
              <c:numCache>
                <c:formatCode>General</c:formatCode>
                <c:ptCount val="3"/>
                <c:pt idx="0">
                  <c:v>0.35555555555555557</c:v>
                </c:pt>
                <c:pt idx="1">
                  <c:v>0.3888888888888889</c:v>
                </c:pt>
                <c:pt idx="2">
                  <c:v>0.25555555555555554</c:v>
                </c:pt>
              </c:numCache>
            </c:numRef>
          </c:val>
          <c:extLst>
            <c:ext xmlns:c16="http://schemas.microsoft.com/office/drawing/2014/chart" uri="{C3380CC4-5D6E-409C-BE32-E72D297353CC}">
              <c16:uniqueId val="{00000001-7C30-4BF7-8200-62A7ADABA378}"/>
            </c:ext>
          </c:extLst>
        </c:ser>
        <c:dLbls>
          <c:showLegendKey val="0"/>
          <c:showVal val="0"/>
          <c:showCatName val="0"/>
          <c:showSerName val="0"/>
          <c:showPercent val="0"/>
          <c:showBubbleSize val="0"/>
        </c:dLbls>
        <c:gapWidth val="219"/>
        <c:overlap val="-27"/>
        <c:axId val="1600246896"/>
        <c:axId val="1600252720"/>
      </c:barChart>
      <c:catAx>
        <c:axId val="1600246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0252720"/>
        <c:crosses val="autoZero"/>
        <c:auto val="1"/>
        <c:lblAlgn val="ctr"/>
        <c:lblOffset val="100"/>
        <c:noMultiLvlLbl val="0"/>
      </c:catAx>
      <c:valAx>
        <c:axId val="1600252720"/>
        <c:scaling>
          <c:orientation val="minMax"/>
        </c:scaling>
        <c:delete val="1"/>
        <c:axPos val="l"/>
        <c:numFmt formatCode="General" sourceLinked="1"/>
        <c:majorTickMark val="none"/>
        <c:minorTickMark val="none"/>
        <c:tickLblPos val="nextTo"/>
        <c:crossAx val="1600246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AS INFORMAÇÕES SÃO BEM DIVULGADAS NO ÂMBITO DO MME?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spPr>
            <a:scene3d>
              <a:camera prst="orthographicFront"/>
              <a:lightRig rig="threePt" dir="t"/>
            </a:scene3d>
            <a:sp3d>
              <a:bevelT w="139700" h="139700" prst="divot"/>
            </a:sp3d>
          </c:spPr>
          <c:explosion val="12"/>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029F-4870-89EB-44199D70328E}"/>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029F-4870-89EB-44199D70328E}"/>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029F-4870-89EB-44199D70328E}"/>
              </c:ext>
            </c:extLst>
          </c:dPt>
          <c:dLbls>
            <c:dLbl>
              <c:idx val="0"/>
              <c:layout>
                <c:manualLayout>
                  <c:x val="6.7781411044549669E-2"/>
                  <c:y val="0.2037080781568970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F-4870-89EB-44199D70328E}"/>
                </c:ext>
              </c:extLst>
            </c:dLbl>
            <c:dLbl>
              <c:idx val="1"/>
              <c:layout>
                <c:manualLayout>
                  <c:x val="-3.5554625439261953E-2"/>
                  <c:y val="-7.619386118401866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9F-4870-89EB-44199D70328E}"/>
                </c:ext>
              </c:extLst>
            </c:dLbl>
            <c:dLbl>
              <c:idx val="2"/>
              <c:layout>
                <c:manualLayout>
                  <c:x val="-4.5191356894341693E-2"/>
                  <c:y val="1.036162146398366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F-4870-89EB-44199D70328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'[4]VCO-COMUNICAÇÃO'!$A$5:$A$7</c:f>
              <c:strCache>
                <c:ptCount val="3"/>
                <c:pt idx="0">
                  <c:v>SIM</c:v>
                </c:pt>
                <c:pt idx="1">
                  <c:v>PARCIAL</c:v>
                </c:pt>
                <c:pt idx="2">
                  <c:v>NÃO</c:v>
                </c:pt>
              </c:strCache>
            </c:strRef>
          </c:cat>
          <c:val>
            <c:numRef>
              <c:f>'[4]VCO-COMUNICAÇÃO'!$C$5:$C$7</c:f>
              <c:numCache>
                <c:formatCode>General</c:formatCode>
                <c:ptCount val="3"/>
                <c:pt idx="0">
                  <c:v>0.53645833333333337</c:v>
                </c:pt>
                <c:pt idx="1">
                  <c:v>0.38020833333333331</c:v>
                </c:pt>
                <c:pt idx="2">
                  <c:v>8.3333333333333329E-2</c:v>
                </c:pt>
              </c:numCache>
            </c:numRef>
          </c:val>
          <c:extLst>
            <c:ext xmlns:c16="http://schemas.microsoft.com/office/drawing/2014/chart" uri="{C3380CC4-5D6E-409C-BE32-E72D297353CC}">
              <c16:uniqueId val="{00000006-029F-4870-89EB-44199D70328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A COMUNICAÇÃO ENTRE AS UNIDADES DO MME FACILITA O DESENVOLVIMENTO DO TRABALHO?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spPr>
            <a:scene3d>
              <a:camera prst="orthographicFront"/>
              <a:lightRig rig="threePt" dir="t"/>
            </a:scene3d>
            <a:sp3d>
              <a:bevelT w="139700" h="139700" prst="divot"/>
            </a:sp3d>
          </c:spPr>
          <c:explosion val="18"/>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5F39-4919-ACF4-60096C8ECCD8}"/>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5F39-4919-ACF4-60096C8ECCD8}"/>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5F39-4919-ACF4-60096C8ECCD8}"/>
              </c:ext>
            </c:extLst>
          </c:dPt>
          <c:dLbls>
            <c:dLbl>
              <c:idx val="0"/>
              <c:layout>
                <c:manualLayout>
                  <c:x val="5.5500599676695961E-2"/>
                  <c:y val="8.461030912802558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39-4919-ACF4-60096C8ECCD8}"/>
                </c:ext>
              </c:extLst>
            </c:dLbl>
            <c:dLbl>
              <c:idx val="1"/>
              <c:layout>
                <c:manualLayout>
                  <c:x val="-7.8593627783282077E-2"/>
                  <c:y val="-3.458843686205891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39-4919-ACF4-60096C8ECCD8}"/>
                </c:ext>
              </c:extLst>
            </c:dLbl>
            <c:dLbl>
              <c:idx val="2"/>
              <c:layout>
                <c:manualLayout>
                  <c:x val="-3.1152682901392292E-2"/>
                  <c:y val="7.6206620005832603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39-4919-ACF4-60096C8ECCD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'[4]VCO-COMUNICAÇÃO'!$I$5:$I$7</c:f>
              <c:strCache>
                <c:ptCount val="3"/>
                <c:pt idx="0">
                  <c:v>SIM</c:v>
                </c:pt>
                <c:pt idx="1">
                  <c:v>PARCIAL</c:v>
                </c:pt>
                <c:pt idx="2">
                  <c:v>NÃO</c:v>
                </c:pt>
              </c:strCache>
            </c:strRef>
          </c:cat>
          <c:val>
            <c:numRef>
              <c:f>'[4]VCO-COMUNICAÇÃO'!$K$5:$K$7</c:f>
              <c:numCache>
                <c:formatCode>General</c:formatCode>
                <c:ptCount val="3"/>
                <c:pt idx="0">
                  <c:v>0.578125</c:v>
                </c:pt>
                <c:pt idx="1">
                  <c:v>0.328125</c:v>
                </c:pt>
                <c:pt idx="2">
                  <c:v>9.375E-2</c:v>
                </c:pt>
              </c:numCache>
            </c:numRef>
          </c:val>
          <c:extLst>
            <c:ext xmlns:c16="http://schemas.microsoft.com/office/drawing/2014/chart" uri="{C3380CC4-5D6E-409C-BE32-E72D297353CC}">
              <c16:uniqueId val="{00000006-5F39-4919-ACF4-60096C8ECCD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AS NORMAS E DIRETRIZES ADOTADAS PELO MME FACILITAM A EXECUÇÃO DAS MINHAS ATIVIDADES?</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'[4]VCO-COMUNICAÇÃO'!$R$3:$T$3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'[4]VCO-COMUNICAÇÃO'!$Q$5:$Q$7</c:f>
              <c:strCache>
                <c:ptCount val="3"/>
                <c:pt idx="0">
                  <c:v>SIM</c:v>
                </c:pt>
                <c:pt idx="1">
                  <c:v>PARCIAL</c:v>
                </c:pt>
                <c:pt idx="2">
                  <c:v>NÃO</c:v>
                </c:pt>
              </c:strCache>
            </c:strRef>
          </c:cat>
          <c:val>
            <c:numRef>
              <c:f>'[4]VCO-COMUNICAÇÃO'!$S$5:$S$7</c:f>
              <c:numCache>
                <c:formatCode>General</c:formatCode>
                <c:ptCount val="3"/>
                <c:pt idx="0">
                  <c:v>0.63020833333333337</c:v>
                </c:pt>
                <c:pt idx="1">
                  <c:v>0.32291666666666669</c:v>
                </c:pt>
                <c:pt idx="2">
                  <c:v>4.6875E-2</c:v>
                </c:pt>
              </c:numCache>
            </c:numRef>
          </c:val>
          <c:extLst>
            <c:ext xmlns:c16="http://schemas.microsoft.com/office/drawing/2014/chart" uri="{C3380CC4-5D6E-409C-BE32-E72D297353CC}">
              <c16:uniqueId val="{00000000-52F1-42AB-A589-F34D54ADE5DD}"/>
            </c:ext>
          </c:extLst>
        </c:ser>
        <c:ser>
          <c:idx val="1"/>
          <c:order val="1"/>
          <c:tx>
            <c:strRef>
              <c:f>'[4]VCO-COMUNICAÇÃO'!$U$3:$W$3</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'[4]VCO-COMUNICAÇÃO'!$Q$5:$Q$7</c:f>
              <c:strCache>
                <c:ptCount val="3"/>
                <c:pt idx="0">
                  <c:v>SIM</c:v>
                </c:pt>
                <c:pt idx="1">
                  <c:v>PARCIAL</c:v>
                </c:pt>
                <c:pt idx="2">
                  <c:v>NÃO</c:v>
                </c:pt>
              </c:strCache>
            </c:strRef>
          </c:cat>
          <c:val>
            <c:numRef>
              <c:f>'[4]VCO-COMUNICAÇÃO'!$V$5:$V$7</c:f>
              <c:numCache>
                <c:formatCode>General</c:formatCode>
                <c:ptCount val="3"/>
                <c:pt idx="0">
                  <c:v>0.46408839779005523</c:v>
                </c:pt>
                <c:pt idx="1">
                  <c:v>0.37016574585635359</c:v>
                </c:pt>
                <c:pt idx="2">
                  <c:v>0.16574585635359115</c:v>
                </c:pt>
              </c:numCache>
            </c:numRef>
          </c:val>
          <c:extLst>
            <c:ext xmlns:c16="http://schemas.microsoft.com/office/drawing/2014/chart" uri="{C3380CC4-5D6E-409C-BE32-E72D297353CC}">
              <c16:uniqueId val="{00000001-52F1-42AB-A589-F34D54ADE5DD}"/>
            </c:ext>
          </c:extLst>
        </c:ser>
        <c:dLbls>
          <c:showLegendKey val="0"/>
          <c:showVal val="0"/>
          <c:showCatName val="0"/>
          <c:showSerName val="0"/>
          <c:showPercent val="0"/>
          <c:showBubbleSize val="0"/>
        </c:dLbls>
        <c:gapWidth val="219"/>
        <c:overlap val="-27"/>
        <c:axId val="1600249808"/>
        <c:axId val="1600241072"/>
      </c:barChart>
      <c:catAx>
        <c:axId val="1600249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0241072"/>
        <c:crosses val="autoZero"/>
        <c:auto val="1"/>
        <c:lblAlgn val="ctr"/>
        <c:lblOffset val="100"/>
        <c:noMultiLvlLbl val="0"/>
      </c:catAx>
      <c:valAx>
        <c:axId val="1600241072"/>
        <c:scaling>
          <c:orientation val="minMax"/>
        </c:scaling>
        <c:delete val="1"/>
        <c:axPos val="l"/>
        <c:numFmt formatCode="General" sourceLinked="1"/>
        <c:majorTickMark val="none"/>
        <c:minorTickMark val="none"/>
        <c:tickLblPos val="nextTo"/>
        <c:crossAx val="1600249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AS NORMAS E DIRETRIZES ADOTADAS PELO MME FACILITAM A EXECUÇÃO DAS MINHAS ATIVIDADES?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spPr>
            <a:scene3d>
              <a:camera prst="orthographicFront"/>
              <a:lightRig rig="threePt" dir="t"/>
            </a:scene3d>
            <a:sp3d>
              <a:bevelT w="139700" h="139700" prst="divot"/>
            </a:sp3d>
          </c:spPr>
          <c:explosion val="19"/>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134C-4349-A55B-2D62BB443E37}"/>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134C-4349-A55B-2D62BB443E37}"/>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134C-4349-A55B-2D62BB443E37}"/>
              </c:ext>
            </c:extLst>
          </c:dPt>
          <c:dLbls>
            <c:dLbl>
              <c:idx val="0"/>
              <c:layout>
                <c:manualLayout>
                  <c:x val="5.7778300100547131E-2"/>
                  <c:y val="3.774460484106161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4C-4349-A55B-2D62BB443E37}"/>
                </c:ext>
              </c:extLst>
            </c:dLbl>
            <c:dLbl>
              <c:idx val="1"/>
              <c:layout>
                <c:manualLayout>
                  <c:x val="-2.8637651636828979E-2"/>
                  <c:y val="-5.867162438028579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4C-4349-A55B-2D62BB443E37}"/>
                </c:ext>
              </c:extLst>
            </c:dLbl>
            <c:dLbl>
              <c:idx val="2"/>
              <c:layout>
                <c:manualLayout>
                  <c:x val="-9.2911644750873802E-3"/>
                  <c:y val="-1.093977836103820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34C-4349-A55B-2D62BB443E3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'[4]VCO-COMUNICAÇÃO'!$Q$5:$Q$7</c:f>
              <c:strCache>
                <c:ptCount val="3"/>
                <c:pt idx="0">
                  <c:v>SIM</c:v>
                </c:pt>
                <c:pt idx="1">
                  <c:v>PARCIAL</c:v>
                </c:pt>
                <c:pt idx="2">
                  <c:v>NÃO</c:v>
                </c:pt>
              </c:strCache>
            </c:strRef>
          </c:cat>
          <c:val>
            <c:numRef>
              <c:f>'[4]VCO-COMUNICAÇÃO'!$S$5:$S$7</c:f>
              <c:numCache>
                <c:formatCode>General</c:formatCode>
                <c:ptCount val="3"/>
                <c:pt idx="0">
                  <c:v>0.63020833333333337</c:v>
                </c:pt>
                <c:pt idx="1">
                  <c:v>0.32291666666666669</c:v>
                </c:pt>
                <c:pt idx="2">
                  <c:v>4.6875E-2</c:v>
                </c:pt>
              </c:numCache>
            </c:numRef>
          </c:val>
          <c:extLst>
            <c:ext xmlns:c16="http://schemas.microsoft.com/office/drawing/2014/chart" uri="{C3380CC4-5D6E-409C-BE32-E72D297353CC}">
              <c16:uniqueId val="{00000006-134C-4349-A55B-2D62BB443E3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pt-BR" sz="1200" b="1"/>
              <a:t>IDADE &gt;= 60 anos - Total Geral Exercício</a:t>
            </a:r>
            <a:r>
              <a:rPr lang="pt-BR" sz="1200" b="1" baseline="0"/>
              <a:t> MME em %</a:t>
            </a:r>
            <a:r>
              <a:rPr lang="pt-BR" sz="1200" b="1"/>
              <a:t> </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2"/>
            </a:solidFill>
            <a:ln>
              <a:noFill/>
            </a:ln>
            <a:effectLst/>
            <a:scene3d>
              <a:camera prst="orthographicFront"/>
              <a:lightRig rig="threePt" dir="t"/>
            </a:scene3d>
            <a:sp3d>
              <a:bevelT w="190500" h="381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[3]Planilha1!$A$58</c:f>
              <c:strCache>
                <c:ptCount val="1"/>
                <c:pt idx="0">
                  <c:v>Total</c:v>
                </c:pt>
              </c:strCache>
            </c:strRef>
          </c:cat>
          <c:val>
            <c:numRef>
              <c:f>[3]Planilha1!$AA$68</c:f>
              <c:numCache>
                <c:formatCode>General</c:formatCode>
                <c:ptCount val="1"/>
                <c:pt idx="0">
                  <c:v>0.32040816326530613</c:v>
                </c:pt>
              </c:numCache>
            </c:numRef>
          </c:val>
          <c:extLst>
            <c:ext xmlns:c16="http://schemas.microsoft.com/office/drawing/2014/chart" uri="{C3380CC4-5D6E-409C-BE32-E72D297353CC}">
              <c16:uniqueId val="{00000000-9E7D-4497-83C2-38538555A1FE}"/>
            </c:ext>
          </c:extLst>
        </c:ser>
        <c:dLbls>
          <c:showLegendKey val="0"/>
          <c:showVal val="0"/>
          <c:showCatName val="0"/>
          <c:showSerName val="0"/>
          <c:showPercent val="0"/>
          <c:showBubbleSize val="0"/>
        </c:dLbls>
        <c:gapWidth val="219"/>
        <c:overlap val="-27"/>
        <c:axId val="1460853072"/>
        <c:axId val="1460859312"/>
      </c:barChart>
      <c:catAx>
        <c:axId val="146085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60859312"/>
        <c:crosses val="autoZero"/>
        <c:auto val="1"/>
        <c:lblAlgn val="ctr"/>
        <c:lblOffset val="100"/>
        <c:noMultiLvlLbl val="0"/>
      </c:catAx>
      <c:valAx>
        <c:axId val="1460859312"/>
        <c:scaling>
          <c:orientation val="minMax"/>
        </c:scaling>
        <c:delete val="1"/>
        <c:axPos val="l"/>
        <c:numFmt formatCode="General" sourceLinked="1"/>
        <c:majorTickMark val="none"/>
        <c:minorTickMark val="none"/>
        <c:tickLblPos val="nextTo"/>
        <c:crossAx val="1460853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CONSIDERO ADEQUADA A LIMPEZA REALIZADA NO MEU AMBIENTE DE TRABALHO?</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'[4]VCO-ESTRUTURAFISICA'!$B$3:$D$3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'[4]VCO-ESTRUTURAFISICA'!$A$5:$A$7</c:f>
              <c:strCache>
                <c:ptCount val="3"/>
                <c:pt idx="0">
                  <c:v>SIM</c:v>
                </c:pt>
                <c:pt idx="1">
                  <c:v>PARCIAL</c:v>
                </c:pt>
                <c:pt idx="2">
                  <c:v>NÃO</c:v>
                </c:pt>
              </c:strCache>
            </c:strRef>
          </c:cat>
          <c:val>
            <c:numRef>
              <c:f>'[4]VCO-ESTRUTURAFISICA'!$C$5:$C$7</c:f>
              <c:numCache>
                <c:formatCode>General</c:formatCode>
                <c:ptCount val="3"/>
                <c:pt idx="0">
                  <c:v>0.91666666666666663</c:v>
                </c:pt>
                <c:pt idx="1">
                  <c:v>8.3333333333333329E-2</c:v>
                </c:pt>
                <c:pt idx="2">
                  <c:v>0</c:v>
                </c:pt>
              </c:numCache>
            </c:numRef>
          </c:val>
          <c:extLst>
            <c:ext xmlns:c16="http://schemas.microsoft.com/office/drawing/2014/chart" uri="{C3380CC4-5D6E-409C-BE32-E72D297353CC}">
              <c16:uniqueId val="{00000000-8E6B-432A-941A-BE5EC2F9B430}"/>
            </c:ext>
          </c:extLst>
        </c:ser>
        <c:ser>
          <c:idx val="1"/>
          <c:order val="1"/>
          <c:tx>
            <c:strRef>
              <c:f>'[4]VCO-ESTRUTURAFISICA'!$E$3:$G$3</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'[4]VCO-ESTRUTURAFISICA'!$A$5:$A$7</c:f>
              <c:strCache>
                <c:ptCount val="3"/>
                <c:pt idx="0">
                  <c:v>SIM</c:v>
                </c:pt>
                <c:pt idx="1">
                  <c:v>PARCIAL</c:v>
                </c:pt>
                <c:pt idx="2">
                  <c:v>NÃO</c:v>
                </c:pt>
              </c:strCache>
            </c:strRef>
          </c:cat>
          <c:val>
            <c:numRef>
              <c:f>'[4]VCO-ESTRUTURAFISICA'!$F$5:$F$7</c:f>
              <c:numCache>
                <c:formatCode>General</c:formatCode>
                <c:ptCount val="3"/>
                <c:pt idx="0">
                  <c:v>0.78212290502793291</c:v>
                </c:pt>
                <c:pt idx="1">
                  <c:v>0.19553072625698323</c:v>
                </c:pt>
                <c:pt idx="2">
                  <c:v>2.23463687150838E-2</c:v>
                </c:pt>
              </c:numCache>
            </c:numRef>
          </c:val>
          <c:extLst>
            <c:ext xmlns:c16="http://schemas.microsoft.com/office/drawing/2014/chart" uri="{C3380CC4-5D6E-409C-BE32-E72D297353CC}">
              <c16:uniqueId val="{00000001-8E6B-432A-941A-BE5EC2F9B430}"/>
            </c:ext>
          </c:extLst>
        </c:ser>
        <c:dLbls>
          <c:showLegendKey val="0"/>
          <c:showVal val="0"/>
          <c:showCatName val="0"/>
          <c:showSerName val="0"/>
          <c:showPercent val="0"/>
          <c:showBubbleSize val="0"/>
        </c:dLbls>
        <c:gapWidth val="219"/>
        <c:overlap val="-27"/>
        <c:axId val="1600244400"/>
        <c:axId val="1600242736"/>
      </c:barChart>
      <c:catAx>
        <c:axId val="1600244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0242736"/>
        <c:crosses val="autoZero"/>
        <c:auto val="1"/>
        <c:lblAlgn val="ctr"/>
        <c:lblOffset val="100"/>
        <c:noMultiLvlLbl val="0"/>
      </c:catAx>
      <c:valAx>
        <c:axId val="1600242736"/>
        <c:scaling>
          <c:orientation val="minMax"/>
        </c:scaling>
        <c:delete val="1"/>
        <c:axPos val="l"/>
        <c:numFmt formatCode="General" sourceLinked="1"/>
        <c:majorTickMark val="none"/>
        <c:minorTickMark val="none"/>
        <c:tickLblPos val="nextTo"/>
        <c:crossAx val="1600244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CONSIDERO ADEQUADA A VENTILAÇÃO NO MEU AMBIENTE DE TRABALHO?</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'[4]VCO-ESTRUTURAFISICA'!$J$3:$L$3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'[4]VCO-ESTRUTURAFISICA'!$I$5:$I$7</c:f>
              <c:strCache>
                <c:ptCount val="3"/>
                <c:pt idx="0">
                  <c:v>SIM</c:v>
                </c:pt>
                <c:pt idx="1">
                  <c:v>PARCIAL</c:v>
                </c:pt>
                <c:pt idx="2">
                  <c:v>NÃO</c:v>
                </c:pt>
              </c:strCache>
            </c:strRef>
          </c:cat>
          <c:val>
            <c:numRef>
              <c:f>'[4]VCO-ESTRUTURAFISICA'!$K$5:$K$7</c:f>
              <c:numCache>
                <c:formatCode>General</c:formatCode>
                <c:ptCount val="3"/>
                <c:pt idx="0">
                  <c:v>0.6875</c:v>
                </c:pt>
                <c:pt idx="1">
                  <c:v>0.28125</c:v>
                </c:pt>
                <c:pt idx="2">
                  <c:v>3.125E-2</c:v>
                </c:pt>
              </c:numCache>
            </c:numRef>
          </c:val>
          <c:extLst>
            <c:ext xmlns:c16="http://schemas.microsoft.com/office/drawing/2014/chart" uri="{C3380CC4-5D6E-409C-BE32-E72D297353CC}">
              <c16:uniqueId val="{00000000-290D-40A3-8AEA-63D689282452}"/>
            </c:ext>
          </c:extLst>
        </c:ser>
        <c:ser>
          <c:idx val="1"/>
          <c:order val="1"/>
          <c:tx>
            <c:strRef>
              <c:f>'[4]VCO-ESTRUTURAFISICA'!$M$3:$O$3</c:f>
              <c:strCache>
                <c:ptCount val="1"/>
                <c:pt idx="0">
                  <c:v>2017</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'[4]VCO-ESTRUTURAFISICA'!$I$5:$I$7</c:f>
              <c:strCache>
                <c:ptCount val="3"/>
                <c:pt idx="0">
                  <c:v>SIM</c:v>
                </c:pt>
                <c:pt idx="1">
                  <c:v>PARCIAL</c:v>
                </c:pt>
                <c:pt idx="2">
                  <c:v>NÃO</c:v>
                </c:pt>
              </c:strCache>
            </c:strRef>
          </c:cat>
          <c:val>
            <c:numRef>
              <c:f>'[4]VCO-ESTRUTURAFISICA'!$N$5:$N$7</c:f>
              <c:numCache>
                <c:formatCode>General</c:formatCode>
                <c:ptCount val="3"/>
                <c:pt idx="0">
                  <c:v>0.68156424581005581</c:v>
                </c:pt>
                <c:pt idx="1">
                  <c:v>0.26256983240223464</c:v>
                </c:pt>
                <c:pt idx="2">
                  <c:v>5.5865921787709494E-2</c:v>
                </c:pt>
              </c:numCache>
            </c:numRef>
          </c:val>
          <c:extLst>
            <c:ext xmlns:c16="http://schemas.microsoft.com/office/drawing/2014/chart" uri="{C3380CC4-5D6E-409C-BE32-E72D297353CC}">
              <c16:uniqueId val="{00000001-290D-40A3-8AEA-63D689282452}"/>
            </c:ext>
          </c:extLst>
        </c:ser>
        <c:dLbls>
          <c:showLegendKey val="0"/>
          <c:showVal val="0"/>
          <c:showCatName val="0"/>
          <c:showSerName val="0"/>
          <c:showPercent val="0"/>
          <c:showBubbleSize val="0"/>
        </c:dLbls>
        <c:gapWidth val="219"/>
        <c:overlap val="-27"/>
        <c:axId val="1518025328"/>
        <c:axId val="1518023248"/>
      </c:barChart>
      <c:catAx>
        <c:axId val="151802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8023248"/>
        <c:crosses val="autoZero"/>
        <c:auto val="1"/>
        <c:lblAlgn val="ctr"/>
        <c:lblOffset val="100"/>
        <c:noMultiLvlLbl val="0"/>
      </c:catAx>
      <c:valAx>
        <c:axId val="1518023248"/>
        <c:scaling>
          <c:orientation val="minMax"/>
        </c:scaling>
        <c:delete val="1"/>
        <c:axPos val="l"/>
        <c:numFmt formatCode="General" sourceLinked="1"/>
        <c:majorTickMark val="none"/>
        <c:minorTickMark val="none"/>
        <c:tickLblPos val="nextTo"/>
        <c:crossAx val="1518025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CONSIDERO ADEQUADA A LIMPEZA REALIZADA NO MEU AMBIENTE DE TRABALHO?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spPr>
            <a:scene3d>
              <a:camera prst="orthographicFront"/>
              <a:lightRig rig="threePt" dir="t"/>
            </a:scene3d>
            <a:sp3d>
              <a:bevelT w="139700" h="139700" prst="divot"/>
            </a:sp3d>
          </c:spPr>
          <c:explosion val="11"/>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24D5-4F59-A6A4-9E7C9AB6166D}"/>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24D5-4F59-A6A4-9E7C9AB6166D}"/>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24D5-4F59-A6A4-9E7C9AB6166D}"/>
              </c:ext>
            </c:extLst>
          </c:dPt>
          <c:dLbls>
            <c:dLbl>
              <c:idx val="0"/>
              <c:layout>
                <c:manualLayout>
                  <c:x val="0.1781315584065595"/>
                  <c:y val="-9.74117818606007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D5-4F59-A6A4-9E7C9AB6166D}"/>
                </c:ext>
              </c:extLst>
            </c:dLbl>
            <c:dLbl>
              <c:idx val="1"/>
              <c:layout>
                <c:manualLayout>
                  <c:x val="-7.3436961102321965E-2"/>
                  <c:y val="2.160177894429863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4D5-4F59-A6A4-9E7C9AB6166D}"/>
                </c:ext>
              </c:extLst>
            </c:dLbl>
            <c:dLbl>
              <c:idx val="2"/>
              <c:layout>
                <c:manualLayout>
                  <c:x val="0.20850566422913283"/>
                  <c:y val="7.087890055409740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D5-4F59-A6A4-9E7C9AB6166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'[4]VCO-ESTRUTURAFISICA'!$A$5:$A$7</c:f>
              <c:strCache>
                <c:ptCount val="3"/>
                <c:pt idx="0">
                  <c:v>SIM</c:v>
                </c:pt>
                <c:pt idx="1">
                  <c:v>PARCIAL</c:v>
                </c:pt>
                <c:pt idx="2">
                  <c:v>NÃO</c:v>
                </c:pt>
              </c:strCache>
            </c:strRef>
          </c:cat>
          <c:val>
            <c:numRef>
              <c:f>'[4]VCO-ESTRUTURAFISICA'!$C$5:$C$7</c:f>
              <c:numCache>
                <c:formatCode>General</c:formatCode>
                <c:ptCount val="3"/>
                <c:pt idx="0">
                  <c:v>0.91666666666666663</c:v>
                </c:pt>
                <c:pt idx="1">
                  <c:v>8.3333333333333329E-2</c:v>
                </c:pt>
                <c:pt idx="2">
                  <c:v>0</c:v>
                </c:pt>
              </c:numCache>
            </c:numRef>
          </c:val>
          <c:extLst>
            <c:ext xmlns:c16="http://schemas.microsoft.com/office/drawing/2014/chart" uri="{C3380CC4-5D6E-409C-BE32-E72D297353CC}">
              <c16:uniqueId val="{00000006-24D5-4F59-A6A4-9E7C9AB6166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CONSIDERO ADEQUADA A VENTILAÇÃO NO MEU AMBIENTE DE TRABALHO?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spPr>
            <a:scene3d>
              <a:camera prst="orthographicFront"/>
              <a:lightRig rig="threePt" dir="t"/>
            </a:scene3d>
            <a:sp3d>
              <a:bevelT w="139700" h="139700" prst="divot"/>
            </a:sp3d>
          </c:spPr>
          <c:explosion val="10"/>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A7A8-43F9-9D87-7A0DA1F5726B}"/>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A7A8-43F9-9D87-7A0DA1F5726B}"/>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A7A8-43F9-9D87-7A0DA1F5726B}"/>
              </c:ext>
            </c:extLst>
          </c:dPt>
          <c:dLbls>
            <c:dLbl>
              <c:idx val="0"/>
              <c:layout>
                <c:manualLayout>
                  <c:x val="7.9011635332951177E-2"/>
                  <c:y val="7.220581802274715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A8-43F9-9D87-7A0DA1F5726B}"/>
                </c:ext>
              </c:extLst>
            </c:dLbl>
            <c:dLbl>
              <c:idx val="1"/>
              <c:layout>
                <c:manualLayout>
                  <c:x val="-0.12419310404433809"/>
                  <c:y val="4.712233887430737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A8-43F9-9D87-7A0DA1F5726B}"/>
                </c:ext>
              </c:extLst>
            </c:dLbl>
            <c:dLbl>
              <c:idx val="2"/>
              <c:layout>
                <c:manualLayout>
                  <c:x val="-9.0417129814127029E-2"/>
                  <c:y val="1.1282443861184018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A8-43F9-9D87-7A0DA1F5726B}"/>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'[4]VCO-ESTRUTURAFISICA'!$I$5:$I$7</c:f>
              <c:strCache>
                <c:ptCount val="3"/>
                <c:pt idx="0">
                  <c:v>SIM</c:v>
                </c:pt>
                <c:pt idx="1">
                  <c:v>PARCIAL</c:v>
                </c:pt>
                <c:pt idx="2">
                  <c:v>NÃO</c:v>
                </c:pt>
              </c:strCache>
            </c:strRef>
          </c:cat>
          <c:val>
            <c:numRef>
              <c:f>'[4]VCO-ESTRUTURAFISICA'!$K$5:$K$7</c:f>
              <c:numCache>
                <c:formatCode>General</c:formatCode>
                <c:ptCount val="3"/>
                <c:pt idx="0">
                  <c:v>0.6875</c:v>
                </c:pt>
                <c:pt idx="1">
                  <c:v>0.28125</c:v>
                </c:pt>
                <c:pt idx="2">
                  <c:v>3.125E-2</c:v>
                </c:pt>
              </c:numCache>
            </c:numRef>
          </c:val>
          <c:extLst>
            <c:ext xmlns:c16="http://schemas.microsoft.com/office/drawing/2014/chart" uri="{C3380CC4-5D6E-409C-BE32-E72D297353CC}">
              <c16:uniqueId val="{00000006-A7A8-43F9-9D87-7A0DA1F5726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CONSIDERO ADEQUADA A ILUMINAÇÃO NO MEU AMBIENTE DE TRABALHO?</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'[4]VCO-ESTRUTURAFISICA'!$B$43:$D$43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'[4]VCO-ESTRUTURAFISICA'!$A$45:$A$47</c:f>
              <c:strCache>
                <c:ptCount val="3"/>
                <c:pt idx="0">
                  <c:v>SIM</c:v>
                </c:pt>
                <c:pt idx="1">
                  <c:v>PARCIAL</c:v>
                </c:pt>
                <c:pt idx="2">
                  <c:v>NÃO</c:v>
                </c:pt>
              </c:strCache>
            </c:strRef>
          </c:cat>
          <c:val>
            <c:numRef>
              <c:f>'[4]VCO-ESTRUTURAFISICA'!$C$45:$C$47</c:f>
              <c:numCache>
                <c:formatCode>General</c:formatCode>
                <c:ptCount val="3"/>
                <c:pt idx="0">
                  <c:v>0.80208333333333337</c:v>
                </c:pt>
                <c:pt idx="1">
                  <c:v>0.17708333333333334</c:v>
                </c:pt>
                <c:pt idx="2">
                  <c:v>2.0833333333333332E-2</c:v>
                </c:pt>
              </c:numCache>
            </c:numRef>
          </c:val>
          <c:extLst>
            <c:ext xmlns:c16="http://schemas.microsoft.com/office/drawing/2014/chart" uri="{C3380CC4-5D6E-409C-BE32-E72D297353CC}">
              <c16:uniqueId val="{00000000-2043-420B-B450-D98B717E8175}"/>
            </c:ext>
          </c:extLst>
        </c:ser>
        <c:ser>
          <c:idx val="1"/>
          <c:order val="1"/>
          <c:tx>
            <c:strRef>
              <c:f>'[4]VCO-ESTRUTURAFISICA'!$E$43:$G$43</c:f>
              <c:strCache>
                <c:ptCount val="1"/>
                <c:pt idx="0">
                  <c:v>2018</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'[4]VCO-ESTRUTURAFISICA'!$A$45:$A$47</c:f>
              <c:strCache>
                <c:ptCount val="3"/>
                <c:pt idx="0">
                  <c:v>SIM</c:v>
                </c:pt>
                <c:pt idx="1">
                  <c:v>PARCIAL</c:v>
                </c:pt>
                <c:pt idx="2">
                  <c:v>NÃO</c:v>
                </c:pt>
              </c:strCache>
            </c:strRef>
          </c:cat>
          <c:val>
            <c:numRef>
              <c:f>'[4]VCO-ESTRUTURAFISICA'!$F$45:$F$47</c:f>
              <c:numCache>
                <c:formatCode>General</c:formatCode>
                <c:ptCount val="3"/>
                <c:pt idx="0">
                  <c:v>0.86033519553072624</c:v>
                </c:pt>
                <c:pt idx="1">
                  <c:v>0.11173184357541899</c:v>
                </c:pt>
                <c:pt idx="2">
                  <c:v>2.7932960893854747E-2</c:v>
                </c:pt>
              </c:numCache>
            </c:numRef>
          </c:val>
          <c:extLst>
            <c:ext xmlns:c16="http://schemas.microsoft.com/office/drawing/2014/chart" uri="{C3380CC4-5D6E-409C-BE32-E72D297353CC}">
              <c16:uniqueId val="{00000001-2043-420B-B450-D98B717E8175}"/>
            </c:ext>
          </c:extLst>
        </c:ser>
        <c:dLbls>
          <c:showLegendKey val="0"/>
          <c:showVal val="0"/>
          <c:showCatName val="0"/>
          <c:showSerName val="0"/>
          <c:showPercent val="0"/>
          <c:showBubbleSize val="0"/>
        </c:dLbls>
        <c:gapWidth val="219"/>
        <c:overlap val="-27"/>
        <c:axId val="1600231920"/>
        <c:axId val="1600243984"/>
      </c:barChart>
      <c:catAx>
        <c:axId val="1600231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0243984"/>
        <c:crosses val="autoZero"/>
        <c:auto val="1"/>
        <c:lblAlgn val="ctr"/>
        <c:lblOffset val="100"/>
        <c:noMultiLvlLbl val="0"/>
      </c:catAx>
      <c:valAx>
        <c:axId val="1600243984"/>
        <c:scaling>
          <c:orientation val="minMax"/>
        </c:scaling>
        <c:delete val="1"/>
        <c:axPos val="l"/>
        <c:numFmt formatCode="General" sourceLinked="1"/>
        <c:majorTickMark val="none"/>
        <c:minorTickMark val="none"/>
        <c:tickLblPos val="nextTo"/>
        <c:crossAx val="1600231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CONSIDERO ADEQUADA A SEGURANÇA NO MEU AMBIENTE DE TRABALHO?</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'[4]VCO-ESTRUTURAFISICA'!$J$43:$L$43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'[4]VCO-ESTRUTURAFISICA'!$I$45:$I$47</c:f>
              <c:strCache>
                <c:ptCount val="3"/>
                <c:pt idx="0">
                  <c:v>SIM</c:v>
                </c:pt>
                <c:pt idx="1">
                  <c:v>PARCIAL</c:v>
                </c:pt>
                <c:pt idx="2">
                  <c:v>NÃO</c:v>
                </c:pt>
              </c:strCache>
            </c:strRef>
          </c:cat>
          <c:val>
            <c:numRef>
              <c:f>'[4]VCO-ESTRUTURAFISICA'!$K$45:$K$47</c:f>
              <c:numCache>
                <c:formatCode>General</c:formatCode>
                <c:ptCount val="3"/>
                <c:pt idx="0">
                  <c:v>0.890625</c:v>
                </c:pt>
                <c:pt idx="1">
                  <c:v>0.10416666666666667</c:v>
                </c:pt>
                <c:pt idx="2">
                  <c:v>5.208333333333333E-3</c:v>
                </c:pt>
              </c:numCache>
            </c:numRef>
          </c:val>
          <c:extLst>
            <c:ext xmlns:c16="http://schemas.microsoft.com/office/drawing/2014/chart" uri="{C3380CC4-5D6E-409C-BE32-E72D297353CC}">
              <c16:uniqueId val="{00000000-C5EF-4EE7-A984-AB2ABCEA8A84}"/>
            </c:ext>
          </c:extLst>
        </c:ser>
        <c:ser>
          <c:idx val="1"/>
          <c:order val="1"/>
          <c:tx>
            <c:strRef>
              <c:f>'[4]VCO-ESTRUTURAFISICA'!$M$43:$O$43</c:f>
              <c:strCache>
                <c:ptCount val="1"/>
                <c:pt idx="0">
                  <c:v>2018</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'[4]VCO-ESTRUTURAFISICA'!$I$45:$I$47</c:f>
              <c:strCache>
                <c:ptCount val="3"/>
                <c:pt idx="0">
                  <c:v>SIM</c:v>
                </c:pt>
                <c:pt idx="1">
                  <c:v>PARCIAL</c:v>
                </c:pt>
                <c:pt idx="2">
                  <c:v>NÃO</c:v>
                </c:pt>
              </c:strCache>
            </c:strRef>
          </c:cat>
          <c:val>
            <c:numRef>
              <c:f>'[4]VCO-ESTRUTURAFISICA'!$N$45:$N$47</c:f>
              <c:numCache>
                <c:formatCode>General</c:formatCode>
                <c:ptCount val="3"/>
                <c:pt idx="0">
                  <c:v>0.82122905027932958</c:v>
                </c:pt>
                <c:pt idx="1">
                  <c:v>0.16759776536312848</c:v>
                </c:pt>
                <c:pt idx="2">
                  <c:v>1.11731843575419E-2</c:v>
                </c:pt>
              </c:numCache>
            </c:numRef>
          </c:val>
          <c:extLst>
            <c:ext xmlns:c16="http://schemas.microsoft.com/office/drawing/2014/chart" uri="{C3380CC4-5D6E-409C-BE32-E72D297353CC}">
              <c16:uniqueId val="{00000001-C5EF-4EE7-A984-AB2ABCEA8A84}"/>
            </c:ext>
          </c:extLst>
        </c:ser>
        <c:dLbls>
          <c:showLegendKey val="0"/>
          <c:showVal val="0"/>
          <c:showCatName val="0"/>
          <c:showSerName val="0"/>
          <c:showPercent val="0"/>
          <c:showBubbleSize val="0"/>
        </c:dLbls>
        <c:gapWidth val="219"/>
        <c:overlap val="-27"/>
        <c:axId val="1518026992"/>
        <c:axId val="1518033648"/>
      </c:barChart>
      <c:catAx>
        <c:axId val="151802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8033648"/>
        <c:crosses val="autoZero"/>
        <c:auto val="1"/>
        <c:lblAlgn val="ctr"/>
        <c:lblOffset val="100"/>
        <c:noMultiLvlLbl val="0"/>
      </c:catAx>
      <c:valAx>
        <c:axId val="1518033648"/>
        <c:scaling>
          <c:orientation val="minMax"/>
        </c:scaling>
        <c:delete val="1"/>
        <c:axPos val="l"/>
        <c:numFmt formatCode="General" sourceLinked="1"/>
        <c:majorTickMark val="none"/>
        <c:minorTickMark val="none"/>
        <c:tickLblPos val="nextTo"/>
        <c:crossAx val="1518026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CONSIDERO ADEQUADA A ILUMINAÇÃO NO MEU AMBIENTE DE TRABALHO?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spPr>
            <a:scene3d>
              <a:camera prst="orthographicFront"/>
              <a:lightRig rig="threePt" dir="t"/>
            </a:scene3d>
            <a:sp3d>
              <a:bevelT w="139700" h="139700" prst="divot"/>
            </a:sp3d>
          </c:spPr>
          <c:explosion val="13"/>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03CE-4599-8299-A167461F1BEB}"/>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03CE-4599-8299-A167461F1BEB}"/>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03CE-4599-8299-A167461F1BEB}"/>
              </c:ext>
            </c:extLst>
          </c:dPt>
          <c:dLbls>
            <c:dLbl>
              <c:idx val="0"/>
              <c:layout>
                <c:manualLayout>
                  <c:x val="0.14513214917902703"/>
                  <c:y val="-8.324547973170019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CE-4599-8299-A167461F1BEB}"/>
                </c:ext>
              </c:extLst>
            </c:dLbl>
            <c:dLbl>
              <c:idx val="1"/>
              <c:layout>
                <c:manualLayout>
                  <c:x val="-6.6224396369058525E-2"/>
                  <c:y val="3.007910469524642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CE-4599-8299-A167461F1BEB}"/>
                </c:ext>
              </c:extLst>
            </c:dLbl>
            <c:dLbl>
              <c:idx val="2"/>
              <c:layout>
                <c:manualLayout>
                  <c:x val="0.12132463093276132"/>
                  <c:y val="1.111949547973170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CE-4599-8299-A167461F1BEB}"/>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'[4]VCO-ESTRUTURAFISICA'!$A$45:$A$47</c:f>
              <c:strCache>
                <c:ptCount val="3"/>
                <c:pt idx="0">
                  <c:v>SIM</c:v>
                </c:pt>
                <c:pt idx="1">
                  <c:v>PARCIAL</c:v>
                </c:pt>
                <c:pt idx="2">
                  <c:v>NÃO</c:v>
                </c:pt>
              </c:strCache>
            </c:strRef>
          </c:cat>
          <c:val>
            <c:numRef>
              <c:f>'[4]VCO-ESTRUTURAFISICA'!$C$45:$C$47</c:f>
              <c:numCache>
                <c:formatCode>General</c:formatCode>
                <c:ptCount val="3"/>
                <c:pt idx="0">
                  <c:v>0.80208333333333337</c:v>
                </c:pt>
                <c:pt idx="1">
                  <c:v>0.17708333333333334</c:v>
                </c:pt>
                <c:pt idx="2">
                  <c:v>2.0833333333333332E-2</c:v>
                </c:pt>
              </c:numCache>
            </c:numRef>
          </c:val>
          <c:extLst>
            <c:ext xmlns:c16="http://schemas.microsoft.com/office/drawing/2014/chart" uri="{C3380CC4-5D6E-409C-BE32-E72D297353CC}">
              <c16:uniqueId val="{00000006-03CE-4599-8299-A167461F1BE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CONSIDERO ADEQUADA A SEGURANÇA NO MEU AMBIENTE DE TRABALHO?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spPr>
            <a:scene3d>
              <a:camera prst="orthographicFront"/>
              <a:lightRig rig="threePt" dir="t"/>
            </a:scene3d>
            <a:sp3d>
              <a:bevelT w="139700" h="139700" prst="divot"/>
            </a:sp3d>
          </c:spPr>
          <c:explosion val="12"/>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2D2A-4379-8F87-17F974D7A052}"/>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2D2A-4379-8F87-17F974D7A052}"/>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2D2A-4379-8F87-17F974D7A052}"/>
              </c:ext>
            </c:extLst>
          </c:dPt>
          <c:dLbls>
            <c:dLbl>
              <c:idx val="0"/>
              <c:layout>
                <c:manualLayout>
                  <c:x val="0.22067962897672616"/>
                  <c:y val="-0.1334354039078448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2A-4379-8F87-17F974D7A052}"/>
                </c:ext>
              </c:extLst>
            </c:dLbl>
            <c:dLbl>
              <c:idx val="1"/>
              <c:layout>
                <c:manualLayout>
                  <c:x val="-6.3786927131620985E-2"/>
                  <c:y val="3.794911052785068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D2A-4379-8F87-17F974D7A052}"/>
                </c:ext>
              </c:extLst>
            </c:dLbl>
            <c:dLbl>
              <c:idx val="2"/>
              <c:layout>
                <c:manualLayout>
                  <c:x val="0.10946718724836012"/>
                  <c:y val="8.4645669291338582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D2A-4379-8F87-17F974D7A05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'[4]VCO-ESTRUTURAFISICA'!$I$45:$I$47</c:f>
              <c:strCache>
                <c:ptCount val="3"/>
                <c:pt idx="0">
                  <c:v>SIM</c:v>
                </c:pt>
                <c:pt idx="1">
                  <c:v>PARCIAL</c:v>
                </c:pt>
                <c:pt idx="2">
                  <c:v>NÃO</c:v>
                </c:pt>
              </c:strCache>
            </c:strRef>
          </c:cat>
          <c:val>
            <c:numRef>
              <c:f>'[4]VCO-ESTRUTURAFISICA'!$K$45:$K$47</c:f>
              <c:numCache>
                <c:formatCode>General</c:formatCode>
                <c:ptCount val="3"/>
                <c:pt idx="0">
                  <c:v>0.890625</c:v>
                </c:pt>
                <c:pt idx="1">
                  <c:v>0.10416666666666667</c:v>
                </c:pt>
                <c:pt idx="2">
                  <c:v>5.208333333333333E-3</c:v>
                </c:pt>
              </c:numCache>
            </c:numRef>
          </c:val>
          <c:extLst>
            <c:ext xmlns:c16="http://schemas.microsoft.com/office/drawing/2014/chart" uri="{C3380CC4-5D6E-409C-BE32-E72D297353CC}">
              <c16:uniqueId val="{00000006-2D2A-4379-8F87-17F974D7A05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CONSIDERO ADEQUADA A DISTRIBUIÇÃO DO ESPAÇO FÍSICO NO MEU AMBIENTE DE TRABALHO?</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'[4]VCO-ESTRUTURAFISICA'!$B$83:$D$83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'[4]VCO-ESTRUTURAFISICA'!$A$85:$A$87</c:f>
              <c:strCache>
                <c:ptCount val="3"/>
                <c:pt idx="0">
                  <c:v>SIM</c:v>
                </c:pt>
                <c:pt idx="1">
                  <c:v>PARCIAL</c:v>
                </c:pt>
                <c:pt idx="2">
                  <c:v>NÃO</c:v>
                </c:pt>
              </c:strCache>
            </c:strRef>
          </c:cat>
          <c:val>
            <c:numRef>
              <c:f>'[4]VCO-ESTRUTURAFISICA'!$C$85:$C$87</c:f>
              <c:numCache>
                <c:formatCode>General</c:formatCode>
                <c:ptCount val="3"/>
                <c:pt idx="0">
                  <c:v>0.796875</c:v>
                </c:pt>
                <c:pt idx="1">
                  <c:v>0.16145833333333334</c:v>
                </c:pt>
                <c:pt idx="2">
                  <c:v>4.1666666666666664E-2</c:v>
                </c:pt>
              </c:numCache>
            </c:numRef>
          </c:val>
          <c:extLst>
            <c:ext xmlns:c16="http://schemas.microsoft.com/office/drawing/2014/chart" uri="{C3380CC4-5D6E-409C-BE32-E72D297353CC}">
              <c16:uniqueId val="{00000000-A28B-489D-AFCF-E9E161992322}"/>
            </c:ext>
          </c:extLst>
        </c:ser>
        <c:ser>
          <c:idx val="1"/>
          <c:order val="1"/>
          <c:tx>
            <c:strRef>
              <c:f>'[4]VCO-ESTRUTURAFISICA'!$E$83:$G$83</c:f>
              <c:strCache>
                <c:ptCount val="1"/>
                <c:pt idx="0">
                  <c:v>2018</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'[4]VCO-ESTRUTURAFISICA'!$A$85:$A$87</c:f>
              <c:strCache>
                <c:ptCount val="3"/>
                <c:pt idx="0">
                  <c:v>SIM</c:v>
                </c:pt>
                <c:pt idx="1">
                  <c:v>PARCIAL</c:v>
                </c:pt>
                <c:pt idx="2">
                  <c:v>NÃO</c:v>
                </c:pt>
              </c:strCache>
            </c:strRef>
          </c:cat>
          <c:val>
            <c:numRef>
              <c:f>'[4]VCO-ESTRUTURAFISICA'!$F$85:$F$87</c:f>
              <c:numCache>
                <c:formatCode>General</c:formatCode>
                <c:ptCount val="3"/>
                <c:pt idx="0">
                  <c:v>0.74860335195530725</c:v>
                </c:pt>
                <c:pt idx="1">
                  <c:v>0.19553072625698323</c:v>
                </c:pt>
                <c:pt idx="2">
                  <c:v>5.5865921787709494E-2</c:v>
                </c:pt>
              </c:numCache>
            </c:numRef>
          </c:val>
          <c:extLst>
            <c:ext xmlns:c16="http://schemas.microsoft.com/office/drawing/2014/chart" uri="{C3380CC4-5D6E-409C-BE32-E72D297353CC}">
              <c16:uniqueId val="{00000001-A28B-489D-AFCF-E9E161992322}"/>
            </c:ext>
          </c:extLst>
        </c:ser>
        <c:dLbls>
          <c:showLegendKey val="0"/>
          <c:showVal val="0"/>
          <c:showCatName val="0"/>
          <c:showSerName val="0"/>
          <c:showPercent val="0"/>
          <c:showBubbleSize val="0"/>
        </c:dLbls>
        <c:gapWidth val="219"/>
        <c:overlap val="-27"/>
        <c:axId val="1600236496"/>
        <c:axId val="1600251472"/>
      </c:barChart>
      <c:catAx>
        <c:axId val="1600236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0251472"/>
        <c:crosses val="autoZero"/>
        <c:auto val="1"/>
        <c:lblAlgn val="ctr"/>
        <c:lblOffset val="100"/>
        <c:noMultiLvlLbl val="0"/>
      </c:catAx>
      <c:valAx>
        <c:axId val="1600251472"/>
        <c:scaling>
          <c:orientation val="minMax"/>
        </c:scaling>
        <c:delete val="1"/>
        <c:axPos val="l"/>
        <c:numFmt formatCode="General" sourceLinked="1"/>
        <c:majorTickMark val="none"/>
        <c:minorTickMark val="none"/>
        <c:tickLblPos val="nextTo"/>
        <c:crossAx val="1600236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OS MÓVEIS SÃO ERGONÔMICOS?</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'[4]VCO-ESTRUTURAFISICA'!$J$83:$L$83</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'[4]VCO-ESTRUTURAFISICA'!$I$85:$I$87</c:f>
              <c:strCache>
                <c:ptCount val="3"/>
                <c:pt idx="0">
                  <c:v>SIM</c:v>
                </c:pt>
                <c:pt idx="1">
                  <c:v>PARCIAL</c:v>
                </c:pt>
                <c:pt idx="2">
                  <c:v>NÃO</c:v>
                </c:pt>
              </c:strCache>
            </c:strRef>
          </c:cat>
          <c:val>
            <c:numRef>
              <c:f>'[4]VCO-ESTRUTURAFISICA'!$K$85:$K$87</c:f>
              <c:numCache>
                <c:formatCode>General</c:formatCode>
                <c:ptCount val="3"/>
                <c:pt idx="0">
                  <c:v>0.63541666666666663</c:v>
                </c:pt>
                <c:pt idx="1">
                  <c:v>0.28645833333333331</c:v>
                </c:pt>
                <c:pt idx="2">
                  <c:v>7.8125E-2</c:v>
                </c:pt>
              </c:numCache>
            </c:numRef>
          </c:val>
          <c:extLst>
            <c:ext xmlns:c16="http://schemas.microsoft.com/office/drawing/2014/chart" uri="{C3380CC4-5D6E-409C-BE32-E72D297353CC}">
              <c16:uniqueId val="{00000000-1821-4775-A6F5-8BD01DBCAC88}"/>
            </c:ext>
          </c:extLst>
        </c:ser>
        <c:ser>
          <c:idx val="1"/>
          <c:order val="1"/>
          <c:tx>
            <c:strRef>
              <c:f>'[4]VCO-ESTRUTURAFISICA'!$M$83:$O$83</c:f>
              <c:strCache>
                <c:ptCount val="1"/>
                <c:pt idx="0">
                  <c:v>2018</c:v>
                </c:pt>
              </c:strCache>
            </c:strRef>
          </c:tx>
          <c:spPr>
            <a:solidFill>
              <a:schemeClr val="accent2"/>
            </a:solidFill>
            <a:ln>
              <a:noFill/>
            </a:ln>
            <a:effectLst/>
          </c:spPr>
          <c:invertIfNegative val="0"/>
          <c:cat>
            <c:strRef>
              <c:f>'[4]VCO-ESTRUTURAFISICA'!$I$85:$I$87</c:f>
              <c:strCache>
                <c:ptCount val="3"/>
                <c:pt idx="0">
                  <c:v>SIM</c:v>
                </c:pt>
                <c:pt idx="1">
                  <c:v>PARCIAL</c:v>
                </c:pt>
                <c:pt idx="2">
                  <c:v>NÃO</c:v>
                </c:pt>
              </c:strCache>
            </c:strRef>
          </c:cat>
          <c:val>
            <c:numRef>
              <c:f>'[4]VCO-ESTRUTURAFISICA'!$N$85:$N$87</c:f>
              <c:numCache>
                <c:formatCode>General</c:formatCode>
                <c:ptCount val="3"/>
                <c:pt idx="0">
                  <c:v>0</c:v>
                </c:pt>
                <c:pt idx="1">
                  <c:v>0</c:v>
                </c:pt>
                <c:pt idx="2">
                  <c:v>0</c:v>
                </c:pt>
              </c:numCache>
            </c:numRef>
          </c:val>
          <c:extLst>
            <c:ext xmlns:c16="http://schemas.microsoft.com/office/drawing/2014/chart" uri="{C3380CC4-5D6E-409C-BE32-E72D297353CC}">
              <c16:uniqueId val="{00000001-1821-4775-A6F5-8BD01DBCAC88}"/>
            </c:ext>
          </c:extLst>
        </c:ser>
        <c:dLbls>
          <c:showLegendKey val="0"/>
          <c:showVal val="0"/>
          <c:showCatName val="0"/>
          <c:showSerName val="0"/>
          <c:showPercent val="0"/>
          <c:showBubbleSize val="0"/>
        </c:dLbls>
        <c:gapWidth val="219"/>
        <c:overlap val="-27"/>
        <c:axId val="1518024080"/>
        <c:axId val="1518024496"/>
      </c:barChart>
      <c:catAx>
        <c:axId val="1518024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8024496"/>
        <c:crosses val="autoZero"/>
        <c:auto val="1"/>
        <c:lblAlgn val="ctr"/>
        <c:lblOffset val="100"/>
        <c:noMultiLvlLbl val="0"/>
      </c:catAx>
      <c:valAx>
        <c:axId val="1518024496"/>
        <c:scaling>
          <c:orientation val="minMax"/>
        </c:scaling>
        <c:delete val="1"/>
        <c:axPos val="l"/>
        <c:numFmt formatCode="General" sourceLinked="1"/>
        <c:majorTickMark val="none"/>
        <c:minorTickMark val="none"/>
        <c:tickLblPos val="nextTo"/>
        <c:crossAx val="1518024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pt-BR" sz="1200" b="1" i="0" baseline="0">
                <a:effectLst/>
              </a:rPr>
              <a:t>IDADE &gt;= 60 anos - Exercício MME - Total por Unidade</a:t>
            </a:r>
            <a:endParaRPr lang="pt-BR" sz="1200">
              <a:effectLst/>
            </a:endParaRPr>
          </a:p>
        </c:rich>
      </c:tx>
      <c:layout>
        <c:manualLayout>
          <c:xMode val="edge"/>
          <c:yMode val="edge"/>
          <c:x val="0.28160114966617772"/>
          <c:y val="4.5062955599734923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4"/>
            </a:solidFill>
            <a:ln>
              <a:noFill/>
            </a:ln>
            <a:effectLst/>
            <a:scene3d>
              <a:camera prst="orthographicFront"/>
              <a:lightRig rig="threePt" dir="t"/>
            </a:scene3d>
            <a:sp3d>
              <a:bevelT w="190500" h="38100"/>
            </a:sp3d>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A293-4146-A3E3-05E77087CADD}"/>
                </c:ext>
              </c:extLst>
            </c:dLbl>
            <c:dLbl>
              <c:idx val="3"/>
              <c:delete val="1"/>
              <c:extLst>
                <c:ext xmlns:c15="http://schemas.microsoft.com/office/drawing/2012/chart" uri="{CE6537A1-D6FC-4f65-9D91-7224C49458BB}"/>
                <c:ext xmlns:c16="http://schemas.microsoft.com/office/drawing/2014/chart" uri="{C3380CC4-5D6E-409C-BE32-E72D297353CC}">
                  <c16:uniqueId val="{00000001-A293-4146-A3E3-05E77087CADD}"/>
                </c:ext>
              </c:extLst>
            </c:dLbl>
            <c:dLbl>
              <c:idx val="5"/>
              <c:delete val="1"/>
              <c:extLst>
                <c:ext xmlns:c15="http://schemas.microsoft.com/office/drawing/2012/chart" uri="{CE6537A1-D6FC-4f65-9D91-7224C49458BB}"/>
                <c:ext xmlns:c16="http://schemas.microsoft.com/office/drawing/2014/chart" uri="{C3380CC4-5D6E-409C-BE32-E72D297353CC}">
                  <c16:uniqueId val="{00000002-A293-4146-A3E3-05E77087CADD}"/>
                </c:ext>
              </c:extLst>
            </c:dLbl>
            <c:dLbl>
              <c:idx val="7"/>
              <c:delete val="1"/>
              <c:extLst>
                <c:ext xmlns:c15="http://schemas.microsoft.com/office/drawing/2012/chart" uri="{CE6537A1-D6FC-4f65-9D91-7224C49458BB}"/>
                <c:ext xmlns:c16="http://schemas.microsoft.com/office/drawing/2014/chart" uri="{C3380CC4-5D6E-409C-BE32-E72D297353CC}">
                  <c16:uniqueId val="{00000003-A293-4146-A3E3-05E77087CADD}"/>
                </c:ext>
              </c:extLst>
            </c:dLbl>
            <c:dLbl>
              <c:idx val="9"/>
              <c:delete val="1"/>
              <c:extLst>
                <c:ext xmlns:c15="http://schemas.microsoft.com/office/drawing/2012/chart" uri="{CE6537A1-D6FC-4f65-9D91-7224C49458BB}"/>
                <c:ext xmlns:c16="http://schemas.microsoft.com/office/drawing/2014/chart" uri="{C3380CC4-5D6E-409C-BE32-E72D297353CC}">
                  <c16:uniqueId val="{00000004-A293-4146-A3E3-05E77087CADD}"/>
                </c:ext>
              </c:extLst>
            </c:dLbl>
            <c:dLbl>
              <c:idx val="11"/>
              <c:delete val="1"/>
              <c:extLst>
                <c:ext xmlns:c15="http://schemas.microsoft.com/office/drawing/2012/chart" uri="{CE6537A1-D6FC-4f65-9D91-7224C49458BB}"/>
                <c:ext xmlns:c16="http://schemas.microsoft.com/office/drawing/2014/chart" uri="{C3380CC4-5D6E-409C-BE32-E72D297353CC}">
                  <c16:uniqueId val="{00000005-A293-4146-A3E3-05E77087CADD}"/>
                </c:ext>
              </c:extLst>
            </c:dLbl>
            <c:dLbl>
              <c:idx val="13"/>
              <c:delete val="1"/>
              <c:extLst>
                <c:ext xmlns:c15="http://schemas.microsoft.com/office/drawing/2012/chart" uri="{CE6537A1-D6FC-4f65-9D91-7224C49458BB}"/>
                <c:ext xmlns:c16="http://schemas.microsoft.com/office/drawing/2014/chart" uri="{C3380CC4-5D6E-409C-BE32-E72D297353CC}">
                  <c16:uniqueId val="{00000006-A293-4146-A3E3-05E77087CADD}"/>
                </c:ext>
              </c:extLst>
            </c:dLbl>
            <c:dLbl>
              <c:idx val="15"/>
              <c:delete val="1"/>
              <c:extLst>
                <c:ext xmlns:c15="http://schemas.microsoft.com/office/drawing/2012/chart" uri="{CE6537A1-D6FC-4f65-9D91-7224C49458BB}"/>
                <c:ext xmlns:c16="http://schemas.microsoft.com/office/drawing/2014/chart" uri="{C3380CC4-5D6E-409C-BE32-E72D297353CC}">
                  <c16:uniqueId val="{00000007-A293-4146-A3E3-05E77087CADD}"/>
                </c:ext>
              </c:extLst>
            </c:dLbl>
            <c:dLbl>
              <c:idx val="17"/>
              <c:delete val="1"/>
              <c:extLst>
                <c:ext xmlns:c15="http://schemas.microsoft.com/office/drawing/2012/chart" uri="{CE6537A1-D6FC-4f65-9D91-7224C49458BB}"/>
                <c:ext xmlns:c16="http://schemas.microsoft.com/office/drawing/2014/chart" uri="{C3380CC4-5D6E-409C-BE32-E72D297353CC}">
                  <c16:uniqueId val="{00000008-A293-4146-A3E3-05E77087CADD}"/>
                </c:ext>
              </c:extLst>
            </c:dLbl>
            <c:dLbl>
              <c:idx val="19"/>
              <c:delete val="1"/>
              <c:extLst>
                <c:ext xmlns:c15="http://schemas.microsoft.com/office/drawing/2012/chart" uri="{CE6537A1-D6FC-4f65-9D91-7224C49458BB}"/>
                <c:ext xmlns:c16="http://schemas.microsoft.com/office/drawing/2014/chart" uri="{C3380CC4-5D6E-409C-BE32-E72D297353CC}">
                  <c16:uniqueId val="{00000009-A293-4146-A3E3-05E77087CADD}"/>
                </c:ext>
              </c:extLst>
            </c:dLbl>
            <c:dLbl>
              <c:idx val="21"/>
              <c:delete val="1"/>
              <c:extLst>
                <c:ext xmlns:c15="http://schemas.microsoft.com/office/drawing/2012/chart" uri="{CE6537A1-D6FC-4f65-9D91-7224C49458BB}"/>
                <c:ext xmlns:c16="http://schemas.microsoft.com/office/drawing/2014/chart" uri="{C3380CC4-5D6E-409C-BE32-E72D297353CC}">
                  <c16:uniqueId val="{0000000A-A293-4146-A3E3-05E77087CADD}"/>
                </c:ext>
              </c:extLst>
            </c:dLbl>
            <c:dLbl>
              <c:idx val="23"/>
              <c:delete val="1"/>
              <c:extLst>
                <c:ext xmlns:c15="http://schemas.microsoft.com/office/drawing/2012/chart" uri="{CE6537A1-D6FC-4f65-9D91-7224C49458BB}"/>
                <c:ext xmlns:c16="http://schemas.microsoft.com/office/drawing/2014/chart" uri="{C3380CC4-5D6E-409C-BE32-E72D297353CC}">
                  <c16:uniqueId val="{0000000B-A293-4146-A3E3-05E77087CADD}"/>
                </c:ext>
              </c:extLst>
            </c:dLbl>
            <c:dLbl>
              <c:idx val="25"/>
              <c:delete val="1"/>
              <c:extLst>
                <c:ext xmlns:c15="http://schemas.microsoft.com/office/drawing/2012/chart" uri="{CE6537A1-D6FC-4f65-9D91-7224C49458BB}"/>
                <c:ext xmlns:c16="http://schemas.microsoft.com/office/drawing/2014/chart" uri="{C3380CC4-5D6E-409C-BE32-E72D297353CC}">
                  <c16:uniqueId val="{0000000C-A293-4146-A3E3-05E77087CA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[3]Planilha1!$B$242:$AA$242</c:f>
              <c:strCache>
                <c:ptCount val="26"/>
                <c:pt idx="0">
                  <c:v>Gabinete do Ministro</c:v>
                </c:pt>
                <c:pt idx="2">
                  <c:v>Assessoria Econômica</c:v>
                </c:pt>
                <c:pt idx="4">
                  <c:v>Assessoria Especial de Relações Internacionais</c:v>
                </c:pt>
                <c:pt idx="6">
                  <c:v>Assessoria Especial de Controle Interno</c:v>
                </c:pt>
                <c:pt idx="8">
                  <c:v>Assessoria Especial de Acompanhamento de Políticas, Estratégias e Desempenho Setoriais</c:v>
                </c:pt>
                <c:pt idx="10">
                  <c:v>Consultoria Jurídica</c:v>
                </c:pt>
                <c:pt idx="12">
                  <c:v>Secretaria Executiva</c:v>
                </c:pt>
                <c:pt idx="14">
                  <c:v>SPOA</c:v>
                </c:pt>
                <c:pt idx="16">
                  <c:v>Secretaria de Geologia, Mineração e Transformação Mineral</c:v>
                </c:pt>
                <c:pt idx="18">
                  <c:v>Secretaria de Planejamento e Desenvolvimento Energético</c:v>
                </c:pt>
                <c:pt idx="20">
                  <c:v>Secretaria de Petróleo, Gás Natural e Biocombustíveis</c:v>
                </c:pt>
                <c:pt idx="22">
                  <c:v>Secretaria de Energia Elétrica</c:v>
                </c:pt>
                <c:pt idx="24">
                  <c:v>Total</c:v>
                </c:pt>
              </c:strCache>
            </c:strRef>
          </c:cat>
          <c:val>
            <c:numRef>
              <c:f>[3]Planilha1!$B$265:$AA$265</c:f>
              <c:numCache>
                <c:formatCode>General</c:formatCode>
                <c:ptCount val="26"/>
                <c:pt idx="0">
                  <c:v>14</c:v>
                </c:pt>
                <c:pt idx="1">
                  <c:v>0.24137931034482762</c:v>
                </c:pt>
                <c:pt idx="2">
                  <c:v>1</c:v>
                </c:pt>
                <c:pt idx="3">
                  <c:v>0.125</c:v>
                </c:pt>
                <c:pt idx="4">
                  <c:v>0</c:v>
                </c:pt>
                <c:pt idx="5">
                  <c:v>0</c:v>
                </c:pt>
                <c:pt idx="6">
                  <c:v>0</c:v>
                </c:pt>
                <c:pt idx="7">
                  <c:v>0</c:v>
                </c:pt>
                <c:pt idx="8">
                  <c:v>3</c:v>
                </c:pt>
                <c:pt idx="9">
                  <c:v>0.60000000000000009</c:v>
                </c:pt>
                <c:pt idx="10">
                  <c:v>0</c:v>
                </c:pt>
                <c:pt idx="11">
                  <c:v>0</c:v>
                </c:pt>
                <c:pt idx="12">
                  <c:v>10</c:v>
                </c:pt>
                <c:pt idx="13">
                  <c:v>0.24999999999999997</c:v>
                </c:pt>
                <c:pt idx="14">
                  <c:v>81</c:v>
                </c:pt>
                <c:pt idx="15">
                  <c:v>0.45251396648044689</c:v>
                </c:pt>
                <c:pt idx="16">
                  <c:v>13</c:v>
                </c:pt>
                <c:pt idx="17">
                  <c:v>0.33333333333333337</c:v>
                </c:pt>
                <c:pt idx="18">
                  <c:v>14</c:v>
                </c:pt>
                <c:pt idx="19">
                  <c:v>0.30434782608695649</c:v>
                </c:pt>
                <c:pt idx="20">
                  <c:v>3</c:v>
                </c:pt>
                <c:pt idx="21">
                  <c:v>8.5714285714285715E-2</c:v>
                </c:pt>
                <c:pt idx="22">
                  <c:v>18</c:v>
                </c:pt>
                <c:pt idx="23">
                  <c:v>0.35294117647058815</c:v>
                </c:pt>
                <c:pt idx="24">
                  <c:v>157</c:v>
                </c:pt>
                <c:pt idx="25">
                  <c:v>0.32040816326530625</c:v>
                </c:pt>
              </c:numCache>
            </c:numRef>
          </c:val>
          <c:extLst>
            <c:ext xmlns:c16="http://schemas.microsoft.com/office/drawing/2014/chart" uri="{C3380CC4-5D6E-409C-BE32-E72D297353CC}">
              <c16:uniqueId val="{0000000D-A293-4146-A3E3-05E77087CADD}"/>
            </c:ext>
          </c:extLst>
        </c:ser>
        <c:dLbls>
          <c:showLegendKey val="0"/>
          <c:showVal val="0"/>
          <c:showCatName val="0"/>
          <c:showSerName val="0"/>
          <c:showPercent val="0"/>
          <c:showBubbleSize val="0"/>
        </c:dLbls>
        <c:gapWidth val="99"/>
        <c:overlap val="-27"/>
        <c:axId val="1259406528"/>
        <c:axId val="1259409856"/>
      </c:barChart>
      <c:catAx>
        <c:axId val="1259406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59409856"/>
        <c:crosses val="autoZero"/>
        <c:auto val="1"/>
        <c:lblAlgn val="ctr"/>
        <c:lblOffset val="100"/>
        <c:noMultiLvlLbl val="0"/>
      </c:catAx>
      <c:valAx>
        <c:axId val="1259409856"/>
        <c:scaling>
          <c:orientation val="minMax"/>
        </c:scaling>
        <c:delete val="1"/>
        <c:axPos val="l"/>
        <c:numFmt formatCode="General" sourceLinked="1"/>
        <c:majorTickMark val="none"/>
        <c:minorTickMark val="none"/>
        <c:tickLblPos val="nextTo"/>
        <c:crossAx val="1259406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CONSIDERO ADEQUADA A DISTRIBUIÇÃO DO ESPAÇO FÍSICO NO MEU AMBIENTE DE TRABALHO?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spPr>
            <a:scene3d>
              <a:camera prst="orthographicFront"/>
              <a:lightRig rig="threePt" dir="t"/>
            </a:scene3d>
            <a:sp3d>
              <a:bevelT w="139700" h="139700" prst="divot"/>
            </a:sp3d>
          </c:spPr>
          <c:explosion val="11"/>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053E-4D10-BB15-395CBAC77DCF}"/>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053E-4D10-BB15-395CBAC77DCF}"/>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053E-4D10-BB15-395CBAC77DCF}"/>
              </c:ext>
            </c:extLst>
          </c:dPt>
          <c:dLbls>
            <c:dLbl>
              <c:idx val="0"/>
              <c:layout>
                <c:manualLayout>
                  <c:x val="0.14623290306697537"/>
                  <c:y val="-0.118561169437153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3E-4D10-BB15-395CBAC77DCF}"/>
                </c:ext>
              </c:extLst>
            </c:dLbl>
            <c:dLbl>
              <c:idx val="1"/>
              <c:layout>
                <c:manualLayout>
                  <c:x val="-7.6685788326223359E-2"/>
                  <c:y val="7.656860600758234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3E-4D10-BB15-395CBAC77DCF}"/>
                </c:ext>
              </c:extLst>
            </c:dLbl>
            <c:dLbl>
              <c:idx val="2"/>
              <c:layout>
                <c:manualLayout>
                  <c:x val="0.12583515072670778"/>
                  <c:y val="-4.8202828813065247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3E-4D10-BB15-395CBAC77DC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'[4]VCO-ESTRUTURAFISICA'!$A$85:$A$87</c:f>
              <c:strCache>
                <c:ptCount val="3"/>
                <c:pt idx="0">
                  <c:v>SIM</c:v>
                </c:pt>
                <c:pt idx="1">
                  <c:v>PARCIAL</c:v>
                </c:pt>
                <c:pt idx="2">
                  <c:v>NÃO</c:v>
                </c:pt>
              </c:strCache>
            </c:strRef>
          </c:cat>
          <c:val>
            <c:numRef>
              <c:f>'[4]VCO-ESTRUTURAFISICA'!$C$85:$C$87</c:f>
              <c:numCache>
                <c:formatCode>General</c:formatCode>
                <c:ptCount val="3"/>
                <c:pt idx="0">
                  <c:v>0.796875</c:v>
                </c:pt>
                <c:pt idx="1">
                  <c:v>0.16145833333333334</c:v>
                </c:pt>
                <c:pt idx="2">
                  <c:v>4.1666666666666664E-2</c:v>
                </c:pt>
              </c:numCache>
            </c:numRef>
          </c:val>
          <c:extLst>
            <c:ext xmlns:c16="http://schemas.microsoft.com/office/drawing/2014/chart" uri="{C3380CC4-5D6E-409C-BE32-E72D297353CC}">
              <c16:uniqueId val="{00000006-053E-4D10-BB15-395CBAC77DC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OS MÓVEIS SÃO ERGONÔMICOS?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spPr>
            <a:scene3d>
              <a:camera prst="orthographicFront"/>
              <a:lightRig rig="threePt" dir="t"/>
            </a:scene3d>
            <a:sp3d>
              <a:bevelT w="139700" h="139700" prst="divot"/>
            </a:sp3d>
          </c:spPr>
          <c:explosion val="13"/>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E889-493A-946B-2B8CE21D09F7}"/>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E889-493A-946B-2B8CE21D09F7}"/>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E889-493A-946B-2B8CE21D09F7}"/>
              </c:ext>
            </c:extLst>
          </c:dPt>
          <c:dLbls>
            <c:dLbl>
              <c:idx val="0"/>
              <c:layout>
                <c:manualLayout>
                  <c:x val="4.6692521643749756E-2"/>
                  <c:y val="6.306430446194216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89-493A-946B-2B8CE21D09F7}"/>
                </c:ext>
              </c:extLst>
            </c:dLbl>
            <c:dLbl>
              <c:idx val="1"/>
              <c:layout>
                <c:manualLayout>
                  <c:x val="-7.6545531311073695E-2"/>
                  <c:y val="1.137941090696996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89-493A-946B-2B8CE21D09F7}"/>
                </c:ext>
              </c:extLst>
            </c:dLbl>
            <c:dLbl>
              <c:idx val="2"/>
              <c:layout>
                <c:manualLayout>
                  <c:x val="-5.1600527545997046E-2"/>
                  <c:y val="7.0775007290755322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89-493A-946B-2B8CE21D09F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'[4]VCO-ESTRUTURAFISICA'!$I$85:$I$87</c:f>
              <c:strCache>
                <c:ptCount val="3"/>
                <c:pt idx="0">
                  <c:v>SIM</c:v>
                </c:pt>
                <c:pt idx="1">
                  <c:v>PARCIAL</c:v>
                </c:pt>
                <c:pt idx="2">
                  <c:v>NÃO</c:v>
                </c:pt>
              </c:strCache>
            </c:strRef>
          </c:cat>
          <c:val>
            <c:numRef>
              <c:f>'[4]VCO-ESTRUTURAFISICA'!$K$85:$K$87</c:f>
              <c:numCache>
                <c:formatCode>General</c:formatCode>
                <c:ptCount val="3"/>
                <c:pt idx="0">
                  <c:v>0.63541666666666663</c:v>
                </c:pt>
                <c:pt idx="1">
                  <c:v>0.28645833333333331</c:v>
                </c:pt>
                <c:pt idx="2">
                  <c:v>7.8125E-2</c:v>
                </c:pt>
              </c:numCache>
            </c:numRef>
          </c:val>
          <c:extLst>
            <c:ext xmlns:c16="http://schemas.microsoft.com/office/drawing/2014/chart" uri="{C3380CC4-5D6E-409C-BE32-E72D297353CC}">
              <c16:uniqueId val="{00000006-E889-493A-946B-2B8CE21D09F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CONSIDERO ADEQUADO OS EQUIPAMENTOS DE INFORMÁTICA?</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'[4]VCO-ESTRUTURAFISICA'!$B$122:$D$122</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'[4]VCO-ESTRUTURAFISICA'!$A$124:$A$126</c:f>
              <c:strCache>
                <c:ptCount val="3"/>
                <c:pt idx="0">
                  <c:v>SIM</c:v>
                </c:pt>
                <c:pt idx="1">
                  <c:v>PARCIAL</c:v>
                </c:pt>
                <c:pt idx="2">
                  <c:v>NÃO</c:v>
                </c:pt>
              </c:strCache>
            </c:strRef>
          </c:cat>
          <c:val>
            <c:numRef>
              <c:f>'[4]VCO-ESTRUTURAFISICA'!$C$124:$C$126</c:f>
              <c:numCache>
                <c:formatCode>General</c:formatCode>
                <c:ptCount val="3"/>
                <c:pt idx="0">
                  <c:v>0.79166666666666663</c:v>
                </c:pt>
                <c:pt idx="1">
                  <c:v>0.19791666666666666</c:v>
                </c:pt>
                <c:pt idx="2">
                  <c:v>1.0416666666666666E-2</c:v>
                </c:pt>
              </c:numCache>
            </c:numRef>
          </c:val>
          <c:extLst>
            <c:ext xmlns:c16="http://schemas.microsoft.com/office/drawing/2014/chart" uri="{C3380CC4-5D6E-409C-BE32-E72D297353CC}">
              <c16:uniqueId val="{00000000-B1D6-436A-A80C-1D44DD963860}"/>
            </c:ext>
          </c:extLst>
        </c:ser>
        <c:ser>
          <c:idx val="1"/>
          <c:order val="1"/>
          <c:tx>
            <c:strRef>
              <c:f>'[4]VCO-ESTRUTURAFISICA'!$E$122:$G$122</c:f>
              <c:strCache>
                <c:ptCount val="1"/>
                <c:pt idx="0">
                  <c:v>2018</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'[4]VCO-ESTRUTURAFISICA'!$A$124:$A$126</c:f>
              <c:strCache>
                <c:ptCount val="3"/>
                <c:pt idx="0">
                  <c:v>SIM</c:v>
                </c:pt>
                <c:pt idx="1">
                  <c:v>PARCIAL</c:v>
                </c:pt>
                <c:pt idx="2">
                  <c:v>NÃO</c:v>
                </c:pt>
              </c:strCache>
            </c:strRef>
          </c:cat>
          <c:val>
            <c:numRef>
              <c:f>'[4]VCO-ESTRUTURAFISICA'!$F$124:$F$126</c:f>
              <c:numCache>
                <c:formatCode>General</c:formatCode>
                <c:ptCount val="3"/>
                <c:pt idx="0">
                  <c:v>0.85474860335195535</c:v>
                </c:pt>
                <c:pt idx="1">
                  <c:v>0.12290502793296089</c:v>
                </c:pt>
                <c:pt idx="2">
                  <c:v>2.23463687150838E-2</c:v>
                </c:pt>
              </c:numCache>
            </c:numRef>
          </c:val>
          <c:extLst>
            <c:ext xmlns:c16="http://schemas.microsoft.com/office/drawing/2014/chart" uri="{C3380CC4-5D6E-409C-BE32-E72D297353CC}">
              <c16:uniqueId val="{00000001-B1D6-436A-A80C-1D44DD963860}"/>
            </c:ext>
          </c:extLst>
        </c:ser>
        <c:dLbls>
          <c:showLegendKey val="0"/>
          <c:showVal val="0"/>
          <c:showCatName val="0"/>
          <c:showSerName val="0"/>
          <c:showPercent val="0"/>
          <c:showBubbleSize val="0"/>
        </c:dLbls>
        <c:gapWidth val="219"/>
        <c:overlap val="-27"/>
        <c:axId val="1601722880"/>
        <c:axId val="1601726208"/>
      </c:barChart>
      <c:catAx>
        <c:axId val="1601722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1726208"/>
        <c:crosses val="autoZero"/>
        <c:auto val="1"/>
        <c:lblAlgn val="ctr"/>
        <c:lblOffset val="100"/>
        <c:noMultiLvlLbl val="0"/>
      </c:catAx>
      <c:valAx>
        <c:axId val="1601726208"/>
        <c:scaling>
          <c:orientation val="minMax"/>
        </c:scaling>
        <c:delete val="1"/>
        <c:axPos val="l"/>
        <c:numFmt formatCode="General" sourceLinked="1"/>
        <c:majorTickMark val="none"/>
        <c:minorTickMark val="none"/>
        <c:tickLblPos val="nextTo"/>
        <c:crossAx val="1601722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CONSIDERO ADEQUADO OS MATERIAIS DE CONSUMO?</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'[4]VCO-ESTRUTURAFISICA'!$J$122:$L$122</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'[4]VCO-ESTRUTURAFISICA'!$I$124:$I$126</c:f>
              <c:strCache>
                <c:ptCount val="3"/>
                <c:pt idx="0">
                  <c:v>SIM</c:v>
                </c:pt>
                <c:pt idx="1">
                  <c:v>PARCIAL</c:v>
                </c:pt>
                <c:pt idx="2">
                  <c:v>NÃO</c:v>
                </c:pt>
              </c:strCache>
            </c:strRef>
          </c:cat>
          <c:val>
            <c:numRef>
              <c:f>'[4]VCO-ESTRUTURAFISICA'!$K$124:$K$126</c:f>
              <c:numCache>
                <c:formatCode>General</c:formatCode>
                <c:ptCount val="3"/>
                <c:pt idx="0">
                  <c:v>0.72916666666666663</c:v>
                </c:pt>
                <c:pt idx="1">
                  <c:v>0.25520833333333331</c:v>
                </c:pt>
                <c:pt idx="2">
                  <c:v>1.5625E-2</c:v>
                </c:pt>
              </c:numCache>
            </c:numRef>
          </c:val>
          <c:extLst>
            <c:ext xmlns:c16="http://schemas.microsoft.com/office/drawing/2014/chart" uri="{C3380CC4-5D6E-409C-BE32-E72D297353CC}">
              <c16:uniqueId val="{00000000-EB04-4E46-B016-B0664B837739}"/>
            </c:ext>
          </c:extLst>
        </c:ser>
        <c:ser>
          <c:idx val="1"/>
          <c:order val="1"/>
          <c:tx>
            <c:strRef>
              <c:f>'[4]VCO-ESTRUTURAFISICA'!$M$122:$O$122</c:f>
              <c:strCache>
                <c:ptCount val="1"/>
                <c:pt idx="0">
                  <c:v>2018</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'[4]VCO-ESTRUTURAFISICA'!$I$124:$I$126</c:f>
              <c:strCache>
                <c:ptCount val="3"/>
                <c:pt idx="0">
                  <c:v>SIM</c:v>
                </c:pt>
                <c:pt idx="1">
                  <c:v>PARCIAL</c:v>
                </c:pt>
                <c:pt idx="2">
                  <c:v>NÃO</c:v>
                </c:pt>
              </c:strCache>
            </c:strRef>
          </c:cat>
          <c:val>
            <c:numRef>
              <c:f>'[4]VCO-ESTRUTURAFISICA'!$N$124:$N$126</c:f>
              <c:numCache>
                <c:formatCode>General</c:formatCode>
                <c:ptCount val="3"/>
                <c:pt idx="0">
                  <c:v>0.69273743016759781</c:v>
                </c:pt>
                <c:pt idx="1">
                  <c:v>0.27374301675977653</c:v>
                </c:pt>
                <c:pt idx="2">
                  <c:v>3.3519553072625698E-2</c:v>
                </c:pt>
              </c:numCache>
            </c:numRef>
          </c:val>
          <c:extLst>
            <c:ext xmlns:c16="http://schemas.microsoft.com/office/drawing/2014/chart" uri="{C3380CC4-5D6E-409C-BE32-E72D297353CC}">
              <c16:uniqueId val="{00000001-EB04-4E46-B016-B0664B837739}"/>
            </c:ext>
          </c:extLst>
        </c:ser>
        <c:dLbls>
          <c:showLegendKey val="0"/>
          <c:showVal val="0"/>
          <c:showCatName val="0"/>
          <c:showSerName val="0"/>
          <c:showPercent val="0"/>
          <c:showBubbleSize val="0"/>
        </c:dLbls>
        <c:gapWidth val="219"/>
        <c:overlap val="-27"/>
        <c:axId val="1518029488"/>
        <c:axId val="1518030736"/>
      </c:barChart>
      <c:catAx>
        <c:axId val="151802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8030736"/>
        <c:crosses val="autoZero"/>
        <c:auto val="1"/>
        <c:lblAlgn val="ctr"/>
        <c:lblOffset val="100"/>
        <c:noMultiLvlLbl val="0"/>
      </c:catAx>
      <c:valAx>
        <c:axId val="1518030736"/>
        <c:scaling>
          <c:orientation val="minMax"/>
        </c:scaling>
        <c:delete val="1"/>
        <c:axPos val="l"/>
        <c:numFmt formatCode="General" sourceLinked="1"/>
        <c:majorTickMark val="none"/>
        <c:minorTickMark val="none"/>
        <c:tickLblPos val="nextTo"/>
        <c:crossAx val="1518029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CONSIDERO ADEQUADO OS EQUIPAMENTOS DE INFORMÁTICA?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spPr>
            <a:scene3d>
              <a:camera prst="orthographicFront"/>
              <a:lightRig rig="threePt" dir="t"/>
            </a:scene3d>
            <a:sp3d>
              <a:bevelT w="139700" h="139700" prst="divot"/>
            </a:sp3d>
          </c:spPr>
          <c:explosion val="16"/>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D523-4B0B-B781-CA4653FFD32E}"/>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D523-4B0B-B781-CA4653FFD32E}"/>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D523-4B0B-B781-CA4653FFD32E}"/>
              </c:ext>
            </c:extLst>
          </c:dPt>
          <c:dLbls>
            <c:dLbl>
              <c:idx val="0"/>
              <c:layout>
                <c:manualLayout>
                  <c:x val="9.1485075993407799E-2"/>
                  <c:y val="-6.106663750364537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23-4B0B-B781-CA4653FFD32E}"/>
                </c:ext>
              </c:extLst>
            </c:dLbl>
            <c:dLbl>
              <c:idx val="1"/>
              <c:layout>
                <c:manualLayout>
                  <c:x val="-7.5204262257915433E-2"/>
                  <c:y val="4.835557013706619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23-4B0B-B781-CA4653FFD32E}"/>
                </c:ext>
              </c:extLst>
            </c:dLbl>
            <c:dLbl>
              <c:idx val="2"/>
              <c:layout>
                <c:manualLayout>
                  <c:x val="0.11740802748493648"/>
                  <c:y val="1.600430154564012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523-4B0B-B781-CA4653FFD32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'[4]VCO-ESTRUTURAFISICA'!$A$124:$A$126</c:f>
              <c:strCache>
                <c:ptCount val="3"/>
                <c:pt idx="0">
                  <c:v>SIM</c:v>
                </c:pt>
                <c:pt idx="1">
                  <c:v>PARCIAL</c:v>
                </c:pt>
                <c:pt idx="2">
                  <c:v>NÃO</c:v>
                </c:pt>
              </c:strCache>
            </c:strRef>
          </c:cat>
          <c:val>
            <c:numRef>
              <c:f>'[4]VCO-ESTRUTURAFISICA'!$C$124:$C$126</c:f>
              <c:numCache>
                <c:formatCode>General</c:formatCode>
                <c:ptCount val="3"/>
                <c:pt idx="0">
                  <c:v>0.79166666666666663</c:v>
                </c:pt>
                <c:pt idx="1">
                  <c:v>0.19791666666666666</c:v>
                </c:pt>
                <c:pt idx="2">
                  <c:v>1.0416666666666666E-2</c:v>
                </c:pt>
              </c:numCache>
            </c:numRef>
          </c:val>
          <c:extLst>
            <c:ext xmlns:c16="http://schemas.microsoft.com/office/drawing/2014/chart" uri="{C3380CC4-5D6E-409C-BE32-E72D297353CC}">
              <c16:uniqueId val="{00000006-D523-4B0B-B781-CA4653FFD32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CONSIDERO ADEQUADO OS MATERIAIS DE CONSUMO?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spPr>
            <a:scene3d>
              <a:camera prst="orthographicFront"/>
              <a:lightRig rig="threePt" dir="t"/>
            </a:scene3d>
            <a:sp3d>
              <a:bevelT w="139700" h="139700" prst="divot"/>
            </a:sp3d>
          </c:spPr>
          <c:explosion val="20"/>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0104-4BF7-BBD0-E457F2E9939A}"/>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0104-4BF7-BBD0-E457F2E9939A}"/>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0104-4BF7-BBD0-E457F2E9939A}"/>
              </c:ext>
            </c:extLst>
          </c:dPt>
          <c:dLbls>
            <c:dLbl>
              <c:idx val="0"/>
              <c:layout>
                <c:manualLayout>
                  <c:x val="0.10780933477842633"/>
                  <c:y val="-3.268153980752414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04-4BF7-BBD0-E457F2E9939A}"/>
                </c:ext>
              </c:extLst>
            </c:dLbl>
            <c:dLbl>
              <c:idx val="1"/>
              <c:layout>
                <c:manualLayout>
                  <c:x val="-6.9567647327666127E-2"/>
                  <c:y val="0.1176494604841061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04-4BF7-BBD0-E457F2E9939A}"/>
                </c:ext>
              </c:extLst>
            </c:dLbl>
            <c:dLbl>
              <c:idx val="2"/>
              <c:layout>
                <c:manualLayout>
                  <c:x val="0.16447865658583721"/>
                  <c:y val="-3.1419510061242344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04-4BF7-BBD0-E457F2E9939A}"/>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'[4]VCO-ESTRUTURAFISICA'!$I$124:$I$126</c:f>
              <c:strCache>
                <c:ptCount val="3"/>
                <c:pt idx="0">
                  <c:v>SIM</c:v>
                </c:pt>
                <c:pt idx="1">
                  <c:v>PARCIAL</c:v>
                </c:pt>
                <c:pt idx="2">
                  <c:v>NÃO</c:v>
                </c:pt>
              </c:strCache>
            </c:strRef>
          </c:cat>
          <c:val>
            <c:numRef>
              <c:f>'[4]VCO-ESTRUTURAFISICA'!$K$124:$K$126</c:f>
              <c:numCache>
                <c:formatCode>General</c:formatCode>
                <c:ptCount val="3"/>
                <c:pt idx="0">
                  <c:v>0.72916666666666663</c:v>
                </c:pt>
                <c:pt idx="1">
                  <c:v>0.25520833333333331</c:v>
                </c:pt>
                <c:pt idx="2">
                  <c:v>1.5625E-2</c:v>
                </c:pt>
              </c:numCache>
            </c:numRef>
          </c:val>
          <c:extLst>
            <c:ext xmlns:c16="http://schemas.microsoft.com/office/drawing/2014/chart" uri="{C3380CC4-5D6E-409C-BE32-E72D297353CC}">
              <c16:uniqueId val="{00000006-0104-4BF7-BBD0-E457F2E9939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CONSIDERO ADEQUADA A LOCALIZAÇÃO DO MEU TRABALHO?</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'[4]VCO-ESTRUTURAFISICA'!$B$162:$D$162</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'[4]VCO-ESTRUTURAFISICA'!$A$164:$A$166</c:f>
              <c:strCache>
                <c:ptCount val="3"/>
                <c:pt idx="0">
                  <c:v>SIM</c:v>
                </c:pt>
                <c:pt idx="1">
                  <c:v>PARCIAL</c:v>
                </c:pt>
                <c:pt idx="2">
                  <c:v>NÃO</c:v>
                </c:pt>
              </c:strCache>
            </c:strRef>
          </c:cat>
          <c:val>
            <c:numRef>
              <c:f>'[4]VCO-ESTRUTURAFISICA'!$C$164:$C$166</c:f>
              <c:numCache>
                <c:formatCode>General</c:formatCode>
                <c:ptCount val="3"/>
                <c:pt idx="0">
                  <c:v>0.89583333333333337</c:v>
                </c:pt>
                <c:pt idx="1">
                  <c:v>9.375E-2</c:v>
                </c:pt>
                <c:pt idx="2">
                  <c:v>1.0416666666666666E-2</c:v>
                </c:pt>
              </c:numCache>
            </c:numRef>
          </c:val>
          <c:extLst>
            <c:ext xmlns:c16="http://schemas.microsoft.com/office/drawing/2014/chart" uri="{C3380CC4-5D6E-409C-BE32-E72D297353CC}">
              <c16:uniqueId val="{00000000-E76B-4854-9BFF-F6B675BC8019}"/>
            </c:ext>
          </c:extLst>
        </c:ser>
        <c:ser>
          <c:idx val="1"/>
          <c:order val="1"/>
          <c:tx>
            <c:strRef>
              <c:f>'[4]VCO-ESTRUTURAFISICA'!$E$162:$G$162</c:f>
              <c:strCache>
                <c:ptCount val="1"/>
                <c:pt idx="0">
                  <c:v>2018</c:v>
                </c:pt>
              </c:strCache>
            </c:strRef>
          </c:tx>
          <c:spPr>
            <a:solidFill>
              <a:schemeClr val="accent2"/>
            </a:solidFill>
            <a:ln>
              <a:noFill/>
            </a:ln>
            <a:effectLst/>
          </c:spPr>
          <c:invertIfNegative val="0"/>
          <c:cat>
            <c:strRef>
              <c:f>'[4]VCO-ESTRUTURAFISICA'!$A$164:$A$166</c:f>
              <c:strCache>
                <c:ptCount val="3"/>
                <c:pt idx="0">
                  <c:v>SIM</c:v>
                </c:pt>
                <c:pt idx="1">
                  <c:v>PARCIAL</c:v>
                </c:pt>
                <c:pt idx="2">
                  <c:v>NÃO</c:v>
                </c:pt>
              </c:strCache>
            </c:strRef>
          </c:cat>
          <c:val>
            <c:numRef>
              <c:f>'[4]VCO-ESTRUTURAFISICA'!$F$164:$F$166</c:f>
              <c:numCache>
                <c:formatCode>General</c:formatCode>
                <c:ptCount val="3"/>
                <c:pt idx="0">
                  <c:v>0</c:v>
                </c:pt>
                <c:pt idx="1">
                  <c:v>0</c:v>
                </c:pt>
                <c:pt idx="2">
                  <c:v>0</c:v>
                </c:pt>
              </c:numCache>
            </c:numRef>
          </c:val>
          <c:extLst>
            <c:ext xmlns:c16="http://schemas.microsoft.com/office/drawing/2014/chart" uri="{C3380CC4-5D6E-409C-BE32-E72D297353CC}">
              <c16:uniqueId val="{00000001-E76B-4854-9BFF-F6B675BC8019}"/>
            </c:ext>
          </c:extLst>
        </c:ser>
        <c:dLbls>
          <c:showLegendKey val="0"/>
          <c:showVal val="0"/>
          <c:showCatName val="0"/>
          <c:showSerName val="0"/>
          <c:showPercent val="0"/>
          <c:showBubbleSize val="0"/>
        </c:dLbls>
        <c:gapWidth val="219"/>
        <c:overlap val="-27"/>
        <c:axId val="1600243152"/>
        <c:axId val="1600243568"/>
      </c:barChart>
      <c:catAx>
        <c:axId val="1600243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0243568"/>
        <c:crosses val="autoZero"/>
        <c:auto val="1"/>
        <c:lblAlgn val="ctr"/>
        <c:lblOffset val="100"/>
        <c:noMultiLvlLbl val="0"/>
      </c:catAx>
      <c:valAx>
        <c:axId val="1600243568"/>
        <c:scaling>
          <c:orientation val="minMax"/>
        </c:scaling>
        <c:delete val="1"/>
        <c:axPos val="l"/>
        <c:numFmt formatCode="General" sourceLinked="1"/>
        <c:majorTickMark val="none"/>
        <c:minorTickMark val="none"/>
        <c:tickLblPos val="nextTo"/>
        <c:crossAx val="1600243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CONSIDERO ADEQUADA A ACESSIBILIDADE NO MME?</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'[4]VCO-ESTRUTURAFISICA'!$J$162:$L$162</c:f>
              <c:strCache>
                <c:ptCount val="1"/>
                <c:pt idx="0">
                  <c:v>2020</c:v>
                </c:pt>
              </c:strCache>
            </c:strRef>
          </c:tx>
          <c:spPr>
            <a:solidFill>
              <a:schemeClr val="accent1"/>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'[4]VCO-ESTRUTURAFISICA'!$I$164:$I$166</c:f>
              <c:strCache>
                <c:ptCount val="3"/>
                <c:pt idx="0">
                  <c:v>SIM</c:v>
                </c:pt>
                <c:pt idx="1">
                  <c:v>PARCIAL</c:v>
                </c:pt>
                <c:pt idx="2">
                  <c:v>NÃO</c:v>
                </c:pt>
              </c:strCache>
            </c:strRef>
          </c:cat>
          <c:val>
            <c:numRef>
              <c:f>'[4]VCO-ESTRUTURAFISICA'!$K$164:$K$166</c:f>
              <c:numCache>
                <c:formatCode>General</c:formatCode>
                <c:ptCount val="3"/>
                <c:pt idx="0">
                  <c:v>0.921875</c:v>
                </c:pt>
                <c:pt idx="1">
                  <c:v>7.8125E-2</c:v>
                </c:pt>
                <c:pt idx="2">
                  <c:v>0</c:v>
                </c:pt>
              </c:numCache>
            </c:numRef>
          </c:val>
          <c:extLst>
            <c:ext xmlns:c16="http://schemas.microsoft.com/office/drawing/2014/chart" uri="{C3380CC4-5D6E-409C-BE32-E72D297353CC}">
              <c16:uniqueId val="{00000000-01C9-41F6-87C5-4346866BB7A2}"/>
            </c:ext>
          </c:extLst>
        </c:ser>
        <c:ser>
          <c:idx val="1"/>
          <c:order val="1"/>
          <c:tx>
            <c:strRef>
              <c:f>'[4]VCO-ESTRUTURAFISICA'!$M$162:$O$162</c:f>
              <c:strCache>
                <c:ptCount val="1"/>
                <c:pt idx="0">
                  <c:v>2018</c:v>
                </c:pt>
              </c:strCache>
            </c:strRef>
          </c:tx>
          <c:spPr>
            <a:solidFill>
              <a:schemeClr val="accent2"/>
            </a:solidFill>
            <a:ln>
              <a:noFill/>
            </a:ln>
            <a:effectLst/>
            <a:scene3d>
              <a:camera prst="orthographicFront"/>
              <a:lightRig rig="threePt" dir="t"/>
            </a:scene3d>
            <a:sp3d>
              <a:bevelT w="139700" h="139700" prst="divo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'[4]VCO-ESTRUTURAFISICA'!$I$164:$I$166</c:f>
              <c:strCache>
                <c:ptCount val="3"/>
                <c:pt idx="0">
                  <c:v>SIM</c:v>
                </c:pt>
                <c:pt idx="1">
                  <c:v>PARCIAL</c:v>
                </c:pt>
                <c:pt idx="2">
                  <c:v>NÃO</c:v>
                </c:pt>
              </c:strCache>
            </c:strRef>
          </c:cat>
          <c:val>
            <c:numRef>
              <c:f>'[4]VCO-ESTRUTURAFISICA'!$N$164:$N$166</c:f>
              <c:numCache>
                <c:formatCode>General</c:formatCode>
                <c:ptCount val="3"/>
                <c:pt idx="0">
                  <c:v>0.77094972067039103</c:v>
                </c:pt>
                <c:pt idx="1">
                  <c:v>0.19553072625698323</c:v>
                </c:pt>
                <c:pt idx="2">
                  <c:v>3.3519553072625698E-2</c:v>
                </c:pt>
              </c:numCache>
            </c:numRef>
          </c:val>
          <c:extLst>
            <c:ext xmlns:c16="http://schemas.microsoft.com/office/drawing/2014/chart" uri="{C3380CC4-5D6E-409C-BE32-E72D297353CC}">
              <c16:uniqueId val="{00000001-01C9-41F6-87C5-4346866BB7A2}"/>
            </c:ext>
          </c:extLst>
        </c:ser>
        <c:dLbls>
          <c:showLegendKey val="0"/>
          <c:showVal val="0"/>
          <c:showCatName val="0"/>
          <c:showSerName val="0"/>
          <c:showPercent val="0"/>
          <c:showBubbleSize val="0"/>
        </c:dLbls>
        <c:gapWidth val="219"/>
        <c:overlap val="-27"/>
        <c:axId val="1446627008"/>
        <c:axId val="1446628672"/>
      </c:barChart>
      <c:catAx>
        <c:axId val="144662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46628672"/>
        <c:crosses val="autoZero"/>
        <c:auto val="1"/>
        <c:lblAlgn val="ctr"/>
        <c:lblOffset val="100"/>
        <c:noMultiLvlLbl val="0"/>
      </c:catAx>
      <c:valAx>
        <c:axId val="1446628672"/>
        <c:scaling>
          <c:orientation val="minMax"/>
        </c:scaling>
        <c:delete val="1"/>
        <c:axPos val="l"/>
        <c:numFmt formatCode="General" sourceLinked="1"/>
        <c:majorTickMark val="none"/>
        <c:minorTickMark val="none"/>
        <c:tickLblPos val="nextTo"/>
        <c:crossAx val="1446627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CONSIDERO ADEQUADA A LOCALIZAÇÃO DO MEU TRABALHO?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spPr>
            <a:scene3d>
              <a:camera prst="orthographicFront"/>
              <a:lightRig rig="threePt" dir="t"/>
            </a:scene3d>
            <a:sp3d>
              <a:bevelT w="139700" h="139700" prst="divot"/>
            </a:sp3d>
          </c:spPr>
          <c:explosion val="15"/>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9C3C-49B0-84EE-959E80CC14A6}"/>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9C3C-49B0-84EE-959E80CC14A6}"/>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9C3C-49B0-84EE-959E80CC14A6}"/>
              </c:ext>
            </c:extLst>
          </c:dPt>
          <c:dLbls>
            <c:dLbl>
              <c:idx val="0"/>
              <c:layout>
                <c:manualLayout>
                  <c:x val="0.12608177417057742"/>
                  <c:y val="-0.1165190288713910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3C-49B0-84EE-959E80CC14A6}"/>
                </c:ext>
              </c:extLst>
            </c:dLbl>
            <c:dLbl>
              <c:idx val="1"/>
              <c:layout>
                <c:manualLayout>
                  <c:x val="-8.6962838817781399E-2"/>
                  <c:y val="7.23738699329250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3C-49B0-84EE-959E80CC14A6}"/>
                </c:ext>
              </c:extLst>
            </c:dLbl>
            <c:dLbl>
              <c:idx val="2"/>
              <c:layout>
                <c:manualLayout>
                  <c:x val="0.1279949557540305"/>
                  <c:y val="1.147710702828813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C3C-49B0-84EE-959E80CC14A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'[4]VCO-ESTRUTURAFISICA'!$A$164:$A$166</c:f>
              <c:strCache>
                <c:ptCount val="3"/>
                <c:pt idx="0">
                  <c:v>SIM</c:v>
                </c:pt>
                <c:pt idx="1">
                  <c:v>PARCIAL</c:v>
                </c:pt>
                <c:pt idx="2">
                  <c:v>NÃO</c:v>
                </c:pt>
              </c:strCache>
            </c:strRef>
          </c:cat>
          <c:val>
            <c:numRef>
              <c:f>'[4]VCO-ESTRUTURAFISICA'!$C$164:$C$166</c:f>
              <c:numCache>
                <c:formatCode>General</c:formatCode>
                <c:ptCount val="3"/>
                <c:pt idx="0">
                  <c:v>0.89583333333333337</c:v>
                </c:pt>
                <c:pt idx="1">
                  <c:v>9.375E-2</c:v>
                </c:pt>
                <c:pt idx="2">
                  <c:v>1.0416666666666666E-2</c:v>
                </c:pt>
              </c:numCache>
            </c:numRef>
          </c:val>
          <c:extLst>
            <c:ext xmlns:c16="http://schemas.microsoft.com/office/drawing/2014/chart" uri="{C3380CC4-5D6E-409C-BE32-E72D297353CC}">
              <c16:uniqueId val="{00000006-9C3C-49B0-84EE-959E80CC14A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CONSIDERO ADEQUADA A ACESSIBILIDADE NO MME?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spPr>
            <a:scene3d>
              <a:camera prst="orthographicFront"/>
              <a:lightRig rig="threePt" dir="t"/>
            </a:scene3d>
            <a:sp3d>
              <a:bevelT w="139700" h="139700" prst="divot"/>
            </a:sp3d>
          </c:spPr>
          <c:explosion val="20"/>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2DA7-42D9-A217-FD87191487E7}"/>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2DA7-42D9-A217-FD87191487E7}"/>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2DA7-42D9-A217-FD87191487E7}"/>
              </c:ext>
            </c:extLst>
          </c:dPt>
          <c:dLbls>
            <c:dLbl>
              <c:idx val="0"/>
              <c:layout>
                <c:manualLayout>
                  <c:x val="0.15641521178011944"/>
                  <c:y val="-8.252770487022455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A7-42D9-A217-FD87191487E7}"/>
                </c:ext>
              </c:extLst>
            </c:dLbl>
            <c:dLbl>
              <c:idx val="1"/>
              <c:layout>
                <c:manualLayout>
                  <c:x val="-0.11212354674571151"/>
                  <c:y val="4.921843102945465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DA7-42D9-A217-FD87191487E7}"/>
                </c:ext>
              </c:extLst>
            </c:dLbl>
            <c:dLbl>
              <c:idx val="2"/>
              <c:layout>
                <c:manualLayout>
                  <c:x val="0.19817509129766747"/>
                  <c:y val="8.061606882473024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DA7-42D9-A217-FD87191487E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'[4]VCO-ESTRUTURAFISICA'!$I$164:$I$166</c:f>
              <c:strCache>
                <c:ptCount val="3"/>
                <c:pt idx="0">
                  <c:v>SIM</c:v>
                </c:pt>
                <c:pt idx="1">
                  <c:v>PARCIAL</c:v>
                </c:pt>
                <c:pt idx="2">
                  <c:v>NÃO</c:v>
                </c:pt>
              </c:strCache>
            </c:strRef>
          </c:cat>
          <c:val>
            <c:numRef>
              <c:f>'[4]VCO-ESTRUTURAFISICA'!$K$164:$K$166</c:f>
              <c:numCache>
                <c:formatCode>General</c:formatCode>
                <c:ptCount val="3"/>
                <c:pt idx="0">
                  <c:v>0.921875</c:v>
                </c:pt>
                <c:pt idx="1">
                  <c:v>7.8125E-2</c:v>
                </c:pt>
                <c:pt idx="2">
                  <c:v>0</c:v>
                </c:pt>
              </c:numCache>
            </c:numRef>
          </c:val>
          <c:extLst>
            <c:ext xmlns:c16="http://schemas.microsoft.com/office/drawing/2014/chart" uri="{C3380CC4-5D6E-409C-BE32-E72D297353CC}">
              <c16:uniqueId val="{00000006-2DA7-42D9-A217-FD87191487E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pt-BR" sz="1200" b="1"/>
              <a:t>% da</a:t>
            </a:r>
            <a:r>
              <a:rPr lang="pt-BR" sz="1200" b="1" baseline="0"/>
              <a:t> idade &gt;= 60 anos dentro das Unidades</a:t>
            </a:r>
            <a:endParaRPr lang="pt-BR"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30935411198600177"/>
          <c:y val="0.42952281064270542"/>
          <c:w val="0.45351399825021871"/>
          <c:h val="0.43277677765428429"/>
        </c:manualLayout>
      </c:layout>
      <c:pieChart>
        <c:varyColors val="1"/>
        <c:ser>
          <c:idx val="0"/>
          <c:order val="0"/>
          <c:spPr>
            <a:solidFill>
              <a:srgbClr val="FF3300"/>
            </a:solidFill>
            <a:scene3d>
              <a:camera prst="orthographicFront"/>
              <a:lightRig rig="threePt" dir="t"/>
            </a:scene3d>
            <a:sp3d>
              <a:bevelT w="190500" h="38100"/>
            </a:sp3d>
          </c:spPr>
          <c:dPt>
            <c:idx val="0"/>
            <c:bubble3D val="0"/>
            <c:spPr>
              <a:solidFill>
                <a:schemeClr val="accent6">
                  <a:lumMod val="75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4AF3-4A3C-8E1B-2336E640BF8C}"/>
              </c:ext>
            </c:extLst>
          </c:dPt>
          <c:dPt>
            <c:idx val="1"/>
            <c:bubble3D val="0"/>
            <c:spPr>
              <a:solidFill>
                <a:srgbClr val="FF3300"/>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4AF3-4A3C-8E1B-2336E640BF8C}"/>
              </c:ext>
            </c:extLst>
          </c:dPt>
          <c:dPt>
            <c:idx val="2"/>
            <c:bubble3D val="0"/>
            <c:spPr>
              <a:solidFill>
                <a:schemeClr val="accent1">
                  <a:lumMod val="60000"/>
                  <a:lumOff val="4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5-4AF3-4A3C-8E1B-2336E640BF8C}"/>
              </c:ext>
            </c:extLst>
          </c:dPt>
          <c:dPt>
            <c:idx val="3"/>
            <c:bubble3D val="0"/>
            <c:spPr>
              <a:solidFill>
                <a:srgbClr val="FF3300"/>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7-4AF3-4A3C-8E1B-2336E640BF8C}"/>
              </c:ext>
            </c:extLst>
          </c:dPt>
          <c:dPt>
            <c:idx val="4"/>
            <c:bubble3D val="0"/>
            <c:spPr>
              <a:solidFill>
                <a:srgbClr val="FF3300"/>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9-4AF3-4A3C-8E1B-2336E640BF8C}"/>
              </c:ext>
            </c:extLst>
          </c:dPt>
          <c:dPt>
            <c:idx val="5"/>
            <c:bubble3D val="0"/>
            <c:spPr>
              <a:solidFill>
                <a:srgbClr val="FF3300"/>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B-4AF3-4A3C-8E1B-2336E640BF8C}"/>
              </c:ext>
            </c:extLst>
          </c:dPt>
          <c:dPt>
            <c:idx val="6"/>
            <c:bubble3D val="0"/>
            <c:spPr>
              <a:solidFill>
                <a:srgbClr val="FF3300"/>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D-4AF3-4A3C-8E1B-2336E640BF8C}"/>
              </c:ext>
            </c:extLst>
          </c:dPt>
          <c:dPt>
            <c:idx val="7"/>
            <c:bubble3D val="0"/>
            <c:spPr>
              <a:solidFill>
                <a:srgbClr val="FF3300"/>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F-4AF3-4A3C-8E1B-2336E640BF8C}"/>
              </c:ext>
            </c:extLst>
          </c:dPt>
          <c:dPt>
            <c:idx val="8"/>
            <c:bubble3D val="0"/>
            <c:spPr>
              <a:solidFill>
                <a:schemeClr val="tx1">
                  <a:lumMod val="65000"/>
                  <a:lumOff val="35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11-4AF3-4A3C-8E1B-2336E640BF8C}"/>
              </c:ext>
            </c:extLst>
          </c:dPt>
          <c:dPt>
            <c:idx val="9"/>
            <c:bubble3D val="0"/>
            <c:spPr>
              <a:solidFill>
                <a:srgbClr val="FF3300"/>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13-4AF3-4A3C-8E1B-2336E640BF8C}"/>
              </c:ext>
            </c:extLst>
          </c:dPt>
          <c:dPt>
            <c:idx val="10"/>
            <c:bubble3D val="0"/>
            <c:spPr>
              <a:solidFill>
                <a:srgbClr val="FF3300"/>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15-4AF3-4A3C-8E1B-2336E640BF8C}"/>
              </c:ext>
            </c:extLst>
          </c:dPt>
          <c:dPt>
            <c:idx val="11"/>
            <c:bubble3D val="0"/>
            <c:spPr>
              <a:solidFill>
                <a:srgbClr val="FF3300"/>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17-4AF3-4A3C-8E1B-2336E640BF8C}"/>
              </c:ext>
            </c:extLst>
          </c:dPt>
          <c:dPt>
            <c:idx val="12"/>
            <c:bubble3D val="0"/>
            <c:spPr>
              <a:solidFill>
                <a:schemeClr val="accent6">
                  <a:lumMod val="40000"/>
                  <a:lumOff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19-4AF3-4A3C-8E1B-2336E640BF8C}"/>
              </c:ext>
            </c:extLst>
          </c:dPt>
          <c:dPt>
            <c:idx val="13"/>
            <c:bubble3D val="0"/>
            <c:spPr>
              <a:solidFill>
                <a:srgbClr val="FF3300"/>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1B-4AF3-4A3C-8E1B-2336E640BF8C}"/>
              </c:ext>
            </c:extLst>
          </c:dPt>
          <c:dPt>
            <c:idx val="14"/>
            <c:bubble3D val="0"/>
            <c:spPr>
              <a:solidFill>
                <a:srgbClr val="FF0000"/>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1D-4AF3-4A3C-8E1B-2336E640BF8C}"/>
              </c:ext>
            </c:extLst>
          </c:dPt>
          <c:dPt>
            <c:idx val="15"/>
            <c:bubble3D val="0"/>
            <c:spPr>
              <a:solidFill>
                <a:srgbClr val="FF3300"/>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1F-4AF3-4A3C-8E1B-2336E640BF8C}"/>
              </c:ext>
            </c:extLst>
          </c:dPt>
          <c:dPt>
            <c:idx val="16"/>
            <c:bubble3D val="0"/>
            <c:spPr>
              <a:solidFill>
                <a:schemeClr val="accent4"/>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21-4AF3-4A3C-8E1B-2336E640BF8C}"/>
              </c:ext>
            </c:extLst>
          </c:dPt>
          <c:dPt>
            <c:idx val="17"/>
            <c:bubble3D val="0"/>
            <c:spPr>
              <a:solidFill>
                <a:srgbClr val="FF3300"/>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23-4AF3-4A3C-8E1B-2336E640BF8C}"/>
              </c:ext>
            </c:extLst>
          </c:dPt>
          <c:dPt>
            <c:idx val="18"/>
            <c:bubble3D val="0"/>
            <c:spPr>
              <a:solidFill>
                <a:schemeClr val="accent4">
                  <a:lumMod val="20000"/>
                  <a:lumOff val="8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25-4AF3-4A3C-8E1B-2336E640BF8C}"/>
              </c:ext>
            </c:extLst>
          </c:dPt>
          <c:dPt>
            <c:idx val="19"/>
            <c:bubble3D val="0"/>
            <c:spPr>
              <a:solidFill>
                <a:srgbClr val="FF3300"/>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27-4AF3-4A3C-8E1B-2336E640BF8C}"/>
              </c:ext>
            </c:extLst>
          </c:dPt>
          <c:dPt>
            <c:idx val="20"/>
            <c:bubble3D val="0"/>
            <c:spPr>
              <a:solidFill>
                <a:srgbClr val="00B0F0"/>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29-4AF3-4A3C-8E1B-2336E640BF8C}"/>
              </c:ext>
            </c:extLst>
          </c:dPt>
          <c:dPt>
            <c:idx val="21"/>
            <c:bubble3D val="0"/>
            <c:spPr>
              <a:solidFill>
                <a:srgbClr val="FF3300"/>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2B-4AF3-4A3C-8E1B-2336E640BF8C}"/>
              </c:ext>
            </c:extLst>
          </c:dPt>
          <c:dPt>
            <c:idx val="22"/>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2D-4AF3-4A3C-8E1B-2336E640BF8C}"/>
              </c:ext>
            </c:extLst>
          </c:dPt>
          <c:dPt>
            <c:idx val="23"/>
            <c:bubble3D val="0"/>
            <c:spPr>
              <a:solidFill>
                <a:srgbClr val="FF3300"/>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2F-4AF3-4A3C-8E1B-2336E640BF8C}"/>
              </c:ext>
            </c:extLst>
          </c:dPt>
          <c:dLbls>
            <c:dLbl>
              <c:idx val="0"/>
              <c:layout>
                <c:manualLayout>
                  <c:x val="0.109192694663167"/>
                  <c:y val="-0.11245179839597585"/>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F3-4A3C-8E1B-2336E640BF8C}"/>
                </c:ext>
              </c:extLst>
            </c:dLbl>
            <c:dLbl>
              <c:idx val="2"/>
              <c:layout>
                <c:manualLayout>
                  <c:x val="9.8016622922134727E-2"/>
                  <c:y val="3.8323340795123782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AF3-4A3C-8E1B-2336E640BF8C}"/>
                </c:ext>
              </c:extLst>
            </c:dLbl>
            <c:dLbl>
              <c:idx val="4"/>
              <c:layout>
                <c:manualLayout>
                  <c:x val="-0.46246336395450566"/>
                  <c:y val="-0.23216647620836658"/>
                </c:manualLayout>
              </c:layout>
              <c:showLegendKey val="0"/>
              <c:showVal val="1"/>
              <c:showCatName val="1"/>
              <c:showSerName val="0"/>
              <c:showPercent val="0"/>
              <c:showBubbleSize val="0"/>
              <c:extLst>
                <c:ext xmlns:c15="http://schemas.microsoft.com/office/drawing/2012/chart" uri="{CE6537A1-D6FC-4f65-9D91-7224C49458BB}">
                  <c15:layout>
                    <c:manualLayout>
                      <c:w val="0.23423600174978124"/>
                      <c:h val="0.15354549866157385"/>
                    </c:manualLayout>
                  </c15:layout>
                </c:ext>
                <c:ext xmlns:c16="http://schemas.microsoft.com/office/drawing/2014/chart" uri="{C3380CC4-5D6E-409C-BE32-E72D297353CC}">
                  <c16:uniqueId val="{00000009-4AF3-4A3C-8E1B-2336E640BF8C}"/>
                </c:ext>
              </c:extLst>
            </c:dLbl>
            <c:dLbl>
              <c:idx val="6"/>
              <c:layout>
                <c:manualLayout>
                  <c:x val="-0.72039063867016628"/>
                  <c:y val="-0.23180079627223535"/>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AF3-4A3C-8E1B-2336E640BF8C}"/>
                </c:ext>
              </c:extLst>
            </c:dLbl>
            <c:dLbl>
              <c:idx val="8"/>
              <c:layout>
                <c:manualLayout>
                  <c:x val="6.9557195975502958E-2"/>
                  <c:y val="3.1158038644771801E-2"/>
                </c:manualLayout>
              </c:layout>
              <c:showLegendKey val="0"/>
              <c:showVal val="1"/>
              <c:showCatName val="1"/>
              <c:showSerName val="0"/>
              <c:showPercent val="0"/>
              <c:showBubbleSize val="0"/>
              <c:extLst>
                <c:ext xmlns:c15="http://schemas.microsoft.com/office/drawing/2012/chart" uri="{CE6537A1-D6FC-4f65-9D91-7224C49458BB}">
                  <c15:layout>
                    <c:manualLayout>
                      <c:w val="0.19397550306211722"/>
                      <c:h val="0.21178274186899601"/>
                    </c:manualLayout>
                  </c15:layout>
                </c:ext>
                <c:ext xmlns:c16="http://schemas.microsoft.com/office/drawing/2014/chart" uri="{C3380CC4-5D6E-409C-BE32-E72D297353CC}">
                  <c16:uniqueId val="{00000011-4AF3-4A3C-8E1B-2336E640BF8C}"/>
                </c:ext>
              </c:extLst>
            </c:dLbl>
            <c:dLbl>
              <c:idx val="10"/>
              <c:layout>
                <c:manualLayout>
                  <c:x val="-0.21468033683289589"/>
                  <c:y val="-0.61303068726747134"/>
                </c:manualLayout>
              </c:layout>
              <c:showLegendKey val="0"/>
              <c:showVal val="1"/>
              <c:showCatName val="1"/>
              <c:showSerName val="0"/>
              <c:showPercent val="0"/>
              <c:showBubbleSize val="0"/>
              <c:extLst>
                <c:ext xmlns:c15="http://schemas.microsoft.com/office/drawing/2012/chart" uri="{CE6537A1-D6FC-4f65-9D91-7224C49458BB}">
                  <c15:layout>
                    <c:manualLayout>
                      <c:w val="0.20699999999999996"/>
                      <c:h val="6.6189529489728297E-2"/>
                    </c:manualLayout>
                  </c15:layout>
                </c:ext>
                <c:ext xmlns:c16="http://schemas.microsoft.com/office/drawing/2014/chart" uri="{C3380CC4-5D6E-409C-BE32-E72D297353CC}">
                  <c16:uniqueId val="{00000015-4AF3-4A3C-8E1B-2336E640BF8C}"/>
                </c:ext>
              </c:extLst>
            </c:dLbl>
            <c:dLbl>
              <c:idx val="12"/>
              <c:layout>
                <c:manualLayout>
                  <c:x val="0.10640069991251083"/>
                  <c:y val="1.539612717396408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AF3-4A3C-8E1B-2336E640BF8C}"/>
                </c:ext>
              </c:extLst>
            </c:dLbl>
            <c:dLbl>
              <c:idx val="14"/>
              <c:layout>
                <c:manualLayout>
                  <c:x val="6.0005686789151254E-2"/>
                  <c:y val="5.284659497085727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AF3-4A3C-8E1B-2336E640BF8C}"/>
                </c:ext>
              </c:extLst>
            </c:dLbl>
            <c:dLbl>
              <c:idx val="16"/>
              <c:layout>
                <c:manualLayout>
                  <c:x val="-3.7832786526684162E-2"/>
                  <c:y val="7.1939387298257607E-2"/>
                </c:manualLayout>
              </c:layout>
              <c:showLegendKey val="0"/>
              <c:showVal val="1"/>
              <c:showCatName val="1"/>
              <c:showSerName val="0"/>
              <c:showPercent val="0"/>
              <c:showBubbleSize val="0"/>
              <c:extLst>
                <c:ext xmlns:c15="http://schemas.microsoft.com/office/drawing/2012/chart" uri="{CE6537A1-D6FC-4f65-9D91-7224C49458BB}">
                  <c15:layout>
                    <c:manualLayout>
                      <c:w val="0.24680555555555556"/>
                      <c:h val="0.15354549866157385"/>
                    </c:manualLayout>
                  </c15:layout>
                </c:ext>
                <c:ext xmlns:c16="http://schemas.microsoft.com/office/drawing/2014/chart" uri="{C3380CC4-5D6E-409C-BE32-E72D297353CC}">
                  <c16:uniqueId val="{00000021-4AF3-4A3C-8E1B-2336E640BF8C}"/>
                </c:ext>
              </c:extLst>
            </c:dLbl>
            <c:dLbl>
              <c:idx val="18"/>
              <c:layout>
                <c:manualLayout>
                  <c:x val="-2.8694444444444449E-2"/>
                  <c:y val="0.1173847205481023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AF3-4A3C-8E1B-2336E640BF8C}"/>
                </c:ext>
              </c:extLst>
            </c:dLbl>
            <c:dLbl>
              <c:idx val="20"/>
              <c:layout>
                <c:manualLayout>
                  <c:x val="-6.6326115485564302E-2"/>
                  <c:y val="-3.230172769159327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9-4AF3-4A3C-8E1B-2336E640BF8C}"/>
                </c:ext>
              </c:extLst>
            </c:dLbl>
            <c:dLbl>
              <c:idx val="22"/>
              <c:layout>
                <c:manualLayout>
                  <c:x val="0.14088779527559059"/>
                  <c:y val="-3.512343263255114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D-4AF3-4A3C-8E1B-2336E640BF8C}"/>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[3]Planilha1!$B$272:$Y$272</c:f>
              <c:strCache>
                <c:ptCount val="24"/>
                <c:pt idx="0">
                  <c:v>Gabinete do Ministro</c:v>
                </c:pt>
                <c:pt idx="2">
                  <c:v>Assessoria Econômica</c:v>
                </c:pt>
                <c:pt idx="4">
                  <c:v>Assessoria Especial de Relações Internacionais</c:v>
                </c:pt>
                <c:pt idx="6">
                  <c:v>Assessoria Especial de Controle Interno</c:v>
                </c:pt>
                <c:pt idx="8">
                  <c:v>Assessoria Especial de Acompanhamento de Políticas, Estratégias e Desempenho Setoriais</c:v>
                </c:pt>
                <c:pt idx="10">
                  <c:v>Consultoria Jurídica</c:v>
                </c:pt>
                <c:pt idx="12">
                  <c:v>Secretaria Executiva</c:v>
                </c:pt>
                <c:pt idx="14">
                  <c:v>SPOA</c:v>
                </c:pt>
                <c:pt idx="16">
                  <c:v>Secretaria de Geologia, Mineração e Transformação Mineral</c:v>
                </c:pt>
                <c:pt idx="18">
                  <c:v>Secretaria de Planejamento e Desenvolvimento Energético</c:v>
                </c:pt>
                <c:pt idx="20">
                  <c:v>Secretaria de Petróleo, Gás Natural e Biocombustíveis</c:v>
                </c:pt>
                <c:pt idx="22">
                  <c:v>Secretaria de Energia Elétrica</c:v>
                </c:pt>
              </c:strCache>
            </c:strRef>
          </c:cat>
          <c:val>
            <c:numRef>
              <c:f>[3]Planilha1!$B$273:$Y$273</c:f>
              <c:numCache>
                <c:formatCode>General</c:formatCode>
                <c:ptCount val="24"/>
                <c:pt idx="0">
                  <c:v>0.24137931034482762</c:v>
                </c:pt>
                <c:pt idx="2">
                  <c:v>0.125</c:v>
                </c:pt>
                <c:pt idx="4">
                  <c:v>0</c:v>
                </c:pt>
                <c:pt idx="6">
                  <c:v>0</c:v>
                </c:pt>
                <c:pt idx="8">
                  <c:v>0.60000000000000009</c:v>
                </c:pt>
                <c:pt idx="10">
                  <c:v>0</c:v>
                </c:pt>
                <c:pt idx="12">
                  <c:v>0.24999999999999997</c:v>
                </c:pt>
                <c:pt idx="14">
                  <c:v>0.45251396648044689</c:v>
                </c:pt>
                <c:pt idx="16">
                  <c:v>0.33333333333333337</c:v>
                </c:pt>
                <c:pt idx="18">
                  <c:v>0.30434782608695649</c:v>
                </c:pt>
                <c:pt idx="20">
                  <c:v>8.5714285714285715E-2</c:v>
                </c:pt>
                <c:pt idx="22">
                  <c:v>0.35294117647058815</c:v>
                </c:pt>
              </c:numCache>
            </c:numRef>
          </c:val>
          <c:extLst>
            <c:ext xmlns:c16="http://schemas.microsoft.com/office/drawing/2014/chart" uri="{C3380CC4-5D6E-409C-BE32-E72D297353CC}">
              <c16:uniqueId val="{00000030-4AF3-4A3C-8E1B-2336E640BF8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DURANTE O PERÍODO DA PANDEMIA, NO TELETRABALHO, OS SISTEMAS REMOTOS DISPONIBILIZADOS FUNCIONARAM A CONTENTO?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spPr>
            <a:scene3d>
              <a:camera prst="orthographicFront"/>
              <a:lightRig rig="threePt" dir="t"/>
            </a:scene3d>
            <a:sp3d>
              <a:bevelT w="139700" h="139700" prst="divot"/>
            </a:sp3d>
          </c:spPr>
          <c:explosion val="11"/>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F6C2-45F8-819D-2ABE58EC21E6}"/>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F6C2-45F8-819D-2ABE58EC21E6}"/>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F6C2-45F8-819D-2ABE58EC21E6}"/>
              </c:ext>
            </c:extLst>
          </c:dPt>
          <c:dLbls>
            <c:dLbl>
              <c:idx val="0"/>
              <c:layout>
                <c:manualLayout>
                  <c:x val="9.4442241015785647E-2"/>
                  <c:y val="-2.797608632254301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C2-45F8-819D-2ABE58EC21E6}"/>
                </c:ext>
              </c:extLst>
            </c:dLbl>
            <c:dLbl>
              <c:idx val="1"/>
              <c:layout>
                <c:manualLayout>
                  <c:x val="-8.5471781159257285E-2"/>
                  <c:y val="7.396070282881306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6C2-45F8-819D-2ABE58EC21E6}"/>
                </c:ext>
              </c:extLst>
            </c:dLbl>
            <c:dLbl>
              <c:idx val="2"/>
              <c:layout>
                <c:manualLayout>
                  <c:x val="7.0216123270980757E-2"/>
                  <c:y val="-1.662328667249927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6C2-45F8-819D-2ABE58EC21E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'[4]VCO-PANDEMIA'!$A$5:$A$7</c:f>
              <c:strCache>
                <c:ptCount val="3"/>
                <c:pt idx="0">
                  <c:v>SIM</c:v>
                </c:pt>
                <c:pt idx="1">
                  <c:v>PARCIAL</c:v>
                </c:pt>
                <c:pt idx="2">
                  <c:v>NÃO</c:v>
                </c:pt>
              </c:strCache>
            </c:strRef>
          </c:cat>
          <c:val>
            <c:numRef>
              <c:f>'[4]VCO-PANDEMIA'!$C$5:$C$7</c:f>
              <c:numCache>
                <c:formatCode>General</c:formatCode>
                <c:ptCount val="3"/>
                <c:pt idx="0">
                  <c:v>0.65625</c:v>
                </c:pt>
                <c:pt idx="1">
                  <c:v>0.32291666666666669</c:v>
                </c:pt>
                <c:pt idx="2">
                  <c:v>2.0833333333333332E-2</c:v>
                </c:pt>
              </c:numCache>
            </c:numRef>
          </c:val>
          <c:extLst>
            <c:ext xmlns:c16="http://schemas.microsoft.com/office/drawing/2014/chart" uri="{C3380CC4-5D6E-409C-BE32-E72D297353CC}">
              <c16:uniqueId val="{00000006-F6C2-45F8-819D-2ABE58EC21E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DURANTE O PERÍODO DE PANDEMIA, NO TRABALHO PRESENCIAL, AS INSTALAÇÕES DO MME ENCONTRARAM -SE APTAS AO EXERCÍCIO SEGURO DAS ATIVIDADES?</a:t>
            </a:r>
            <a:r>
              <a:rPr lang="pt-BR" sz="1100" b="1" baseline="0"/>
              <a:t> (2020)</a:t>
            </a:r>
            <a:endParaRPr lang="pt-BR"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spPr>
            <a:scene3d>
              <a:camera prst="orthographicFront"/>
              <a:lightRig rig="threePt" dir="t"/>
            </a:scene3d>
            <a:sp3d>
              <a:bevelT w="139700" h="139700" prst="divot"/>
            </a:sp3d>
          </c:spPr>
          <c:explosion val="16"/>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DA50-41FA-8419-9CFEC3BF544C}"/>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DA50-41FA-8419-9CFEC3BF544C}"/>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DA50-41FA-8419-9CFEC3BF544C}"/>
              </c:ext>
            </c:extLst>
          </c:dPt>
          <c:dLbls>
            <c:dLbl>
              <c:idx val="0"/>
              <c:layout>
                <c:manualLayout>
                  <c:x val="9.0732768220944102E-2"/>
                  <c:y val="-0.1077763196267133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50-41FA-8419-9CFEC3BF544C}"/>
                </c:ext>
              </c:extLst>
            </c:dLbl>
            <c:dLbl>
              <c:idx val="1"/>
              <c:layout>
                <c:manualLayout>
                  <c:x val="-0.10346430489865971"/>
                  <c:y val="1.583442694663167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50-41FA-8419-9CFEC3BF544C}"/>
                </c:ext>
              </c:extLst>
            </c:dLbl>
            <c:dLbl>
              <c:idx val="2"/>
              <c:layout>
                <c:manualLayout>
                  <c:x val="7.3241011262943218E-2"/>
                  <c:y val="-3.967519685039370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50-41FA-8419-9CFEC3BF544C}"/>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'[4]VCO-PANDEMIA'!$I$5:$I$7</c:f>
              <c:strCache>
                <c:ptCount val="3"/>
                <c:pt idx="0">
                  <c:v>SIM</c:v>
                </c:pt>
                <c:pt idx="1">
                  <c:v>PARCIAL</c:v>
                </c:pt>
                <c:pt idx="2">
                  <c:v>NÃO</c:v>
                </c:pt>
              </c:strCache>
            </c:strRef>
          </c:cat>
          <c:val>
            <c:numRef>
              <c:f>'[4]VCO-PANDEMIA'!$K$5:$K$7</c:f>
              <c:numCache>
                <c:formatCode>General</c:formatCode>
                <c:ptCount val="3"/>
                <c:pt idx="0">
                  <c:v>0.72916666666666663</c:v>
                </c:pt>
                <c:pt idx="1">
                  <c:v>0.20833333333333334</c:v>
                </c:pt>
                <c:pt idx="2">
                  <c:v>6.25E-2</c:v>
                </c:pt>
              </c:numCache>
            </c:numRef>
          </c:val>
          <c:extLst>
            <c:ext xmlns:c16="http://schemas.microsoft.com/office/drawing/2014/chart" uri="{C3380CC4-5D6E-409C-BE32-E72D297353CC}">
              <c16:uniqueId val="{00000006-DA50-41FA-8419-9CFEC3BF544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DURANTE O PERÍODO DE PANDEMIA, NO TELETRABALHO, CONTRIBUÍ PARA O DESENVOLVIMENTO DAS ATIVIDADES NECESSÁRIAS?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spPr>
            <a:scene3d>
              <a:camera prst="orthographicFront"/>
              <a:lightRig rig="threePt" dir="t"/>
            </a:scene3d>
            <a:sp3d>
              <a:bevelT w="139700" h="139700" prst="divot"/>
            </a:sp3d>
          </c:spPr>
          <c:explosion val="15"/>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5661-4EA0-9DA5-49EE3DEDFCEE}"/>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5661-4EA0-9DA5-49EE3DEDFCEE}"/>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5661-4EA0-9DA5-49EE3DEDFCEE}"/>
              </c:ext>
            </c:extLst>
          </c:dPt>
          <c:dLbls>
            <c:dLbl>
              <c:idx val="0"/>
              <c:layout>
                <c:manualLayout>
                  <c:x val="0.13242472597901997"/>
                  <c:y val="-0.1006299212598425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61-4EA0-9DA5-49EE3DEDFCEE}"/>
                </c:ext>
              </c:extLst>
            </c:dLbl>
            <c:dLbl>
              <c:idx val="1"/>
              <c:layout>
                <c:manualLayout>
                  <c:x val="-4.3084469092526223E-2"/>
                  <c:y val="5.6977252843394576E-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61-4EA0-9DA5-49EE3DEDFCEE}"/>
                </c:ext>
              </c:extLst>
            </c:dLbl>
            <c:dLbl>
              <c:idx val="2"/>
              <c:layout>
                <c:manualLayout>
                  <c:x val="8.4296526887627413E-2"/>
                  <c:y val="-1.302165354330710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61-4EA0-9DA5-49EE3DEDFCE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'[4]VCO-PANDEMIA'!$A$29:$A$31</c:f>
              <c:strCache>
                <c:ptCount val="3"/>
                <c:pt idx="0">
                  <c:v>SIM</c:v>
                </c:pt>
                <c:pt idx="1">
                  <c:v>PARCIAL</c:v>
                </c:pt>
                <c:pt idx="2">
                  <c:v>NÃO</c:v>
                </c:pt>
              </c:strCache>
            </c:strRef>
          </c:cat>
          <c:val>
            <c:numRef>
              <c:f>'[4]VCO-PANDEMIA'!$C$29:$C$31</c:f>
              <c:numCache>
                <c:formatCode>General</c:formatCode>
                <c:ptCount val="3"/>
                <c:pt idx="0">
                  <c:v>0.90104166666666663</c:v>
                </c:pt>
                <c:pt idx="1">
                  <c:v>8.8541666666666671E-2</c:v>
                </c:pt>
                <c:pt idx="2">
                  <c:v>1.0416666666666666E-2</c:v>
                </c:pt>
              </c:numCache>
            </c:numRef>
          </c:val>
          <c:extLst>
            <c:ext xmlns:c16="http://schemas.microsoft.com/office/drawing/2014/chart" uri="{C3380CC4-5D6E-409C-BE32-E72D297353CC}">
              <c16:uniqueId val="{00000006-5661-4EA0-9DA5-49EE3DEDFCE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DURANTE O PERÍODO DA PANDEMIA, NO TRABALHO PRESENCIAL, CONTRIBUÍ PARA O DESENVOLVIMENTO DAS NECESSÁRIAS? (2020)</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spPr>
            <a:scene3d>
              <a:camera prst="orthographicFront"/>
              <a:lightRig rig="threePt" dir="t"/>
            </a:scene3d>
            <a:sp3d>
              <a:bevelT w="139700" h="139700" prst="divot"/>
            </a:sp3d>
          </c:spPr>
          <c:explosion val="19"/>
          <c:dPt>
            <c:idx val="0"/>
            <c:bubble3D val="0"/>
            <c:spPr>
              <a:solidFill>
                <a:schemeClr val="accent1"/>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FD4B-4CEA-B8BD-3D9AFC5B06E5}"/>
              </c:ext>
            </c:extLst>
          </c:dPt>
          <c:dPt>
            <c:idx val="1"/>
            <c:bubble3D val="0"/>
            <c:spPr>
              <a:solidFill>
                <a:schemeClr val="accent2"/>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FD4B-4CEA-B8BD-3D9AFC5B06E5}"/>
              </c:ext>
            </c:extLst>
          </c:dPt>
          <c:dPt>
            <c:idx val="2"/>
            <c:bubble3D val="0"/>
            <c:spPr>
              <a:solidFill>
                <a:schemeClr val="accent3"/>
              </a:solidFill>
              <a:ln w="19050">
                <a:solidFill>
                  <a:schemeClr val="l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FD4B-4CEA-B8BD-3D9AFC5B06E5}"/>
              </c:ext>
            </c:extLst>
          </c:dPt>
          <c:dLbls>
            <c:dLbl>
              <c:idx val="0"/>
              <c:layout>
                <c:manualLayout>
                  <c:x val="0.13885567786613737"/>
                  <c:y val="-0.15662474482356381"/>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4B-4CEA-B8BD-3D9AFC5B06E5}"/>
                </c:ext>
              </c:extLst>
            </c:dLbl>
            <c:dLbl>
              <c:idx val="1"/>
              <c:layout>
                <c:manualLayout>
                  <c:x val="-7.7607413501173048E-2"/>
                  <c:y val="3.1700204141149025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4B-4CEA-B8BD-3D9AFC5B06E5}"/>
                </c:ext>
              </c:extLst>
            </c:dLbl>
            <c:dLbl>
              <c:idx val="2"/>
              <c:layout>
                <c:manualLayout>
                  <c:x val="-1.1462547281092351E-2"/>
                  <c:y val="-1.937664041994748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4B-4CEA-B8BD-3D9AFC5B06E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'[4]VCO-PANDEMIA'!$I$29:$I$31</c:f>
              <c:strCache>
                <c:ptCount val="3"/>
                <c:pt idx="0">
                  <c:v>SIM</c:v>
                </c:pt>
                <c:pt idx="1">
                  <c:v>PARCIAL</c:v>
                </c:pt>
                <c:pt idx="2">
                  <c:v>NÃO</c:v>
                </c:pt>
              </c:strCache>
            </c:strRef>
          </c:cat>
          <c:val>
            <c:numRef>
              <c:f>'[4]VCO-PANDEMIA'!$K$29:$K$31</c:f>
              <c:numCache>
                <c:formatCode>General</c:formatCode>
                <c:ptCount val="3"/>
                <c:pt idx="0">
                  <c:v>0.78645833333333337</c:v>
                </c:pt>
                <c:pt idx="1">
                  <c:v>0.140625</c:v>
                </c:pt>
                <c:pt idx="2">
                  <c:v>7.2916666666666671E-2</c:v>
                </c:pt>
              </c:numCache>
            </c:numRef>
          </c:val>
          <c:extLst>
            <c:ext xmlns:c16="http://schemas.microsoft.com/office/drawing/2014/chart" uri="{C3380CC4-5D6E-409C-BE32-E72D297353CC}">
              <c16:uniqueId val="{00000006-FD4B-4CEA-B8BD-3D9AFC5B06E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dLbls>
          <c:showLegendKey val="0"/>
          <c:showVal val="0"/>
          <c:showCatName val="0"/>
          <c:showSerName val="0"/>
          <c:showPercent val="0"/>
          <c:showBubbleSize val="0"/>
        </c:dLbls>
        <c:gapWidth val="219"/>
        <c:overlap val="-27"/>
        <c:axId val="588662512"/>
        <c:axId val="588664152"/>
      </c:barChart>
      <c:catAx>
        <c:axId val="58866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88664152"/>
        <c:crosses val="autoZero"/>
        <c:auto val="1"/>
        <c:lblAlgn val="ctr"/>
        <c:lblOffset val="100"/>
        <c:noMultiLvlLbl val="0"/>
      </c:catAx>
      <c:valAx>
        <c:axId val="588664152"/>
        <c:scaling>
          <c:orientation val="minMax"/>
        </c:scaling>
        <c:delete val="1"/>
        <c:axPos val="l"/>
        <c:numFmt formatCode="0.00%" sourceLinked="1"/>
        <c:majorTickMark val="none"/>
        <c:minorTickMark val="none"/>
        <c:tickLblPos val="nextTo"/>
        <c:crossAx val="58866251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pt-BR" sz="1200" b="1"/>
              <a:t>IDADE</a:t>
            </a:r>
            <a:r>
              <a:rPr lang="pt-BR" sz="1200" b="1" baseline="0"/>
              <a:t> - Exercício MME</a:t>
            </a:r>
            <a:endParaRPr lang="pt-BR"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1"/>
          <c:order val="0"/>
          <c:spPr>
            <a:solidFill>
              <a:schemeClr val="accent1"/>
            </a:solidFill>
            <a:ln>
              <a:noFill/>
            </a:ln>
            <a:effectLst/>
            <a:scene3d>
              <a:camera prst="orthographicFront"/>
              <a:lightRig rig="threePt" dir="t"/>
            </a:scene3d>
            <a:sp3d>
              <a:bevelT w="190500" h="381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[3]Planilha1!$A$3:$A$57</c:f>
              <c:numCache>
                <c:formatCode>General</c:formatCode>
                <c:ptCount val="55"/>
                <c:pt idx="0">
                  <c:v>23</c:v>
                </c:pt>
                <c:pt idx="1">
                  <c:v>25</c:v>
                </c:pt>
                <c:pt idx="2">
                  <c:v>26</c:v>
                </c:pt>
                <c:pt idx="3">
                  <c:v>28</c:v>
                </c:pt>
                <c:pt idx="4">
                  <c:v>30</c:v>
                </c:pt>
                <c:pt idx="5">
                  <c:v>31</c:v>
                </c:pt>
                <c:pt idx="6">
                  <c:v>32</c:v>
                </c:pt>
                <c:pt idx="7">
                  <c:v>33</c:v>
                </c:pt>
                <c:pt idx="8">
                  <c:v>34</c:v>
                </c:pt>
                <c:pt idx="9">
                  <c:v>35</c:v>
                </c:pt>
                <c:pt idx="10">
                  <c:v>36</c:v>
                </c:pt>
                <c:pt idx="11">
                  <c:v>37</c:v>
                </c:pt>
                <c:pt idx="12">
                  <c:v>38</c:v>
                </c:pt>
                <c:pt idx="13">
                  <c:v>39</c:v>
                </c:pt>
                <c:pt idx="14">
                  <c:v>40</c:v>
                </c:pt>
                <c:pt idx="15">
                  <c:v>41</c:v>
                </c:pt>
                <c:pt idx="16">
                  <c:v>42</c:v>
                </c:pt>
                <c:pt idx="17">
                  <c:v>43</c:v>
                </c:pt>
                <c:pt idx="18">
                  <c:v>44</c:v>
                </c:pt>
                <c:pt idx="19">
                  <c:v>45</c:v>
                </c:pt>
                <c:pt idx="20">
                  <c:v>46</c:v>
                </c:pt>
                <c:pt idx="21">
                  <c:v>47</c:v>
                </c:pt>
                <c:pt idx="22">
                  <c:v>48</c:v>
                </c:pt>
                <c:pt idx="23">
                  <c:v>49</c:v>
                </c:pt>
                <c:pt idx="24">
                  <c:v>50</c:v>
                </c:pt>
                <c:pt idx="25">
                  <c:v>51</c:v>
                </c:pt>
                <c:pt idx="26">
                  <c:v>52</c:v>
                </c:pt>
                <c:pt idx="27">
                  <c:v>53</c:v>
                </c:pt>
                <c:pt idx="28">
                  <c:v>54</c:v>
                </c:pt>
                <c:pt idx="29">
                  <c:v>55</c:v>
                </c:pt>
                <c:pt idx="30">
                  <c:v>56</c:v>
                </c:pt>
                <c:pt idx="31">
                  <c:v>57</c:v>
                </c:pt>
                <c:pt idx="32">
                  <c:v>58</c:v>
                </c:pt>
                <c:pt idx="33">
                  <c:v>59</c:v>
                </c:pt>
                <c:pt idx="34">
                  <c:v>60</c:v>
                </c:pt>
                <c:pt idx="35">
                  <c:v>61</c:v>
                </c:pt>
                <c:pt idx="36">
                  <c:v>62</c:v>
                </c:pt>
                <c:pt idx="37">
                  <c:v>63</c:v>
                </c:pt>
                <c:pt idx="38">
                  <c:v>64</c:v>
                </c:pt>
                <c:pt idx="39">
                  <c:v>65</c:v>
                </c:pt>
                <c:pt idx="40">
                  <c:v>66</c:v>
                </c:pt>
                <c:pt idx="41">
                  <c:v>67</c:v>
                </c:pt>
                <c:pt idx="42">
                  <c:v>68</c:v>
                </c:pt>
                <c:pt idx="43">
                  <c:v>69</c:v>
                </c:pt>
                <c:pt idx="44">
                  <c:v>70</c:v>
                </c:pt>
                <c:pt idx="45">
                  <c:v>71</c:v>
                </c:pt>
                <c:pt idx="46">
                  <c:v>72</c:v>
                </c:pt>
                <c:pt idx="47">
                  <c:v>74</c:v>
                </c:pt>
                <c:pt idx="48">
                  <c:v>75</c:v>
                </c:pt>
                <c:pt idx="49">
                  <c:v>76</c:v>
                </c:pt>
                <c:pt idx="50">
                  <c:v>78</c:v>
                </c:pt>
                <c:pt idx="51">
                  <c:v>79</c:v>
                </c:pt>
                <c:pt idx="52">
                  <c:v>80</c:v>
                </c:pt>
                <c:pt idx="53">
                  <c:v>81</c:v>
                </c:pt>
                <c:pt idx="54">
                  <c:v>82</c:v>
                </c:pt>
              </c:numCache>
            </c:numRef>
          </c:cat>
          <c:val>
            <c:numRef>
              <c:f>[3]Planilha1!$Z$4:$Z$57</c:f>
              <c:numCache>
                <c:formatCode>General</c:formatCode>
                <c:ptCount val="54"/>
                <c:pt idx="0">
                  <c:v>1</c:v>
                </c:pt>
                <c:pt idx="1">
                  <c:v>3</c:v>
                </c:pt>
                <c:pt idx="2">
                  <c:v>1</c:v>
                </c:pt>
                <c:pt idx="3">
                  <c:v>4</c:v>
                </c:pt>
                <c:pt idx="4">
                  <c:v>3</c:v>
                </c:pt>
                <c:pt idx="5">
                  <c:v>3</c:v>
                </c:pt>
                <c:pt idx="6">
                  <c:v>2</c:v>
                </c:pt>
                <c:pt idx="7">
                  <c:v>6</c:v>
                </c:pt>
                <c:pt idx="8">
                  <c:v>10</c:v>
                </c:pt>
                <c:pt idx="9">
                  <c:v>15</c:v>
                </c:pt>
                <c:pt idx="10">
                  <c:v>10</c:v>
                </c:pt>
                <c:pt idx="11">
                  <c:v>12</c:v>
                </c:pt>
                <c:pt idx="12">
                  <c:v>15</c:v>
                </c:pt>
                <c:pt idx="13">
                  <c:v>11</c:v>
                </c:pt>
                <c:pt idx="14">
                  <c:v>12</c:v>
                </c:pt>
                <c:pt idx="15">
                  <c:v>12</c:v>
                </c:pt>
                <c:pt idx="16">
                  <c:v>11</c:v>
                </c:pt>
                <c:pt idx="17">
                  <c:v>5</c:v>
                </c:pt>
                <c:pt idx="18">
                  <c:v>9</c:v>
                </c:pt>
                <c:pt idx="19">
                  <c:v>11</c:v>
                </c:pt>
                <c:pt idx="20">
                  <c:v>8</c:v>
                </c:pt>
                <c:pt idx="21">
                  <c:v>8</c:v>
                </c:pt>
                <c:pt idx="22">
                  <c:v>10</c:v>
                </c:pt>
                <c:pt idx="23">
                  <c:v>9</c:v>
                </c:pt>
                <c:pt idx="24">
                  <c:v>18</c:v>
                </c:pt>
                <c:pt idx="25">
                  <c:v>7</c:v>
                </c:pt>
                <c:pt idx="26">
                  <c:v>8</c:v>
                </c:pt>
                <c:pt idx="27">
                  <c:v>20</c:v>
                </c:pt>
                <c:pt idx="28">
                  <c:v>19</c:v>
                </c:pt>
                <c:pt idx="29">
                  <c:v>26</c:v>
                </c:pt>
                <c:pt idx="30">
                  <c:v>15</c:v>
                </c:pt>
                <c:pt idx="31">
                  <c:v>14</c:v>
                </c:pt>
                <c:pt idx="32">
                  <c:v>14</c:v>
                </c:pt>
                <c:pt idx="33">
                  <c:v>18</c:v>
                </c:pt>
                <c:pt idx="34">
                  <c:v>12</c:v>
                </c:pt>
                <c:pt idx="35">
                  <c:v>14</c:v>
                </c:pt>
                <c:pt idx="36">
                  <c:v>11</c:v>
                </c:pt>
                <c:pt idx="37">
                  <c:v>10</c:v>
                </c:pt>
                <c:pt idx="38">
                  <c:v>8</c:v>
                </c:pt>
                <c:pt idx="39">
                  <c:v>13</c:v>
                </c:pt>
                <c:pt idx="40">
                  <c:v>14</c:v>
                </c:pt>
                <c:pt idx="41">
                  <c:v>13</c:v>
                </c:pt>
                <c:pt idx="42">
                  <c:v>10</c:v>
                </c:pt>
                <c:pt idx="43">
                  <c:v>5</c:v>
                </c:pt>
                <c:pt idx="44">
                  <c:v>7</c:v>
                </c:pt>
                <c:pt idx="45">
                  <c:v>7</c:v>
                </c:pt>
                <c:pt idx="46">
                  <c:v>3</c:v>
                </c:pt>
                <c:pt idx="47">
                  <c:v>2</c:v>
                </c:pt>
                <c:pt idx="48">
                  <c:v>3</c:v>
                </c:pt>
                <c:pt idx="49">
                  <c:v>0</c:v>
                </c:pt>
                <c:pt idx="50">
                  <c:v>3</c:v>
                </c:pt>
                <c:pt idx="51">
                  <c:v>1</c:v>
                </c:pt>
                <c:pt idx="52">
                  <c:v>1</c:v>
                </c:pt>
                <c:pt idx="53">
                  <c:v>2</c:v>
                </c:pt>
              </c:numCache>
            </c:numRef>
          </c:val>
          <c:extLst>
            <c:ext xmlns:c16="http://schemas.microsoft.com/office/drawing/2014/chart" uri="{C3380CC4-5D6E-409C-BE32-E72D297353CC}">
              <c16:uniqueId val="{00000000-8D39-46A3-93B5-2ECC3F671525}"/>
            </c:ext>
          </c:extLst>
        </c:ser>
        <c:dLbls>
          <c:showLegendKey val="0"/>
          <c:showVal val="0"/>
          <c:showCatName val="0"/>
          <c:showSerName val="0"/>
          <c:showPercent val="0"/>
          <c:showBubbleSize val="0"/>
        </c:dLbls>
        <c:gapWidth val="135"/>
        <c:overlap val="-27"/>
        <c:axId val="1708642127"/>
        <c:axId val="1708656271"/>
      </c:barChart>
      <c:catAx>
        <c:axId val="1708642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708656271"/>
        <c:crosses val="autoZero"/>
        <c:auto val="1"/>
        <c:lblAlgn val="ctr"/>
        <c:lblOffset val="100"/>
        <c:noMultiLvlLbl val="0"/>
      </c:catAx>
      <c:valAx>
        <c:axId val="1708656271"/>
        <c:scaling>
          <c:orientation val="minMax"/>
        </c:scaling>
        <c:delete val="1"/>
        <c:axPos val="l"/>
        <c:numFmt formatCode="General" sourceLinked="1"/>
        <c:majorTickMark val="none"/>
        <c:minorTickMark val="none"/>
        <c:tickLblPos val="nextTo"/>
        <c:crossAx val="1708642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pt-BR" sz="1200" b="1"/>
              <a:t>IDADE</a:t>
            </a:r>
            <a:r>
              <a:rPr lang="pt-BR" sz="1200" b="1" baseline="0"/>
              <a:t> em % - Exercício MME</a:t>
            </a:r>
            <a:endParaRPr lang="pt-BR"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a:scene3d>
              <a:camera prst="orthographicFront"/>
              <a:lightRig rig="threePt" dir="t"/>
            </a:scene3d>
            <a:sp3d>
              <a:bevelT w="190500" h="38100"/>
            </a:sp3d>
          </c:spPr>
          <c:invertIfNegative val="0"/>
          <c:dLbls>
            <c:dLbl>
              <c:idx val="1"/>
              <c:layout>
                <c:manualLayout>
                  <c:x val="9.4764273868751486E-4"/>
                  <c:y val="-2.12201591511937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C9-4B44-AA18-833FC408E97B}"/>
                </c:ext>
              </c:extLst>
            </c:dLbl>
            <c:dLbl>
              <c:idx val="6"/>
              <c:layout>
                <c:manualLayout>
                  <c:x val="0"/>
                  <c:y val="-4.2440318302387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C9-4B44-AA18-833FC408E97B}"/>
                </c:ext>
              </c:extLst>
            </c:dLbl>
            <c:dLbl>
              <c:idx val="16"/>
              <c:layout>
                <c:manualLayout>
                  <c:x val="0"/>
                  <c:y val="-3.5366931918656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C9-4B44-AA18-833FC408E97B}"/>
                </c:ext>
              </c:extLst>
            </c:dLbl>
            <c:dLbl>
              <c:idx val="21"/>
              <c:layout>
                <c:manualLayout>
                  <c:x val="0"/>
                  <c:y val="-4.59770114942528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BC9-4B44-AA18-833FC408E97B}"/>
                </c:ext>
              </c:extLst>
            </c:dLbl>
            <c:dLbl>
              <c:idx val="33"/>
              <c:layout>
                <c:manualLayout>
                  <c:x val="0"/>
                  <c:y val="-5.3050397877984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BC9-4B44-AA18-833FC408E97B}"/>
                </c:ext>
              </c:extLst>
            </c:dLbl>
            <c:dLbl>
              <c:idx val="46"/>
              <c:layout>
                <c:manualLayout>
                  <c:x val="-1.389859960960818E-16"/>
                  <c:y val="-5.3050397877984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BC9-4B44-AA18-833FC408E97B}"/>
                </c:ext>
              </c:extLst>
            </c:dLbl>
            <c:dLbl>
              <c:idx val="53"/>
              <c:layout>
                <c:manualLayout>
                  <c:x val="-9.4764273868765375E-4"/>
                  <c:y val="-6.3660477453581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BC9-4B44-AA18-833FC408E97B}"/>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[3]Planilha1!$A$3:$A$57</c:f>
              <c:numCache>
                <c:formatCode>General</c:formatCode>
                <c:ptCount val="55"/>
                <c:pt idx="0">
                  <c:v>23</c:v>
                </c:pt>
                <c:pt idx="1">
                  <c:v>25</c:v>
                </c:pt>
                <c:pt idx="2">
                  <c:v>26</c:v>
                </c:pt>
                <c:pt idx="3">
                  <c:v>28</c:v>
                </c:pt>
                <c:pt idx="4">
                  <c:v>30</c:v>
                </c:pt>
                <c:pt idx="5">
                  <c:v>31</c:v>
                </c:pt>
                <c:pt idx="6">
                  <c:v>32</c:v>
                </c:pt>
                <c:pt idx="7">
                  <c:v>33</c:v>
                </c:pt>
                <c:pt idx="8">
                  <c:v>34</c:v>
                </c:pt>
                <c:pt idx="9">
                  <c:v>35</c:v>
                </c:pt>
                <c:pt idx="10">
                  <c:v>36</c:v>
                </c:pt>
                <c:pt idx="11">
                  <c:v>37</c:v>
                </c:pt>
                <c:pt idx="12">
                  <c:v>38</c:v>
                </c:pt>
                <c:pt idx="13">
                  <c:v>39</c:v>
                </c:pt>
                <c:pt idx="14">
                  <c:v>40</c:v>
                </c:pt>
                <c:pt idx="15">
                  <c:v>41</c:v>
                </c:pt>
                <c:pt idx="16">
                  <c:v>42</c:v>
                </c:pt>
                <c:pt idx="17">
                  <c:v>43</c:v>
                </c:pt>
                <c:pt idx="18">
                  <c:v>44</c:v>
                </c:pt>
                <c:pt idx="19">
                  <c:v>45</c:v>
                </c:pt>
                <c:pt idx="20">
                  <c:v>46</c:v>
                </c:pt>
                <c:pt idx="21">
                  <c:v>47</c:v>
                </c:pt>
                <c:pt idx="22">
                  <c:v>48</c:v>
                </c:pt>
                <c:pt idx="23">
                  <c:v>49</c:v>
                </c:pt>
                <c:pt idx="24">
                  <c:v>50</c:v>
                </c:pt>
                <c:pt idx="25">
                  <c:v>51</c:v>
                </c:pt>
                <c:pt idx="26">
                  <c:v>52</c:v>
                </c:pt>
                <c:pt idx="27">
                  <c:v>53</c:v>
                </c:pt>
                <c:pt idx="28">
                  <c:v>54</c:v>
                </c:pt>
                <c:pt idx="29">
                  <c:v>55</c:v>
                </c:pt>
                <c:pt idx="30">
                  <c:v>56</c:v>
                </c:pt>
                <c:pt idx="31">
                  <c:v>57</c:v>
                </c:pt>
                <c:pt idx="32">
                  <c:v>58</c:v>
                </c:pt>
                <c:pt idx="33">
                  <c:v>59</c:v>
                </c:pt>
                <c:pt idx="34">
                  <c:v>60</c:v>
                </c:pt>
                <c:pt idx="35">
                  <c:v>61</c:v>
                </c:pt>
                <c:pt idx="36">
                  <c:v>62</c:v>
                </c:pt>
                <c:pt idx="37">
                  <c:v>63</c:v>
                </c:pt>
                <c:pt idx="38">
                  <c:v>64</c:v>
                </c:pt>
                <c:pt idx="39">
                  <c:v>65</c:v>
                </c:pt>
                <c:pt idx="40">
                  <c:v>66</c:v>
                </c:pt>
                <c:pt idx="41">
                  <c:v>67</c:v>
                </c:pt>
                <c:pt idx="42">
                  <c:v>68</c:v>
                </c:pt>
                <c:pt idx="43">
                  <c:v>69</c:v>
                </c:pt>
                <c:pt idx="44">
                  <c:v>70</c:v>
                </c:pt>
                <c:pt idx="45">
                  <c:v>71</c:v>
                </c:pt>
                <c:pt idx="46">
                  <c:v>72</c:v>
                </c:pt>
                <c:pt idx="47">
                  <c:v>74</c:v>
                </c:pt>
                <c:pt idx="48">
                  <c:v>75</c:v>
                </c:pt>
                <c:pt idx="49">
                  <c:v>76</c:v>
                </c:pt>
                <c:pt idx="50">
                  <c:v>78</c:v>
                </c:pt>
                <c:pt idx="51">
                  <c:v>79</c:v>
                </c:pt>
                <c:pt idx="52">
                  <c:v>80</c:v>
                </c:pt>
                <c:pt idx="53">
                  <c:v>81</c:v>
                </c:pt>
                <c:pt idx="54">
                  <c:v>82</c:v>
                </c:pt>
              </c:numCache>
            </c:numRef>
          </c:cat>
          <c:val>
            <c:numRef>
              <c:f>[3]Planilha1!$AA$3:$AA$57</c:f>
              <c:numCache>
                <c:formatCode>General</c:formatCode>
                <c:ptCount val="55"/>
                <c:pt idx="0">
                  <c:v>2.0408163265306124E-3</c:v>
                </c:pt>
                <c:pt idx="1">
                  <c:v>2.0408163265306124E-3</c:v>
                </c:pt>
                <c:pt idx="2">
                  <c:v>6.1224489795918364E-3</c:v>
                </c:pt>
                <c:pt idx="3">
                  <c:v>2.0408163265306124E-3</c:v>
                </c:pt>
                <c:pt idx="4">
                  <c:v>8.1632653061224497E-3</c:v>
                </c:pt>
                <c:pt idx="5">
                  <c:v>6.1224489795918364E-3</c:v>
                </c:pt>
                <c:pt idx="6">
                  <c:v>6.1224489795918364E-3</c:v>
                </c:pt>
                <c:pt idx="7">
                  <c:v>4.0816326530612249E-3</c:v>
                </c:pt>
                <c:pt idx="8">
                  <c:v>1.2244897959183673E-2</c:v>
                </c:pt>
                <c:pt idx="9">
                  <c:v>2.0408163265306121E-2</c:v>
                </c:pt>
                <c:pt idx="10">
                  <c:v>3.0612244897959183E-2</c:v>
                </c:pt>
                <c:pt idx="11">
                  <c:v>2.0408163265306121E-2</c:v>
                </c:pt>
                <c:pt idx="12">
                  <c:v>2.4489795918367346E-2</c:v>
                </c:pt>
                <c:pt idx="13">
                  <c:v>3.0612244897959183E-2</c:v>
                </c:pt>
                <c:pt idx="14">
                  <c:v>2.2448979591836733E-2</c:v>
                </c:pt>
                <c:pt idx="15">
                  <c:v>2.4489795918367346E-2</c:v>
                </c:pt>
                <c:pt idx="16">
                  <c:v>2.4489795918367346E-2</c:v>
                </c:pt>
                <c:pt idx="17">
                  <c:v>2.2448979591836733E-2</c:v>
                </c:pt>
                <c:pt idx="18">
                  <c:v>1.020408163265306E-2</c:v>
                </c:pt>
                <c:pt idx="19">
                  <c:v>1.8367346938775512E-2</c:v>
                </c:pt>
                <c:pt idx="20">
                  <c:v>2.2448979591836733E-2</c:v>
                </c:pt>
                <c:pt idx="21">
                  <c:v>1.6326530612244899E-2</c:v>
                </c:pt>
                <c:pt idx="22">
                  <c:v>1.6326530612244899E-2</c:v>
                </c:pt>
                <c:pt idx="23">
                  <c:v>2.0408163265306121E-2</c:v>
                </c:pt>
                <c:pt idx="24">
                  <c:v>1.8367346938775512E-2</c:v>
                </c:pt>
                <c:pt idx="25">
                  <c:v>3.6734693877551024E-2</c:v>
                </c:pt>
                <c:pt idx="26">
                  <c:v>1.4285714285714285E-2</c:v>
                </c:pt>
                <c:pt idx="27">
                  <c:v>1.6326530612244899E-2</c:v>
                </c:pt>
                <c:pt idx="28">
                  <c:v>4.0816326530612242E-2</c:v>
                </c:pt>
                <c:pt idx="29">
                  <c:v>3.8775510204081633E-2</c:v>
                </c:pt>
                <c:pt idx="30">
                  <c:v>5.3061224489795916E-2</c:v>
                </c:pt>
                <c:pt idx="31">
                  <c:v>3.0612244897959183E-2</c:v>
                </c:pt>
                <c:pt idx="32">
                  <c:v>2.8571428571428571E-2</c:v>
                </c:pt>
                <c:pt idx="33">
                  <c:v>2.8571428571428571E-2</c:v>
                </c:pt>
                <c:pt idx="34">
                  <c:v>3.6734693877551024E-2</c:v>
                </c:pt>
                <c:pt idx="35">
                  <c:v>2.4489795918367346E-2</c:v>
                </c:pt>
                <c:pt idx="36">
                  <c:v>2.8571428571428571E-2</c:v>
                </c:pt>
                <c:pt idx="37">
                  <c:v>2.2448979591836733E-2</c:v>
                </c:pt>
                <c:pt idx="38">
                  <c:v>2.0408163265306121E-2</c:v>
                </c:pt>
                <c:pt idx="39">
                  <c:v>1.6326530612244899E-2</c:v>
                </c:pt>
                <c:pt idx="40">
                  <c:v>2.6530612244897958E-2</c:v>
                </c:pt>
                <c:pt idx="41">
                  <c:v>2.8571428571428571E-2</c:v>
                </c:pt>
                <c:pt idx="42">
                  <c:v>2.6530612244897958E-2</c:v>
                </c:pt>
                <c:pt idx="43">
                  <c:v>2.0408163265306121E-2</c:v>
                </c:pt>
                <c:pt idx="44">
                  <c:v>1.020408163265306E-2</c:v>
                </c:pt>
                <c:pt idx="45">
                  <c:v>1.4285714285714285E-2</c:v>
                </c:pt>
                <c:pt idx="46">
                  <c:v>1.4285714285714285E-2</c:v>
                </c:pt>
                <c:pt idx="47">
                  <c:v>6.1224489795918364E-3</c:v>
                </c:pt>
                <c:pt idx="48">
                  <c:v>4.0816326530612249E-3</c:v>
                </c:pt>
                <c:pt idx="49">
                  <c:v>6.1224489795918364E-3</c:v>
                </c:pt>
                <c:pt idx="50">
                  <c:v>0</c:v>
                </c:pt>
                <c:pt idx="51">
                  <c:v>6.1224489795918364E-3</c:v>
                </c:pt>
                <c:pt idx="52">
                  <c:v>2.0408163265306124E-3</c:v>
                </c:pt>
                <c:pt idx="53">
                  <c:v>2.0408163265306124E-3</c:v>
                </c:pt>
                <c:pt idx="54">
                  <c:v>4.0816326530612249E-3</c:v>
                </c:pt>
              </c:numCache>
            </c:numRef>
          </c:val>
          <c:extLst>
            <c:ext xmlns:c16="http://schemas.microsoft.com/office/drawing/2014/chart" uri="{C3380CC4-5D6E-409C-BE32-E72D297353CC}">
              <c16:uniqueId val="{00000000-BBC9-4B44-AA18-833FC408E97B}"/>
            </c:ext>
          </c:extLst>
        </c:ser>
        <c:dLbls>
          <c:showLegendKey val="0"/>
          <c:showVal val="0"/>
          <c:showCatName val="0"/>
          <c:showSerName val="0"/>
          <c:showPercent val="0"/>
          <c:showBubbleSize val="0"/>
        </c:dLbls>
        <c:gapWidth val="187"/>
        <c:overlap val="-27"/>
        <c:axId val="1708656687"/>
        <c:axId val="1708644207"/>
      </c:barChart>
      <c:catAx>
        <c:axId val="1708656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708644207"/>
        <c:crosses val="autoZero"/>
        <c:auto val="1"/>
        <c:lblAlgn val="ctr"/>
        <c:lblOffset val="100"/>
        <c:noMultiLvlLbl val="0"/>
      </c:catAx>
      <c:valAx>
        <c:axId val="1708644207"/>
        <c:scaling>
          <c:orientation val="minMax"/>
        </c:scaling>
        <c:delete val="1"/>
        <c:axPos val="l"/>
        <c:numFmt formatCode="General" sourceLinked="1"/>
        <c:majorTickMark val="none"/>
        <c:minorTickMark val="none"/>
        <c:tickLblPos val="nextTo"/>
        <c:crossAx val="17086566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MME por Área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spPr>
            <a:scene3d>
              <a:camera prst="orthographicFront"/>
              <a:lightRig rig="threePt" dir="t"/>
            </a:scene3d>
            <a:sp3d>
              <a:bevelT w="190500" h="38100"/>
            </a:sp3d>
          </c:spPr>
          <c:explosion val="13"/>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3832-4B0A-A947-62C7C4F4A777}"/>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3832-4B0A-A947-62C7C4F4A777}"/>
              </c:ext>
            </c:extLst>
          </c:dPt>
          <c:dPt>
            <c:idx val="2"/>
            <c:bubble3D val="0"/>
            <c:spPr>
              <a:solidFill>
                <a:schemeClr val="accent3"/>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5-3832-4B0A-A947-62C7C4F4A777}"/>
              </c:ext>
            </c:extLst>
          </c:dPt>
          <c:dPt>
            <c:idx val="3"/>
            <c:bubble3D val="0"/>
            <c:spPr>
              <a:solidFill>
                <a:schemeClr val="accent4"/>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7-3832-4B0A-A947-62C7C4F4A777}"/>
              </c:ext>
            </c:extLst>
          </c:dPt>
          <c:dPt>
            <c:idx val="4"/>
            <c:bubble3D val="0"/>
            <c:spPr>
              <a:solidFill>
                <a:schemeClr val="accent5"/>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9-3832-4B0A-A947-62C7C4F4A777}"/>
              </c:ext>
            </c:extLst>
          </c:dPt>
          <c:dPt>
            <c:idx val="5"/>
            <c:bubble3D val="0"/>
            <c:spPr>
              <a:solidFill>
                <a:schemeClr val="accent6"/>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B-3832-4B0A-A947-62C7C4F4A777}"/>
              </c:ext>
            </c:extLst>
          </c:dPt>
          <c:dPt>
            <c:idx val="6"/>
            <c:bubble3D val="0"/>
            <c:spPr>
              <a:solidFill>
                <a:schemeClr val="accent1">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D-3832-4B0A-A947-62C7C4F4A777}"/>
              </c:ext>
            </c:extLst>
          </c:dPt>
          <c:dPt>
            <c:idx val="7"/>
            <c:bubble3D val="0"/>
            <c:spPr>
              <a:solidFill>
                <a:schemeClr val="accent6">
                  <a:lumMod val="75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F-3832-4B0A-A947-62C7C4F4A777}"/>
              </c:ext>
            </c:extLst>
          </c:dPt>
          <c:dPt>
            <c:idx val="8"/>
            <c:bubble3D val="0"/>
            <c:spPr>
              <a:solidFill>
                <a:schemeClr val="accent3">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11-3832-4B0A-A947-62C7C4F4A777}"/>
              </c:ext>
            </c:extLst>
          </c:dPt>
          <c:dPt>
            <c:idx val="9"/>
            <c:bubble3D val="0"/>
            <c:spPr>
              <a:solidFill>
                <a:schemeClr val="accent4">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13-3832-4B0A-A947-62C7C4F4A777}"/>
              </c:ext>
            </c:extLst>
          </c:dPt>
          <c:dPt>
            <c:idx val="10"/>
            <c:bubble3D val="0"/>
            <c:spPr>
              <a:solidFill>
                <a:schemeClr val="accent5">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15-3832-4B0A-A947-62C7C4F4A777}"/>
              </c:ext>
            </c:extLst>
          </c:dPt>
          <c:dLbls>
            <c:dLbl>
              <c:idx val="0"/>
              <c:layout>
                <c:manualLayout>
                  <c:x val="7.0375328083989608E-2"/>
                  <c:y val="-0.15527559055118109"/>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832-4B0A-A947-62C7C4F4A777}"/>
                </c:ext>
              </c:extLst>
            </c:dLbl>
            <c:dLbl>
              <c:idx val="7"/>
              <c:layout>
                <c:manualLayout>
                  <c:x val="-5.7501749781277339E-2"/>
                  <c:y val="-7.067293671624379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3832-4B0A-A947-62C7C4F4A77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[1]ATIVO!$A$5:$A$15</c:f>
              <c:strCache>
                <c:ptCount val="11"/>
                <c:pt idx="0">
                  <c:v>MEIO</c:v>
                </c:pt>
                <c:pt idx="7">
                  <c:v>FINALISTICA</c:v>
                </c:pt>
              </c:strCache>
            </c:strRef>
          </c:cat>
          <c:val>
            <c:numRef>
              <c:f>[1]ATIVO!$L$5:$L$15</c:f>
              <c:numCache>
                <c:formatCode>General</c:formatCode>
                <c:ptCount val="11"/>
                <c:pt idx="0">
                  <c:v>322</c:v>
                </c:pt>
                <c:pt idx="7">
                  <c:v>168</c:v>
                </c:pt>
              </c:numCache>
            </c:numRef>
          </c:val>
          <c:extLst>
            <c:ext xmlns:c16="http://schemas.microsoft.com/office/drawing/2014/chart" uri="{C3380CC4-5D6E-409C-BE32-E72D297353CC}">
              <c16:uniqueId val="{00000016-3832-4B0A-A947-62C7C4F4A77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MME por situação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9699999999999999"/>
          <c:y val="0.23408926262439678"/>
          <c:w val="0.40044466316710409"/>
          <c:h val="0.66052704114618199"/>
        </c:manualLayout>
      </c:layout>
      <c:pieChart>
        <c:varyColors val="1"/>
        <c:ser>
          <c:idx val="0"/>
          <c:order val="0"/>
          <c:spPr>
            <a:scene3d>
              <a:camera prst="orthographicFront"/>
              <a:lightRig rig="threePt" dir="t"/>
            </a:scene3d>
            <a:sp3d>
              <a:bevelT w="190500" h="38100"/>
            </a:sp3d>
          </c:spPr>
          <c:explosion val="11"/>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D467-4D9D-9BC8-B247B800750D}"/>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D467-4D9D-9BC8-B247B800750D}"/>
              </c:ext>
            </c:extLst>
          </c:dPt>
          <c:dPt>
            <c:idx val="2"/>
            <c:bubble3D val="0"/>
            <c:spPr>
              <a:solidFill>
                <a:schemeClr val="accent3"/>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5-D467-4D9D-9BC8-B247B800750D}"/>
              </c:ext>
            </c:extLst>
          </c:dPt>
          <c:dPt>
            <c:idx val="3"/>
            <c:bubble3D val="0"/>
            <c:spPr>
              <a:solidFill>
                <a:schemeClr val="accent4"/>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7-D467-4D9D-9BC8-B247B800750D}"/>
              </c:ext>
            </c:extLst>
          </c:dPt>
          <c:dPt>
            <c:idx val="4"/>
            <c:bubble3D val="0"/>
            <c:spPr>
              <a:solidFill>
                <a:schemeClr val="accent5"/>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9-D467-4D9D-9BC8-B247B800750D}"/>
              </c:ext>
            </c:extLst>
          </c:dPt>
          <c:dPt>
            <c:idx val="5"/>
            <c:bubble3D val="0"/>
            <c:spPr>
              <a:solidFill>
                <a:schemeClr val="accent6"/>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B-D467-4D9D-9BC8-B247B800750D}"/>
              </c:ext>
            </c:extLst>
          </c:dPt>
          <c:dPt>
            <c:idx val="6"/>
            <c:bubble3D val="0"/>
            <c:spPr>
              <a:solidFill>
                <a:schemeClr val="accent1">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D-D467-4D9D-9BC8-B247B800750D}"/>
              </c:ext>
            </c:extLst>
          </c:dPt>
          <c:dPt>
            <c:idx val="7"/>
            <c:bubble3D val="0"/>
            <c:spPr>
              <a:solidFill>
                <a:schemeClr val="accent2">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F-D467-4D9D-9BC8-B247B800750D}"/>
              </c:ext>
            </c:extLst>
          </c:dPt>
          <c:dLbls>
            <c:dLbl>
              <c:idx val="0"/>
              <c:layout>
                <c:manualLayout>
                  <c:x val="0.23150437445319336"/>
                  <c:y val="2.2206182560513259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67-4D9D-9BC8-B247B800750D}"/>
                </c:ext>
              </c:extLst>
            </c:dLbl>
            <c:dLbl>
              <c:idx val="1"/>
              <c:layout>
                <c:manualLayout>
                  <c:x val="7.6564523184601926E-2"/>
                  <c:y val="0.1292341061533975"/>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467-4D9D-9BC8-B247B800750D}"/>
                </c:ext>
              </c:extLst>
            </c:dLbl>
            <c:dLbl>
              <c:idx val="2"/>
              <c:layout>
                <c:manualLayout>
                  <c:x val="6.9033245844269564E-2"/>
                  <c:y val="-0.17530475357247019"/>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467-4D9D-9BC8-B247B800750D}"/>
                </c:ext>
              </c:extLst>
            </c:dLbl>
            <c:dLbl>
              <c:idx val="3"/>
              <c:layout>
                <c:manualLayout>
                  <c:x val="1.9103674540682413E-2"/>
                  <c:y val="-1.1900335374744823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467-4D9D-9BC8-B247B800750D}"/>
                </c:ext>
              </c:extLst>
            </c:dLbl>
            <c:dLbl>
              <c:idx val="4"/>
              <c:layout>
                <c:manualLayout>
                  <c:x val="-0.15221566054243219"/>
                  <c:y val="-3.3831016647809922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467-4D9D-9BC8-B247B800750D}"/>
                </c:ext>
              </c:extLst>
            </c:dLbl>
            <c:dLbl>
              <c:idx val="5"/>
              <c:layout>
                <c:manualLayout>
                  <c:x val="-1.3386045494313218E-2"/>
                  <c:y val="4.5735272674249053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467-4D9D-9BC8-B247B800750D}"/>
                </c:ext>
              </c:extLst>
            </c:dLbl>
            <c:dLbl>
              <c:idx val="6"/>
              <c:layout>
                <c:manualLayout>
                  <c:x val="-4.7835301837270354E-2"/>
                  <c:y val="6.9834864391951051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467-4D9D-9BC8-B247B800750D}"/>
                </c:ext>
              </c:extLst>
            </c:dLbl>
            <c:dLbl>
              <c:idx val="7"/>
              <c:layout>
                <c:manualLayout>
                  <c:x val="-4.9232939632545956E-2"/>
                  <c:y val="5.5629921259842542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D467-4D9D-9BC8-B247B800750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in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[1]ATIVO!$C$4:$J$4</c:f>
              <c:strCache>
                <c:ptCount val="8"/>
                <c:pt idx="0">
                  <c:v>Natureza Especial</c:v>
                </c:pt>
                <c:pt idx="1">
                  <c:v>Ativo Permanente</c:v>
                </c:pt>
                <c:pt idx="2">
                  <c:v>Requisitado Órgãos</c:v>
                </c:pt>
                <c:pt idx="3">
                  <c:v>Requisitado Empresas</c:v>
                </c:pt>
                <c:pt idx="4">
                  <c:v>Sem Vínculo</c:v>
                </c:pt>
                <c:pt idx="5">
                  <c:v>Exercício Descentralizado</c:v>
                </c:pt>
                <c:pt idx="6">
                  <c:v>Contrato Temporário</c:v>
                </c:pt>
                <c:pt idx="7">
                  <c:v>Anistiado</c:v>
                </c:pt>
              </c:strCache>
            </c:strRef>
          </c:cat>
          <c:val>
            <c:numRef>
              <c:f>[1]ATIVO!$C$16:$J$16</c:f>
              <c:numCache>
                <c:formatCode>General</c:formatCode>
                <c:ptCount val="8"/>
                <c:pt idx="0">
                  <c:v>2</c:v>
                </c:pt>
                <c:pt idx="1">
                  <c:v>132</c:v>
                </c:pt>
                <c:pt idx="2">
                  <c:v>71</c:v>
                </c:pt>
                <c:pt idx="3">
                  <c:v>5</c:v>
                </c:pt>
                <c:pt idx="4">
                  <c:v>119</c:v>
                </c:pt>
                <c:pt idx="5">
                  <c:v>88</c:v>
                </c:pt>
                <c:pt idx="6">
                  <c:v>3</c:v>
                </c:pt>
                <c:pt idx="7">
                  <c:v>70</c:v>
                </c:pt>
              </c:numCache>
            </c:numRef>
          </c:val>
          <c:extLst>
            <c:ext xmlns:c16="http://schemas.microsoft.com/office/drawing/2014/chart" uri="{C3380CC4-5D6E-409C-BE32-E72D297353CC}">
              <c16:uniqueId val="{00000010-D467-4D9D-9BC8-B247B800750D}"/>
            </c:ext>
          </c:extLst>
        </c:ser>
        <c:dLbls>
          <c:dLblPos val="in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MME por Unidade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9976224846894139"/>
          <c:y val="0.3331452318460193"/>
          <c:w val="0.33658683289588803"/>
          <c:h val="0.56097805482648"/>
        </c:manualLayout>
      </c:layout>
      <c:pieChart>
        <c:varyColors val="1"/>
        <c:ser>
          <c:idx val="0"/>
          <c:order val="0"/>
          <c:spPr>
            <a:scene3d>
              <a:camera prst="orthographicFront"/>
              <a:lightRig rig="threePt" dir="t"/>
            </a:scene3d>
            <a:sp3d>
              <a:bevelT w="190500" h="38100"/>
            </a:sp3d>
          </c:spPr>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0E02-45BF-9700-0263E8E061A1}"/>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0E02-45BF-9700-0263E8E061A1}"/>
              </c:ext>
            </c:extLst>
          </c:dPt>
          <c:dPt>
            <c:idx val="2"/>
            <c:bubble3D val="0"/>
            <c:spPr>
              <a:solidFill>
                <a:schemeClr val="accent3"/>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5-0E02-45BF-9700-0263E8E061A1}"/>
              </c:ext>
            </c:extLst>
          </c:dPt>
          <c:dPt>
            <c:idx val="3"/>
            <c:bubble3D val="0"/>
            <c:spPr>
              <a:solidFill>
                <a:schemeClr val="accent4"/>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7-0E02-45BF-9700-0263E8E061A1}"/>
              </c:ext>
            </c:extLst>
          </c:dPt>
          <c:dPt>
            <c:idx val="4"/>
            <c:bubble3D val="0"/>
            <c:spPr>
              <a:solidFill>
                <a:schemeClr val="accent5"/>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9-0E02-45BF-9700-0263E8E061A1}"/>
              </c:ext>
            </c:extLst>
          </c:dPt>
          <c:dPt>
            <c:idx val="5"/>
            <c:bubble3D val="0"/>
            <c:spPr>
              <a:solidFill>
                <a:schemeClr val="accent6"/>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B-0E02-45BF-9700-0263E8E061A1}"/>
              </c:ext>
            </c:extLst>
          </c:dPt>
          <c:dPt>
            <c:idx val="6"/>
            <c:bubble3D val="0"/>
            <c:spPr>
              <a:solidFill>
                <a:schemeClr val="accent1">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D-0E02-45BF-9700-0263E8E061A1}"/>
              </c:ext>
            </c:extLst>
          </c:dPt>
          <c:dPt>
            <c:idx val="7"/>
            <c:bubble3D val="0"/>
            <c:spPr>
              <a:solidFill>
                <a:schemeClr val="accent2">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F-0E02-45BF-9700-0263E8E061A1}"/>
              </c:ext>
            </c:extLst>
          </c:dPt>
          <c:dPt>
            <c:idx val="8"/>
            <c:bubble3D val="0"/>
            <c:spPr>
              <a:solidFill>
                <a:schemeClr val="accent3">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11-0E02-45BF-9700-0263E8E061A1}"/>
              </c:ext>
            </c:extLst>
          </c:dPt>
          <c:dPt>
            <c:idx val="9"/>
            <c:bubble3D val="0"/>
            <c:spPr>
              <a:solidFill>
                <a:schemeClr val="accent4">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13-0E02-45BF-9700-0263E8E061A1}"/>
              </c:ext>
            </c:extLst>
          </c:dPt>
          <c:dPt>
            <c:idx val="10"/>
            <c:bubble3D val="0"/>
            <c:spPr>
              <a:solidFill>
                <a:schemeClr val="accent5">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15-0E02-45BF-9700-0263E8E061A1}"/>
              </c:ext>
            </c:extLst>
          </c:dPt>
          <c:dLbls>
            <c:dLbl>
              <c:idx val="0"/>
              <c:layout>
                <c:manualLayout>
                  <c:x val="-0.20486198600174982"/>
                  <c:y val="-3.115376202974629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E02-45BF-9700-0263E8E061A1}"/>
                </c:ext>
              </c:extLst>
            </c:dLbl>
            <c:dLbl>
              <c:idx val="1"/>
              <c:layout>
                <c:manualLayout>
                  <c:x val="8.8155730533683183E-2"/>
                  <c:y val="-0.2301399825021872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E02-45BF-9700-0263E8E061A1}"/>
                </c:ext>
              </c:extLst>
            </c:dLbl>
            <c:dLbl>
              <c:idx val="2"/>
              <c:layout>
                <c:manualLayout>
                  <c:x val="9.4444444444444442E-2"/>
                  <c:y val="-4.3821084864391971E-2"/>
                </c:manualLayout>
              </c:layout>
              <c:showLegendKey val="0"/>
              <c:showVal val="1"/>
              <c:showCatName val="1"/>
              <c:showSerName val="0"/>
              <c:showPercent val="1"/>
              <c:showBubbleSize val="0"/>
              <c:extLst>
                <c:ext xmlns:c15="http://schemas.microsoft.com/office/drawing/2012/chart" uri="{CE6537A1-D6FC-4f65-9D91-7224C49458BB}">
                  <c15:layout>
                    <c:manualLayout>
                      <c:w val="0.2638888888888889"/>
                      <c:h val="0.21527777777777779"/>
                    </c:manualLayout>
                  </c15:layout>
                </c:ext>
                <c:ext xmlns:c16="http://schemas.microsoft.com/office/drawing/2014/chart" uri="{C3380CC4-5D6E-409C-BE32-E72D297353CC}">
                  <c16:uniqueId val="{00000005-0E02-45BF-9700-0263E8E061A1}"/>
                </c:ext>
              </c:extLst>
            </c:dLbl>
            <c:dLbl>
              <c:idx val="3"/>
              <c:layout>
                <c:manualLayout>
                  <c:x val="0.11944444444444455"/>
                  <c:y val="7.0352508019830812E-2"/>
                </c:manualLayout>
              </c:layout>
              <c:showLegendKey val="0"/>
              <c:showVal val="1"/>
              <c:showCatName val="1"/>
              <c:showSerName val="0"/>
              <c:showPercent val="1"/>
              <c:showBubbleSize val="0"/>
              <c:extLst>
                <c:ext xmlns:c15="http://schemas.microsoft.com/office/drawing/2012/chart" uri="{CE6537A1-D6FC-4f65-9D91-7224C49458BB}">
                  <c15:layout>
                    <c:manualLayout>
                      <c:w val="0.21249999999999999"/>
                      <c:h val="0.16666666666666666"/>
                    </c:manualLayout>
                  </c15:layout>
                </c:ext>
                <c:ext xmlns:c16="http://schemas.microsoft.com/office/drawing/2014/chart" uri="{C3380CC4-5D6E-409C-BE32-E72D297353CC}">
                  <c16:uniqueId val="{00000007-0E02-45BF-9700-0263E8E061A1}"/>
                </c:ext>
              </c:extLst>
            </c:dLbl>
            <c:dLbl>
              <c:idx val="4"/>
              <c:layout>
                <c:manualLayout>
                  <c:x val="7.2507655293088363E-2"/>
                  <c:y val="0.3103798483522893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c:ext xmlns:c15="http://schemas.microsoft.com/office/drawing/2012/chart" uri="{CE6537A1-D6FC-4f65-9D91-7224C49458BB}">
                  <c15:layout>
                    <c:manualLayout>
                      <c:w val="0.31527777777777777"/>
                      <c:h val="0.30324074074074076"/>
                    </c:manualLayout>
                  </c15:layout>
                </c:ext>
                <c:ext xmlns:c16="http://schemas.microsoft.com/office/drawing/2014/chart" uri="{C3380CC4-5D6E-409C-BE32-E72D297353CC}">
                  <c16:uniqueId val="{00000009-0E02-45BF-9700-0263E8E061A1}"/>
                </c:ext>
              </c:extLst>
            </c:dLbl>
            <c:dLbl>
              <c:idx val="5"/>
              <c:layout>
                <c:manualLayout>
                  <c:x val="0.15059219160104986"/>
                  <c:y val="0.40114428404782737"/>
                </c:manualLayout>
              </c:layout>
              <c:showLegendKey val="0"/>
              <c:showVal val="1"/>
              <c:showCatName val="1"/>
              <c:showSerName val="0"/>
              <c:showPercent val="1"/>
              <c:showBubbleSize val="0"/>
              <c:extLst>
                <c:ext xmlns:c15="http://schemas.microsoft.com/office/drawing/2012/chart" uri="{CE6537A1-D6FC-4f65-9D91-7224C49458BB}">
                  <c15:layout>
                    <c:manualLayout>
                      <c:w val="0.20755555555555552"/>
                      <c:h val="0.11560185185185186"/>
                    </c:manualLayout>
                  </c15:layout>
                </c:ext>
                <c:ext xmlns:c16="http://schemas.microsoft.com/office/drawing/2014/chart" uri="{C3380CC4-5D6E-409C-BE32-E72D297353CC}">
                  <c16:uniqueId val="{0000000B-0E02-45BF-9700-0263E8E061A1}"/>
                </c:ext>
              </c:extLst>
            </c:dLbl>
            <c:dLbl>
              <c:idx val="6"/>
              <c:layout>
                <c:manualLayout>
                  <c:x val="6.8706692913385825E-2"/>
                  <c:y val="-1.062481773111694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E02-45BF-9700-0263E8E061A1}"/>
                </c:ext>
              </c:extLst>
            </c:dLbl>
            <c:dLbl>
              <c:idx val="7"/>
              <c:layout>
                <c:manualLayout>
                  <c:x val="1.9598643919510057E-2"/>
                  <c:y val="0.19179224992709246"/>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c:ext xmlns:c15="http://schemas.microsoft.com/office/drawing/2012/chart" uri="{CE6537A1-D6FC-4f65-9D91-7224C49458BB}">
                  <c15:layout>
                    <c:manualLayout>
                      <c:w val="0.34302777777777776"/>
                      <c:h val="0.19409740449110524"/>
                    </c:manualLayout>
                  </c15:layout>
                </c:ext>
                <c:ext xmlns:c16="http://schemas.microsoft.com/office/drawing/2014/chart" uri="{C3380CC4-5D6E-409C-BE32-E72D297353CC}">
                  <c16:uniqueId val="{0000000F-0E02-45BF-9700-0263E8E061A1}"/>
                </c:ext>
              </c:extLst>
            </c:dLbl>
            <c:dLbl>
              <c:idx val="8"/>
              <c:layout>
                <c:manualLayout>
                  <c:x val="-7.0538057742782151E-4"/>
                  <c:y val="0.18172389909594633"/>
                </c:manualLayout>
              </c:layout>
              <c:showLegendKey val="0"/>
              <c:showVal val="1"/>
              <c:showCatName val="1"/>
              <c:showSerName val="0"/>
              <c:showPercent val="1"/>
              <c:showBubbleSize val="0"/>
              <c:extLst>
                <c:ext xmlns:c15="http://schemas.microsoft.com/office/drawing/2012/chart" uri="{CE6537A1-D6FC-4f65-9D91-7224C49458BB}">
                  <c15:layout>
                    <c:manualLayout>
                      <c:w val="0.27474999999999999"/>
                      <c:h val="0.26817147856517937"/>
                    </c:manualLayout>
                  </c15:layout>
                </c:ext>
                <c:ext xmlns:c16="http://schemas.microsoft.com/office/drawing/2014/chart" uri="{C3380CC4-5D6E-409C-BE32-E72D297353CC}">
                  <c16:uniqueId val="{00000011-0E02-45BF-9700-0263E8E061A1}"/>
                </c:ext>
              </c:extLst>
            </c:dLbl>
            <c:dLbl>
              <c:idx val="9"/>
              <c:layout>
                <c:manualLayout>
                  <c:x val="-1.7627405949256342E-2"/>
                  <c:y val="0.11790682414698159"/>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c:ext xmlns:c15="http://schemas.microsoft.com/office/drawing/2012/chart" uri="{CE6537A1-D6FC-4f65-9D91-7224C49458BB}">
                  <c15:layout>
                    <c:manualLayout>
                      <c:w val="0.32512489063867012"/>
                      <c:h val="0.20798629337999416"/>
                    </c:manualLayout>
                  </c15:layout>
                </c:ext>
                <c:ext xmlns:c16="http://schemas.microsoft.com/office/drawing/2014/chart" uri="{C3380CC4-5D6E-409C-BE32-E72D297353CC}">
                  <c16:uniqueId val="{00000013-0E02-45BF-9700-0263E8E061A1}"/>
                </c:ext>
              </c:extLst>
            </c:dLbl>
            <c:dLbl>
              <c:idx val="10"/>
              <c:layout>
                <c:manualLayout>
                  <c:x val="-8.5125546806649174E-2"/>
                  <c:y val="3.3962707786526686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c:ext xmlns:c15="http://schemas.microsoft.com/office/drawing/2012/chart" uri="{CE6537A1-D6FC-4f65-9D91-7224C49458BB}">
                  <c15:layout>
                    <c:manualLayout>
                      <c:w val="0.3557639982502187"/>
                      <c:h val="0.13405110819480895"/>
                    </c:manualLayout>
                  </c15:layout>
                </c:ext>
                <c:ext xmlns:c16="http://schemas.microsoft.com/office/drawing/2014/chart" uri="{C3380CC4-5D6E-409C-BE32-E72D297353CC}">
                  <c16:uniqueId val="{00000015-0E02-45BF-9700-0263E8E061A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[1]ATIVO!$B$5:$B$15</c:f>
              <c:strCache>
                <c:ptCount val="11"/>
                <c:pt idx="0">
                  <c:v>Gabinete do Ministro</c:v>
                </c:pt>
                <c:pt idx="1">
                  <c:v>Assessoria Econômica</c:v>
                </c:pt>
                <c:pt idx="2">
                  <c:v>Assessoria Especial de Relações Internacionais</c:v>
                </c:pt>
                <c:pt idx="3">
                  <c:v>Assessoria Especial de Controle Interno</c:v>
                </c:pt>
                <c:pt idx="4">
                  <c:v>Assessoria Especial de Acompanhamento de Políticas, Estratégias e Desempenho Setoriais</c:v>
                </c:pt>
                <c:pt idx="5">
                  <c:v>Consultoria Jurídica</c:v>
                </c:pt>
                <c:pt idx="6">
                  <c:v>Secretaria Executiva</c:v>
                </c:pt>
                <c:pt idx="7">
                  <c:v>Secretaria de Geologia, Mineração e Transformação Mineral</c:v>
                </c:pt>
                <c:pt idx="8">
                  <c:v>Secretaria de Planejamento e Desenvolvimento Energético</c:v>
                </c:pt>
                <c:pt idx="9">
                  <c:v>Secretaria de Petróleo, Gás Natural e Biocombustíveis</c:v>
                </c:pt>
                <c:pt idx="10">
                  <c:v>Secretaria de Energia Elétrica</c:v>
                </c:pt>
              </c:strCache>
            </c:strRef>
          </c:cat>
          <c:val>
            <c:numRef>
              <c:f>[1]ATIVO!$K$5:$K$15</c:f>
              <c:numCache>
                <c:formatCode>General</c:formatCode>
                <c:ptCount val="11"/>
                <c:pt idx="0">
                  <c:v>59</c:v>
                </c:pt>
                <c:pt idx="1">
                  <c:v>8</c:v>
                </c:pt>
                <c:pt idx="2">
                  <c:v>4</c:v>
                </c:pt>
                <c:pt idx="3">
                  <c:v>4</c:v>
                </c:pt>
                <c:pt idx="4">
                  <c:v>5</c:v>
                </c:pt>
                <c:pt idx="5">
                  <c:v>21</c:v>
                </c:pt>
                <c:pt idx="6">
                  <c:v>221</c:v>
                </c:pt>
                <c:pt idx="7">
                  <c:v>39</c:v>
                </c:pt>
                <c:pt idx="8">
                  <c:v>45</c:v>
                </c:pt>
                <c:pt idx="9">
                  <c:v>32</c:v>
                </c:pt>
                <c:pt idx="10">
                  <c:v>52</c:v>
                </c:pt>
              </c:numCache>
            </c:numRef>
          </c:val>
          <c:extLst>
            <c:ext xmlns:c16="http://schemas.microsoft.com/office/drawing/2014/chart" uri="{C3380CC4-5D6E-409C-BE32-E72D297353CC}">
              <c16:uniqueId val="{00000016-0E02-45BF-9700-0263E8E061A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MME</a:t>
            </a:r>
            <a:r>
              <a:rPr lang="pt-BR" baseline="0"/>
              <a:t> por Sexo</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985627734033246"/>
          <c:y val="0.20412037037037037"/>
          <c:w val="0.38343022747156602"/>
          <c:h val="0.63905037911927665"/>
        </c:manualLayout>
      </c:layout>
      <c:pieChart>
        <c:varyColors val="1"/>
        <c:ser>
          <c:idx val="0"/>
          <c:order val="0"/>
          <c:spPr>
            <a:scene3d>
              <a:camera prst="orthographicFront"/>
              <a:lightRig rig="threePt" dir="t"/>
            </a:scene3d>
            <a:sp3d>
              <a:bevelT w="190500" h="38100"/>
            </a:sp3d>
          </c:spPr>
          <c:explosion val="7"/>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AF6F-4F28-89FF-D2ECEAF7DC63}"/>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AF6F-4F28-89FF-D2ECEAF7DC63}"/>
              </c:ext>
            </c:extLst>
          </c:dPt>
          <c:dLbls>
            <c:dLbl>
              <c:idx val="0"/>
              <c:layout>
                <c:manualLayout>
                  <c:x val="5.6879593175853019E-2"/>
                  <c:y val="-0.15824766695829687"/>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F6F-4F28-89FF-D2ECEAF7DC63}"/>
                </c:ext>
              </c:extLst>
            </c:dLbl>
            <c:dLbl>
              <c:idx val="1"/>
              <c:layout>
                <c:manualLayout>
                  <c:x val="-6.4040463692038502E-2"/>
                  <c:y val="-0.20283829104695247"/>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F6F-4F28-89FF-D2ECEAF7DC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[1]ATIVO!$M$4:$N$4</c:f>
              <c:strCache>
                <c:ptCount val="2"/>
                <c:pt idx="0">
                  <c:v>Sexo Feminino</c:v>
                </c:pt>
                <c:pt idx="1">
                  <c:v>Sexo Masculino</c:v>
                </c:pt>
              </c:strCache>
            </c:strRef>
          </c:cat>
          <c:val>
            <c:numRef>
              <c:f>[1]ATIVO!$M$16:$N$16</c:f>
              <c:numCache>
                <c:formatCode>General</c:formatCode>
                <c:ptCount val="2"/>
                <c:pt idx="0">
                  <c:v>214</c:v>
                </c:pt>
                <c:pt idx="1">
                  <c:v>276</c:v>
                </c:pt>
              </c:numCache>
            </c:numRef>
          </c:val>
          <c:extLst>
            <c:ext xmlns:c16="http://schemas.microsoft.com/office/drawing/2014/chart" uri="{C3380CC4-5D6E-409C-BE32-E72D297353CC}">
              <c16:uniqueId val="{00000004-AF6F-4F28-89FF-D2ECEAF7DC6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GM por situação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9976224846894139"/>
          <c:y val="0.26833041703120442"/>
          <c:w val="0.37547572178477689"/>
          <c:h val="0.62579286964129488"/>
        </c:manualLayout>
      </c:layout>
      <c:pieChart>
        <c:varyColors val="1"/>
        <c:ser>
          <c:idx val="0"/>
          <c:order val="0"/>
          <c:spPr>
            <a:scene3d>
              <a:camera prst="orthographicFront"/>
              <a:lightRig rig="threePt" dir="t"/>
            </a:scene3d>
            <a:sp3d>
              <a:bevelT w="190500" h="38100"/>
            </a:sp3d>
          </c:spPr>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88BE-423C-A2A6-0E0E2C4AC016}"/>
              </c:ext>
            </c:extLst>
          </c:dPt>
          <c:dPt>
            <c:idx val="1"/>
            <c:bubble3D val="0"/>
            <c:explosion val="1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88BE-423C-A2A6-0E0E2C4AC016}"/>
              </c:ext>
            </c:extLst>
          </c:dPt>
          <c:dPt>
            <c:idx val="2"/>
            <c:bubble3D val="0"/>
            <c:spPr>
              <a:solidFill>
                <a:schemeClr val="accent3"/>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5-88BE-423C-A2A6-0E0E2C4AC016}"/>
              </c:ext>
            </c:extLst>
          </c:dPt>
          <c:dPt>
            <c:idx val="3"/>
            <c:bubble3D val="0"/>
            <c:spPr>
              <a:solidFill>
                <a:schemeClr val="accent4"/>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7-88BE-423C-A2A6-0E0E2C4AC016}"/>
              </c:ext>
            </c:extLst>
          </c:dPt>
          <c:dPt>
            <c:idx val="4"/>
            <c:bubble3D val="0"/>
            <c:spPr>
              <a:solidFill>
                <a:schemeClr val="accent5"/>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9-88BE-423C-A2A6-0E0E2C4AC016}"/>
              </c:ext>
            </c:extLst>
          </c:dPt>
          <c:dPt>
            <c:idx val="5"/>
            <c:bubble3D val="0"/>
            <c:spPr>
              <a:solidFill>
                <a:schemeClr val="accent6"/>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B-88BE-423C-A2A6-0E0E2C4AC016}"/>
              </c:ext>
            </c:extLst>
          </c:dPt>
          <c:dPt>
            <c:idx val="6"/>
            <c:bubble3D val="0"/>
            <c:spPr>
              <a:solidFill>
                <a:schemeClr val="accent1">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D-88BE-423C-A2A6-0E0E2C4AC016}"/>
              </c:ext>
            </c:extLst>
          </c:dPt>
          <c:dPt>
            <c:idx val="7"/>
            <c:bubble3D val="0"/>
            <c:spPr>
              <a:solidFill>
                <a:schemeClr val="accent2">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F-88BE-423C-A2A6-0E0E2C4AC016}"/>
              </c:ext>
            </c:extLst>
          </c:dPt>
          <c:dLbls>
            <c:dLbl>
              <c:idx val="0"/>
              <c:layout>
                <c:manualLayout>
                  <c:x val="0.30134055118110237"/>
                  <c:y val="-3.691601049868766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8BE-423C-A2A6-0E0E2C4AC016}"/>
                </c:ext>
              </c:extLst>
            </c:dLbl>
            <c:dLbl>
              <c:idx val="1"/>
              <c:layout>
                <c:manualLayout>
                  <c:x val="4.3443678915135606E-2"/>
                  <c:y val="0.10220873432487605"/>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8BE-423C-A2A6-0E0E2C4AC016}"/>
                </c:ext>
              </c:extLst>
            </c:dLbl>
            <c:dLbl>
              <c:idx val="2"/>
              <c:layout>
                <c:manualLayout>
                  <c:x val="0.11891754155730534"/>
                  <c:y val="-7.652777777777777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8BE-423C-A2A6-0E0E2C4AC016}"/>
                </c:ext>
              </c:extLst>
            </c:dLbl>
            <c:dLbl>
              <c:idx val="3"/>
              <c:layout>
                <c:manualLayout>
                  <c:x val="-4.7630577427821522E-2"/>
                  <c:y val="-2.328703703703703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8BE-423C-A2A6-0E0E2C4AC016}"/>
                </c:ext>
              </c:extLst>
            </c:dLbl>
            <c:dLbl>
              <c:idx val="4"/>
              <c:layout>
                <c:manualLayout>
                  <c:x val="-5.6298884514435696E-2"/>
                  <c:y val="6.1683435403907848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8BE-423C-A2A6-0E0E2C4AC016}"/>
                </c:ext>
              </c:extLst>
            </c:dLbl>
            <c:dLbl>
              <c:idx val="5"/>
              <c:layout>
                <c:manualLayout>
                  <c:x val="-0.2283655949256343"/>
                  <c:y val="9.9245042286380827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c:ext xmlns:c15="http://schemas.microsoft.com/office/drawing/2012/chart" uri="{CE6537A1-D6FC-4f65-9D91-7224C49458BB}">
                  <c15:layout>
                    <c:manualLayout>
                      <c:w val="0.2524862204724409"/>
                      <c:h val="0.16645851560221639"/>
                    </c:manualLayout>
                  </c15:layout>
                </c:ext>
                <c:ext xmlns:c16="http://schemas.microsoft.com/office/drawing/2014/chart" uri="{C3380CC4-5D6E-409C-BE32-E72D297353CC}">
                  <c16:uniqueId val="{0000000B-88BE-423C-A2A6-0E0E2C4AC016}"/>
                </c:ext>
              </c:extLst>
            </c:dLbl>
            <c:dLbl>
              <c:idx val="6"/>
              <c:layout>
                <c:manualLayout>
                  <c:x val="-0.14131649168853894"/>
                  <c:y val="-4.195902595508894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88BE-423C-A2A6-0E0E2C4AC01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[1]ATIVO!$C$4:$J$4</c:f>
              <c:strCache>
                <c:ptCount val="8"/>
                <c:pt idx="0">
                  <c:v>Natureza Especial</c:v>
                </c:pt>
                <c:pt idx="1">
                  <c:v>Ativo Permanente</c:v>
                </c:pt>
                <c:pt idx="2">
                  <c:v>Requisitado Órgãos</c:v>
                </c:pt>
                <c:pt idx="3">
                  <c:v>Requisitado Empresas</c:v>
                </c:pt>
                <c:pt idx="4">
                  <c:v>Sem Vínculo</c:v>
                </c:pt>
                <c:pt idx="5">
                  <c:v>Exercício Descentralizado</c:v>
                </c:pt>
                <c:pt idx="6">
                  <c:v>Contrato Temporário</c:v>
                </c:pt>
                <c:pt idx="7">
                  <c:v>Anistiado</c:v>
                </c:pt>
              </c:strCache>
            </c:strRef>
          </c:cat>
          <c:val>
            <c:numRef>
              <c:f>[1]ATIVO!$C$5:$J$5</c:f>
              <c:numCache>
                <c:formatCode>General</c:formatCode>
                <c:ptCount val="8"/>
                <c:pt idx="0">
                  <c:v>1</c:v>
                </c:pt>
                <c:pt idx="1">
                  <c:v>19</c:v>
                </c:pt>
                <c:pt idx="2">
                  <c:v>13</c:v>
                </c:pt>
                <c:pt idx="3">
                  <c:v>0</c:v>
                </c:pt>
                <c:pt idx="4">
                  <c:v>24</c:v>
                </c:pt>
                <c:pt idx="5">
                  <c:v>0</c:v>
                </c:pt>
                <c:pt idx="6">
                  <c:v>0</c:v>
                </c:pt>
                <c:pt idx="7">
                  <c:v>2</c:v>
                </c:pt>
              </c:numCache>
            </c:numRef>
          </c:val>
          <c:extLst>
            <c:ext xmlns:c16="http://schemas.microsoft.com/office/drawing/2014/chart" uri="{C3380CC4-5D6E-409C-BE32-E72D297353CC}">
              <c16:uniqueId val="{00000010-88BE-423C-A2A6-0E0E2C4AC0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ASSINT</a:t>
            </a:r>
            <a:r>
              <a:rPr lang="pt-BR" baseline="0"/>
              <a:t> por Situação</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9976224846894139"/>
          <c:y val="0.25444152814231552"/>
          <c:w val="0.3838090551181102"/>
          <c:h val="0.63968175853018361"/>
        </c:manualLayout>
      </c:layout>
      <c:pieChart>
        <c:varyColors val="1"/>
        <c:ser>
          <c:idx val="0"/>
          <c:order val="0"/>
          <c:spPr>
            <a:scene3d>
              <a:camera prst="orthographicFront"/>
              <a:lightRig rig="threePt" dir="t"/>
            </a:scene3d>
            <a:sp3d>
              <a:bevelT w="190500" h="38100"/>
            </a:sp3d>
          </c:spPr>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065C-45AB-8C01-73F48E0D9386}"/>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065C-45AB-8C01-73F48E0D9386}"/>
              </c:ext>
            </c:extLst>
          </c:dPt>
          <c:dPt>
            <c:idx val="2"/>
            <c:bubble3D val="0"/>
            <c:spPr>
              <a:solidFill>
                <a:schemeClr val="accent3"/>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5-065C-45AB-8C01-73F48E0D9386}"/>
              </c:ext>
            </c:extLst>
          </c:dPt>
          <c:dPt>
            <c:idx val="3"/>
            <c:bubble3D val="0"/>
            <c:spPr>
              <a:solidFill>
                <a:schemeClr val="accent4"/>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7-065C-45AB-8C01-73F48E0D9386}"/>
              </c:ext>
            </c:extLst>
          </c:dPt>
          <c:dPt>
            <c:idx val="4"/>
            <c:bubble3D val="0"/>
            <c:spPr>
              <a:solidFill>
                <a:schemeClr val="accent5"/>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9-065C-45AB-8C01-73F48E0D9386}"/>
              </c:ext>
            </c:extLst>
          </c:dPt>
          <c:dPt>
            <c:idx val="5"/>
            <c:bubble3D val="0"/>
            <c:spPr>
              <a:solidFill>
                <a:schemeClr val="accent6"/>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B-065C-45AB-8C01-73F48E0D9386}"/>
              </c:ext>
            </c:extLst>
          </c:dPt>
          <c:dPt>
            <c:idx val="6"/>
            <c:bubble3D val="0"/>
            <c:spPr>
              <a:solidFill>
                <a:schemeClr val="accent1">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D-065C-45AB-8C01-73F48E0D9386}"/>
              </c:ext>
            </c:extLst>
          </c:dPt>
          <c:dPt>
            <c:idx val="7"/>
            <c:bubble3D val="0"/>
            <c:spPr>
              <a:solidFill>
                <a:schemeClr val="accent2">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F-065C-45AB-8C01-73F48E0D9386}"/>
              </c:ext>
            </c:extLst>
          </c:dPt>
          <c:dLbls>
            <c:dLbl>
              <c:idx val="0"/>
              <c:layout>
                <c:manualLayout>
                  <c:x val="-0.11770931758530184"/>
                  <c:y val="5.2967337416156314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5C-45AB-8C01-73F48E0D9386}"/>
                </c:ext>
              </c:extLst>
            </c:dLbl>
            <c:dLbl>
              <c:idx val="1"/>
              <c:layout>
                <c:manualLayout>
                  <c:x val="8.6643919510061146E-2"/>
                  <c:y val="0.21144101778944299"/>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5C-45AB-8C01-73F48E0D9386}"/>
                </c:ext>
              </c:extLst>
            </c:dLbl>
            <c:dLbl>
              <c:idx val="2"/>
              <c:layout>
                <c:manualLayout>
                  <c:x val="4.0962160979877517E-2"/>
                  <c:y val="-7.086103820355789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5C-45AB-8C01-73F48E0D9386}"/>
                </c:ext>
              </c:extLst>
            </c:dLbl>
            <c:dLbl>
              <c:idx val="3"/>
              <c:layout>
                <c:manualLayout>
                  <c:x val="-0.21666765091863516"/>
                  <c:y val="-1.402777777777777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5C-45AB-8C01-73F48E0D9386}"/>
                </c:ext>
              </c:extLst>
            </c:dLbl>
            <c:dLbl>
              <c:idx val="4"/>
              <c:layout>
                <c:manualLayout>
                  <c:x val="-7.0841316710411203E-2"/>
                  <c:y val="5.509623797025371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65C-45AB-8C01-73F48E0D9386}"/>
                </c:ext>
              </c:extLst>
            </c:dLbl>
            <c:dLbl>
              <c:idx val="5"/>
              <c:layout>
                <c:manualLayout>
                  <c:x val="0.37951290463692039"/>
                  <c:y val="9.781969962088071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65C-45AB-8C01-73F48E0D9386}"/>
                </c:ext>
              </c:extLst>
            </c:dLbl>
            <c:dLbl>
              <c:idx val="6"/>
              <c:layout>
                <c:manualLayout>
                  <c:x val="-0.33784820647419073"/>
                  <c:y val="8.161599591717702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65C-45AB-8C01-73F48E0D9386}"/>
                </c:ext>
              </c:extLst>
            </c:dLbl>
            <c:dLbl>
              <c:idx val="7"/>
              <c:layout>
                <c:manualLayout>
                  <c:x val="0.24617957130358706"/>
                  <c:y val="-5.829141149023039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65C-45AB-8C01-73F48E0D938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[1]ATIVO!$C$4:$J$4</c:f>
              <c:strCache>
                <c:ptCount val="8"/>
                <c:pt idx="0">
                  <c:v>Natureza Especial</c:v>
                </c:pt>
                <c:pt idx="1">
                  <c:v>Ativo Permanente</c:v>
                </c:pt>
                <c:pt idx="2">
                  <c:v>Requisitado Órgãos</c:v>
                </c:pt>
                <c:pt idx="3">
                  <c:v>Requisitado Empresas</c:v>
                </c:pt>
                <c:pt idx="4">
                  <c:v>Sem Vínculo</c:v>
                </c:pt>
                <c:pt idx="5">
                  <c:v>Exercício Descentralizado</c:v>
                </c:pt>
                <c:pt idx="6">
                  <c:v>Contrato Temporário</c:v>
                </c:pt>
                <c:pt idx="7">
                  <c:v>Anistiado</c:v>
                </c:pt>
              </c:strCache>
            </c:strRef>
          </c:cat>
          <c:val>
            <c:numRef>
              <c:f>[1]ATIVO!$C$7:$J$7</c:f>
              <c:numCache>
                <c:formatCode>General</c:formatCode>
                <c:ptCount val="8"/>
                <c:pt idx="0">
                  <c:v>0</c:v>
                </c:pt>
                <c:pt idx="1">
                  <c:v>1</c:v>
                </c:pt>
                <c:pt idx="2">
                  <c:v>1</c:v>
                </c:pt>
                <c:pt idx="3">
                  <c:v>0</c:v>
                </c:pt>
                <c:pt idx="4">
                  <c:v>2</c:v>
                </c:pt>
                <c:pt idx="5">
                  <c:v>0</c:v>
                </c:pt>
                <c:pt idx="6">
                  <c:v>0</c:v>
                </c:pt>
                <c:pt idx="7">
                  <c:v>0</c:v>
                </c:pt>
              </c:numCache>
            </c:numRef>
          </c:val>
          <c:extLst>
            <c:ext xmlns:c16="http://schemas.microsoft.com/office/drawing/2014/chart" uri="{C3380CC4-5D6E-409C-BE32-E72D297353CC}">
              <c16:uniqueId val="{00000010-065C-45AB-8C01-73F48E0D938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AEPED por Situação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6679177602799647"/>
          <c:y val="0.25504629629629627"/>
          <c:w val="0.41641666666666666"/>
          <c:h val="0.6940277777777778"/>
        </c:manualLayout>
      </c:layout>
      <c:pieChart>
        <c:varyColors val="1"/>
        <c:ser>
          <c:idx val="0"/>
          <c:order val="0"/>
          <c:spPr>
            <a:scene3d>
              <a:camera prst="orthographicFront"/>
              <a:lightRig rig="threePt" dir="t"/>
            </a:scene3d>
            <a:sp3d>
              <a:bevelT w="190500" h="38100"/>
            </a:sp3d>
          </c:spPr>
          <c:explosion val="7"/>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3FE9-4532-B8B3-618016965D33}"/>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3FE9-4532-B8B3-618016965D33}"/>
              </c:ext>
            </c:extLst>
          </c:dPt>
          <c:dPt>
            <c:idx val="2"/>
            <c:bubble3D val="0"/>
            <c:spPr>
              <a:solidFill>
                <a:schemeClr val="accent3"/>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5-3FE9-4532-B8B3-618016965D33}"/>
              </c:ext>
            </c:extLst>
          </c:dPt>
          <c:dPt>
            <c:idx val="3"/>
            <c:bubble3D val="0"/>
            <c:spPr>
              <a:solidFill>
                <a:schemeClr val="accent4"/>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7-3FE9-4532-B8B3-618016965D33}"/>
              </c:ext>
            </c:extLst>
          </c:dPt>
          <c:dPt>
            <c:idx val="4"/>
            <c:bubble3D val="0"/>
            <c:spPr>
              <a:solidFill>
                <a:schemeClr val="accent5"/>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9-3FE9-4532-B8B3-618016965D33}"/>
              </c:ext>
            </c:extLst>
          </c:dPt>
          <c:dPt>
            <c:idx val="5"/>
            <c:bubble3D val="0"/>
            <c:spPr>
              <a:solidFill>
                <a:schemeClr val="accent6"/>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B-3FE9-4532-B8B3-618016965D33}"/>
              </c:ext>
            </c:extLst>
          </c:dPt>
          <c:dPt>
            <c:idx val="6"/>
            <c:bubble3D val="0"/>
            <c:spPr>
              <a:solidFill>
                <a:schemeClr val="accent1">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D-3FE9-4532-B8B3-618016965D33}"/>
              </c:ext>
            </c:extLst>
          </c:dPt>
          <c:dPt>
            <c:idx val="7"/>
            <c:bubble3D val="0"/>
            <c:spPr>
              <a:solidFill>
                <a:schemeClr val="accent2">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F-3FE9-4532-B8B3-618016965D33}"/>
              </c:ext>
            </c:extLst>
          </c:dPt>
          <c:dLbls>
            <c:dLbl>
              <c:idx val="0"/>
              <c:layout>
                <c:manualLayout>
                  <c:x val="0.28611001749781279"/>
                  <c:y val="8.9446631671041121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FE9-4532-B8B3-618016965D33}"/>
                </c:ext>
              </c:extLst>
            </c:dLbl>
            <c:dLbl>
              <c:idx val="1"/>
              <c:layout>
                <c:manualLayout>
                  <c:x val="0.21564446631671053"/>
                  <c:y val="0.10679097404491106"/>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FE9-4532-B8B3-618016965D33}"/>
                </c:ext>
              </c:extLst>
            </c:dLbl>
            <c:dLbl>
              <c:idx val="2"/>
              <c:layout>
                <c:manualLayout>
                  <c:x val="1.7952318460192476E-2"/>
                  <c:y val="1.168926800816564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FE9-4532-B8B3-618016965D33}"/>
                </c:ext>
              </c:extLst>
            </c:dLbl>
            <c:dLbl>
              <c:idx val="3"/>
              <c:layout>
                <c:manualLayout>
                  <c:x val="5.6407370953630798E-2"/>
                  <c:y val="0.20844852726742491"/>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FE9-4532-B8B3-618016965D33}"/>
                </c:ext>
              </c:extLst>
            </c:dLbl>
            <c:dLbl>
              <c:idx val="4"/>
              <c:layout>
                <c:manualLayout>
                  <c:x val="-0.10201771653543307"/>
                  <c:y val="-0.11009259259259259"/>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FE9-4532-B8B3-618016965D33}"/>
                </c:ext>
              </c:extLst>
            </c:dLbl>
            <c:dLbl>
              <c:idx val="5"/>
              <c:layout>
                <c:manualLayout>
                  <c:x val="-0.29618153980752404"/>
                  <c:y val="0.1963750364537766"/>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FE9-4532-B8B3-618016965D33}"/>
                </c:ext>
              </c:extLst>
            </c:dLbl>
            <c:dLbl>
              <c:idx val="6"/>
              <c:layout>
                <c:manualLayout>
                  <c:x val="-0.25625087489063869"/>
                  <c:y val="8.8750364537766111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FE9-4532-B8B3-618016965D33}"/>
                </c:ext>
              </c:extLst>
            </c:dLbl>
            <c:dLbl>
              <c:idx val="7"/>
              <c:layout>
                <c:manualLayout>
                  <c:x val="0.10242957130358706"/>
                  <c:y val="-8.473607465733450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3FE9-4532-B8B3-618016965D3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[1]ATIVO!$C$4:$J$4</c:f>
              <c:strCache>
                <c:ptCount val="8"/>
                <c:pt idx="0">
                  <c:v>Natureza Especial</c:v>
                </c:pt>
                <c:pt idx="1">
                  <c:v>Ativo Permanente</c:v>
                </c:pt>
                <c:pt idx="2">
                  <c:v>Requisitado Órgãos</c:v>
                </c:pt>
                <c:pt idx="3">
                  <c:v>Requisitado Empresas</c:v>
                </c:pt>
                <c:pt idx="4">
                  <c:v>Sem Vínculo</c:v>
                </c:pt>
                <c:pt idx="5">
                  <c:v>Exercício Descentralizado</c:v>
                </c:pt>
                <c:pt idx="6">
                  <c:v>Contrato Temporário</c:v>
                </c:pt>
                <c:pt idx="7">
                  <c:v>Anistiado</c:v>
                </c:pt>
              </c:strCache>
            </c:strRef>
          </c:cat>
          <c:val>
            <c:numRef>
              <c:f>[1]ATIVO!$C$9:$J$9</c:f>
              <c:numCache>
                <c:formatCode>General</c:formatCode>
                <c:ptCount val="8"/>
                <c:pt idx="0">
                  <c:v>0</c:v>
                </c:pt>
                <c:pt idx="1">
                  <c:v>1</c:v>
                </c:pt>
                <c:pt idx="2">
                  <c:v>0</c:v>
                </c:pt>
                <c:pt idx="3">
                  <c:v>0</c:v>
                </c:pt>
                <c:pt idx="4">
                  <c:v>4</c:v>
                </c:pt>
                <c:pt idx="5">
                  <c:v>0</c:v>
                </c:pt>
                <c:pt idx="6">
                  <c:v>0</c:v>
                </c:pt>
                <c:pt idx="7">
                  <c:v>0</c:v>
                </c:pt>
              </c:numCache>
            </c:numRef>
          </c:val>
          <c:extLst>
            <c:ext xmlns:c16="http://schemas.microsoft.com/office/drawing/2014/chart" uri="{C3380CC4-5D6E-409C-BE32-E72D297353CC}">
              <c16:uniqueId val="{00000010-3FE9-4532-B8B3-618016965D3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AECI por Situação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8920068814927546"/>
          <c:y val="0.25504629629629627"/>
          <c:w val="0.38266327003242245"/>
          <c:h val="0.63245734908136486"/>
        </c:manualLayout>
      </c:layout>
      <c:pieChart>
        <c:varyColors val="1"/>
        <c:ser>
          <c:idx val="0"/>
          <c:order val="0"/>
          <c:spPr>
            <a:scene3d>
              <a:camera prst="orthographicFront"/>
              <a:lightRig rig="threePt" dir="t"/>
            </a:scene3d>
            <a:sp3d>
              <a:bevelT w="190500" h="38100"/>
            </a:sp3d>
          </c:spPr>
          <c:explosion val="7"/>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0A89-4B9D-AFD4-E7BA4CB04E5C}"/>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0A89-4B9D-AFD4-E7BA4CB04E5C}"/>
              </c:ext>
            </c:extLst>
          </c:dPt>
          <c:dPt>
            <c:idx val="2"/>
            <c:bubble3D val="0"/>
            <c:spPr>
              <a:solidFill>
                <a:schemeClr val="accent3"/>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5-0A89-4B9D-AFD4-E7BA4CB04E5C}"/>
              </c:ext>
            </c:extLst>
          </c:dPt>
          <c:dPt>
            <c:idx val="3"/>
            <c:bubble3D val="0"/>
            <c:spPr>
              <a:solidFill>
                <a:schemeClr val="accent4"/>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7-0A89-4B9D-AFD4-E7BA4CB04E5C}"/>
              </c:ext>
            </c:extLst>
          </c:dPt>
          <c:dPt>
            <c:idx val="4"/>
            <c:bubble3D val="0"/>
            <c:spPr>
              <a:solidFill>
                <a:schemeClr val="accent5"/>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9-0A89-4B9D-AFD4-E7BA4CB04E5C}"/>
              </c:ext>
            </c:extLst>
          </c:dPt>
          <c:dPt>
            <c:idx val="5"/>
            <c:bubble3D val="0"/>
            <c:spPr>
              <a:solidFill>
                <a:schemeClr val="accent6"/>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B-0A89-4B9D-AFD4-E7BA4CB04E5C}"/>
              </c:ext>
            </c:extLst>
          </c:dPt>
          <c:dPt>
            <c:idx val="6"/>
            <c:bubble3D val="0"/>
            <c:spPr>
              <a:solidFill>
                <a:schemeClr val="accent1">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D-0A89-4B9D-AFD4-E7BA4CB04E5C}"/>
              </c:ext>
            </c:extLst>
          </c:dPt>
          <c:dPt>
            <c:idx val="7"/>
            <c:bubble3D val="0"/>
            <c:spPr>
              <a:solidFill>
                <a:schemeClr val="accent2">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F-0A89-4B9D-AFD4-E7BA4CB04E5C}"/>
              </c:ext>
            </c:extLst>
          </c:dPt>
          <c:dLbls>
            <c:dLbl>
              <c:idx val="1"/>
              <c:layout>
                <c:manualLayout>
                  <c:x val="0.11226859142607173"/>
                  <c:y val="0.2145512540099154"/>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A89-4B9D-AFD4-E7BA4CB04E5C}"/>
                </c:ext>
              </c:extLst>
            </c:dLbl>
            <c:dLbl>
              <c:idx val="2"/>
              <c:layout>
                <c:manualLayout>
                  <c:x val="8.3524059492563432E-2"/>
                  <c:y val="-0.10522127442403041"/>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A89-4B9D-AFD4-E7BA4CB04E5C}"/>
                </c:ext>
              </c:extLst>
            </c:dLbl>
            <c:dLbl>
              <c:idx val="4"/>
              <c:layout>
                <c:manualLayout>
                  <c:x val="-4.6095909886264219E-2"/>
                  <c:y val="3.328740157480315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A89-4B9D-AFD4-E7BA4CB04E5C}"/>
                </c:ext>
              </c:extLst>
            </c:dLbl>
            <c:dLbl>
              <c:idx val="5"/>
              <c:layout>
                <c:manualLayout>
                  <c:x val="-0.31701487314085741"/>
                  <c:y val="0.23393117526975796"/>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A89-4B9D-AFD4-E7BA4CB04E5C}"/>
                </c:ext>
              </c:extLst>
            </c:dLbl>
            <c:dLbl>
              <c:idx val="7"/>
              <c:layout>
                <c:manualLayout>
                  <c:x val="0.18893447142636582"/>
                  <c:y val="-3.26461796442111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A89-4B9D-AFD4-E7BA4CB04E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[1]ATIVO!$C$4:$J$4</c:f>
              <c:strCache>
                <c:ptCount val="8"/>
                <c:pt idx="0">
                  <c:v>Natureza Especial</c:v>
                </c:pt>
                <c:pt idx="1">
                  <c:v>Ativo Permanente</c:v>
                </c:pt>
                <c:pt idx="2">
                  <c:v>Requisitado Órgãos</c:v>
                </c:pt>
                <c:pt idx="3">
                  <c:v>Requisitado Empresas</c:v>
                </c:pt>
                <c:pt idx="4">
                  <c:v>Sem Vínculo</c:v>
                </c:pt>
                <c:pt idx="5">
                  <c:v>Exercício Descentralizado</c:v>
                </c:pt>
                <c:pt idx="6">
                  <c:v>Contrato Temporário</c:v>
                </c:pt>
                <c:pt idx="7">
                  <c:v>Anistiado</c:v>
                </c:pt>
              </c:strCache>
            </c:strRef>
          </c:cat>
          <c:val>
            <c:numRef>
              <c:f>[1]ATIVO!$C$8:$J$8</c:f>
              <c:numCache>
                <c:formatCode>General</c:formatCode>
                <c:ptCount val="8"/>
                <c:pt idx="0">
                  <c:v>0</c:v>
                </c:pt>
                <c:pt idx="1">
                  <c:v>1</c:v>
                </c:pt>
                <c:pt idx="2">
                  <c:v>1</c:v>
                </c:pt>
                <c:pt idx="3">
                  <c:v>0</c:v>
                </c:pt>
                <c:pt idx="4">
                  <c:v>2</c:v>
                </c:pt>
                <c:pt idx="5">
                  <c:v>0</c:v>
                </c:pt>
                <c:pt idx="6">
                  <c:v>0</c:v>
                </c:pt>
                <c:pt idx="7">
                  <c:v>0</c:v>
                </c:pt>
              </c:numCache>
            </c:numRef>
          </c:val>
          <c:extLst>
            <c:ext xmlns:c16="http://schemas.microsoft.com/office/drawing/2014/chart" uri="{C3380CC4-5D6E-409C-BE32-E72D297353CC}">
              <c16:uniqueId val="{00000010-0A89-4B9D-AFD4-E7BA4CB04E5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Exercício MME por situação</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9699999999999999"/>
          <c:y val="0.23408926262439678"/>
          <c:w val="0.40044466316710409"/>
          <c:h val="0.66052704114618199"/>
        </c:manualLayout>
      </c:layout>
      <c:pieChart>
        <c:varyColors val="1"/>
        <c:dLbls>
          <c:dLblPos val="inEnd"/>
          <c:showLegendKey val="0"/>
          <c:showVal val="0"/>
          <c:showCatName val="0"/>
          <c:showSerName val="0"/>
          <c:showPercent val="1"/>
          <c:showBubbleSize val="0"/>
          <c:showLeaderLines val="0"/>
        </c:dLbls>
        <c:firstSliceAng val="0"/>
      </c:pieChart>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ASSEC por Situação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7512510936132983"/>
          <c:y val="0.29208333333333336"/>
          <c:w val="0.39974999999999999"/>
          <c:h val="0.66625000000000001"/>
        </c:manualLayout>
      </c:layout>
      <c:pieChart>
        <c:varyColors val="1"/>
        <c:ser>
          <c:idx val="0"/>
          <c:order val="0"/>
          <c:spPr>
            <a:scene3d>
              <a:camera prst="orthographicFront"/>
              <a:lightRig rig="threePt" dir="t"/>
            </a:scene3d>
            <a:sp3d>
              <a:bevelT w="190500" h="38100"/>
            </a:sp3d>
          </c:spPr>
          <c:explosion val="10"/>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024D-4BED-998C-87EB85E52AB3}"/>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024D-4BED-998C-87EB85E52AB3}"/>
              </c:ext>
            </c:extLst>
          </c:dPt>
          <c:dPt>
            <c:idx val="2"/>
            <c:bubble3D val="0"/>
            <c:spPr>
              <a:solidFill>
                <a:schemeClr val="accent3"/>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5-024D-4BED-998C-87EB85E52AB3}"/>
              </c:ext>
            </c:extLst>
          </c:dPt>
          <c:dPt>
            <c:idx val="3"/>
            <c:bubble3D val="0"/>
            <c:spPr>
              <a:solidFill>
                <a:schemeClr val="accent4"/>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7-024D-4BED-998C-87EB85E52AB3}"/>
              </c:ext>
            </c:extLst>
          </c:dPt>
          <c:dPt>
            <c:idx val="4"/>
            <c:bubble3D val="0"/>
            <c:spPr>
              <a:solidFill>
                <a:schemeClr val="accent5"/>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9-024D-4BED-998C-87EB85E52AB3}"/>
              </c:ext>
            </c:extLst>
          </c:dPt>
          <c:dPt>
            <c:idx val="5"/>
            <c:bubble3D val="0"/>
            <c:spPr>
              <a:solidFill>
                <a:schemeClr val="accent6"/>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B-024D-4BED-998C-87EB85E52AB3}"/>
              </c:ext>
            </c:extLst>
          </c:dPt>
          <c:dPt>
            <c:idx val="6"/>
            <c:bubble3D val="0"/>
            <c:spPr>
              <a:solidFill>
                <a:schemeClr val="accent1">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D-024D-4BED-998C-87EB85E52AB3}"/>
              </c:ext>
            </c:extLst>
          </c:dPt>
          <c:dPt>
            <c:idx val="7"/>
            <c:bubble3D val="0"/>
            <c:spPr>
              <a:solidFill>
                <a:schemeClr val="accent2">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F-024D-4BED-998C-87EB85E52AB3}"/>
              </c:ext>
            </c:extLst>
          </c:dPt>
          <c:dLbls>
            <c:dLbl>
              <c:idx val="0"/>
              <c:layout>
                <c:manualLayout>
                  <c:x val="0.2295129046369204"/>
                  <c:y val="9.2403032954214061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24D-4BED-998C-87EB85E52AB3}"/>
                </c:ext>
              </c:extLst>
            </c:dLbl>
            <c:dLbl>
              <c:idx val="1"/>
              <c:layout>
                <c:manualLayout>
                  <c:x val="0.18132928696412948"/>
                  <c:y val="0.16832057451151938"/>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24D-4BED-998C-87EB85E52AB3}"/>
                </c:ext>
              </c:extLst>
            </c:dLbl>
            <c:dLbl>
              <c:idx val="2"/>
              <c:layout>
                <c:manualLayout>
                  <c:x val="9.9838363954505682E-2"/>
                  <c:y val="-9.628572470107903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24D-4BED-998C-87EB85E52AB3}"/>
                </c:ext>
              </c:extLst>
            </c:dLbl>
            <c:dLbl>
              <c:idx val="3"/>
              <c:layout>
                <c:manualLayout>
                  <c:x val="-5.9048775153105859E-2"/>
                  <c:y val="0.26342847769028871"/>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24D-4BED-998C-87EB85E52AB3}"/>
                </c:ext>
              </c:extLst>
            </c:dLbl>
            <c:dLbl>
              <c:idx val="4"/>
              <c:layout>
                <c:manualLayout>
                  <c:x val="-9.7942038495188108E-2"/>
                  <c:y val="0.12929607757363659"/>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24D-4BED-998C-87EB85E52AB3}"/>
                </c:ext>
              </c:extLst>
            </c:dLbl>
            <c:dLbl>
              <c:idx val="5"/>
              <c:layout>
                <c:manualLayout>
                  <c:x val="-0.23854265091863516"/>
                  <c:y val="-7.763487897346164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24D-4BED-998C-87EB85E52AB3}"/>
                </c:ext>
              </c:extLst>
            </c:dLbl>
            <c:dLbl>
              <c:idx val="6"/>
              <c:layout>
                <c:manualLayout>
                  <c:x val="-0.39062598425196848"/>
                  <c:y val="3.347623213764946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24D-4BED-998C-87EB85E52AB3}"/>
                </c:ext>
              </c:extLst>
            </c:dLbl>
            <c:dLbl>
              <c:idx val="7"/>
              <c:layout>
                <c:manualLayout>
                  <c:x val="-1.0426509186351705E-3"/>
                  <c:y val="-3.814450277048702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24D-4BED-998C-87EB85E52AB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[1]ATIVO!$C$4:$J$4</c:f>
              <c:strCache>
                <c:ptCount val="8"/>
                <c:pt idx="0">
                  <c:v>Natureza Especial</c:v>
                </c:pt>
                <c:pt idx="1">
                  <c:v>Ativo Permanente</c:v>
                </c:pt>
                <c:pt idx="2">
                  <c:v>Requisitado Órgãos</c:v>
                </c:pt>
                <c:pt idx="3">
                  <c:v>Requisitado Empresas</c:v>
                </c:pt>
                <c:pt idx="4">
                  <c:v>Sem Vínculo</c:v>
                </c:pt>
                <c:pt idx="5">
                  <c:v>Exercício Descentralizado</c:v>
                </c:pt>
                <c:pt idx="6">
                  <c:v>Contrato Temporário</c:v>
                </c:pt>
                <c:pt idx="7">
                  <c:v>Anistiado</c:v>
                </c:pt>
              </c:strCache>
            </c:strRef>
          </c:cat>
          <c:val>
            <c:numRef>
              <c:f>[1]ATIVO!$C$6:$J$6</c:f>
              <c:numCache>
                <c:formatCode>General</c:formatCode>
                <c:ptCount val="8"/>
                <c:pt idx="0">
                  <c:v>0</c:v>
                </c:pt>
                <c:pt idx="1">
                  <c:v>1</c:v>
                </c:pt>
                <c:pt idx="2">
                  <c:v>6</c:v>
                </c:pt>
                <c:pt idx="3">
                  <c:v>0</c:v>
                </c:pt>
                <c:pt idx="4">
                  <c:v>1</c:v>
                </c:pt>
                <c:pt idx="5">
                  <c:v>0</c:v>
                </c:pt>
                <c:pt idx="6">
                  <c:v>0</c:v>
                </c:pt>
                <c:pt idx="7">
                  <c:v>0</c:v>
                </c:pt>
              </c:numCache>
            </c:numRef>
          </c:val>
          <c:extLst>
            <c:ext xmlns:c16="http://schemas.microsoft.com/office/drawing/2014/chart" uri="{C3380CC4-5D6E-409C-BE32-E72D297353CC}">
              <c16:uniqueId val="{00000010-024D-4BED-998C-87EB85E52AB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CONJUR por Situação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6679177602799647"/>
          <c:y val="0.25967592592592598"/>
          <c:w val="0.39415383097989576"/>
          <c:h val="0.65555446194225719"/>
        </c:manualLayout>
      </c:layout>
      <c:pieChart>
        <c:varyColors val="1"/>
        <c:ser>
          <c:idx val="0"/>
          <c:order val="0"/>
          <c:spPr>
            <a:scene3d>
              <a:camera prst="orthographicFront"/>
              <a:lightRig rig="threePt" dir="t"/>
            </a:scene3d>
            <a:sp3d>
              <a:bevelT w="190500" h="38100"/>
            </a:sp3d>
          </c:spPr>
          <c:explosion val="13"/>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91E1-473D-A3A2-4E26CD097098}"/>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91E1-473D-A3A2-4E26CD097098}"/>
              </c:ext>
            </c:extLst>
          </c:dPt>
          <c:dPt>
            <c:idx val="2"/>
            <c:bubble3D val="0"/>
            <c:spPr>
              <a:solidFill>
                <a:schemeClr val="accent3"/>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5-91E1-473D-A3A2-4E26CD097098}"/>
              </c:ext>
            </c:extLst>
          </c:dPt>
          <c:dPt>
            <c:idx val="3"/>
            <c:bubble3D val="0"/>
            <c:spPr>
              <a:solidFill>
                <a:schemeClr val="accent4"/>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7-91E1-473D-A3A2-4E26CD097098}"/>
              </c:ext>
            </c:extLst>
          </c:dPt>
          <c:dPt>
            <c:idx val="4"/>
            <c:bubble3D val="0"/>
            <c:spPr>
              <a:solidFill>
                <a:schemeClr val="accent5"/>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9-91E1-473D-A3A2-4E26CD097098}"/>
              </c:ext>
            </c:extLst>
          </c:dPt>
          <c:dPt>
            <c:idx val="5"/>
            <c:bubble3D val="0"/>
            <c:spPr>
              <a:solidFill>
                <a:schemeClr val="accent6"/>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B-91E1-473D-A3A2-4E26CD097098}"/>
              </c:ext>
            </c:extLst>
          </c:dPt>
          <c:dPt>
            <c:idx val="6"/>
            <c:bubble3D val="0"/>
            <c:spPr>
              <a:solidFill>
                <a:schemeClr val="accent1">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D-91E1-473D-A3A2-4E26CD097098}"/>
              </c:ext>
            </c:extLst>
          </c:dPt>
          <c:dPt>
            <c:idx val="7"/>
            <c:bubble3D val="0"/>
            <c:spPr>
              <a:solidFill>
                <a:schemeClr val="accent2">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F-91E1-473D-A3A2-4E26CD097098}"/>
              </c:ext>
            </c:extLst>
          </c:dPt>
          <c:dLbls>
            <c:dLbl>
              <c:idx val="0"/>
              <c:layout>
                <c:manualLayout>
                  <c:x val="9.9304571303587053E-2"/>
                  <c:y val="-3.4000437445319337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1E1-473D-A3A2-4E26CD097098}"/>
                </c:ext>
              </c:extLst>
            </c:dLbl>
            <c:dLbl>
              <c:idx val="1"/>
              <c:layout>
                <c:manualLayout>
                  <c:x val="0.13409437882764655"/>
                  <c:y val="1.674176144648585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1E1-473D-A3A2-4E26CD097098}"/>
                </c:ext>
              </c:extLst>
            </c:dLbl>
            <c:dLbl>
              <c:idx val="2"/>
              <c:layout>
                <c:manualLayout>
                  <c:x val="0.17279636920384972"/>
                  <c:y val="3.909230096237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1E1-473D-A3A2-4E26CD097098}"/>
                </c:ext>
              </c:extLst>
            </c:dLbl>
            <c:dLbl>
              <c:idx val="3"/>
              <c:layout>
                <c:manualLayout>
                  <c:x val="0.1097898075240594"/>
                  <c:y val="0.16996135899679207"/>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1E1-473D-A3A2-4E26CD097098}"/>
                </c:ext>
              </c:extLst>
            </c:dLbl>
            <c:dLbl>
              <c:idx val="4"/>
              <c:layout>
                <c:manualLayout>
                  <c:x val="9.4424103237095366E-2"/>
                  <c:y val="2.532407407407398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1E1-473D-A3A2-4E26CD097098}"/>
                </c:ext>
              </c:extLst>
            </c:dLbl>
            <c:dLbl>
              <c:idx val="5"/>
              <c:layout>
                <c:manualLayout>
                  <c:x val="-4.6965441819772531E-2"/>
                  <c:y val="-4.888852435112282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1E1-473D-A3A2-4E26CD097098}"/>
                </c:ext>
              </c:extLst>
            </c:dLbl>
            <c:dLbl>
              <c:idx val="6"/>
              <c:layout>
                <c:manualLayout>
                  <c:x val="-0.36388998250218724"/>
                  <c:y val="5.440069991251093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91E1-473D-A3A2-4E26CD09709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[1]ATIVO!$C$4:$J$4</c:f>
              <c:strCache>
                <c:ptCount val="8"/>
                <c:pt idx="0">
                  <c:v>Natureza Especial</c:v>
                </c:pt>
                <c:pt idx="1">
                  <c:v>Ativo Permanente</c:v>
                </c:pt>
                <c:pt idx="2">
                  <c:v>Requisitado Órgãos</c:v>
                </c:pt>
                <c:pt idx="3">
                  <c:v>Requisitado Empresas</c:v>
                </c:pt>
                <c:pt idx="4">
                  <c:v>Sem Vínculo</c:v>
                </c:pt>
                <c:pt idx="5">
                  <c:v>Exercício Descentralizado</c:v>
                </c:pt>
                <c:pt idx="6">
                  <c:v>Contrato Temporário</c:v>
                </c:pt>
                <c:pt idx="7">
                  <c:v>Anistiado</c:v>
                </c:pt>
              </c:strCache>
            </c:strRef>
          </c:cat>
          <c:val>
            <c:numRef>
              <c:f>[1]ATIVO!$C$10:$J$10</c:f>
              <c:numCache>
                <c:formatCode>General</c:formatCode>
                <c:ptCount val="8"/>
                <c:pt idx="0">
                  <c:v>0</c:v>
                </c:pt>
                <c:pt idx="1">
                  <c:v>3</c:v>
                </c:pt>
                <c:pt idx="2">
                  <c:v>0</c:v>
                </c:pt>
                <c:pt idx="3">
                  <c:v>0</c:v>
                </c:pt>
                <c:pt idx="4">
                  <c:v>7</c:v>
                </c:pt>
                <c:pt idx="5">
                  <c:v>11</c:v>
                </c:pt>
                <c:pt idx="6">
                  <c:v>0</c:v>
                </c:pt>
                <c:pt idx="7">
                  <c:v>0</c:v>
                </c:pt>
              </c:numCache>
            </c:numRef>
          </c:val>
          <c:extLst>
            <c:ext xmlns:c16="http://schemas.microsoft.com/office/drawing/2014/chart" uri="{C3380CC4-5D6E-409C-BE32-E72D297353CC}">
              <c16:uniqueId val="{00000010-91E1-473D-A3A2-4E26CD09709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SEC.EXEC.</a:t>
            </a:r>
            <a:r>
              <a:rPr lang="pt-BR" baseline="0"/>
              <a:t> por Situação</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30854547148203554"/>
          <c:y val="0.25991263865739417"/>
          <c:w val="0.35803111249924657"/>
          <c:h val="0.62590110542751498"/>
        </c:manualLayout>
      </c:layout>
      <c:pieChart>
        <c:varyColors val="1"/>
        <c:ser>
          <c:idx val="0"/>
          <c:order val="0"/>
          <c:spPr>
            <a:scene3d>
              <a:camera prst="orthographicFront"/>
              <a:lightRig rig="threePt" dir="t"/>
            </a:scene3d>
            <a:sp3d>
              <a:bevelT w="190500" h="38100"/>
            </a:sp3d>
          </c:spPr>
          <c:explosion val="3"/>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B9CE-438D-A554-98746B1103A3}"/>
              </c:ext>
            </c:extLst>
          </c:dPt>
          <c:dPt>
            <c:idx val="1"/>
            <c:bubble3D val="0"/>
            <c:explosion val="11"/>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B9CE-438D-A554-98746B1103A3}"/>
              </c:ext>
            </c:extLst>
          </c:dPt>
          <c:dPt>
            <c:idx val="2"/>
            <c:bubble3D val="0"/>
            <c:spPr>
              <a:solidFill>
                <a:schemeClr val="accent3"/>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5-B9CE-438D-A554-98746B1103A3}"/>
              </c:ext>
            </c:extLst>
          </c:dPt>
          <c:dPt>
            <c:idx val="3"/>
            <c:bubble3D val="0"/>
            <c:spPr>
              <a:solidFill>
                <a:schemeClr val="accent4"/>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7-B9CE-438D-A554-98746B1103A3}"/>
              </c:ext>
            </c:extLst>
          </c:dPt>
          <c:dPt>
            <c:idx val="4"/>
            <c:bubble3D val="0"/>
            <c:spPr>
              <a:solidFill>
                <a:schemeClr val="accent5"/>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9-B9CE-438D-A554-98746B1103A3}"/>
              </c:ext>
            </c:extLst>
          </c:dPt>
          <c:dPt>
            <c:idx val="5"/>
            <c:bubble3D val="0"/>
            <c:spPr>
              <a:solidFill>
                <a:schemeClr val="accent6"/>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B-B9CE-438D-A554-98746B1103A3}"/>
              </c:ext>
            </c:extLst>
          </c:dPt>
          <c:dPt>
            <c:idx val="6"/>
            <c:bubble3D val="0"/>
            <c:spPr>
              <a:solidFill>
                <a:schemeClr val="accent1">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D-B9CE-438D-A554-98746B1103A3}"/>
              </c:ext>
            </c:extLst>
          </c:dPt>
          <c:dPt>
            <c:idx val="7"/>
            <c:bubble3D val="0"/>
            <c:spPr>
              <a:solidFill>
                <a:schemeClr val="accent2">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F-B9CE-438D-A554-98746B1103A3}"/>
              </c:ext>
            </c:extLst>
          </c:dPt>
          <c:dLbls>
            <c:dLbl>
              <c:idx val="0"/>
              <c:layout>
                <c:manualLayout>
                  <c:x val="8.2290682414698169E-2"/>
                  <c:y val="-6.898148148148148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9CE-438D-A554-98746B1103A3}"/>
                </c:ext>
              </c:extLst>
            </c:dLbl>
            <c:dLbl>
              <c:idx val="1"/>
              <c:layout>
                <c:manualLayout>
                  <c:x val="1.5503827646544182E-2"/>
                  <c:y val="-0.14436205890930301"/>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9CE-438D-A554-98746B1103A3}"/>
                </c:ext>
              </c:extLst>
            </c:dLbl>
            <c:dLbl>
              <c:idx val="2"/>
              <c:layout>
                <c:manualLayout>
                  <c:x val="0.15110279965004375"/>
                  <c:y val="-2.560185185185185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9CE-438D-A554-98746B1103A3}"/>
                </c:ext>
              </c:extLst>
            </c:dLbl>
            <c:dLbl>
              <c:idx val="3"/>
              <c:layout>
                <c:manualLayout>
                  <c:x val="-7.8207458442694666E-2"/>
                  <c:y val="-1.3888888888888889E-4"/>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9CE-438D-A554-98746B1103A3}"/>
                </c:ext>
              </c:extLst>
            </c:dLbl>
            <c:dLbl>
              <c:idx val="4"/>
              <c:layout>
                <c:manualLayout>
                  <c:x val="-9.0309930008748901E-2"/>
                  <c:y val="-0.10314814814814814"/>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9CE-438D-A554-98746B1103A3}"/>
                </c:ext>
              </c:extLst>
            </c:dLbl>
            <c:dLbl>
              <c:idx val="5"/>
              <c:layout>
                <c:manualLayout>
                  <c:x val="-5.8771653543307087E-2"/>
                  <c:y val="-0.12199110527850686"/>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B9CE-438D-A554-98746B1103A3}"/>
                </c:ext>
              </c:extLst>
            </c:dLbl>
            <c:dLbl>
              <c:idx val="6"/>
              <c:layout>
                <c:manualLayout>
                  <c:x val="-4.090671478565179E-2"/>
                  <c:y val="-0.17219269466316711"/>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B9CE-438D-A554-98746B1103A3}"/>
                </c:ext>
              </c:extLst>
            </c:dLbl>
            <c:dLbl>
              <c:idx val="7"/>
              <c:layout>
                <c:manualLayout>
                  <c:x val="-7.0136920384951895E-2"/>
                  <c:y val="-7.147747156605424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B9CE-438D-A554-98746B1103A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[1]ATIVO!$C$4:$J$4</c:f>
              <c:strCache>
                <c:ptCount val="8"/>
                <c:pt idx="0">
                  <c:v>Natureza Especial</c:v>
                </c:pt>
                <c:pt idx="1">
                  <c:v>Ativo Permanente</c:v>
                </c:pt>
                <c:pt idx="2">
                  <c:v>Requisitado Órgãos</c:v>
                </c:pt>
                <c:pt idx="3">
                  <c:v>Requisitado Empresas</c:v>
                </c:pt>
                <c:pt idx="4">
                  <c:v>Sem Vínculo</c:v>
                </c:pt>
                <c:pt idx="5">
                  <c:v>Exercício Descentralizado</c:v>
                </c:pt>
                <c:pt idx="6">
                  <c:v>Contrato Temporário</c:v>
                </c:pt>
                <c:pt idx="7">
                  <c:v>Anistiado</c:v>
                </c:pt>
              </c:strCache>
            </c:strRef>
          </c:cat>
          <c:val>
            <c:numRef>
              <c:f>[1]ATIVO!$C$11:$J$11</c:f>
              <c:numCache>
                <c:formatCode>General</c:formatCode>
                <c:ptCount val="8"/>
                <c:pt idx="0">
                  <c:v>1</c:v>
                </c:pt>
                <c:pt idx="1">
                  <c:v>90</c:v>
                </c:pt>
                <c:pt idx="2">
                  <c:v>28</c:v>
                </c:pt>
                <c:pt idx="3">
                  <c:v>1</c:v>
                </c:pt>
                <c:pt idx="4">
                  <c:v>29</c:v>
                </c:pt>
                <c:pt idx="5">
                  <c:v>19</c:v>
                </c:pt>
                <c:pt idx="6">
                  <c:v>3</c:v>
                </c:pt>
                <c:pt idx="7">
                  <c:v>50</c:v>
                </c:pt>
              </c:numCache>
            </c:numRef>
          </c:val>
          <c:extLst>
            <c:ext xmlns:c16="http://schemas.microsoft.com/office/drawing/2014/chart" uri="{C3380CC4-5D6E-409C-BE32-E72D297353CC}">
              <c16:uniqueId val="{00000010-B9CE-438D-A554-98746B1103A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SGM por</a:t>
            </a:r>
            <a:r>
              <a:rPr lang="pt-BR" baseline="0"/>
              <a:t> Situação</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917917760279965"/>
          <c:y val="0.2258493783167615"/>
          <c:w val="0.36561854768153979"/>
          <c:h val="0.64049964557350036"/>
        </c:manualLayout>
      </c:layout>
      <c:pieChart>
        <c:varyColors val="1"/>
        <c:ser>
          <c:idx val="0"/>
          <c:order val="0"/>
          <c:spPr>
            <a:scene3d>
              <a:camera prst="orthographicFront"/>
              <a:lightRig rig="threePt" dir="t"/>
            </a:scene3d>
            <a:sp3d>
              <a:bevelT w="190500" h="38100"/>
            </a:sp3d>
          </c:spPr>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1D88-4664-86A9-023C3D01BE9B}"/>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1D88-4664-86A9-023C3D01BE9B}"/>
              </c:ext>
            </c:extLst>
          </c:dPt>
          <c:dPt>
            <c:idx val="2"/>
            <c:bubble3D val="0"/>
            <c:spPr>
              <a:solidFill>
                <a:schemeClr val="accent3"/>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5-1D88-4664-86A9-023C3D01BE9B}"/>
              </c:ext>
            </c:extLst>
          </c:dPt>
          <c:dPt>
            <c:idx val="3"/>
            <c:bubble3D val="0"/>
            <c:spPr>
              <a:solidFill>
                <a:schemeClr val="accent4"/>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7-1D88-4664-86A9-023C3D01BE9B}"/>
              </c:ext>
            </c:extLst>
          </c:dPt>
          <c:dPt>
            <c:idx val="4"/>
            <c:bubble3D val="0"/>
            <c:explosion val="5"/>
            <c:spPr>
              <a:solidFill>
                <a:schemeClr val="accent5"/>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9-1D88-4664-86A9-023C3D01BE9B}"/>
              </c:ext>
            </c:extLst>
          </c:dPt>
          <c:dPt>
            <c:idx val="5"/>
            <c:bubble3D val="0"/>
            <c:spPr>
              <a:solidFill>
                <a:schemeClr val="accent6"/>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B-1D88-4664-86A9-023C3D01BE9B}"/>
              </c:ext>
            </c:extLst>
          </c:dPt>
          <c:dPt>
            <c:idx val="6"/>
            <c:bubble3D val="0"/>
            <c:spPr>
              <a:solidFill>
                <a:schemeClr val="accent1">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D-1D88-4664-86A9-023C3D01BE9B}"/>
              </c:ext>
            </c:extLst>
          </c:dPt>
          <c:dPt>
            <c:idx val="7"/>
            <c:bubble3D val="0"/>
            <c:spPr>
              <a:solidFill>
                <a:schemeClr val="accent2">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F-1D88-4664-86A9-023C3D01BE9B}"/>
              </c:ext>
            </c:extLst>
          </c:dPt>
          <c:dLbls>
            <c:dLbl>
              <c:idx val="0"/>
              <c:layout>
                <c:manualLayout>
                  <c:x val="4.6179571303587102E-2"/>
                  <c:y val="-5.6357538641003209E-4"/>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D88-4664-86A9-023C3D01BE9B}"/>
                </c:ext>
              </c:extLst>
            </c:dLbl>
            <c:dLbl>
              <c:idx val="1"/>
              <c:layout>
                <c:manualLayout>
                  <c:x val="0.1366421697287839"/>
                  <c:y val="1.738116068824730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D88-4664-86A9-023C3D01BE9B}"/>
                </c:ext>
              </c:extLst>
            </c:dLbl>
            <c:dLbl>
              <c:idx val="2"/>
              <c:layout>
                <c:manualLayout>
                  <c:x val="5.0481189851268593E-2"/>
                  <c:y val="-5.266294838145231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D88-4664-86A9-023C3D01BE9B}"/>
                </c:ext>
              </c:extLst>
            </c:dLbl>
            <c:dLbl>
              <c:idx val="3"/>
              <c:layout>
                <c:manualLayout>
                  <c:x val="5.3678805774278214E-2"/>
                  <c:y val="6.826042578011082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D88-4664-86A9-023C3D01BE9B}"/>
                </c:ext>
              </c:extLst>
            </c:dLbl>
            <c:dLbl>
              <c:idx val="4"/>
              <c:layout>
                <c:manualLayout>
                  <c:x val="0.11029943132108487"/>
                  <c:y val="-6.032407407407407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D88-4664-86A9-023C3D01BE9B}"/>
                </c:ext>
              </c:extLst>
            </c:dLbl>
            <c:dLbl>
              <c:idx val="5"/>
              <c:layout>
                <c:manualLayout>
                  <c:x val="-7.8346456692913388E-3"/>
                  <c:y val="0.18523913677456985"/>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D88-4664-86A9-023C3D01BE9B}"/>
                </c:ext>
              </c:extLst>
            </c:dLbl>
            <c:dLbl>
              <c:idx val="6"/>
              <c:layout>
                <c:manualLayout>
                  <c:x val="-4.5612970253718285E-2"/>
                  <c:y val="0.11319590259550889"/>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1D88-4664-86A9-023C3D01BE9B}"/>
                </c:ext>
              </c:extLst>
            </c:dLbl>
            <c:dLbl>
              <c:idx val="7"/>
              <c:layout>
                <c:manualLayout>
                  <c:x val="-8.9893263342082225E-2"/>
                  <c:y val="-8.492855059784193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1D88-4664-86A9-023C3D01BE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[1]ATIVO!$C$4:$J$4</c:f>
              <c:strCache>
                <c:ptCount val="8"/>
                <c:pt idx="0">
                  <c:v>Natureza Especial</c:v>
                </c:pt>
                <c:pt idx="1">
                  <c:v>Ativo Permanente</c:v>
                </c:pt>
                <c:pt idx="2">
                  <c:v>Requisitado Órgãos</c:v>
                </c:pt>
                <c:pt idx="3">
                  <c:v>Requisitado Empresas</c:v>
                </c:pt>
                <c:pt idx="4">
                  <c:v>Sem Vínculo</c:v>
                </c:pt>
                <c:pt idx="5">
                  <c:v>Exercício Descentralizado</c:v>
                </c:pt>
                <c:pt idx="6">
                  <c:v>Contrato Temporário</c:v>
                </c:pt>
                <c:pt idx="7">
                  <c:v>Anistiado</c:v>
                </c:pt>
              </c:strCache>
            </c:strRef>
          </c:cat>
          <c:val>
            <c:numRef>
              <c:f>[1]ATIVO!$C$12:$J$12</c:f>
              <c:numCache>
                <c:formatCode>General</c:formatCode>
                <c:ptCount val="8"/>
                <c:pt idx="0">
                  <c:v>0</c:v>
                </c:pt>
                <c:pt idx="1">
                  <c:v>5</c:v>
                </c:pt>
                <c:pt idx="2">
                  <c:v>3</c:v>
                </c:pt>
                <c:pt idx="3">
                  <c:v>0</c:v>
                </c:pt>
                <c:pt idx="4">
                  <c:v>18</c:v>
                </c:pt>
                <c:pt idx="5">
                  <c:v>8</c:v>
                </c:pt>
                <c:pt idx="6">
                  <c:v>0</c:v>
                </c:pt>
                <c:pt idx="7">
                  <c:v>5</c:v>
                </c:pt>
              </c:numCache>
            </c:numRef>
          </c:val>
          <c:extLst>
            <c:ext xmlns:c16="http://schemas.microsoft.com/office/drawing/2014/chart" uri="{C3380CC4-5D6E-409C-BE32-E72D297353CC}">
              <c16:uniqueId val="{00000010-1D88-4664-86A9-023C3D01BE9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SPE por</a:t>
            </a:r>
            <a:r>
              <a:rPr lang="pt-BR" baseline="0"/>
              <a:t> Situação</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6679177602799647"/>
          <c:y val="0.25504629629629627"/>
          <c:w val="0.38301382473328627"/>
          <c:h val="0.63702646544181984"/>
        </c:manualLayout>
      </c:layout>
      <c:pieChart>
        <c:varyColors val="1"/>
        <c:ser>
          <c:idx val="0"/>
          <c:order val="0"/>
          <c:spPr>
            <a:scene3d>
              <a:camera prst="orthographicFront"/>
              <a:lightRig rig="threePt" dir="t"/>
            </a:scene3d>
            <a:sp3d>
              <a:bevelT w="190500" h="38100"/>
            </a:sp3d>
          </c:spPr>
          <c:explosion val="7"/>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C8C7-47EE-886D-851E2A302633}"/>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C8C7-47EE-886D-851E2A302633}"/>
              </c:ext>
            </c:extLst>
          </c:dPt>
          <c:dPt>
            <c:idx val="2"/>
            <c:bubble3D val="0"/>
            <c:spPr>
              <a:solidFill>
                <a:schemeClr val="accent3"/>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5-C8C7-47EE-886D-851E2A302633}"/>
              </c:ext>
            </c:extLst>
          </c:dPt>
          <c:dPt>
            <c:idx val="3"/>
            <c:bubble3D val="0"/>
            <c:spPr>
              <a:solidFill>
                <a:schemeClr val="accent4"/>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7-C8C7-47EE-886D-851E2A302633}"/>
              </c:ext>
            </c:extLst>
          </c:dPt>
          <c:dPt>
            <c:idx val="4"/>
            <c:bubble3D val="0"/>
            <c:spPr>
              <a:solidFill>
                <a:schemeClr val="accent5"/>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9-C8C7-47EE-886D-851E2A302633}"/>
              </c:ext>
            </c:extLst>
          </c:dPt>
          <c:dPt>
            <c:idx val="5"/>
            <c:bubble3D val="0"/>
            <c:spPr>
              <a:solidFill>
                <a:schemeClr val="accent6"/>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B-C8C7-47EE-886D-851E2A302633}"/>
              </c:ext>
            </c:extLst>
          </c:dPt>
          <c:dPt>
            <c:idx val="6"/>
            <c:bubble3D val="0"/>
            <c:spPr>
              <a:solidFill>
                <a:schemeClr val="accent1">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D-C8C7-47EE-886D-851E2A302633}"/>
              </c:ext>
            </c:extLst>
          </c:dPt>
          <c:dPt>
            <c:idx val="7"/>
            <c:bubble3D val="0"/>
            <c:spPr>
              <a:solidFill>
                <a:schemeClr val="accent2">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F-C8C7-47EE-886D-851E2A302633}"/>
              </c:ext>
            </c:extLst>
          </c:dPt>
          <c:dLbls>
            <c:dLbl>
              <c:idx val="0"/>
              <c:layout>
                <c:manualLayout>
                  <c:x val="4.0624015748031442E-2"/>
                  <c:y val="-1.4720034995625547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8C7-47EE-886D-851E2A302633}"/>
                </c:ext>
              </c:extLst>
            </c:dLbl>
            <c:dLbl>
              <c:idx val="1"/>
              <c:layout>
                <c:manualLayout>
                  <c:x val="0.14697386264216972"/>
                  <c:y val="4.81999125109361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8C7-47EE-886D-851E2A302633}"/>
                </c:ext>
              </c:extLst>
            </c:dLbl>
            <c:dLbl>
              <c:idx val="2"/>
              <c:layout>
                <c:manualLayout>
                  <c:x val="7.5141513560804896E-2"/>
                  <c:y val="-8.509915427238261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8C7-47EE-886D-851E2A302633}"/>
                </c:ext>
              </c:extLst>
            </c:dLbl>
            <c:dLbl>
              <c:idx val="3"/>
              <c:layout>
                <c:manualLayout>
                  <c:x val="4.3215004374453192E-2"/>
                  <c:y val="-2.644429862933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8C7-47EE-886D-851E2A302633}"/>
                </c:ext>
              </c:extLst>
            </c:dLbl>
            <c:dLbl>
              <c:idx val="4"/>
              <c:layout>
                <c:manualLayout>
                  <c:x val="8.2350503062117233E-2"/>
                  <c:y val="-6.032407407407407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8C7-47EE-886D-851E2A302633}"/>
                </c:ext>
              </c:extLst>
            </c:dLbl>
            <c:dLbl>
              <c:idx val="5"/>
              <c:layout>
                <c:manualLayout>
                  <c:x val="-3.6810367454068245E-2"/>
                  <c:y val="2.3686205890930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8C7-47EE-886D-851E2A302633}"/>
                </c:ext>
              </c:extLst>
            </c:dLbl>
            <c:dLbl>
              <c:idx val="6"/>
              <c:layout>
                <c:manualLayout>
                  <c:x val="-8.198512685914261E-2"/>
                  <c:y val="0.16771106736657918"/>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C8C7-47EE-886D-851E2A302633}"/>
                </c:ext>
              </c:extLst>
            </c:dLbl>
            <c:dLbl>
              <c:idx val="7"/>
              <c:layout>
                <c:manualLayout>
                  <c:x val="-0.12050809273840769"/>
                  <c:y val="-9.03433945756780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C8C7-47EE-886D-851E2A30263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[1]ATIVO!$C$4:$J$4</c:f>
              <c:strCache>
                <c:ptCount val="8"/>
                <c:pt idx="0">
                  <c:v>Natureza Especial</c:v>
                </c:pt>
                <c:pt idx="1">
                  <c:v>Ativo Permanente</c:v>
                </c:pt>
                <c:pt idx="2">
                  <c:v>Requisitado Órgãos</c:v>
                </c:pt>
                <c:pt idx="3">
                  <c:v>Requisitado Empresas</c:v>
                </c:pt>
                <c:pt idx="4">
                  <c:v>Sem Vínculo</c:v>
                </c:pt>
                <c:pt idx="5">
                  <c:v>Exercício Descentralizado</c:v>
                </c:pt>
                <c:pt idx="6">
                  <c:v>Contrato Temporário</c:v>
                </c:pt>
                <c:pt idx="7">
                  <c:v>Anistiado</c:v>
                </c:pt>
              </c:strCache>
            </c:strRef>
          </c:cat>
          <c:val>
            <c:numRef>
              <c:f>[1]ATIVO!$C$13:$J$13</c:f>
              <c:numCache>
                <c:formatCode>General</c:formatCode>
                <c:ptCount val="8"/>
                <c:pt idx="0">
                  <c:v>0</c:v>
                </c:pt>
                <c:pt idx="1">
                  <c:v>7</c:v>
                </c:pt>
                <c:pt idx="2">
                  <c:v>7</c:v>
                </c:pt>
                <c:pt idx="3">
                  <c:v>0</c:v>
                </c:pt>
                <c:pt idx="4">
                  <c:v>12</c:v>
                </c:pt>
                <c:pt idx="5">
                  <c:v>15</c:v>
                </c:pt>
                <c:pt idx="6">
                  <c:v>0</c:v>
                </c:pt>
                <c:pt idx="7">
                  <c:v>4</c:v>
                </c:pt>
              </c:numCache>
            </c:numRef>
          </c:val>
          <c:extLst>
            <c:ext xmlns:c16="http://schemas.microsoft.com/office/drawing/2014/chart" uri="{C3380CC4-5D6E-409C-BE32-E72D297353CC}">
              <c16:uniqueId val="{00000010-C8C7-47EE-886D-851E2A30263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SPG por Situação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6679177602799647"/>
          <c:y val="0.28282407407407412"/>
          <c:w val="0.39974999999999999"/>
          <c:h val="0.66625000000000001"/>
        </c:manualLayout>
      </c:layout>
      <c:pieChart>
        <c:varyColors val="1"/>
        <c:ser>
          <c:idx val="0"/>
          <c:order val="0"/>
          <c:spPr>
            <a:scene3d>
              <a:camera prst="orthographicFront"/>
              <a:lightRig rig="threePt" dir="t"/>
            </a:scene3d>
            <a:sp3d>
              <a:bevelT w="190500" h="38100"/>
            </a:sp3d>
          </c:spPr>
          <c:explosion val="12"/>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5110-4CA1-A158-2CE772B0B284}"/>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5110-4CA1-A158-2CE772B0B284}"/>
              </c:ext>
            </c:extLst>
          </c:dPt>
          <c:dPt>
            <c:idx val="2"/>
            <c:bubble3D val="0"/>
            <c:spPr>
              <a:solidFill>
                <a:schemeClr val="accent3"/>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5-5110-4CA1-A158-2CE772B0B284}"/>
              </c:ext>
            </c:extLst>
          </c:dPt>
          <c:dPt>
            <c:idx val="3"/>
            <c:bubble3D val="0"/>
            <c:spPr>
              <a:solidFill>
                <a:schemeClr val="accent4"/>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7-5110-4CA1-A158-2CE772B0B284}"/>
              </c:ext>
            </c:extLst>
          </c:dPt>
          <c:dPt>
            <c:idx val="4"/>
            <c:bubble3D val="0"/>
            <c:spPr>
              <a:solidFill>
                <a:schemeClr val="accent5"/>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9-5110-4CA1-A158-2CE772B0B284}"/>
              </c:ext>
            </c:extLst>
          </c:dPt>
          <c:dPt>
            <c:idx val="5"/>
            <c:bubble3D val="0"/>
            <c:spPr>
              <a:solidFill>
                <a:schemeClr val="accent6"/>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B-5110-4CA1-A158-2CE772B0B284}"/>
              </c:ext>
            </c:extLst>
          </c:dPt>
          <c:dPt>
            <c:idx val="6"/>
            <c:bubble3D val="0"/>
            <c:spPr>
              <a:solidFill>
                <a:schemeClr val="accent1">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D-5110-4CA1-A158-2CE772B0B284}"/>
              </c:ext>
            </c:extLst>
          </c:dPt>
          <c:dPt>
            <c:idx val="7"/>
            <c:bubble3D val="0"/>
            <c:spPr>
              <a:solidFill>
                <a:schemeClr val="accent2">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F-5110-4CA1-A158-2CE772B0B284}"/>
              </c:ext>
            </c:extLst>
          </c:dPt>
          <c:dLbls>
            <c:dLbl>
              <c:idx val="0"/>
              <c:layout>
                <c:manualLayout>
                  <c:x val="1.9443460192475941E-2"/>
                  <c:y val="-7.176655001458151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110-4CA1-A158-2CE772B0B284}"/>
                </c:ext>
              </c:extLst>
            </c:dLbl>
            <c:dLbl>
              <c:idx val="2"/>
              <c:layout>
                <c:manualLayout>
                  <c:x val="8.0104330708661423E-2"/>
                  <c:y val="4.216681248177307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110-4CA1-A158-2CE772B0B284}"/>
                </c:ext>
              </c:extLst>
            </c:dLbl>
            <c:dLbl>
              <c:idx val="3"/>
              <c:layout>
                <c:manualLayout>
                  <c:x val="7.8012139107611553E-2"/>
                  <c:y val="-6.154636920384951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110-4CA1-A158-2CE772B0B284}"/>
                </c:ext>
              </c:extLst>
            </c:dLbl>
            <c:dLbl>
              <c:idx val="4"/>
              <c:layout>
                <c:manualLayout>
                  <c:x val="7.120319335083114E-2"/>
                  <c:y val="-1.634259259259259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5110-4CA1-A158-2CE772B0B284}"/>
                </c:ext>
              </c:extLst>
            </c:dLbl>
            <c:dLbl>
              <c:idx val="5"/>
              <c:layout>
                <c:manualLayout>
                  <c:x val="-3.5895122484689415E-2"/>
                  <c:y val="0.14850174978127734"/>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5110-4CA1-A158-2CE772B0B284}"/>
                </c:ext>
              </c:extLst>
            </c:dLbl>
            <c:dLbl>
              <c:idx val="6"/>
              <c:layout>
                <c:manualLayout>
                  <c:x val="-0.3131953193350831"/>
                  <c:y val="0.2219203849518810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5110-4CA1-A158-2CE772B0B284}"/>
                </c:ext>
              </c:extLst>
            </c:dLbl>
            <c:dLbl>
              <c:idx val="7"/>
              <c:layout>
                <c:manualLayout>
                  <c:x val="-0.33020931758530186"/>
                  <c:y val="-1.752442403032954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5110-4CA1-A158-2CE772B0B28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[1]ATIVO!$C$4:$J$4</c:f>
              <c:strCache>
                <c:ptCount val="8"/>
                <c:pt idx="0">
                  <c:v>Natureza Especial</c:v>
                </c:pt>
                <c:pt idx="1">
                  <c:v>Ativo Permanente</c:v>
                </c:pt>
                <c:pt idx="2">
                  <c:v>Requisitado Órgãos</c:v>
                </c:pt>
                <c:pt idx="3">
                  <c:v>Requisitado Empresas</c:v>
                </c:pt>
                <c:pt idx="4">
                  <c:v>Sem Vínculo</c:v>
                </c:pt>
                <c:pt idx="5">
                  <c:v>Exercício Descentralizado</c:v>
                </c:pt>
                <c:pt idx="6">
                  <c:v>Contrato Temporário</c:v>
                </c:pt>
                <c:pt idx="7">
                  <c:v>Anistiado</c:v>
                </c:pt>
              </c:strCache>
            </c:strRef>
          </c:cat>
          <c:val>
            <c:numRef>
              <c:f>[1]ATIVO!$C$14:$J$14</c:f>
              <c:numCache>
                <c:formatCode>General</c:formatCode>
                <c:ptCount val="8"/>
                <c:pt idx="0">
                  <c:v>0</c:v>
                </c:pt>
                <c:pt idx="1">
                  <c:v>2</c:v>
                </c:pt>
                <c:pt idx="2">
                  <c:v>9</c:v>
                </c:pt>
                <c:pt idx="3">
                  <c:v>0</c:v>
                </c:pt>
                <c:pt idx="4">
                  <c:v>5</c:v>
                </c:pt>
                <c:pt idx="5">
                  <c:v>16</c:v>
                </c:pt>
                <c:pt idx="6">
                  <c:v>0</c:v>
                </c:pt>
                <c:pt idx="7">
                  <c:v>0</c:v>
                </c:pt>
              </c:numCache>
            </c:numRef>
          </c:val>
          <c:extLst>
            <c:ext xmlns:c16="http://schemas.microsoft.com/office/drawing/2014/chart" uri="{C3380CC4-5D6E-409C-BE32-E72D297353CC}">
              <c16:uniqueId val="{00000010-5110-4CA1-A158-2CE772B0B28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SEE por Situação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6679177602799647"/>
          <c:y val="0.25041666666666673"/>
          <c:w val="0.37475000000000003"/>
          <c:h val="0.62458333333333338"/>
        </c:manualLayout>
      </c:layout>
      <c:pieChart>
        <c:varyColors val="1"/>
        <c:ser>
          <c:idx val="0"/>
          <c:order val="0"/>
          <c:spPr>
            <a:scene3d>
              <a:camera prst="orthographicFront"/>
              <a:lightRig rig="threePt" dir="t"/>
            </a:scene3d>
            <a:sp3d>
              <a:bevelT w="190500" h="38100"/>
            </a:sp3d>
          </c:spPr>
          <c:explosion val="9"/>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3793-4EF6-96CE-08552C0BDDB8}"/>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3793-4EF6-96CE-08552C0BDDB8}"/>
              </c:ext>
            </c:extLst>
          </c:dPt>
          <c:dPt>
            <c:idx val="2"/>
            <c:bubble3D val="0"/>
            <c:spPr>
              <a:solidFill>
                <a:schemeClr val="accent3"/>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5-3793-4EF6-96CE-08552C0BDDB8}"/>
              </c:ext>
            </c:extLst>
          </c:dPt>
          <c:dPt>
            <c:idx val="3"/>
            <c:bubble3D val="0"/>
            <c:spPr>
              <a:solidFill>
                <a:schemeClr val="accent4"/>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7-3793-4EF6-96CE-08552C0BDDB8}"/>
              </c:ext>
            </c:extLst>
          </c:dPt>
          <c:dPt>
            <c:idx val="4"/>
            <c:bubble3D val="0"/>
            <c:spPr>
              <a:solidFill>
                <a:schemeClr val="accent5"/>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9-3793-4EF6-96CE-08552C0BDDB8}"/>
              </c:ext>
            </c:extLst>
          </c:dPt>
          <c:dPt>
            <c:idx val="5"/>
            <c:bubble3D val="0"/>
            <c:spPr>
              <a:solidFill>
                <a:schemeClr val="accent6"/>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B-3793-4EF6-96CE-08552C0BDDB8}"/>
              </c:ext>
            </c:extLst>
          </c:dPt>
          <c:dPt>
            <c:idx val="6"/>
            <c:bubble3D val="0"/>
            <c:spPr>
              <a:solidFill>
                <a:schemeClr val="accent1">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D-3793-4EF6-96CE-08552C0BDDB8}"/>
              </c:ext>
            </c:extLst>
          </c:dPt>
          <c:dPt>
            <c:idx val="7"/>
            <c:bubble3D val="0"/>
            <c:spPr>
              <a:solidFill>
                <a:schemeClr val="accent2">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F-3793-4EF6-96CE-08552C0BDDB8}"/>
              </c:ext>
            </c:extLst>
          </c:dPt>
          <c:dLbls>
            <c:dLbl>
              <c:idx val="0"/>
              <c:layout>
                <c:manualLayout>
                  <c:x val="-0.19722331583552055"/>
                  <c:y val="-3.287510936132983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793-4EF6-96CE-08552C0BDDB8}"/>
                </c:ext>
              </c:extLst>
            </c:dLbl>
            <c:dLbl>
              <c:idx val="1"/>
              <c:layout>
                <c:manualLayout>
                  <c:x val="2.2912292213473316E-2"/>
                  <c:y val="2.901465441819772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793-4EF6-96CE-08552C0BDDB8}"/>
                </c:ext>
              </c:extLst>
            </c:dLbl>
            <c:dLbl>
              <c:idx val="2"/>
              <c:layout>
                <c:manualLayout>
                  <c:x val="0.25860301837270339"/>
                  <c:y val="-5.698417906095071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793-4EF6-96CE-08552C0BDDB8}"/>
                </c:ext>
              </c:extLst>
            </c:dLbl>
            <c:dLbl>
              <c:idx val="3"/>
              <c:layout>
                <c:manualLayout>
                  <c:x val="0.1744656605424322"/>
                  <c:y val="8.320902595508894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793-4EF6-96CE-08552C0BDDB8}"/>
                </c:ext>
              </c:extLst>
            </c:dLbl>
            <c:dLbl>
              <c:idx val="4"/>
              <c:layout>
                <c:manualLayout>
                  <c:x val="4.2523840769903759E-2"/>
                  <c:y val="9.968102945465158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793-4EF6-96CE-08552C0BDDB8}"/>
                </c:ext>
              </c:extLst>
            </c:dLbl>
            <c:dLbl>
              <c:idx val="5"/>
              <c:layout>
                <c:manualLayout>
                  <c:x val="-5.0792541557305337E-2"/>
                  <c:y val="-5.695100612423446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793-4EF6-96CE-08552C0BDDB8}"/>
                </c:ext>
              </c:extLst>
            </c:dLbl>
            <c:dLbl>
              <c:idx val="6"/>
              <c:layout>
                <c:manualLayout>
                  <c:x val="-2.8177384076990376E-2"/>
                  <c:y val="6.573272090988625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793-4EF6-96CE-08552C0BDDB8}"/>
                </c:ext>
              </c:extLst>
            </c:dLbl>
            <c:dLbl>
              <c:idx val="7"/>
              <c:layout>
                <c:manualLayout>
                  <c:x val="-9.8305008748906381E-2"/>
                  <c:y val="3.003098571011956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3793-4EF6-96CE-08552C0BDDB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[1]ATIVO!$C$4:$J$4</c:f>
              <c:strCache>
                <c:ptCount val="8"/>
                <c:pt idx="0">
                  <c:v>Natureza Especial</c:v>
                </c:pt>
                <c:pt idx="1">
                  <c:v>Ativo Permanente</c:v>
                </c:pt>
                <c:pt idx="2">
                  <c:v>Requisitado Órgãos</c:v>
                </c:pt>
                <c:pt idx="3">
                  <c:v>Requisitado Empresas</c:v>
                </c:pt>
                <c:pt idx="4">
                  <c:v>Sem Vínculo</c:v>
                </c:pt>
                <c:pt idx="5">
                  <c:v>Exercício Descentralizado</c:v>
                </c:pt>
                <c:pt idx="6">
                  <c:v>Contrato Temporário</c:v>
                </c:pt>
                <c:pt idx="7">
                  <c:v>Anistiado</c:v>
                </c:pt>
              </c:strCache>
            </c:strRef>
          </c:cat>
          <c:val>
            <c:numRef>
              <c:f>[1]ATIVO!$C$15:$J$15</c:f>
              <c:numCache>
                <c:formatCode>General</c:formatCode>
                <c:ptCount val="8"/>
                <c:pt idx="0">
                  <c:v>0</c:v>
                </c:pt>
                <c:pt idx="1">
                  <c:v>2</c:v>
                </c:pt>
                <c:pt idx="2">
                  <c:v>3</c:v>
                </c:pt>
                <c:pt idx="3">
                  <c:v>4</c:v>
                </c:pt>
                <c:pt idx="4">
                  <c:v>15</c:v>
                </c:pt>
                <c:pt idx="5">
                  <c:v>19</c:v>
                </c:pt>
                <c:pt idx="6">
                  <c:v>0</c:v>
                </c:pt>
                <c:pt idx="7">
                  <c:v>9</c:v>
                </c:pt>
              </c:numCache>
            </c:numRef>
          </c:val>
          <c:extLst>
            <c:ext xmlns:c16="http://schemas.microsoft.com/office/drawing/2014/chart" uri="{C3380CC4-5D6E-409C-BE32-E72D297353CC}">
              <c16:uniqueId val="{00000010-3793-4EF6-96CE-08552C0BDDB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GM</a:t>
            </a:r>
            <a:r>
              <a:rPr lang="pt-BR" baseline="0"/>
              <a:t> por Unidade</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6679177602799647"/>
          <c:y val="0.25967592592592598"/>
          <c:w val="0.41363888888888889"/>
          <c:h val="0.68939814814814815"/>
        </c:manualLayout>
      </c:layout>
      <c:pieChart>
        <c:varyColors val="1"/>
        <c:ser>
          <c:idx val="0"/>
          <c:order val="0"/>
          <c:spPr>
            <a:scene3d>
              <a:camera prst="orthographicFront"/>
              <a:lightRig rig="threePt" dir="t"/>
            </a:scene3d>
            <a:sp3d>
              <a:bevelT w="190500" h="38100"/>
            </a:sp3d>
          </c:spPr>
          <c:explosion val="5"/>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E13C-43E0-9E42-9064E9A241F3}"/>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E13C-43E0-9E42-9064E9A241F3}"/>
              </c:ext>
            </c:extLst>
          </c:dPt>
          <c:dPt>
            <c:idx val="2"/>
            <c:bubble3D val="0"/>
            <c:spPr>
              <a:solidFill>
                <a:schemeClr val="accent3"/>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5-E13C-43E0-9E42-9064E9A241F3}"/>
              </c:ext>
            </c:extLst>
          </c:dPt>
          <c:dPt>
            <c:idx val="3"/>
            <c:bubble3D val="0"/>
            <c:spPr>
              <a:solidFill>
                <a:schemeClr val="accent4"/>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7-E13C-43E0-9E42-9064E9A241F3}"/>
              </c:ext>
            </c:extLst>
          </c:dPt>
          <c:dPt>
            <c:idx val="4"/>
            <c:bubble3D val="0"/>
            <c:spPr>
              <a:solidFill>
                <a:schemeClr val="accent5"/>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9-E13C-43E0-9E42-9064E9A241F3}"/>
              </c:ext>
            </c:extLst>
          </c:dPt>
          <c:dPt>
            <c:idx val="5"/>
            <c:bubble3D val="0"/>
            <c:spPr>
              <a:solidFill>
                <a:schemeClr val="accent6"/>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B-E13C-43E0-9E42-9064E9A241F3}"/>
              </c:ext>
            </c:extLst>
          </c:dPt>
          <c:dLbls>
            <c:dLbl>
              <c:idx val="0"/>
              <c:layout>
                <c:manualLayout>
                  <c:x val="0.10690879265091864"/>
                  <c:y val="1.430008748906388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13C-43E0-9E42-9064E9A241F3}"/>
                </c:ext>
              </c:extLst>
            </c:dLbl>
            <c:dLbl>
              <c:idx val="1"/>
              <c:layout>
                <c:manualLayout>
                  <c:x val="0.12873359580052493"/>
                  <c:y val="-0.13685185185185186"/>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13C-43E0-9E42-9064E9A241F3}"/>
                </c:ext>
              </c:extLst>
            </c:dLbl>
            <c:dLbl>
              <c:idx val="2"/>
              <c:layout>
                <c:manualLayout>
                  <c:x val="-6.286472003499563E-2"/>
                  <c:y val="-5.115412656751230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13C-43E0-9E42-9064E9A241F3}"/>
                </c:ext>
              </c:extLst>
            </c:dLbl>
            <c:dLbl>
              <c:idx val="3"/>
              <c:layout>
                <c:manualLayout>
                  <c:x val="-3.644608486439195E-2"/>
                  <c:y val="6.821668124817731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13C-43E0-9E42-9064E9A241F3}"/>
                </c:ext>
              </c:extLst>
            </c:dLbl>
            <c:dLbl>
              <c:idx val="4"/>
              <c:layout>
                <c:manualLayout>
                  <c:x val="-0.10757174103237095"/>
                  <c:y val="6.413786818314377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13C-43E0-9E42-9064E9A241F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[1]ATIVO!$B$20:$B$25</c:f>
              <c:strCache>
                <c:ptCount val="6"/>
                <c:pt idx="0">
                  <c:v>          Chefia de Gabinete</c:v>
                </c:pt>
                <c:pt idx="1">
                  <c:v>          Assessoria Técnica Administrativa</c:v>
                </c:pt>
                <c:pt idx="2">
                  <c:v>          Assessoria Parlamentar</c:v>
                </c:pt>
                <c:pt idx="3">
                  <c:v>          Assessoria de Comunicação Social</c:v>
                </c:pt>
                <c:pt idx="4">
                  <c:v>          Ouvidoria-Geral</c:v>
                </c:pt>
                <c:pt idx="5">
                  <c:v>          Assessoria de Apoio ao Ministro</c:v>
                </c:pt>
              </c:strCache>
            </c:strRef>
          </c:cat>
          <c:val>
            <c:numRef>
              <c:f>[1]ATIVO!$K$20:$K$25</c:f>
              <c:numCache>
                <c:formatCode>General</c:formatCode>
                <c:ptCount val="6"/>
                <c:pt idx="0">
                  <c:v>13</c:v>
                </c:pt>
                <c:pt idx="1">
                  <c:v>20</c:v>
                </c:pt>
                <c:pt idx="2">
                  <c:v>8</c:v>
                </c:pt>
                <c:pt idx="3">
                  <c:v>9</c:v>
                </c:pt>
                <c:pt idx="4">
                  <c:v>4</c:v>
                </c:pt>
                <c:pt idx="5">
                  <c:v>5</c:v>
                </c:pt>
              </c:numCache>
            </c:numRef>
          </c:val>
          <c:extLst>
            <c:ext xmlns:c16="http://schemas.microsoft.com/office/drawing/2014/chart" uri="{C3380CC4-5D6E-409C-BE32-E72D297353CC}">
              <c16:uniqueId val="{0000000C-E13C-43E0-9E42-9064E9A241F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ASSINT por Unidade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32785433070866138"/>
          <c:y val="0.23671851994110493"/>
          <c:w val="0.31080664916885387"/>
          <c:h val="0.60645199837825148"/>
        </c:manualLayout>
      </c:layout>
      <c:pieChart>
        <c:varyColors val="1"/>
        <c:ser>
          <c:idx val="0"/>
          <c:order val="0"/>
          <c:tx>
            <c:strRef>
              <c:f>[1]ATIVO!$B$29</c:f>
              <c:strCache>
                <c:ptCount val="1"/>
                <c:pt idx="0">
                  <c:v>          Assessoria Especial de Relações Internacionais</c:v>
                </c:pt>
              </c:strCache>
            </c:strRef>
          </c:tx>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6138-44E9-A123-4BD314C9DD17}"/>
              </c:ext>
            </c:extLst>
          </c:dPt>
          <c:cat>
            <c:strRef>
              <c:f>[1]ATIVO!$B$29</c:f>
              <c:strCache>
                <c:ptCount val="1"/>
                <c:pt idx="0">
                  <c:v>          Assessoria Especial de Relações Internacionais</c:v>
                </c:pt>
              </c:strCache>
            </c:strRef>
          </c:cat>
          <c:val>
            <c:numRef>
              <c:f>[1]ATIVO!$K$29</c:f>
              <c:numCache>
                <c:formatCode>General</c:formatCode>
                <c:ptCount val="1"/>
                <c:pt idx="0">
                  <c:v>4</c:v>
                </c:pt>
              </c:numCache>
            </c:numRef>
          </c:val>
          <c:extLst>
            <c:ext xmlns:c16="http://schemas.microsoft.com/office/drawing/2014/chart" uri="{C3380CC4-5D6E-409C-BE32-E72D297353CC}">
              <c16:uniqueId val="{00000002-6138-44E9-A123-4BD314C9DD1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AEPED por Unidade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31642891513560806"/>
          <c:y val="0.26320209973753284"/>
          <c:w val="0.31397112860892396"/>
          <c:h val="0.5796390066626288"/>
        </c:manualLayout>
      </c:layout>
      <c:pieChart>
        <c:varyColors val="1"/>
        <c:ser>
          <c:idx val="0"/>
          <c:order val="0"/>
          <c:tx>
            <c:strRef>
              <c:f>[1]ATIVO!$B$33</c:f>
              <c:strCache>
                <c:ptCount val="1"/>
                <c:pt idx="0">
                  <c:v>Assessoria Especial de Acompanhamento de Políticas, Estratégias e Desempenho Setoriais</c:v>
                </c:pt>
              </c:strCache>
            </c:strRef>
          </c:tx>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49EC-4F3F-9784-D98FF5704E13}"/>
              </c:ext>
            </c:extLst>
          </c:dPt>
          <c:cat>
            <c:strRef>
              <c:f>[1]ATIVO!$B$33</c:f>
              <c:strCache>
                <c:ptCount val="1"/>
                <c:pt idx="0">
                  <c:v>Assessoria Especial de Acompanhamento de Políticas, Estratégias e Desempenho Setoriais</c:v>
                </c:pt>
              </c:strCache>
            </c:strRef>
          </c:cat>
          <c:val>
            <c:numRef>
              <c:f>[1]ATIVO!$K$33</c:f>
              <c:numCache>
                <c:formatCode>General</c:formatCode>
                <c:ptCount val="1"/>
                <c:pt idx="0">
                  <c:v>5</c:v>
                </c:pt>
              </c:numCache>
            </c:numRef>
          </c:val>
          <c:extLst>
            <c:ext xmlns:c16="http://schemas.microsoft.com/office/drawing/2014/chart" uri="{C3380CC4-5D6E-409C-BE32-E72D297353CC}">
              <c16:uniqueId val="{00000002-49EC-4F3F-9784-D98FF5704E1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dLbls>
          <c:showLegendKey val="0"/>
          <c:showVal val="0"/>
          <c:showCatName val="0"/>
          <c:showSerName val="0"/>
          <c:showPercent val="0"/>
          <c:showBubbleSize val="0"/>
        </c:dLbls>
        <c:gapWidth val="219"/>
        <c:overlap val="-27"/>
        <c:axId val="588662512"/>
        <c:axId val="588664152"/>
      </c:barChart>
      <c:catAx>
        <c:axId val="58866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88664152"/>
        <c:crosses val="autoZero"/>
        <c:auto val="1"/>
        <c:lblAlgn val="ctr"/>
        <c:lblOffset val="100"/>
        <c:noMultiLvlLbl val="0"/>
      </c:catAx>
      <c:valAx>
        <c:axId val="588664152"/>
        <c:scaling>
          <c:orientation val="minMax"/>
        </c:scaling>
        <c:delete val="1"/>
        <c:axPos val="l"/>
        <c:numFmt formatCode="0.00%" sourceLinked="1"/>
        <c:majorTickMark val="none"/>
        <c:minorTickMark val="none"/>
        <c:tickLblPos val="nextTo"/>
        <c:crossAx val="58866251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          AECI</a:t>
            </a:r>
            <a:r>
              <a:rPr lang="pt-BR" baseline="0"/>
              <a:t> por Unidade</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32356277340332457"/>
          <c:y val="0.31060185185185185"/>
          <c:w val="0.31676356080489937"/>
          <c:h val="0.5279392680081656"/>
        </c:manualLayout>
      </c:layout>
      <c:pieChart>
        <c:varyColors val="1"/>
        <c:ser>
          <c:idx val="0"/>
          <c:order val="0"/>
          <c:tx>
            <c:strRef>
              <c:f>[1]ATIVO!$B$37</c:f>
              <c:strCache>
                <c:ptCount val="1"/>
                <c:pt idx="0">
                  <c:v>          Assessoria Especial de Controle Interno</c:v>
                </c:pt>
              </c:strCache>
            </c:strRef>
          </c:tx>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4806-42E9-AE8D-2912CCB31ABF}"/>
              </c:ext>
            </c:extLst>
          </c:dPt>
          <c:cat>
            <c:strRef>
              <c:f>[1]ATIVO!$B$37</c:f>
              <c:strCache>
                <c:ptCount val="1"/>
                <c:pt idx="0">
                  <c:v>          Assessoria Especial de Controle Interno</c:v>
                </c:pt>
              </c:strCache>
            </c:strRef>
          </c:cat>
          <c:val>
            <c:numRef>
              <c:f>[1]ATIVO!$K$37</c:f>
              <c:numCache>
                <c:formatCode>General</c:formatCode>
                <c:ptCount val="1"/>
                <c:pt idx="0">
                  <c:v>4</c:v>
                </c:pt>
              </c:numCache>
            </c:numRef>
          </c:val>
          <c:extLst>
            <c:ext xmlns:c16="http://schemas.microsoft.com/office/drawing/2014/chart" uri="{C3380CC4-5D6E-409C-BE32-E72D297353CC}">
              <c16:uniqueId val="{00000002-4806-42E9-AE8D-2912CCB31AB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ASSEC por Unidade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985627734033246"/>
          <c:y val="0.27664003678372318"/>
          <c:w val="0.3233945756780402"/>
          <c:h val="0.56653064352357407"/>
        </c:manualLayout>
      </c:layout>
      <c:pieChart>
        <c:varyColors val="1"/>
        <c:ser>
          <c:idx val="0"/>
          <c:order val="0"/>
          <c:tx>
            <c:strRef>
              <c:f>[1]ATIVO!$B$41</c:f>
              <c:strCache>
                <c:ptCount val="1"/>
                <c:pt idx="0">
                  <c:v>          Assessoria Econômica</c:v>
                </c:pt>
              </c:strCache>
            </c:strRef>
          </c:tx>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BC1D-4129-B9A9-E03AFFC71374}"/>
              </c:ext>
            </c:extLst>
          </c:dPt>
          <c:cat>
            <c:strRef>
              <c:f>[1]ATIVO!$B$41</c:f>
              <c:strCache>
                <c:ptCount val="1"/>
                <c:pt idx="0">
                  <c:v>          Assessoria Econômica</c:v>
                </c:pt>
              </c:strCache>
            </c:strRef>
          </c:cat>
          <c:val>
            <c:numRef>
              <c:f>[1]ATIVO!$K$41</c:f>
              <c:numCache>
                <c:formatCode>General</c:formatCode>
                <c:ptCount val="1"/>
                <c:pt idx="0">
                  <c:v>8</c:v>
                </c:pt>
              </c:numCache>
            </c:numRef>
          </c:val>
          <c:extLst>
            <c:ext xmlns:c16="http://schemas.microsoft.com/office/drawing/2014/chart" uri="{C3380CC4-5D6E-409C-BE32-E72D297353CC}">
              <c16:uniqueId val="{00000002-BC1D-4129-B9A9-E03AFFC7137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CONJUR por Unidade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695695538057743"/>
          <c:y val="0.23652777777777778"/>
          <c:w val="0.3775277777777778"/>
          <c:h val="0.62921296296296292"/>
        </c:manualLayout>
      </c:layout>
      <c:pieChart>
        <c:varyColors val="1"/>
        <c:ser>
          <c:idx val="0"/>
          <c:order val="0"/>
          <c:spPr>
            <a:scene3d>
              <a:camera prst="orthographicFront"/>
              <a:lightRig rig="threePt" dir="t"/>
            </a:scene3d>
            <a:sp3d>
              <a:bevelT w="190500" h="38100"/>
            </a:sp3d>
          </c:spPr>
          <c:explosion val="9"/>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C8EA-4ACB-A3AC-16012E25E727}"/>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C8EA-4ACB-A3AC-16012E25E727}"/>
              </c:ext>
            </c:extLst>
          </c:dPt>
          <c:dPt>
            <c:idx val="2"/>
            <c:bubble3D val="0"/>
            <c:spPr>
              <a:solidFill>
                <a:schemeClr val="accent3"/>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5-C8EA-4ACB-A3AC-16012E25E727}"/>
              </c:ext>
            </c:extLst>
          </c:dPt>
          <c:dPt>
            <c:idx val="3"/>
            <c:bubble3D val="0"/>
            <c:spPr>
              <a:solidFill>
                <a:schemeClr val="accent4"/>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7-C8EA-4ACB-A3AC-16012E25E727}"/>
              </c:ext>
            </c:extLst>
          </c:dPt>
          <c:dLbls>
            <c:dLbl>
              <c:idx val="0"/>
              <c:layout>
                <c:manualLayout>
                  <c:x val="6.1950021872265969E-2"/>
                  <c:y val="3.226815398075240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8EA-4ACB-A3AC-16012E25E727}"/>
                </c:ext>
              </c:extLst>
            </c:dLbl>
            <c:dLbl>
              <c:idx val="1"/>
              <c:layout>
                <c:manualLayout>
                  <c:x val="4.0375874890638673E-2"/>
                  <c:y val="-7.433471857684456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8EA-4ACB-A3AC-16012E25E727}"/>
                </c:ext>
              </c:extLst>
            </c:dLbl>
            <c:dLbl>
              <c:idx val="2"/>
              <c:layout>
                <c:manualLayout>
                  <c:x val="0.12924114173228346"/>
                  <c:y val="-3.043963254593184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8EA-4ACB-A3AC-16012E25E727}"/>
                </c:ext>
              </c:extLst>
            </c:dLbl>
            <c:dLbl>
              <c:idx val="3"/>
              <c:layout>
                <c:manualLayout>
                  <c:x val="-2.5794181977252851E-2"/>
                  <c:y val="-0.14994058034412369"/>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8EA-4ACB-A3AC-16012E25E7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[1]ATIVO!$B$45:$B$48</c:f>
              <c:strCache>
                <c:ptCount val="4"/>
                <c:pt idx="0">
                  <c:v>          Gabinete da Consultoria Jurídica</c:v>
                </c:pt>
                <c:pt idx="1">
                  <c:v>          Coordenação-Geral de Assuntos de Petróleo e Mineração</c:v>
                </c:pt>
                <c:pt idx="2">
                  <c:v>          Coordenação-Geral de Assuntos de Energia</c:v>
                </c:pt>
                <c:pt idx="3">
                  <c:v>          Coordenação-Geral de Assuntos Administrativos</c:v>
                </c:pt>
              </c:strCache>
            </c:strRef>
          </c:cat>
          <c:val>
            <c:numRef>
              <c:f>[1]ATIVO!$K$45:$K$48</c:f>
              <c:numCache>
                <c:formatCode>General</c:formatCode>
                <c:ptCount val="4"/>
                <c:pt idx="0">
                  <c:v>4</c:v>
                </c:pt>
                <c:pt idx="1">
                  <c:v>3</c:v>
                </c:pt>
                <c:pt idx="2">
                  <c:v>3</c:v>
                </c:pt>
                <c:pt idx="3">
                  <c:v>11</c:v>
                </c:pt>
              </c:numCache>
            </c:numRef>
          </c:val>
          <c:extLst>
            <c:ext xmlns:c16="http://schemas.microsoft.com/office/drawing/2014/chart" uri="{C3380CC4-5D6E-409C-BE32-E72D297353CC}">
              <c16:uniqueId val="{00000008-C8EA-4ACB-A3AC-16012E25E72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SEC.EXEC.</a:t>
            </a:r>
            <a:r>
              <a:rPr lang="pt-BR" baseline="0"/>
              <a:t> por Unidade</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7234733158355207"/>
          <c:y val="0.26893518518518517"/>
          <c:w val="0.38703062117235343"/>
          <c:h val="0.67800984730923231"/>
        </c:manualLayout>
      </c:layout>
      <c:pieChart>
        <c:varyColors val="1"/>
        <c:ser>
          <c:idx val="0"/>
          <c:order val="0"/>
          <c:spPr>
            <a:scene3d>
              <a:camera prst="orthographicFront"/>
              <a:lightRig rig="threePt" dir="t"/>
            </a:scene3d>
            <a:sp3d>
              <a:bevelT w="190500" h="38100"/>
            </a:sp3d>
          </c:spPr>
          <c:explosion val="5"/>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0B3C-4312-B08E-E4D1ABDA9C20}"/>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0B3C-4312-B08E-E4D1ABDA9C20}"/>
              </c:ext>
            </c:extLst>
          </c:dPt>
          <c:dPt>
            <c:idx val="2"/>
            <c:bubble3D val="0"/>
            <c:spPr>
              <a:solidFill>
                <a:schemeClr val="accent3"/>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5-0B3C-4312-B08E-E4D1ABDA9C20}"/>
              </c:ext>
            </c:extLst>
          </c:dPt>
          <c:dPt>
            <c:idx val="3"/>
            <c:bubble3D val="0"/>
            <c:spPr>
              <a:solidFill>
                <a:schemeClr val="accent4"/>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7-0B3C-4312-B08E-E4D1ABDA9C20}"/>
              </c:ext>
            </c:extLst>
          </c:dPt>
          <c:dPt>
            <c:idx val="4"/>
            <c:bubble3D val="0"/>
            <c:spPr>
              <a:solidFill>
                <a:schemeClr val="accent5"/>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9-0B3C-4312-B08E-E4D1ABDA9C20}"/>
              </c:ext>
            </c:extLst>
          </c:dPt>
          <c:dPt>
            <c:idx val="5"/>
            <c:bubble3D val="0"/>
            <c:spPr>
              <a:solidFill>
                <a:schemeClr val="accent6"/>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B-0B3C-4312-B08E-E4D1ABDA9C20}"/>
              </c:ext>
            </c:extLst>
          </c:dPt>
          <c:dLbls>
            <c:dLbl>
              <c:idx val="0"/>
              <c:layout>
                <c:manualLayout>
                  <c:x val="-0.20523972003499563"/>
                  <c:y val="1.390893846602508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B3C-4312-B08E-E4D1ABDA9C20}"/>
                </c:ext>
              </c:extLst>
            </c:dLbl>
            <c:dLbl>
              <c:idx val="1"/>
              <c:layout>
                <c:manualLayout>
                  <c:x val="8.3566272965879262E-2"/>
                  <c:y val="-3.842738407699037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B3C-4312-B08E-E4D1ABDA9C20}"/>
                </c:ext>
              </c:extLst>
            </c:dLbl>
            <c:dLbl>
              <c:idx val="2"/>
              <c:layout>
                <c:manualLayout>
                  <c:x val="0.20922922134733149"/>
                  <c:y val="0.13328849518810149"/>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B3C-4312-B08E-E4D1ABDA9C20}"/>
                </c:ext>
              </c:extLst>
            </c:dLbl>
            <c:dLbl>
              <c:idx val="3"/>
              <c:layout>
                <c:manualLayout>
                  <c:x val="0.14608552055993002"/>
                  <c:y val="0.31469233012540099"/>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B3C-4312-B08E-E4D1ABDA9C20}"/>
                </c:ext>
              </c:extLst>
            </c:dLbl>
            <c:dLbl>
              <c:idx val="4"/>
              <c:layout>
                <c:manualLayout>
                  <c:x val="0.10702471566054243"/>
                  <c:y val="0.38341316710411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B3C-4312-B08E-E4D1ABDA9C20}"/>
                </c:ext>
              </c:extLst>
            </c:dLbl>
            <c:dLbl>
              <c:idx val="5"/>
              <c:layout>
                <c:manualLayout>
                  <c:x val="-0.14669619422572178"/>
                  <c:y val="-0.130046296296296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B3C-4312-B08E-E4D1ABDA9C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([1]ATIVO!$B$52,[1]ATIVO!$B$54,[1]ATIVO!$B$58,[1]ATIVO!$B$60,[1]ATIVO!$B$65,[1]ATIVO!$B$70)</c:f>
              <c:strCache>
                <c:ptCount val="6"/>
                <c:pt idx="0">
                  <c:v>          Gabinete da Secretaria Executiva</c:v>
                </c:pt>
                <c:pt idx="1">
                  <c:v>          Assessoria Especial de Gestão Estratégica</c:v>
                </c:pt>
                <c:pt idx="2">
                  <c:v>          Assessoria Especial em Assuntos Regulatórios</c:v>
                </c:pt>
                <c:pt idx="3">
                  <c:v>          Assessoria Especial de Gestão de Projetos</c:v>
                </c:pt>
                <c:pt idx="4">
                  <c:v>          Assessoria Especial de Meio Ambiente</c:v>
                </c:pt>
                <c:pt idx="5">
                  <c:v>          Subsecretaria de Planejamento, Orçamento e Administração</c:v>
                </c:pt>
              </c:strCache>
            </c:strRef>
          </c:cat>
          <c:val>
            <c:numRef>
              <c:f>([1]ATIVO!$K$52,[1]ATIVO!$K$54,[1]ATIVO!$K$58,[1]ATIVO!$K$60,[1]ATIVO!$K$65,[1]ATIVO!$K$70)</c:f>
              <c:numCache>
                <c:formatCode>General</c:formatCode>
                <c:ptCount val="6"/>
                <c:pt idx="0">
                  <c:v>11</c:v>
                </c:pt>
                <c:pt idx="1">
                  <c:v>11</c:v>
                </c:pt>
                <c:pt idx="2">
                  <c:v>1</c:v>
                </c:pt>
                <c:pt idx="3">
                  <c:v>13</c:v>
                </c:pt>
                <c:pt idx="4">
                  <c:v>7</c:v>
                </c:pt>
                <c:pt idx="5">
                  <c:v>178</c:v>
                </c:pt>
              </c:numCache>
            </c:numRef>
          </c:val>
          <c:extLst>
            <c:ext xmlns:c16="http://schemas.microsoft.com/office/drawing/2014/chart" uri="{C3380CC4-5D6E-409C-BE32-E72D297353CC}">
              <c16:uniqueId val="{0000000C-0B3C-4312-B08E-E4D1ABDA9C2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SGM por Unidade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6679177602799647"/>
          <c:y val="0.21337962962962964"/>
          <c:w val="0.37829221347331582"/>
          <c:h val="0.66270168783646566"/>
        </c:manualLayout>
      </c:layout>
      <c:pieChart>
        <c:varyColors val="1"/>
        <c:ser>
          <c:idx val="0"/>
          <c:order val="0"/>
          <c:spPr>
            <a:scene3d>
              <a:camera prst="orthographicFront"/>
              <a:lightRig rig="threePt" dir="t"/>
            </a:scene3d>
            <a:sp3d>
              <a:bevelT w="190500" h="38100"/>
            </a:sp3d>
          </c:spPr>
          <c:explosion val="8"/>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C412-4FEB-A3FE-F905F09EA361}"/>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C412-4FEB-A3FE-F905F09EA361}"/>
              </c:ext>
            </c:extLst>
          </c:dPt>
          <c:dPt>
            <c:idx val="2"/>
            <c:bubble3D val="0"/>
            <c:spPr>
              <a:solidFill>
                <a:schemeClr val="accent3"/>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5-C412-4FEB-A3FE-F905F09EA361}"/>
              </c:ext>
            </c:extLst>
          </c:dPt>
          <c:dPt>
            <c:idx val="3"/>
            <c:bubble3D val="0"/>
            <c:spPr>
              <a:solidFill>
                <a:schemeClr val="accent4"/>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7-C412-4FEB-A3FE-F905F09EA361}"/>
              </c:ext>
            </c:extLst>
          </c:dPt>
          <c:dPt>
            <c:idx val="4"/>
            <c:bubble3D val="0"/>
            <c:spPr>
              <a:solidFill>
                <a:schemeClr val="accent5"/>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9-C412-4FEB-A3FE-F905F09EA361}"/>
              </c:ext>
            </c:extLst>
          </c:dPt>
          <c:dLbls>
            <c:dLbl>
              <c:idx val="0"/>
              <c:layout>
                <c:manualLayout>
                  <c:x val="0.15620844269466316"/>
                  <c:y val="9.37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412-4FEB-A3FE-F905F09EA361}"/>
                </c:ext>
              </c:extLst>
            </c:dLbl>
            <c:dLbl>
              <c:idx val="1"/>
              <c:layout>
                <c:manualLayout>
                  <c:x val="3.9097112860892284E-2"/>
                  <c:y val="6.025772820064158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412-4FEB-A3FE-F905F09EA361}"/>
                </c:ext>
              </c:extLst>
            </c:dLbl>
            <c:dLbl>
              <c:idx val="4"/>
              <c:layout>
                <c:manualLayout>
                  <c:x val="-9.7157042869641289E-2"/>
                  <c:y val="6.597222222222222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412-4FEB-A3FE-F905F09EA3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([1]ATIVO!$B$81,[1]ATIVO!$B$83,[1]ATIVO!$B$89,[1]ATIVO!$B$94,[1]ATIVO!$B$98)</c:f>
              <c:strCache>
                <c:ptCount val="5"/>
                <c:pt idx="0">
                  <c:v>          Gabinete da Secretaria de Geologia, Mineração e Transformação Mineral</c:v>
                </c:pt>
                <c:pt idx="1">
                  <c:v>      Departamento de Gestão das Políticas de Geologia, Mineração e Transformação Mineral</c:v>
                </c:pt>
                <c:pt idx="2">
                  <c:v>          Departamento de Geologia e Produção Mineral</c:v>
                </c:pt>
                <c:pt idx="3">
                  <c:v>          Departamento de Transformação e Tecnologia Mineral</c:v>
                </c:pt>
                <c:pt idx="4">
                  <c:v>          Departamento de Desenvolvimento Sustentável na Mineração</c:v>
                </c:pt>
              </c:strCache>
            </c:strRef>
          </c:cat>
          <c:val>
            <c:numRef>
              <c:f>([1]ATIVO!$K$81,[1]ATIVO!$K$83,[1]ATIVO!$K$89,[1]ATIVO!$K$94,[1]ATIVO!$K$98)</c:f>
              <c:numCache>
                <c:formatCode>General</c:formatCode>
                <c:ptCount val="5"/>
                <c:pt idx="0">
                  <c:v>6</c:v>
                </c:pt>
                <c:pt idx="1">
                  <c:v>10</c:v>
                </c:pt>
                <c:pt idx="2">
                  <c:v>7</c:v>
                </c:pt>
                <c:pt idx="3">
                  <c:v>8</c:v>
                </c:pt>
                <c:pt idx="4">
                  <c:v>8</c:v>
                </c:pt>
              </c:numCache>
            </c:numRef>
          </c:val>
          <c:extLst>
            <c:ext xmlns:c16="http://schemas.microsoft.com/office/drawing/2014/chart" uri="{C3380CC4-5D6E-409C-BE32-E72D297353CC}">
              <c16:uniqueId val="{0000000A-C412-4FEB-A3FE-F905F09EA36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SPOA por Situação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8068066491688537"/>
          <c:y val="0.24115740740740746"/>
          <c:w val="0.39141666666666669"/>
          <c:h val="0.65236111111111106"/>
        </c:manualLayout>
      </c:layout>
      <c:pieChart>
        <c:varyColors val="1"/>
        <c:ser>
          <c:idx val="0"/>
          <c:order val="0"/>
          <c:spPr>
            <a:scene3d>
              <a:camera prst="orthographicFront"/>
              <a:lightRig rig="threePt" dir="t"/>
            </a:scene3d>
            <a:sp3d>
              <a:bevelT w="190500" h="38100"/>
            </a:sp3d>
          </c:spPr>
          <c:explosion val="7"/>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AA11-4EF3-A748-24951F4C2D55}"/>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AA11-4EF3-A748-24951F4C2D55}"/>
              </c:ext>
            </c:extLst>
          </c:dPt>
          <c:dPt>
            <c:idx val="2"/>
            <c:bubble3D val="0"/>
            <c:spPr>
              <a:solidFill>
                <a:schemeClr val="accent3"/>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5-AA11-4EF3-A748-24951F4C2D55}"/>
              </c:ext>
            </c:extLst>
          </c:dPt>
          <c:dPt>
            <c:idx val="3"/>
            <c:bubble3D val="0"/>
            <c:spPr>
              <a:solidFill>
                <a:schemeClr val="accent4"/>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7-AA11-4EF3-A748-24951F4C2D55}"/>
              </c:ext>
            </c:extLst>
          </c:dPt>
          <c:dPt>
            <c:idx val="4"/>
            <c:bubble3D val="0"/>
            <c:spPr>
              <a:solidFill>
                <a:schemeClr val="accent5"/>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9-AA11-4EF3-A748-24951F4C2D55}"/>
              </c:ext>
            </c:extLst>
          </c:dPt>
          <c:dPt>
            <c:idx val="5"/>
            <c:bubble3D val="0"/>
            <c:spPr>
              <a:solidFill>
                <a:schemeClr val="accent6"/>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B-AA11-4EF3-A748-24951F4C2D55}"/>
              </c:ext>
            </c:extLst>
          </c:dPt>
          <c:dPt>
            <c:idx val="6"/>
            <c:bubble3D val="0"/>
            <c:spPr>
              <a:solidFill>
                <a:schemeClr val="accent1">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D-AA11-4EF3-A748-24951F4C2D55}"/>
              </c:ext>
            </c:extLst>
          </c:dPt>
          <c:dPt>
            <c:idx val="7"/>
            <c:bubble3D val="0"/>
            <c:spPr>
              <a:solidFill>
                <a:schemeClr val="accent2">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F-AA11-4EF3-A748-24951F4C2D55}"/>
              </c:ext>
            </c:extLst>
          </c:dPt>
          <c:dLbls>
            <c:dLbl>
              <c:idx val="1"/>
              <c:layout>
                <c:manualLayout>
                  <c:x val="8.8914698162729663E-2"/>
                  <c:y val="-0.24999125109361331"/>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A11-4EF3-A748-24951F4C2D55}"/>
                </c:ext>
              </c:extLst>
            </c:dLbl>
            <c:dLbl>
              <c:idx val="5"/>
              <c:layout>
                <c:manualLayout>
                  <c:x val="-0.10364435695538057"/>
                  <c:y val="-0.12887321376494604"/>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A11-4EF3-A748-24951F4C2D55}"/>
                </c:ext>
              </c:extLst>
            </c:dLbl>
            <c:dLbl>
              <c:idx val="6"/>
              <c:layout>
                <c:manualLayout>
                  <c:x val="-9.0821084864391957E-2"/>
                  <c:y val="-0.22283573928258968"/>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AA11-4EF3-A748-24951F4C2D55}"/>
                </c:ext>
              </c:extLst>
            </c:dLbl>
            <c:dLbl>
              <c:idx val="7"/>
              <c:layout>
                <c:manualLayout>
                  <c:x val="-5.2548447069116364E-2"/>
                  <c:y val="-5.017789442986293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AA11-4EF3-A748-24951F4C2D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[1]ATIVO!$C$51:$J$51</c:f>
              <c:strCache>
                <c:ptCount val="8"/>
                <c:pt idx="0">
                  <c:v>Natureza Especial</c:v>
                </c:pt>
                <c:pt idx="1">
                  <c:v>Ativo Permanente</c:v>
                </c:pt>
                <c:pt idx="2">
                  <c:v>Requisitado Órgãos</c:v>
                </c:pt>
                <c:pt idx="3">
                  <c:v>Requisitado Empresas</c:v>
                </c:pt>
                <c:pt idx="4">
                  <c:v>Sem Vínculo</c:v>
                </c:pt>
                <c:pt idx="5">
                  <c:v>Exercício Descentralizado</c:v>
                </c:pt>
                <c:pt idx="6">
                  <c:v>Contrato Temporário</c:v>
                </c:pt>
                <c:pt idx="7">
                  <c:v>Anistiado</c:v>
                </c:pt>
              </c:strCache>
            </c:strRef>
          </c:cat>
          <c:val>
            <c:numRef>
              <c:f>[1]ATIVO!$C$70:$J$70</c:f>
              <c:numCache>
                <c:formatCode>General</c:formatCode>
                <c:ptCount val="8"/>
                <c:pt idx="0">
                  <c:v>0</c:v>
                </c:pt>
                <c:pt idx="1">
                  <c:v>86</c:v>
                </c:pt>
                <c:pt idx="2">
                  <c:v>20</c:v>
                </c:pt>
                <c:pt idx="3">
                  <c:v>0</c:v>
                </c:pt>
                <c:pt idx="4">
                  <c:v>14</c:v>
                </c:pt>
                <c:pt idx="5">
                  <c:v>11</c:v>
                </c:pt>
                <c:pt idx="6">
                  <c:v>0</c:v>
                </c:pt>
                <c:pt idx="7">
                  <c:v>47</c:v>
                </c:pt>
              </c:numCache>
            </c:numRef>
          </c:val>
          <c:extLst>
            <c:ext xmlns:c16="http://schemas.microsoft.com/office/drawing/2014/chart" uri="{C3380CC4-5D6E-409C-BE32-E72D297353CC}">
              <c16:uniqueId val="{00000010-AA11-4EF3-A748-24951F4C2D5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SPE por Unidade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6679177602799647"/>
          <c:y val="0.26893518518518517"/>
          <c:w val="0.3858611111111111"/>
          <c:h val="0.64310185185185187"/>
        </c:manualLayout>
      </c:layout>
      <c:pieChart>
        <c:varyColors val="1"/>
        <c:ser>
          <c:idx val="0"/>
          <c:order val="0"/>
          <c:spPr>
            <a:scene3d>
              <a:camera prst="orthographicFront"/>
              <a:lightRig rig="threePt" dir="t"/>
            </a:scene3d>
            <a:sp3d>
              <a:bevelT w="190500" h="38100"/>
            </a:sp3d>
          </c:spPr>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8D4A-462D-973F-94FE53391C8F}"/>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8D4A-462D-973F-94FE53391C8F}"/>
              </c:ext>
            </c:extLst>
          </c:dPt>
          <c:dPt>
            <c:idx val="2"/>
            <c:bubble3D val="0"/>
            <c:spPr>
              <a:solidFill>
                <a:schemeClr val="accent3"/>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5-8D4A-462D-973F-94FE53391C8F}"/>
              </c:ext>
            </c:extLst>
          </c:dPt>
          <c:dPt>
            <c:idx val="3"/>
            <c:bubble3D val="0"/>
            <c:spPr>
              <a:solidFill>
                <a:schemeClr val="accent4"/>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7-8D4A-462D-973F-94FE53391C8F}"/>
              </c:ext>
            </c:extLst>
          </c:dPt>
          <c:dPt>
            <c:idx val="4"/>
            <c:bubble3D val="0"/>
            <c:spPr>
              <a:solidFill>
                <a:schemeClr val="accent5"/>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9-8D4A-462D-973F-94FE53391C8F}"/>
              </c:ext>
            </c:extLst>
          </c:dPt>
          <c:dLbls>
            <c:dLbl>
              <c:idx val="2"/>
              <c:layout>
                <c:manualLayout>
                  <c:x val="-3.4090004374453191E-2"/>
                  <c:y val="-9.6062992125985104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D4A-462D-973F-94FE53391C8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([1]ATIVO!$B$127,[1]ATIVO!$B$129,[1]ATIVO!$B$135,[1]ATIVO!$B$141,[1]ATIVO!$B$146)</c:f>
              <c:strCache>
                <c:ptCount val="5"/>
                <c:pt idx="0">
                  <c:v>          Gabinete da Secretaria de Planejamento e Desenvolvimento Energético</c:v>
                </c:pt>
                <c:pt idx="1">
                  <c:v>          Departamento de Planejamento Energético</c:v>
                </c:pt>
                <c:pt idx="2">
                  <c:v>          Departamento de Desenvolvimento Energético</c:v>
                </c:pt>
                <c:pt idx="3">
                  <c:v>          Departamento e Outorgas de Concessões, Permissões e Autorizações</c:v>
                </c:pt>
                <c:pt idx="4">
                  <c:v>          Departamento de Informações e Estudos Energéticos</c:v>
                </c:pt>
              </c:strCache>
            </c:strRef>
          </c:cat>
          <c:val>
            <c:numRef>
              <c:f>([1]ATIVO!$K$127,[1]ATIVO!$K$129,[1]ATIVO!$K$135,[1]ATIVO!$K$141,[1]ATIVO!$K$146)</c:f>
              <c:numCache>
                <c:formatCode>General</c:formatCode>
                <c:ptCount val="5"/>
                <c:pt idx="0">
                  <c:v>13</c:v>
                </c:pt>
                <c:pt idx="1">
                  <c:v>12</c:v>
                </c:pt>
                <c:pt idx="2">
                  <c:v>8</c:v>
                </c:pt>
                <c:pt idx="3">
                  <c:v>7</c:v>
                </c:pt>
                <c:pt idx="4">
                  <c:v>5</c:v>
                </c:pt>
              </c:numCache>
            </c:numRef>
          </c:val>
          <c:extLst>
            <c:ext xmlns:c16="http://schemas.microsoft.com/office/drawing/2014/chart" uri="{C3380CC4-5D6E-409C-BE32-E72D297353CC}">
              <c16:uniqueId val="{0000000A-8D4A-462D-973F-94FE53391C8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SPG por Unidade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6679177602799647"/>
          <c:y val="0.27356481481481482"/>
          <c:w val="0.37726990376202973"/>
          <c:h val="0.66091078031304484"/>
        </c:manualLayout>
      </c:layout>
      <c:pieChart>
        <c:varyColors val="1"/>
        <c:ser>
          <c:idx val="0"/>
          <c:order val="0"/>
          <c:spPr>
            <a:scene3d>
              <a:camera prst="orthographicFront"/>
              <a:lightRig rig="threePt" dir="t"/>
            </a:scene3d>
            <a:sp3d>
              <a:bevelT w="190500" h="38100"/>
            </a:sp3d>
          </c:spPr>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F048-461B-B345-35B51C155EC8}"/>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F048-461B-B345-35B51C155EC8}"/>
              </c:ext>
            </c:extLst>
          </c:dPt>
          <c:dPt>
            <c:idx val="2"/>
            <c:bubble3D val="0"/>
            <c:spPr>
              <a:solidFill>
                <a:schemeClr val="accent3"/>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5-F048-461B-B345-35B51C155EC8}"/>
              </c:ext>
            </c:extLst>
          </c:dPt>
          <c:dPt>
            <c:idx val="3"/>
            <c:bubble3D val="0"/>
            <c:spPr>
              <a:solidFill>
                <a:schemeClr val="accent4"/>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7-F048-461B-B345-35B51C155EC8}"/>
              </c:ext>
            </c:extLst>
          </c:dPt>
          <c:dPt>
            <c:idx val="4"/>
            <c:bubble3D val="0"/>
            <c:spPr>
              <a:solidFill>
                <a:schemeClr val="accent5"/>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9-F048-461B-B345-35B51C155EC8}"/>
              </c:ext>
            </c:extLst>
          </c:dPt>
          <c:dLbls>
            <c:dLbl>
              <c:idx val="2"/>
              <c:layout>
                <c:manualLayout>
                  <c:x val="-0.1094417104111986"/>
                  <c:y val="-6.27777777777777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048-461B-B345-35B51C155EC8}"/>
                </c:ext>
              </c:extLst>
            </c:dLbl>
            <c:dLbl>
              <c:idx val="3"/>
              <c:layout>
                <c:manualLayout>
                  <c:x val="-3.4526137357830271E-2"/>
                  <c:y val="-2.739319043452901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048-461B-B345-35B51C155EC8}"/>
                </c:ext>
              </c:extLst>
            </c:dLbl>
            <c:dLbl>
              <c:idx val="4"/>
              <c:layout>
                <c:manualLayout>
                  <c:x val="-2.6297244094488189E-2"/>
                  <c:y val="1.909047827354913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048-461B-B345-35B51C155E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([1]ATIVO!$B$152,[1]ATIVO!$B$154,[1]ATIVO!$B$159,[1]ATIVO!$B$164,[1]ATIVO!$B$169)</c:f>
              <c:strCache>
                <c:ptCount val="5"/>
                <c:pt idx="0">
                  <c:v>          Gabinete da Secretaria de Petróleo, Gás Natural e Biocombustíveis</c:v>
                </c:pt>
                <c:pt idx="1">
                  <c:v>          Departamento de Política de Exploração e Produção de Petróleo e Gás Natural</c:v>
                </c:pt>
                <c:pt idx="2">
                  <c:v>          Departamento de Gás Natural</c:v>
                </c:pt>
                <c:pt idx="3">
                  <c:v>          Departamento de Combustíveis Derivados de Petróleo</c:v>
                </c:pt>
                <c:pt idx="4">
                  <c:v>          Departamento de Biocombustíveis</c:v>
                </c:pt>
              </c:strCache>
            </c:strRef>
          </c:cat>
          <c:val>
            <c:numRef>
              <c:f>([1]ATIVO!$K$152,[1]ATIVO!$K$154,[1]ATIVO!$K$159,[1]ATIVO!$K$164,[1]ATIVO!$K$169)</c:f>
              <c:numCache>
                <c:formatCode>General</c:formatCode>
                <c:ptCount val="5"/>
                <c:pt idx="0">
                  <c:v>10</c:v>
                </c:pt>
                <c:pt idx="1">
                  <c:v>6</c:v>
                </c:pt>
                <c:pt idx="2">
                  <c:v>6</c:v>
                </c:pt>
                <c:pt idx="3">
                  <c:v>5</c:v>
                </c:pt>
                <c:pt idx="4">
                  <c:v>5</c:v>
                </c:pt>
              </c:numCache>
            </c:numRef>
          </c:val>
          <c:extLst>
            <c:ext xmlns:c16="http://schemas.microsoft.com/office/drawing/2014/chart" uri="{C3380CC4-5D6E-409C-BE32-E72D297353CC}">
              <c16:uniqueId val="{0000000A-F048-461B-B345-35B51C155EC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SEE por Unidade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6679177602799647"/>
          <c:y val="0.22263888888888889"/>
          <c:w val="0.36919444444444444"/>
          <c:h val="0.61532407407407408"/>
        </c:manualLayout>
      </c:layout>
      <c:pieChart>
        <c:varyColors val="1"/>
        <c:ser>
          <c:idx val="0"/>
          <c:order val="0"/>
          <c:spPr>
            <a:scene3d>
              <a:camera prst="orthographicFront"/>
              <a:lightRig rig="threePt" dir="t"/>
            </a:scene3d>
            <a:sp3d>
              <a:bevelT w="190500" h="38100"/>
            </a:sp3d>
          </c:spPr>
          <c:dPt>
            <c:idx val="0"/>
            <c:bubble3D val="0"/>
            <c:explosion val="5"/>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C102-481F-B906-99E42889FDB1}"/>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C102-481F-B906-99E42889FDB1}"/>
              </c:ext>
            </c:extLst>
          </c:dPt>
          <c:dPt>
            <c:idx val="2"/>
            <c:bubble3D val="0"/>
            <c:explosion val="4"/>
            <c:spPr>
              <a:solidFill>
                <a:schemeClr val="accent3"/>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5-C102-481F-B906-99E42889FDB1}"/>
              </c:ext>
            </c:extLst>
          </c:dPt>
          <c:dPt>
            <c:idx val="3"/>
            <c:bubble3D val="0"/>
            <c:spPr>
              <a:solidFill>
                <a:schemeClr val="accent4"/>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7-C102-481F-B906-99E42889FDB1}"/>
              </c:ext>
            </c:extLst>
          </c:dPt>
          <c:dLbls>
            <c:dLbl>
              <c:idx val="0"/>
              <c:layout>
                <c:manualLayout>
                  <c:x val="9.0067694663167108E-2"/>
                  <c:y val="-4.309200933216681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102-481F-B906-99E42889FDB1}"/>
                </c:ext>
              </c:extLst>
            </c:dLbl>
            <c:dLbl>
              <c:idx val="1"/>
              <c:layout>
                <c:manualLayout>
                  <c:x val="6.3496281714785649E-2"/>
                  <c:y val="-0.1255081656459609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102-481F-B906-99E42889FDB1}"/>
                </c:ext>
              </c:extLst>
            </c:dLbl>
            <c:dLbl>
              <c:idx val="2"/>
              <c:layout>
                <c:manualLayout>
                  <c:x val="-0.11454899387576553"/>
                  <c:y val="-7.789333624963545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102-481F-B906-99E42889FDB1}"/>
                </c:ext>
              </c:extLst>
            </c:dLbl>
            <c:dLbl>
              <c:idx val="3"/>
              <c:layout>
                <c:manualLayout>
                  <c:x val="-8.1330818022747151E-2"/>
                  <c:y val="8.912037037037036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102-481F-B906-99E42889FDB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([1]ATIVO!$B$105,[1]ATIVO!$B$107,[1]ATIVO!$B$113,[1]ATIVO!$B$120)</c:f>
              <c:strCache>
                <c:ptCount val="4"/>
                <c:pt idx="0">
                  <c:v>          Gabinete da Secretaria de Energia Elétrica</c:v>
                </c:pt>
                <c:pt idx="1">
                  <c:v>          Departamento de Gestão do Setor Elétrico</c:v>
                </c:pt>
                <c:pt idx="2">
                  <c:v>          Departamento de Monitoramento do Sistema Elétrico</c:v>
                </c:pt>
                <c:pt idx="3">
                  <c:v>          Departamento de Políticas Sociais e Universalização do Acesso à Energia Elétrica</c:v>
                </c:pt>
              </c:strCache>
            </c:strRef>
          </c:cat>
          <c:val>
            <c:numRef>
              <c:f>([1]ATIVO!$K$105,[1]ATIVO!$K$107,[1]ATIVO!$K$113,[1]ATIVO!$K$120)</c:f>
              <c:numCache>
                <c:formatCode>General</c:formatCode>
                <c:ptCount val="4"/>
                <c:pt idx="0">
                  <c:v>14</c:v>
                </c:pt>
                <c:pt idx="1">
                  <c:v>7</c:v>
                </c:pt>
                <c:pt idx="2">
                  <c:v>19</c:v>
                </c:pt>
                <c:pt idx="3">
                  <c:v>12</c:v>
                </c:pt>
              </c:numCache>
            </c:numRef>
          </c:val>
          <c:extLst>
            <c:ext xmlns:c16="http://schemas.microsoft.com/office/drawing/2014/chart" uri="{C3380CC4-5D6E-409C-BE32-E72D297353CC}">
              <c16:uniqueId val="{00000008-C102-481F-B906-99E42889FDB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SPOA por Unidade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6679177602799647"/>
          <c:y val="0.25041666666666673"/>
          <c:w val="0.37197222222222215"/>
          <c:h val="0.61995370370370362"/>
        </c:manualLayout>
      </c:layout>
      <c:pieChart>
        <c:varyColors val="1"/>
        <c:ser>
          <c:idx val="0"/>
          <c:order val="0"/>
          <c:spPr>
            <a:scene3d>
              <a:camera prst="orthographicFront"/>
              <a:lightRig rig="threePt" dir="t"/>
            </a:scene3d>
            <a:sp3d>
              <a:bevelT w="190500" h="38100"/>
            </a:sp3d>
          </c:spPr>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5822-47C0-AD01-1AF9ADB64524}"/>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5822-47C0-AD01-1AF9ADB64524}"/>
              </c:ext>
            </c:extLst>
          </c:dPt>
          <c:dPt>
            <c:idx val="2"/>
            <c:bubble3D val="0"/>
            <c:spPr>
              <a:solidFill>
                <a:schemeClr val="accent3"/>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5-5822-47C0-AD01-1AF9ADB64524}"/>
              </c:ext>
            </c:extLst>
          </c:dPt>
          <c:dPt>
            <c:idx val="3"/>
            <c:bubble3D val="0"/>
            <c:spPr>
              <a:solidFill>
                <a:schemeClr val="accent4"/>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7-5822-47C0-AD01-1AF9ADB64524}"/>
              </c:ext>
            </c:extLst>
          </c:dPt>
          <c:dPt>
            <c:idx val="4"/>
            <c:bubble3D val="0"/>
            <c:spPr>
              <a:solidFill>
                <a:schemeClr val="accent5"/>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9-5822-47C0-AD01-1AF9ADB64524}"/>
              </c:ext>
            </c:extLst>
          </c:dPt>
          <c:dPt>
            <c:idx val="5"/>
            <c:bubble3D val="0"/>
            <c:spPr>
              <a:solidFill>
                <a:schemeClr val="accent6"/>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B-5822-47C0-AD01-1AF9ADB64524}"/>
              </c:ext>
            </c:extLst>
          </c:dPt>
          <c:dPt>
            <c:idx val="6"/>
            <c:bubble3D val="0"/>
            <c:spPr>
              <a:solidFill>
                <a:schemeClr val="accent1">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D-5822-47C0-AD01-1AF9ADB64524}"/>
              </c:ext>
            </c:extLst>
          </c:dPt>
          <c:dLbls>
            <c:dLbl>
              <c:idx val="0"/>
              <c:layout>
                <c:manualLayout>
                  <c:x val="0.31789851268591424"/>
                  <c:y val="4.28240740740740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822-47C0-AD01-1AF9ADB64524}"/>
                </c:ext>
              </c:extLst>
            </c:dLbl>
            <c:dLbl>
              <c:idx val="1"/>
              <c:layout>
                <c:manualLayout>
                  <c:x val="8.0600174978127728E-2"/>
                  <c:y val="2.033172936716235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822-47C0-AD01-1AF9ADB64524}"/>
                </c:ext>
              </c:extLst>
            </c:dLbl>
            <c:dLbl>
              <c:idx val="2"/>
              <c:layout>
                <c:manualLayout>
                  <c:x val="0.18720450568678906"/>
                  <c:y val="-1.314814814814814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822-47C0-AD01-1AF9ADB64524}"/>
                </c:ext>
              </c:extLst>
            </c:dLbl>
            <c:dLbl>
              <c:idx val="3"/>
              <c:layout>
                <c:manualLayout>
                  <c:x val="-0.22142224409448819"/>
                  <c:y val="-3.819262175561388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822-47C0-AD01-1AF9ADB64524}"/>
                </c:ext>
              </c:extLst>
            </c:dLbl>
            <c:dLbl>
              <c:idx val="4"/>
              <c:layout>
                <c:manualLayout>
                  <c:x val="-3.4581146106736661E-2"/>
                  <c:y val="-1.89869495479731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5822-47C0-AD01-1AF9ADB64524}"/>
                </c:ext>
              </c:extLst>
            </c:dLbl>
            <c:dLbl>
              <c:idx val="5"/>
              <c:layout>
                <c:manualLayout>
                  <c:x val="-0.20700678040244969"/>
                  <c:y val="0.18171296296296294"/>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5822-47C0-AD01-1AF9ADB64524}"/>
                </c:ext>
              </c:extLst>
            </c:dLbl>
            <c:dLbl>
              <c:idx val="6"/>
              <c:layout>
                <c:manualLayout>
                  <c:x val="-0.19545964566929133"/>
                  <c:y val="1.157407407407407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5822-47C0-AD01-1AF9ADB645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[1]ATIVO!$B$71:$B$77</c:f>
              <c:strCache>
                <c:ptCount val="7"/>
                <c:pt idx="0">
                  <c:v>               Gabinete da Subsecretaria de Planejamento, Orçamento e Administração</c:v>
                </c:pt>
                <c:pt idx="1">
                  <c:v>               Coordenação-Geral de Recursos Logísticos</c:v>
                </c:pt>
                <c:pt idx="2">
                  <c:v>               Coordenação-Geral de Tecnologia da Informação</c:v>
                </c:pt>
                <c:pt idx="3">
                  <c:v>               Coordenação-Geral de Compras e Contratos</c:v>
                </c:pt>
                <c:pt idx="4">
                  <c:v>               Coordenação-Geral de Recursos Humanos</c:v>
                </c:pt>
                <c:pt idx="5">
                  <c:v>               Coordenação-Geral de Orçamento e Finanças</c:v>
                </c:pt>
                <c:pt idx="6">
                  <c:v>               Coordenação de Modernização Administrativa</c:v>
                </c:pt>
              </c:strCache>
            </c:strRef>
          </c:cat>
          <c:val>
            <c:numRef>
              <c:f>[1]ATIVO!$K$71:$K$77</c:f>
              <c:numCache>
                <c:formatCode>General</c:formatCode>
                <c:ptCount val="7"/>
                <c:pt idx="0">
                  <c:v>3</c:v>
                </c:pt>
                <c:pt idx="1">
                  <c:v>73</c:v>
                </c:pt>
                <c:pt idx="2">
                  <c:v>14</c:v>
                </c:pt>
                <c:pt idx="3">
                  <c:v>11</c:v>
                </c:pt>
                <c:pt idx="4">
                  <c:v>59</c:v>
                </c:pt>
                <c:pt idx="5">
                  <c:v>14</c:v>
                </c:pt>
                <c:pt idx="6">
                  <c:v>4</c:v>
                </c:pt>
              </c:numCache>
            </c:numRef>
          </c:val>
          <c:extLst>
            <c:ext xmlns:c16="http://schemas.microsoft.com/office/drawing/2014/chart" uri="{C3380CC4-5D6E-409C-BE32-E72D297353CC}">
              <c16:uniqueId val="{0000000E-5822-47C0-AD01-1AF9ADB6452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Exercício MME por situação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9699999999999999"/>
          <c:y val="0.23408926262439678"/>
          <c:w val="0.40044466316710409"/>
          <c:h val="0.66052704114618199"/>
        </c:manualLayout>
      </c:layout>
      <c:pieChart>
        <c:varyColors val="1"/>
        <c:ser>
          <c:idx val="0"/>
          <c:order val="0"/>
          <c:spPr>
            <a:scene3d>
              <a:camera prst="orthographicFront"/>
              <a:lightRig rig="threePt" dir="t"/>
            </a:scene3d>
            <a:sp3d>
              <a:bevelT w="190500" h="38100"/>
            </a:sp3d>
          </c:spPr>
          <c:explosion val="11"/>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F8B0-4E0E-9BE4-5B4EDFD34849}"/>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F8B0-4E0E-9BE4-5B4EDFD34849}"/>
              </c:ext>
            </c:extLst>
          </c:dPt>
          <c:dPt>
            <c:idx val="2"/>
            <c:bubble3D val="0"/>
            <c:spPr>
              <a:solidFill>
                <a:schemeClr val="accent3"/>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5-F8B0-4E0E-9BE4-5B4EDFD34849}"/>
              </c:ext>
            </c:extLst>
          </c:dPt>
          <c:dPt>
            <c:idx val="3"/>
            <c:bubble3D val="0"/>
            <c:spPr>
              <a:solidFill>
                <a:schemeClr val="accent4"/>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7-F8B0-4E0E-9BE4-5B4EDFD34849}"/>
              </c:ext>
            </c:extLst>
          </c:dPt>
          <c:dPt>
            <c:idx val="4"/>
            <c:bubble3D val="0"/>
            <c:spPr>
              <a:solidFill>
                <a:schemeClr val="accent5"/>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9-F8B0-4E0E-9BE4-5B4EDFD34849}"/>
              </c:ext>
            </c:extLst>
          </c:dPt>
          <c:dPt>
            <c:idx val="5"/>
            <c:bubble3D val="0"/>
            <c:spPr>
              <a:solidFill>
                <a:schemeClr val="accent6"/>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B-F8B0-4E0E-9BE4-5B4EDFD34849}"/>
              </c:ext>
            </c:extLst>
          </c:dPt>
          <c:dPt>
            <c:idx val="6"/>
            <c:bubble3D val="0"/>
            <c:spPr>
              <a:solidFill>
                <a:schemeClr val="accent1">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D-F8B0-4E0E-9BE4-5B4EDFD34849}"/>
              </c:ext>
            </c:extLst>
          </c:dPt>
          <c:dPt>
            <c:idx val="7"/>
            <c:bubble3D val="0"/>
            <c:spPr>
              <a:solidFill>
                <a:schemeClr val="accent2">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F-F8B0-4E0E-9BE4-5B4EDFD34849}"/>
              </c:ext>
            </c:extLst>
          </c:dPt>
          <c:dLbls>
            <c:dLbl>
              <c:idx val="0"/>
              <c:layout>
                <c:manualLayout>
                  <c:x val="0.23150437445319336"/>
                  <c:y val="2.2206182560513259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B0-4E0E-9BE4-5B4EDFD34849}"/>
                </c:ext>
              </c:extLst>
            </c:dLbl>
            <c:dLbl>
              <c:idx val="1"/>
              <c:layout>
                <c:manualLayout>
                  <c:x val="7.6564523184601926E-2"/>
                  <c:y val="0.1292341061533975"/>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B0-4E0E-9BE4-5B4EDFD34849}"/>
                </c:ext>
              </c:extLst>
            </c:dLbl>
            <c:dLbl>
              <c:idx val="2"/>
              <c:layout>
                <c:manualLayout>
                  <c:x val="6.9033245844269564E-2"/>
                  <c:y val="-0.17530475357247019"/>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8B0-4E0E-9BE4-5B4EDFD34849}"/>
                </c:ext>
              </c:extLst>
            </c:dLbl>
            <c:dLbl>
              <c:idx val="3"/>
              <c:layout>
                <c:manualLayout>
                  <c:x val="1.9103674540682413E-2"/>
                  <c:y val="-1.1900335374744823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8B0-4E0E-9BE4-5B4EDFD34849}"/>
                </c:ext>
              </c:extLst>
            </c:dLbl>
            <c:dLbl>
              <c:idx val="4"/>
              <c:layout>
                <c:manualLayout>
                  <c:x val="-0.15221566054243219"/>
                  <c:y val="-3.3831016647809922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8B0-4E0E-9BE4-5B4EDFD34849}"/>
                </c:ext>
              </c:extLst>
            </c:dLbl>
            <c:dLbl>
              <c:idx val="5"/>
              <c:layout>
                <c:manualLayout>
                  <c:x val="-1.3386045494313218E-2"/>
                  <c:y val="4.5735272674249053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8B0-4E0E-9BE4-5B4EDFD34849}"/>
                </c:ext>
              </c:extLst>
            </c:dLbl>
            <c:dLbl>
              <c:idx val="6"/>
              <c:layout>
                <c:manualLayout>
                  <c:x val="-4.7835301837270354E-2"/>
                  <c:y val="6.9834864391951051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8B0-4E0E-9BE4-5B4EDFD34849}"/>
                </c:ext>
              </c:extLst>
            </c:dLbl>
            <c:dLbl>
              <c:idx val="7"/>
              <c:layout>
                <c:manualLayout>
                  <c:x val="-4.9232939632545956E-2"/>
                  <c:y val="5.5629921259842542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F8B0-4E0E-9BE4-5B4EDFD3484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in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[1]ATIVO!$C$4:$J$4</c:f>
              <c:strCache>
                <c:ptCount val="8"/>
                <c:pt idx="0">
                  <c:v>Natureza Especial</c:v>
                </c:pt>
                <c:pt idx="1">
                  <c:v>Ativo Permanente</c:v>
                </c:pt>
                <c:pt idx="2">
                  <c:v>Requisitado Órgãos</c:v>
                </c:pt>
                <c:pt idx="3">
                  <c:v>Requisitado Empresas</c:v>
                </c:pt>
                <c:pt idx="4">
                  <c:v>Sem Vínculo</c:v>
                </c:pt>
                <c:pt idx="5">
                  <c:v>Exercício Descentralizado</c:v>
                </c:pt>
                <c:pt idx="6">
                  <c:v>Contrato Temporário</c:v>
                </c:pt>
                <c:pt idx="7">
                  <c:v>Anistiado</c:v>
                </c:pt>
              </c:strCache>
            </c:strRef>
          </c:cat>
          <c:val>
            <c:numRef>
              <c:f>[1]ATIVO!$C$16:$J$16</c:f>
              <c:numCache>
                <c:formatCode>General</c:formatCode>
                <c:ptCount val="8"/>
                <c:pt idx="0">
                  <c:v>2</c:v>
                </c:pt>
                <c:pt idx="1">
                  <c:v>132</c:v>
                </c:pt>
                <c:pt idx="2">
                  <c:v>71</c:v>
                </c:pt>
                <c:pt idx="3">
                  <c:v>5</c:v>
                </c:pt>
                <c:pt idx="4">
                  <c:v>119</c:v>
                </c:pt>
                <c:pt idx="5">
                  <c:v>88</c:v>
                </c:pt>
                <c:pt idx="6">
                  <c:v>3</c:v>
                </c:pt>
                <c:pt idx="7">
                  <c:v>70</c:v>
                </c:pt>
              </c:numCache>
            </c:numRef>
          </c:val>
          <c:extLst>
            <c:ext xmlns:c16="http://schemas.microsoft.com/office/drawing/2014/chart" uri="{C3380CC4-5D6E-409C-BE32-E72D297353CC}">
              <c16:uniqueId val="{00000010-F8B0-4E0E-9BE4-5B4EDFD34849}"/>
            </c:ext>
          </c:extLst>
        </c:ser>
        <c:dLbls>
          <c:dLblPos val="in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GM por Sexo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985627734033246"/>
          <c:y val="0.22263888888888889"/>
          <c:w val="0.37231911636045489"/>
          <c:h val="0.62053186060075816"/>
        </c:manualLayout>
      </c:layout>
      <c:pieChart>
        <c:varyColors val="1"/>
        <c:ser>
          <c:idx val="0"/>
          <c:order val="0"/>
          <c:spPr>
            <a:scene3d>
              <a:camera prst="orthographicFront"/>
              <a:lightRig rig="threePt" dir="t"/>
            </a:scene3d>
            <a:sp3d>
              <a:bevelT w="190500" h="38100"/>
            </a:sp3d>
          </c:spPr>
          <c:explosion val="5"/>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D9D1-4E74-BB19-ABC445D25D04}"/>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D9D1-4E74-BB19-ABC445D25D04}"/>
              </c:ext>
            </c:extLst>
          </c:dPt>
          <c:dLbls>
            <c:dLbl>
              <c:idx val="0"/>
              <c:layout>
                <c:manualLayout>
                  <c:x val="6.4860564304461937E-2"/>
                  <c:y val="-0.1852475211431904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9D1-4E74-BB19-ABC445D25D04}"/>
                </c:ext>
              </c:extLst>
            </c:dLbl>
            <c:dLbl>
              <c:idx val="1"/>
              <c:layout>
                <c:manualLayout>
                  <c:x val="-5.5917760279964999E-2"/>
                  <c:y val="-0.27421879556722079"/>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9D1-4E74-BB19-ABC445D25D0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[1]ATIVO!$M$19:$N$19</c:f>
              <c:strCache>
                <c:ptCount val="2"/>
                <c:pt idx="0">
                  <c:v>Sexo Feminino</c:v>
                </c:pt>
                <c:pt idx="1">
                  <c:v>Sexo Masculino</c:v>
                </c:pt>
              </c:strCache>
            </c:strRef>
          </c:cat>
          <c:val>
            <c:numRef>
              <c:f>[1]ATIVO!$M$26:$N$26</c:f>
              <c:numCache>
                <c:formatCode>General</c:formatCode>
                <c:ptCount val="2"/>
                <c:pt idx="0">
                  <c:v>25</c:v>
                </c:pt>
                <c:pt idx="1">
                  <c:v>34</c:v>
                </c:pt>
              </c:numCache>
            </c:numRef>
          </c:val>
          <c:extLst>
            <c:ext xmlns:c16="http://schemas.microsoft.com/office/drawing/2014/chart" uri="{C3380CC4-5D6E-409C-BE32-E72D297353CC}">
              <c16:uniqueId val="{00000004-D9D1-4E74-BB19-ABC445D25D0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ASSINT</a:t>
            </a:r>
            <a:r>
              <a:rPr lang="pt-BR" baseline="0"/>
              <a:t> por Sexo</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695695538057743"/>
          <c:y val="0.20412037037037037"/>
          <c:w val="0.41641666666666666"/>
          <c:h val="0.6940277777777778"/>
        </c:manualLayout>
      </c:layout>
      <c:pieChart>
        <c:varyColors val="1"/>
        <c:ser>
          <c:idx val="0"/>
          <c:order val="0"/>
          <c:spPr>
            <a:scene3d>
              <a:camera prst="orthographicFront"/>
              <a:lightRig rig="threePt" dir="t"/>
            </a:scene3d>
            <a:sp3d>
              <a:bevelT w="190500" h="38100"/>
            </a:sp3d>
          </c:spPr>
          <c:explosion val="9"/>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298E-493D-B602-6AE43505F4CE}"/>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298E-493D-B602-6AE43505F4CE}"/>
              </c:ext>
            </c:extLst>
          </c:dPt>
          <c:dLbls>
            <c:dLbl>
              <c:idx val="0"/>
              <c:layout>
                <c:manualLayout>
                  <c:x val="5.6044838145231847E-2"/>
                  <c:y val="4.705526392534266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98E-493D-B602-6AE43505F4CE}"/>
                </c:ext>
              </c:extLst>
            </c:dLbl>
            <c:dLbl>
              <c:idx val="1"/>
              <c:layout>
                <c:manualLayout>
                  <c:x val="-0.1214488188976378"/>
                  <c:y val="-0.14135972586759979"/>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98E-493D-B602-6AE43505F4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[1]ATIVO!$M$28:$N$28</c:f>
              <c:strCache>
                <c:ptCount val="2"/>
                <c:pt idx="0">
                  <c:v>Sexo Feminino</c:v>
                </c:pt>
                <c:pt idx="1">
                  <c:v>Sexo Masculino</c:v>
                </c:pt>
              </c:strCache>
            </c:strRef>
          </c:cat>
          <c:val>
            <c:numRef>
              <c:f>[1]ATIVO!$M$30:$N$30</c:f>
              <c:numCache>
                <c:formatCode>General</c:formatCode>
                <c:ptCount val="2"/>
                <c:pt idx="0">
                  <c:v>1</c:v>
                </c:pt>
                <c:pt idx="1">
                  <c:v>3</c:v>
                </c:pt>
              </c:numCache>
            </c:numRef>
          </c:val>
          <c:extLst>
            <c:ext xmlns:c16="http://schemas.microsoft.com/office/drawing/2014/chart" uri="{C3380CC4-5D6E-409C-BE32-E72D297353CC}">
              <c16:uniqueId val="{00000004-298E-493D-B602-6AE43505F4C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AEPED por Sexo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985627734033246"/>
          <c:y val="0.23652777777777778"/>
          <c:w val="0.36398578302712159"/>
          <c:h val="0.60664297171186932"/>
        </c:manualLayout>
      </c:layout>
      <c:pieChart>
        <c:varyColors val="1"/>
        <c:ser>
          <c:idx val="0"/>
          <c:order val="0"/>
          <c:spPr>
            <a:scene3d>
              <a:camera prst="orthographicFront"/>
              <a:lightRig rig="threePt" dir="t"/>
            </a:scene3d>
            <a:sp3d>
              <a:bevelT w="190500" h="38100"/>
            </a:sp3d>
          </c:spPr>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28BB-418A-848F-497B01D8CE50}"/>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28BB-418A-848F-497B01D8CE50}"/>
              </c:ext>
            </c:extLst>
          </c:dPt>
          <c:dLbls>
            <c:dLbl>
              <c:idx val="0"/>
              <c:layout>
                <c:manualLayout>
                  <c:x val="-0.28819542869641296"/>
                  <c:y val="4.167031204432779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8BB-418A-848F-497B01D8CE50}"/>
                </c:ext>
              </c:extLst>
            </c:dLbl>
            <c:dLbl>
              <c:idx val="1"/>
              <c:layout>
                <c:manualLayout>
                  <c:x val="0.30520734908136482"/>
                  <c:y val="-2.659886264216972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8BB-418A-848F-497B01D8CE5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[1]ATIVO!$M$32:$N$32</c:f>
              <c:strCache>
                <c:ptCount val="2"/>
                <c:pt idx="0">
                  <c:v>Sexo Feminino</c:v>
                </c:pt>
                <c:pt idx="1">
                  <c:v>Sexo Masculino</c:v>
                </c:pt>
              </c:strCache>
            </c:strRef>
          </c:cat>
          <c:val>
            <c:numRef>
              <c:f>[1]ATIVO!$M$34:$N$34</c:f>
              <c:numCache>
                <c:formatCode>General</c:formatCode>
                <c:ptCount val="2"/>
                <c:pt idx="0">
                  <c:v>0</c:v>
                </c:pt>
                <c:pt idx="1">
                  <c:v>5</c:v>
                </c:pt>
              </c:numCache>
            </c:numRef>
          </c:val>
          <c:extLst>
            <c:ext xmlns:c16="http://schemas.microsoft.com/office/drawing/2014/chart" uri="{C3380CC4-5D6E-409C-BE32-E72D297353CC}">
              <c16:uniqueId val="{00000004-28BB-418A-848F-497B01D8CE5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AECI</a:t>
            </a:r>
            <a:r>
              <a:rPr lang="pt-BR" baseline="0"/>
              <a:t> por Sexo</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7512510936132983"/>
          <c:y val="0.21800925925925929"/>
          <c:w val="0.41641666666666666"/>
          <c:h val="0.6940277777777778"/>
        </c:manualLayout>
      </c:layout>
      <c:pieChart>
        <c:varyColors val="1"/>
        <c:ser>
          <c:idx val="0"/>
          <c:order val="0"/>
          <c:spPr>
            <a:scene3d>
              <a:camera prst="orthographicFront"/>
              <a:lightRig rig="threePt" dir="t"/>
            </a:scene3d>
            <a:sp3d>
              <a:bevelT w="190500" h="38100"/>
            </a:sp3d>
          </c:spPr>
          <c:explosion val="13"/>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F953-4486-B220-1EDA7DC4DECB}"/>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F953-4486-B220-1EDA7DC4DECB}"/>
              </c:ext>
            </c:extLst>
          </c:dPt>
          <c:dLbls>
            <c:dLbl>
              <c:idx val="0"/>
              <c:layout>
                <c:manualLayout>
                  <c:x val="8.9368438320209978E-2"/>
                  <c:y val="-0.20100029163021288"/>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953-4486-B220-1EDA7DC4DECB}"/>
                </c:ext>
              </c:extLst>
            </c:dLbl>
            <c:dLbl>
              <c:idx val="1"/>
              <c:layout>
                <c:manualLayout>
                  <c:x val="-6.7613845144356949E-2"/>
                  <c:y val="-6.460046660834062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953-4486-B220-1EDA7DC4DE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[1]ATIVO!$M$36:$N$36</c:f>
              <c:strCache>
                <c:ptCount val="2"/>
                <c:pt idx="0">
                  <c:v>Sexo Feminino</c:v>
                </c:pt>
                <c:pt idx="1">
                  <c:v>Sexo Masculino</c:v>
                </c:pt>
              </c:strCache>
            </c:strRef>
          </c:cat>
          <c:val>
            <c:numRef>
              <c:f>[1]ATIVO!$M$38:$N$38</c:f>
              <c:numCache>
                <c:formatCode>General</c:formatCode>
                <c:ptCount val="2"/>
                <c:pt idx="0">
                  <c:v>3</c:v>
                </c:pt>
                <c:pt idx="1">
                  <c:v>1</c:v>
                </c:pt>
              </c:numCache>
            </c:numRef>
          </c:val>
          <c:extLst>
            <c:ext xmlns:c16="http://schemas.microsoft.com/office/drawing/2014/chart" uri="{C3380CC4-5D6E-409C-BE32-E72D297353CC}">
              <c16:uniqueId val="{00000004-F953-4486-B220-1EDA7DC4DEC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ASSEC</a:t>
            </a:r>
            <a:r>
              <a:rPr lang="pt-BR" baseline="0"/>
              <a:t> por Sexo</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6679177602799647"/>
          <c:y val="0.24115740740740746"/>
          <c:w val="0.3818801399825022"/>
          <c:h val="0.66898710653868998"/>
        </c:manualLayout>
      </c:layout>
      <c:pieChart>
        <c:varyColors val="1"/>
        <c:ser>
          <c:idx val="0"/>
          <c:order val="0"/>
          <c:spPr>
            <a:scene3d>
              <a:camera prst="orthographicFront"/>
              <a:lightRig rig="threePt" dir="t"/>
            </a:scene3d>
            <a:sp3d>
              <a:bevelT w="190500" h="38100"/>
            </a:sp3d>
          </c:spPr>
          <c:explosion val="14"/>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8344-4D88-911B-30097CB683B7}"/>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8344-4D88-911B-30097CB683B7}"/>
              </c:ext>
            </c:extLst>
          </c:dPt>
          <c:dLbls>
            <c:dLbl>
              <c:idx val="0"/>
              <c:layout>
                <c:manualLayout>
                  <c:x val="7.0946631671041122E-2"/>
                  <c:y val="-5.91422426363372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344-4D88-911B-30097CB683B7}"/>
                </c:ext>
              </c:extLst>
            </c:dLbl>
            <c:dLbl>
              <c:idx val="1"/>
              <c:layout>
                <c:manualLayout>
                  <c:x val="-1.6282808398950131E-3"/>
                  <c:y val="-0.12659740449110529"/>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344-4D88-911B-30097CB683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[1]ATIVO!$M$40:$N$40</c:f>
              <c:strCache>
                <c:ptCount val="2"/>
                <c:pt idx="0">
                  <c:v>Sexo Feminino</c:v>
                </c:pt>
                <c:pt idx="1">
                  <c:v>Sexo Masculino</c:v>
                </c:pt>
              </c:strCache>
            </c:strRef>
          </c:cat>
          <c:val>
            <c:numRef>
              <c:f>[1]ATIVO!$M$42:$N$42</c:f>
              <c:numCache>
                <c:formatCode>General</c:formatCode>
                <c:ptCount val="2"/>
                <c:pt idx="0">
                  <c:v>5</c:v>
                </c:pt>
                <c:pt idx="1">
                  <c:v>3</c:v>
                </c:pt>
              </c:numCache>
            </c:numRef>
          </c:val>
          <c:extLst>
            <c:ext xmlns:c16="http://schemas.microsoft.com/office/drawing/2014/chart" uri="{C3380CC4-5D6E-409C-BE32-E72D297353CC}">
              <c16:uniqueId val="{00000004-8344-4D88-911B-30097CB683B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CONJUR</a:t>
            </a:r>
            <a:r>
              <a:rPr lang="pt-BR" baseline="0"/>
              <a:t> por Sexo</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6679177602799647"/>
          <c:y val="0.23189814814814816"/>
          <c:w val="0.41086111111111112"/>
          <c:h val="0.6847685185185185"/>
        </c:manualLayout>
      </c:layout>
      <c:pieChart>
        <c:varyColors val="1"/>
        <c:ser>
          <c:idx val="0"/>
          <c:order val="0"/>
          <c:spPr>
            <a:scene3d>
              <a:camera prst="orthographicFront"/>
              <a:lightRig rig="threePt" dir="t"/>
            </a:scene3d>
            <a:sp3d>
              <a:bevelT w="190500" h="38100"/>
            </a:sp3d>
          </c:spPr>
          <c:explosion val="19"/>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0F15-441B-B19A-DB6DDCF7125D}"/>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0F15-441B-B19A-DB6DDCF7125D}"/>
              </c:ext>
            </c:extLst>
          </c:dPt>
          <c:dLbls>
            <c:dLbl>
              <c:idx val="0"/>
              <c:layout>
                <c:manualLayout>
                  <c:x val="5.4451771653543306E-2"/>
                  <c:y val="-0.10754884806065908"/>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15-441B-B19A-DB6DDCF7125D}"/>
                </c:ext>
              </c:extLst>
            </c:dLbl>
            <c:dLbl>
              <c:idx val="1"/>
              <c:layout>
                <c:manualLayout>
                  <c:x val="-5.1452974628171486E-2"/>
                  <c:y val="-0.4265704286964129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15-441B-B19A-DB6DDCF7125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[1]ATIVO!$M$44:$N$44</c:f>
              <c:strCache>
                <c:ptCount val="2"/>
                <c:pt idx="0">
                  <c:v>Sexo Feminino</c:v>
                </c:pt>
                <c:pt idx="1">
                  <c:v>Sexo Masculino</c:v>
                </c:pt>
              </c:strCache>
            </c:strRef>
          </c:cat>
          <c:val>
            <c:numRef>
              <c:f>[1]ATIVO!$M$49:$N$49</c:f>
              <c:numCache>
                <c:formatCode>General</c:formatCode>
                <c:ptCount val="2"/>
                <c:pt idx="0">
                  <c:v>8</c:v>
                </c:pt>
                <c:pt idx="1">
                  <c:v>13</c:v>
                </c:pt>
              </c:numCache>
            </c:numRef>
          </c:val>
          <c:extLst>
            <c:ext xmlns:c16="http://schemas.microsoft.com/office/drawing/2014/chart" uri="{C3380CC4-5D6E-409C-BE32-E72D297353CC}">
              <c16:uniqueId val="{00000004-0F15-441B-B19A-DB6DDCF7125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SEC.EXEC. por Sexo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6679177602799647"/>
          <c:y val="0.24578703703703703"/>
          <c:w val="0.42197222222222219"/>
          <c:h val="0.70328703703703699"/>
        </c:manualLayout>
      </c:layout>
      <c:pieChart>
        <c:varyColors val="1"/>
        <c:ser>
          <c:idx val="0"/>
          <c:order val="0"/>
          <c:spPr>
            <a:scene3d>
              <a:camera prst="orthographicFront"/>
              <a:lightRig rig="threePt" dir="t"/>
            </a:scene3d>
            <a:sp3d>
              <a:bevelT w="190500" h="38100"/>
            </a:sp3d>
          </c:spPr>
          <c:explosion val="13"/>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2D74-4FD9-94C2-618FD604C07A}"/>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2D74-4FD9-94C2-618FD604C07A}"/>
              </c:ext>
            </c:extLst>
          </c:dPt>
          <c:dLbls>
            <c:dLbl>
              <c:idx val="0"/>
              <c:layout>
                <c:manualLayout>
                  <c:x val="9.6611548556430449E-2"/>
                  <c:y val="-0.19296843102945466"/>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74-4FD9-94C2-618FD604C07A}"/>
                </c:ext>
              </c:extLst>
            </c:dLbl>
            <c:dLbl>
              <c:idx val="1"/>
              <c:layout>
                <c:manualLayout>
                  <c:x val="-2.7305336832895888E-3"/>
                  <c:y val="-0.2960119568387285"/>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74-4FD9-94C2-618FD604C07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[1]ATIVO!$M$51:$N$51</c:f>
              <c:strCache>
                <c:ptCount val="2"/>
                <c:pt idx="0">
                  <c:v>Sexo Feminino</c:v>
                </c:pt>
                <c:pt idx="1">
                  <c:v>Sexo Masculino</c:v>
                </c:pt>
              </c:strCache>
            </c:strRef>
          </c:cat>
          <c:val>
            <c:numRef>
              <c:f>[1]ATIVO!$M$78:$N$78</c:f>
              <c:numCache>
                <c:formatCode>General</c:formatCode>
                <c:ptCount val="2"/>
                <c:pt idx="0">
                  <c:v>107</c:v>
                </c:pt>
                <c:pt idx="1">
                  <c:v>114</c:v>
                </c:pt>
              </c:numCache>
            </c:numRef>
          </c:val>
          <c:extLst>
            <c:ext xmlns:c16="http://schemas.microsoft.com/office/drawing/2014/chart" uri="{C3380CC4-5D6E-409C-BE32-E72D297353CC}">
              <c16:uniqueId val="{00000004-2D74-4FD9-94C2-618FD604C07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SGM por Sexo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6679177602799647"/>
          <c:y val="0.24115740740740746"/>
          <c:w val="0.39021347331583556"/>
          <c:h val="0.68358564668467547"/>
        </c:manualLayout>
      </c:layout>
      <c:pieChart>
        <c:varyColors val="1"/>
        <c:ser>
          <c:idx val="0"/>
          <c:order val="0"/>
          <c:spPr>
            <a:scene3d>
              <a:camera prst="orthographicFront"/>
              <a:lightRig rig="threePt" dir="t"/>
            </a:scene3d>
            <a:sp3d>
              <a:bevelT w="190500" h="38100"/>
            </a:sp3d>
          </c:spPr>
          <c:explosion val="16"/>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3096-48B5-9C9C-F59B03D789CE}"/>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3096-48B5-9C9C-F59B03D789CE}"/>
              </c:ext>
            </c:extLst>
          </c:dPt>
          <c:dLbls>
            <c:dLbl>
              <c:idx val="0"/>
              <c:layout>
                <c:manualLayout>
                  <c:x val="4.2932524059492563E-2"/>
                  <c:y val="-0.18384149897929425"/>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096-48B5-9C9C-F59B03D789CE}"/>
                </c:ext>
              </c:extLst>
            </c:dLbl>
            <c:dLbl>
              <c:idx val="1"/>
              <c:layout>
                <c:manualLayout>
                  <c:x val="-2.0232064741907269E-2"/>
                  <c:y val="-0.28777814231554388"/>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096-48B5-9C9C-F59B03D789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[1]ATIVO!$M$80:$N$80</c:f>
              <c:strCache>
                <c:ptCount val="2"/>
                <c:pt idx="0">
                  <c:v>Sexo Feminino</c:v>
                </c:pt>
                <c:pt idx="1">
                  <c:v>Sexo Masculino</c:v>
                </c:pt>
              </c:strCache>
            </c:strRef>
          </c:cat>
          <c:val>
            <c:numRef>
              <c:f>[1]ATIVO!$M$102:$N$102</c:f>
              <c:numCache>
                <c:formatCode>General</c:formatCode>
                <c:ptCount val="2"/>
                <c:pt idx="0">
                  <c:v>19</c:v>
                </c:pt>
                <c:pt idx="1">
                  <c:v>20</c:v>
                </c:pt>
              </c:numCache>
            </c:numRef>
          </c:val>
          <c:extLst>
            <c:ext xmlns:c16="http://schemas.microsoft.com/office/drawing/2014/chart" uri="{C3380CC4-5D6E-409C-BE32-E72D297353CC}">
              <c16:uniqueId val="{00000004-3096-48B5-9C9C-F59B03D789C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SPE por Sexo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6679177602799647"/>
          <c:y val="0.19949074074074077"/>
          <c:w val="0.38308333333333333"/>
          <c:h val="0.63847222222222222"/>
        </c:manualLayout>
      </c:layout>
      <c:pieChart>
        <c:varyColors val="1"/>
        <c:ser>
          <c:idx val="0"/>
          <c:order val="0"/>
          <c:spPr>
            <a:scene3d>
              <a:camera prst="orthographicFront"/>
              <a:lightRig rig="threePt" dir="t"/>
            </a:scene3d>
            <a:sp3d>
              <a:bevelT w="190500" h="38100"/>
            </a:sp3d>
          </c:spPr>
          <c:explosion val="8"/>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D4C3-4651-9369-CAD77E418E07}"/>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D4C3-4651-9369-CAD77E418E07}"/>
              </c:ext>
            </c:extLst>
          </c:dPt>
          <c:dLbls>
            <c:dLbl>
              <c:idx val="0"/>
              <c:layout>
                <c:manualLayout>
                  <c:x val="4.1658136482939631E-2"/>
                  <c:y val="-0.1963021289005541"/>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C3-4651-9369-CAD77E418E07}"/>
                </c:ext>
              </c:extLst>
            </c:dLbl>
            <c:dLbl>
              <c:idx val="1"/>
              <c:layout>
                <c:manualLayout>
                  <c:x val="-1.305511811023622E-2"/>
                  <c:y val="-0.36790974044911051"/>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4C3-4651-9369-CAD77E418E0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[1]ATIVO!$M$126:$N$126</c:f>
              <c:strCache>
                <c:ptCount val="2"/>
                <c:pt idx="0">
                  <c:v>Sexo Feminino</c:v>
                </c:pt>
                <c:pt idx="1">
                  <c:v>Sexo Masculino</c:v>
                </c:pt>
              </c:strCache>
            </c:strRef>
          </c:cat>
          <c:val>
            <c:numRef>
              <c:f>[1]ATIVO!$M$149:$N$149</c:f>
              <c:numCache>
                <c:formatCode>General</c:formatCode>
                <c:ptCount val="2"/>
                <c:pt idx="0">
                  <c:v>19</c:v>
                </c:pt>
                <c:pt idx="1">
                  <c:v>26</c:v>
                </c:pt>
              </c:numCache>
            </c:numRef>
          </c:val>
          <c:extLst>
            <c:ext xmlns:c16="http://schemas.microsoft.com/office/drawing/2014/chart" uri="{C3380CC4-5D6E-409C-BE32-E72D297353CC}">
              <c16:uniqueId val="{00000004-D4C3-4651-9369-CAD77E418E0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SPG por Sexo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6679177602799647"/>
          <c:y val="0.23652777777777778"/>
          <c:w val="0.3845229658792651"/>
          <c:h val="0.67361687453301911"/>
        </c:manualLayout>
      </c:layout>
      <c:pieChart>
        <c:varyColors val="1"/>
        <c:ser>
          <c:idx val="0"/>
          <c:order val="0"/>
          <c:spPr>
            <a:scene3d>
              <a:camera prst="orthographicFront"/>
              <a:lightRig rig="threePt" dir="t"/>
            </a:scene3d>
            <a:sp3d>
              <a:bevelT w="190500" h="38100"/>
            </a:sp3d>
          </c:spPr>
          <c:explosion val="12"/>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A7DA-4B64-944A-D5FEFD1294B3}"/>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A7DA-4B64-944A-D5FEFD1294B3}"/>
              </c:ext>
            </c:extLst>
          </c:dPt>
          <c:dLbls>
            <c:dLbl>
              <c:idx val="0"/>
              <c:layout>
                <c:manualLayout>
                  <c:x val="7.6074803149606296E-2"/>
                  <c:y val="-3.069006999125109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7DA-4B64-944A-D5FEFD1294B3}"/>
                </c:ext>
              </c:extLst>
            </c:dLbl>
            <c:dLbl>
              <c:idx val="1"/>
              <c:layout>
                <c:manualLayout>
                  <c:x val="-8.2193788276465438E-2"/>
                  <c:y val="-0.21407735491396909"/>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7DA-4B64-944A-D5FEFD1294B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[1]ATIVO!$M$151:$N$151</c:f>
              <c:strCache>
                <c:ptCount val="2"/>
                <c:pt idx="0">
                  <c:v>Sexo Feminino</c:v>
                </c:pt>
                <c:pt idx="1">
                  <c:v>Sexo Masculino</c:v>
                </c:pt>
              </c:strCache>
            </c:strRef>
          </c:cat>
          <c:val>
            <c:numRef>
              <c:f>[1]ATIVO!$M$173:$N$173</c:f>
              <c:numCache>
                <c:formatCode>General</c:formatCode>
                <c:ptCount val="2"/>
                <c:pt idx="0">
                  <c:v>9</c:v>
                </c:pt>
                <c:pt idx="1">
                  <c:v>23</c:v>
                </c:pt>
              </c:numCache>
            </c:numRef>
          </c:val>
          <c:extLst>
            <c:ext xmlns:c16="http://schemas.microsoft.com/office/drawing/2014/chart" uri="{C3380CC4-5D6E-409C-BE32-E72D297353CC}">
              <c16:uniqueId val="{00000004-A7DA-4B64-944A-D5FEFD1294B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Exercício MME por Unidade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30611683776579907"/>
          <c:y val="0.35439735562064983"/>
          <c:w val="0.33658683289588803"/>
          <c:h val="0.56097805482648"/>
        </c:manualLayout>
      </c:layout>
      <c:pieChart>
        <c:varyColors val="1"/>
        <c:ser>
          <c:idx val="0"/>
          <c:order val="0"/>
          <c:spPr>
            <a:scene3d>
              <a:camera prst="orthographicFront"/>
              <a:lightRig rig="threePt" dir="t"/>
            </a:scene3d>
            <a:sp3d>
              <a:bevelT w="190500" h="38100"/>
            </a:sp3d>
          </c:spPr>
          <c:explosion val="3"/>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E188-488C-A63A-AAD80E7CF84E}"/>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E188-488C-A63A-AAD80E7CF84E}"/>
              </c:ext>
            </c:extLst>
          </c:dPt>
          <c:dPt>
            <c:idx val="2"/>
            <c:bubble3D val="0"/>
            <c:spPr>
              <a:solidFill>
                <a:schemeClr val="accent3"/>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5-E188-488C-A63A-AAD80E7CF84E}"/>
              </c:ext>
            </c:extLst>
          </c:dPt>
          <c:dPt>
            <c:idx val="3"/>
            <c:bubble3D val="0"/>
            <c:spPr>
              <a:solidFill>
                <a:schemeClr val="accent4"/>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7-E188-488C-A63A-AAD80E7CF84E}"/>
              </c:ext>
            </c:extLst>
          </c:dPt>
          <c:dPt>
            <c:idx val="4"/>
            <c:bubble3D val="0"/>
            <c:spPr>
              <a:solidFill>
                <a:schemeClr val="accent5"/>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9-E188-488C-A63A-AAD80E7CF84E}"/>
              </c:ext>
            </c:extLst>
          </c:dPt>
          <c:dPt>
            <c:idx val="5"/>
            <c:bubble3D val="0"/>
            <c:spPr>
              <a:solidFill>
                <a:schemeClr val="accent6"/>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B-E188-488C-A63A-AAD80E7CF84E}"/>
              </c:ext>
            </c:extLst>
          </c:dPt>
          <c:dPt>
            <c:idx val="6"/>
            <c:bubble3D val="0"/>
            <c:spPr>
              <a:solidFill>
                <a:schemeClr val="accent1">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D-E188-488C-A63A-AAD80E7CF84E}"/>
              </c:ext>
            </c:extLst>
          </c:dPt>
          <c:dPt>
            <c:idx val="7"/>
            <c:bubble3D val="0"/>
            <c:spPr>
              <a:solidFill>
                <a:schemeClr val="accent2">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F-E188-488C-A63A-AAD80E7CF84E}"/>
              </c:ext>
            </c:extLst>
          </c:dPt>
          <c:dPt>
            <c:idx val="8"/>
            <c:bubble3D val="0"/>
            <c:explosion val="0"/>
            <c:spPr>
              <a:solidFill>
                <a:schemeClr val="accent3">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11-E188-488C-A63A-AAD80E7CF84E}"/>
              </c:ext>
            </c:extLst>
          </c:dPt>
          <c:dPt>
            <c:idx val="9"/>
            <c:bubble3D val="0"/>
            <c:spPr>
              <a:solidFill>
                <a:schemeClr val="accent4">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13-E188-488C-A63A-AAD80E7CF84E}"/>
              </c:ext>
            </c:extLst>
          </c:dPt>
          <c:dPt>
            <c:idx val="10"/>
            <c:bubble3D val="0"/>
            <c:spPr>
              <a:solidFill>
                <a:schemeClr val="accent5">
                  <a:lumMod val="60000"/>
                </a:schemeClr>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15-E188-488C-A63A-AAD80E7CF84E}"/>
              </c:ext>
            </c:extLst>
          </c:dPt>
          <c:dLbls>
            <c:dLbl>
              <c:idx val="0"/>
              <c:layout>
                <c:manualLayout>
                  <c:x val="-0.13496116432471758"/>
                  <c:y val="-6.75588759596176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188-488C-A63A-AAD80E7CF84E}"/>
                </c:ext>
              </c:extLst>
            </c:dLbl>
            <c:dLbl>
              <c:idx val="1"/>
              <c:layout>
                <c:manualLayout>
                  <c:x val="0.11039684290953086"/>
                  <c:y val="-0.28019671602483137"/>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188-488C-A63A-AAD80E7CF84E}"/>
                </c:ext>
              </c:extLst>
            </c:dLbl>
            <c:dLbl>
              <c:idx val="2"/>
              <c:layout>
                <c:manualLayout>
                  <c:x val="0.18340906327540632"/>
                  <c:y val="-7.1124846595540747E-2"/>
                </c:manualLayout>
              </c:layout>
              <c:showLegendKey val="0"/>
              <c:showVal val="1"/>
              <c:showCatName val="1"/>
              <c:showSerName val="0"/>
              <c:showPercent val="1"/>
              <c:showBubbleSize val="0"/>
              <c:extLst>
                <c:ext xmlns:c15="http://schemas.microsoft.com/office/drawing/2012/chart" uri="{CE6537A1-D6FC-4f65-9D91-7224C49458BB}">
                  <c15:layout>
                    <c:manualLayout>
                      <c:w val="0.2638888888888889"/>
                      <c:h val="0.21527777777777779"/>
                    </c:manualLayout>
                  </c15:layout>
                </c:ext>
                <c:ext xmlns:c16="http://schemas.microsoft.com/office/drawing/2014/chart" uri="{C3380CC4-5D6E-409C-BE32-E72D297353CC}">
                  <c16:uniqueId val="{00000005-E188-488C-A63A-AAD80E7CF84E}"/>
                </c:ext>
              </c:extLst>
            </c:dLbl>
            <c:dLbl>
              <c:idx val="3"/>
              <c:layout>
                <c:manualLayout>
                  <c:x val="3.0479863140708583E-2"/>
                  <c:y val="7.0352673492605239E-2"/>
                </c:manualLayout>
              </c:layout>
              <c:showLegendKey val="0"/>
              <c:showVal val="1"/>
              <c:showCatName val="1"/>
              <c:showSerName val="0"/>
              <c:showPercent val="1"/>
              <c:showBubbleSize val="0"/>
              <c:extLst>
                <c:ext xmlns:c15="http://schemas.microsoft.com/office/drawing/2012/chart" uri="{CE6537A1-D6FC-4f65-9D91-7224C49458BB}">
                  <c15:layout>
                    <c:manualLayout>
                      <c:w val="0.21249999999999999"/>
                      <c:h val="0.16666666666666666"/>
                    </c:manualLayout>
                  </c15:layout>
                </c:ext>
                <c:ext xmlns:c16="http://schemas.microsoft.com/office/drawing/2014/chart" uri="{C3380CC4-5D6E-409C-BE32-E72D297353CC}">
                  <c16:uniqueId val="{00000007-E188-488C-A63A-AAD80E7CF84E}"/>
                </c:ext>
              </c:extLst>
            </c:dLbl>
            <c:dLbl>
              <c:idx val="4"/>
              <c:layout>
                <c:manualLayout>
                  <c:x val="0.17735867371778224"/>
                  <c:y val="0.31037990558347445"/>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c:ext xmlns:c15="http://schemas.microsoft.com/office/drawing/2012/chart" uri="{CE6537A1-D6FC-4f65-9D91-7224C49458BB}">
                  <c15:layout>
                    <c:manualLayout>
                      <c:w val="0.31527777777777777"/>
                      <c:h val="0.30324074074074076"/>
                    </c:manualLayout>
                  </c15:layout>
                </c:ext>
                <c:ext xmlns:c16="http://schemas.microsoft.com/office/drawing/2014/chart" uri="{C3380CC4-5D6E-409C-BE32-E72D297353CC}">
                  <c16:uniqueId val="{00000009-E188-488C-A63A-AAD80E7CF84E}"/>
                </c:ext>
              </c:extLst>
            </c:dLbl>
            <c:dLbl>
              <c:idx val="5"/>
              <c:layout>
                <c:manualLayout>
                  <c:x val="0.15059225468077089"/>
                  <c:y val="0.41934660897763204"/>
                </c:manualLayout>
              </c:layout>
              <c:showLegendKey val="0"/>
              <c:showVal val="1"/>
              <c:showCatName val="1"/>
              <c:showSerName val="0"/>
              <c:showPercent val="1"/>
              <c:showBubbleSize val="0"/>
              <c:extLst>
                <c:ext xmlns:c15="http://schemas.microsoft.com/office/drawing/2012/chart" uri="{CE6537A1-D6FC-4f65-9D91-7224C49458BB}">
                  <c15:layout>
                    <c:manualLayout>
                      <c:w val="0.20755555555555552"/>
                      <c:h val="0.11560185185185186"/>
                    </c:manualLayout>
                  </c15:layout>
                </c:ext>
                <c:ext xmlns:c16="http://schemas.microsoft.com/office/drawing/2014/chart" uri="{C3380CC4-5D6E-409C-BE32-E72D297353CC}">
                  <c16:uniqueId val="{0000000B-E188-488C-A63A-AAD80E7CF84E}"/>
                </c:ext>
              </c:extLst>
            </c:dLbl>
            <c:dLbl>
              <c:idx val="6"/>
              <c:layout>
                <c:manualLayout>
                  <c:x val="2.4224324747604387E-2"/>
                  <c:y val="-1.062481524280454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E188-488C-A63A-AAD80E7CF84E}"/>
                </c:ext>
              </c:extLst>
            </c:dLbl>
            <c:dLbl>
              <c:idx val="7"/>
              <c:layout>
                <c:manualLayout>
                  <c:x val="-5.8197222084622252E-3"/>
                  <c:y val="5.945840387698977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c:ext xmlns:c15="http://schemas.microsoft.com/office/drawing/2012/chart" uri="{CE6537A1-D6FC-4f65-9D91-7224C49458BB}">
                  <c15:layout>
                    <c:manualLayout>
                      <c:w val="0.34302777777777776"/>
                      <c:h val="0.19409740449110524"/>
                    </c:manualLayout>
                  </c15:layout>
                </c:ext>
                <c:ext xmlns:c16="http://schemas.microsoft.com/office/drawing/2014/chart" uri="{C3380CC4-5D6E-409C-BE32-E72D297353CC}">
                  <c16:uniqueId val="{0000000F-E188-488C-A63A-AAD80E7CF84E}"/>
                </c:ext>
              </c:extLst>
            </c:dLbl>
            <c:dLbl>
              <c:idx val="8"/>
              <c:layout>
                <c:manualLayout>
                  <c:x val="-2.9301007881217825E-2"/>
                  <c:y val="4.2496394435337223E-3"/>
                </c:manualLayout>
              </c:layout>
              <c:showLegendKey val="0"/>
              <c:showVal val="1"/>
              <c:showCatName val="1"/>
              <c:showSerName val="0"/>
              <c:showPercent val="1"/>
              <c:showBubbleSize val="0"/>
              <c:extLst>
                <c:ext xmlns:c15="http://schemas.microsoft.com/office/drawing/2012/chart" uri="{CE6537A1-D6FC-4f65-9D91-7224C49458BB}">
                  <c15:layout>
                    <c:manualLayout>
                      <c:w val="0.27474999999999999"/>
                      <c:h val="0.26817147856517937"/>
                    </c:manualLayout>
                  </c15:layout>
                </c:ext>
                <c:ext xmlns:c16="http://schemas.microsoft.com/office/drawing/2014/chart" uri="{C3380CC4-5D6E-409C-BE32-E72D297353CC}">
                  <c16:uniqueId val="{00000011-E188-488C-A63A-AAD80E7CF84E}"/>
                </c:ext>
              </c:extLst>
            </c:dLbl>
            <c:dLbl>
              <c:idx val="9"/>
              <c:layout>
                <c:manualLayout>
                  <c:x val="-1.2709220539501409E-2"/>
                  <c:y val="-4.9601820250284832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c:ext xmlns:c15="http://schemas.microsoft.com/office/drawing/2012/chart" uri="{CE6537A1-D6FC-4f65-9D91-7224C49458BB}">
                  <c15:layout>
                    <c:manualLayout>
                      <c:w val="0.32512489063867012"/>
                      <c:h val="0.20798629337999416"/>
                    </c:manualLayout>
                  </c15:layout>
                </c:ext>
                <c:ext xmlns:c16="http://schemas.microsoft.com/office/drawing/2014/chart" uri="{C3380CC4-5D6E-409C-BE32-E72D297353CC}">
                  <c16:uniqueId val="{00000013-E188-488C-A63A-AAD80E7CF84E}"/>
                </c:ext>
              </c:extLst>
            </c:dLbl>
            <c:dLbl>
              <c:idx val="10"/>
              <c:layout>
                <c:manualLayout>
                  <c:x val="-6.2884232310588525E-2"/>
                  <c:y val="-0.15853734431641381"/>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c:ext xmlns:c15="http://schemas.microsoft.com/office/drawing/2012/chart" uri="{CE6537A1-D6FC-4f65-9D91-7224C49458BB}">
                  <c15:layout>
                    <c:manualLayout>
                      <c:w val="0.3557639982502187"/>
                      <c:h val="0.13405110819480895"/>
                    </c:manualLayout>
                  </c15:layout>
                </c:ext>
                <c:ext xmlns:c16="http://schemas.microsoft.com/office/drawing/2014/chart" uri="{C3380CC4-5D6E-409C-BE32-E72D297353CC}">
                  <c16:uniqueId val="{00000015-E188-488C-A63A-AAD80E7CF84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[1]ATIVO!$B$5:$B$15</c:f>
              <c:strCache>
                <c:ptCount val="11"/>
                <c:pt idx="0">
                  <c:v>Gabinete do Ministro</c:v>
                </c:pt>
                <c:pt idx="1">
                  <c:v>Assessoria Econômica</c:v>
                </c:pt>
                <c:pt idx="2">
                  <c:v>Assessoria Especial de Relações Internacionais</c:v>
                </c:pt>
                <c:pt idx="3">
                  <c:v>Assessoria Especial de Controle Interno</c:v>
                </c:pt>
                <c:pt idx="4">
                  <c:v>Assessoria Especial de Acompanhamento de Políticas, Estratégias e Desempenho Setoriais</c:v>
                </c:pt>
                <c:pt idx="5">
                  <c:v>Consultoria Jurídica</c:v>
                </c:pt>
                <c:pt idx="6">
                  <c:v>Secretaria Executiva</c:v>
                </c:pt>
                <c:pt idx="7">
                  <c:v>Secretaria de Geologia, Mineração e Transformação Mineral</c:v>
                </c:pt>
                <c:pt idx="8">
                  <c:v>Secretaria de Planejamento e Desenvolvimento Energético</c:v>
                </c:pt>
                <c:pt idx="9">
                  <c:v>Secretaria de Petróleo, Gás Natural e Biocombustíveis</c:v>
                </c:pt>
                <c:pt idx="10">
                  <c:v>Secretaria de Energia Elétrica</c:v>
                </c:pt>
              </c:strCache>
            </c:strRef>
          </c:cat>
          <c:val>
            <c:numRef>
              <c:f>[1]ATIVO!$K$5:$K$15</c:f>
              <c:numCache>
                <c:formatCode>General</c:formatCode>
                <c:ptCount val="11"/>
                <c:pt idx="0">
                  <c:v>59</c:v>
                </c:pt>
                <c:pt idx="1">
                  <c:v>8</c:v>
                </c:pt>
                <c:pt idx="2">
                  <c:v>4</c:v>
                </c:pt>
                <c:pt idx="3">
                  <c:v>4</c:v>
                </c:pt>
                <c:pt idx="4">
                  <c:v>5</c:v>
                </c:pt>
                <c:pt idx="5">
                  <c:v>21</c:v>
                </c:pt>
                <c:pt idx="6">
                  <c:v>221</c:v>
                </c:pt>
                <c:pt idx="7">
                  <c:v>39</c:v>
                </c:pt>
                <c:pt idx="8">
                  <c:v>45</c:v>
                </c:pt>
                <c:pt idx="9">
                  <c:v>32</c:v>
                </c:pt>
                <c:pt idx="10">
                  <c:v>52</c:v>
                </c:pt>
              </c:numCache>
            </c:numRef>
          </c:val>
          <c:extLst>
            <c:ext xmlns:c16="http://schemas.microsoft.com/office/drawing/2014/chart" uri="{C3380CC4-5D6E-409C-BE32-E72D297353CC}">
              <c16:uniqueId val="{00000016-E188-488C-A63A-AAD80E7CF84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SEE por</a:t>
            </a:r>
            <a:r>
              <a:rPr lang="pt-BR" baseline="0"/>
              <a:t> Sexo</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8345844269466319"/>
          <c:y val="0.24578703703703703"/>
          <c:w val="0.39141666666666669"/>
          <c:h val="0.65236111111111106"/>
        </c:manualLayout>
      </c:layout>
      <c:pieChart>
        <c:varyColors val="1"/>
        <c:ser>
          <c:idx val="0"/>
          <c:order val="0"/>
          <c:spPr>
            <a:scene3d>
              <a:camera prst="orthographicFront"/>
              <a:lightRig rig="threePt" dir="t"/>
            </a:scene3d>
            <a:sp3d>
              <a:bevelT w="190500" h="38100"/>
            </a:sp3d>
          </c:spPr>
          <c:explosion val="10"/>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DF65-4838-8CAA-90951B6C7F47}"/>
              </c:ext>
            </c:extLst>
          </c:dPt>
          <c:dPt>
            <c:idx val="1"/>
            <c:bubble3D val="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DF65-4838-8CAA-90951B6C7F47}"/>
              </c:ext>
            </c:extLst>
          </c:dPt>
          <c:dLbls>
            <c:dLbl>
              <c:idx val="0"/>
              <c:layout>
                <c:manualLayout>
                  <c:x val="6.6098753280839889E-2"/>
                  <c:y val="-0.10507181393992418"/>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65-4838-8CAA-90951B6C7F47}"/>
                </c:ext>
              </c:extLst>
            </c:dLbl>
            <c:dLbl>
              <c:idx val="1"/>
              <c:layout>
                <c:manualLayout>
                  <c:x val="-9.7565179352580925E-2"/>
                  <c:y val="-0.15937153689122194"/>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65-4838-8CAA-90951B6C7F4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[1]ATIVO!$M$104:$N$104</c:f>
              <c:strCache>
                <c:ptCount val="2"/>
                <c:pt idx="0">
                  <c:v>Sexo Feminino</c:v>
                </c:pt>
                <c:pt idx="1">
                  <c:v>Sexo Masculino</c:v>
                </c:pt>
              </c:strCache>
            </c:strRef>
          </c:cat>
          <c:val>
            <c:numRef>
              <c:f>[1]ATIVO!$M$124:$N$124</c:f>
              <c:numCache>
                <c:formatCode>General</c:formatCode>
                <c:ptCount val="2"/>
                <c:pt idx="0">
                  <c:v>18</c:v>
                </c:pt>
                <c:pt idx="1">
                  <c:v>34</c:v>
                </c:pt>
              </c:numCache>
            </c:numRef>
          </c:val>
          <c:extLst>
            <c:ext xmlns:c16="http://schemas.microsoft.com/office/drawing/2014/chart" uri="{C3380CC4-5D6E-409C-BE32-E72D297353CC}">
              <c16:uniqueId val="{00000004-DF65-4838-8CAA-90951B6C7F4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SPOA por Sexo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779028871391076"/>
          <c:y val="0.25504629629629627"/>
          <c:w val="0.36919444444444444"/>
          <c:h val="0.61532407407407408"/>
        </c:manualLayout>
      </c:layout>
      <c:pieChart>
        <c:varyColors val="1"/>
        <c:ser>
          <c:idx val="0"/>
          <c:order val="0"/>
          <c:spPr>
            <a:scene3d>
              <a:camera prst="orthographicFront"/>
              <a:lightRig rig="threePt" dir="t"/>
            </a:scene3d>
            <a:sp3d>
              <a:bevelT w="190500" h="38100"/>
            </a:sp3d>
          </c:spPr>
          <c:explosion val="5"/>
          <c:dPt>
            <c:idx val="0"/>
            <c:bubble3D val="0"/>
            <c:spPr>
              <a:solidFill>
                <a:schemeClr val="accent1"/>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1-3CBF-417E-B995-A94A50887EDF}"/>
              </c:ext>
            </c:extLst>
          </c:dPt>
          <c:dPt>
            <c:idx val="1"/>
            <c:bubble3D val="0"/>
            <c:explosion val="10"/>
            <c:spPr>
              <a:solidFill>
                <a:schemeClr val="accent2"/>
              </a:solidFill>
              <a:ln w="19050">
                <a:solidFill>
                  <a:schemeClr val="lt1"/>
                </a:solidFill>
              </a:ln>
              <a:effectLst/>
              <a:scene3d>
                <a:camera prst="orthographicFront"/>
                <a:lightRig rig="threePt" dir="t"/>
              </a:scene3d>
              <a:sp3d>
                <a:bevelT w="190500" h="38100"/>
              </a:sp3d>
            </c:spPr>
            <c:extLst>
              <c:ext xmlns:c16="http://schemas.microsoft.com/office/drawing/2014/chart" uri="{C3380CC4-5D6E-409C-BE32-E72D297353CC}">
                <c16:uniqueId val="{00000003-3CBF-417E-B995-A94A50887EDF}"/>
              </c:ext>
            </c:extLst>
          </c:dPt>
          <c:dLbls>
            <c:dLbl>
              <c:idx val="0"/>
              <c:layout>
                <c:manualLayout>
                  <c:x val="4.8337598425196852E-2"/>
                  <c:y val="-0.28973935549722951"/>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CBF-417E-B995-A94A50887EDF}"/>
                </c:ext>
              </c:extLst>
            </c:dLbl>
            <c:dLbl>
              <c:idx val="1"/>
              <c:layout>
                <c:manualLayout>
                  <c:x val="-2.0776246719160119E-2"/>
                  <c:y val="-0.29877843394575676"/>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CBF-417E-B995-A94A50887E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[1]ATIVO!$M$51:$N$51</c:f>
              <c:strCache>
                <c:ptCount val="2"/>
                <c:pt idx="0">
                  <c:v>Sexo Feminino</c:v>
                </c:pt>
                <c:pt idx="1">
                  <c:v>Sexo Masculino</c:v>
                </c:pt>
              </c:strCache>
            </c:strRef>
          </c:cat>
          <c:val>
            <c:numRef>
              <c:f>[1]ATIVO!$M$70:$N$70</c:f>
              <c:numCache>
                <c:formatCode>General</c:formatCode>
                <c:ptCount val="2"/>
                <c:pt idx="0">
                  <c:v>90</c:v>
                </c:pt>
                <c:pt idx="1">
                  <c:v>88</c:v>
                </c:pt>
              </c:numCache>
            </c:numRef>
          </c:val>
          <c:extLst>
            <c:ext xmlns:c16="http://schemas.microsoft.com/office/drawing/2014/chart" uri="{C3380CC4-5D6E-409C-BE32-E72D297353CC}">
              <c16:uniqueId val="{00000004-3CBF-417E-B995-A94A50887ED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'[1]CONTROLE%NEGROS'!$C$12</c:f>
              <c:strCache>
                <c:ptCount val="1"/>
                <c:pt idx="0">
                  <c:v>PRETA</c:v>
                </c:pt>
              </c:strCache>
            </c:strRef>
          </c:tx>
          <c:spPr>
            <a:solidFill>
              <a:schemeClr val="tx1">
                <a:lumMod val="50000"/>
                <a:lumOff val="50000"/>
              </a:schemeClr>
            </a:solidFill>
          </c:spPr>
          <c:dPt>
            <c:idx val="0"/>
            <c:bubble3D val="0"/>
            <c:spPr>
              <a:solidFill>
                <a:schemeClr val="tx1">
                  <a:lumMod val="50000"/>
                  <a:lumOff val="50000"/>
                </a:schemeClr>
              </a:solidFill>
              <a:ln w="19050">
                <a:solidFill>
                  <a:schemeClr val="lt1"/>
                </a:solidFill>
              </a:ln>
              <a:effectLst/>
            </c:spPr>
            <c:extLst>
              <c:ext xmlns:c16="http://schemas.microsoft.com/office/drawing/2014/chart" uri="{C3380CC4-5D6E-409C-BE32-E72D297353CC}">
                <c16:uniqueId val="{00000001-1434-4256-8C13-A624FBE6061B}"/>
              </c:ext>
            </c:extLst>
          </c:dPt>
          <c:dPt>
            <c:idx val="1"/>
            <c:bubble3D val="0"/>
            <c:spPr>
              <a:solidFill>
                <a:schemeClr val="tx1">
                  <a:lumMod val="50000"/>
                  <a:lumOff val="50000"/>
                </a:schemeClr>
              </a:solidFill>
              <a:ln w="19050">
                <a:solidFill>
                  <a:schemeClr val="lt1"/>
                </a:solidFill>
              </a:ln>
              <a:effectLst/>
            </c:spPr>
            <c:extLst>
              <c:ext xmlns:c16="http://schemas.microsoft.com/office/drawing/2014/chart" uri="{C3380CC4-5D6E-409C-BE32-E72D297353CC}">
                <c16:uniqueId val="{00000003-1434-4256-8C13-A624FBE6061B}"/>
              </c:ext>
            </c:extLst>
          </c:dPt>
          <c:dPt>
            <c:idx val="2"/>
            <c:bubble3D val="0"/>
            <c:spPr>
              <a:solidFill>
                <a:schemeClr val="tx1">
                  <a:lumMod val="50000"/>
                  <a:lumOff val="50000"/>
                </a:schemeClr>
              </a:solidFill>
              <a:ln w="19050">
                <a:solidFill>
                  <a:schemeClr val="lt1"/>
                </a:solidFill>
              </a:ln>
              <a:effectLst/>
            </c:spPr>
            <c:extLst>
              <c:ext xmlns:c16="http://schemas.microsoft.com/office/drawing/2014/chart" uri="{C3380CC4-5D6E-409C-BE32-E72D297353CC}">
                <c16:uniqueId val="{00000005-1434-4256-8C13-A624FBE6061B}"/>
              </c:ext>
            </c:extLst>
          </c:dPt>
          <c:dPt>
            <c:idx val="3"/>
            <c:bubble3D val="0"/>
            <c:spPr>
              <a:solidFill>
                <a:schemeClr val="tx1">
                  <a:lumMod val="50000"/>
                  <a:lumOff val="50000"/>
                </a:schemeClr>
              </a:solidFill>
              <a:ln w="19050">
                <a:solidFill>
                  <a:schemeClr val="lt1"/>
                </a:solidFill>
              </a:ln>
              <a:effectLst/>
            </c:spPr>
            <c:extLst>
              <c:ext xmlns:c16="http://schemas.microsoft.com/office/drawing/2014/chart" uri="{C3380CC4-5D6E-409C-BE32-E72D297353CC}">
                <c16:uniqueId val="{00000007-1434-4256-8C13-A624FBE6061B}"/>
              </c:ext>
            </c:extLst>
          </c:dPt>
          <c:dPt>
            <c:idx val="4"/>
            <c:bubble3D val="0"/>
            <c:spPr>
              <a:solidFill>
                <a:schemeClr val="tx1">
                  <a:lumMod val="50000"/>
                  <a:lumOff val="50000"/>
                </a:schemeClr>
              </a:solidFill>
              <a:ln w="19050">
                <a:solidFill>
                  <a:schemeClr val="lt1"/>
                </a:solidFill>
              </a:ln>
              <a:effectLst/>
            </c:spPr>
            <c:extLst>
              <c:ext xmlns:c16="http://schemas.microsoft.com/office/drawing/2014/chart" uri="{C3380CC4-5D6E-409C-BE32-E72D297353CC}">
                <c16:uniqueId val="{00000009-1434-4256-8C13-A624FBE6061B}"/>
              </c:ext>
            </c:extLst>
          </c:dPt>
          <c:dPt>
            <c:idx val="5"/>
            <c:bubble3D val="0"/>
            <c:spPr>
              <a:solidFill>
                <a:schemeClr val="tx1">
                  <a:lumMod val="50000"/>
                  <a:lumOff val="50000"/>
                </a:schemeClr>
              </a:solidFill>
              <a:ln w="19050">
                <a:solidFill>
                  <a:schemeClr val="lt1"/>
                </a:solidFill>
              </a:ln>
              <a:effectLst/>
            </c:spPr>
            <c:extLst>
              <c:ext xmlns:c16="http://schemas.microsoft.com/office/drawing/2014/chart" uri="{C3380CC4-5D6E-409C-BE32-E72D297353CC}">
                <c16:uniqueId val="{0000000B-1434-4256-8C13-A624FBE6061B}"/>
              </c:ext>
            </c:extLst>
          </c:dPt>
          <c:dPt>
            <c:idx val="6"/>
            <c:bubble3D val="0"/>
            <c:spPr>
              <a:solidFill>
                <a:schemeClr val="tx1">
                  <a:lumMod val="50000"/>
                  <a:lumOff val="50000"/>
                </a:schemeClr>
              </a:solidFill>
              <a:ln w="19050">
                <a:solidFill>
                  <a:schemeClr val="lt1"/>
                </a:solidFill>
              </a:ln>
              <a:effectLst/>
            </c:spPr>
            <c:extLst>
              <c:ext xmlns:c16="http://schemas.microsoft.com/office/drawing/2014/chart" uri="{C3380CC4-5D6E-409C-BE32-E72D297353CC}">
                <c16:uniqueId val="{0000000D-1434-4256-8C13-A624FBE6061B}"/>
              </c:ext>
            </c:extLst>
          </c:dPt>
          <c:dPt>
            <c:idx val="7"/>
            <c:bubble3D val="0"/>
            <c:spPr>
              <a:solidFill>
                <a:schemeClr val="tx1">
                  <a:lumMod val="50000"/>
                  <a:lumOff val="50000"/>
                </a:schemeClr>
              </a:solidFill>
              <a:ln w="19050">
                <a:solidFill>
                  <a:schemeClr val="lt1"/>
                </a:solidFill>
              </a:ln>
              <a:effectLst/>
            </c:spPr>
            <c:extLst>
              <c:ext xmlns:c16="http://schemas.microsoft.com/office/drawing/2014/chart" uri="{C3380CC4-5D6E-409C-BE32-E72D297353CC}">
                <c16:uniqueId val="{0000000F-1434-4256-8C13-A624FBE6061B}"/>
              </c:ext>
            </c:extLst>
          </c:dPt>
          <c:dPt>
            <c:idx val="8"/>
            <c:bubble3D val="0"/>
            <c:spPr>
              <a:solidFill>
                <a:schemeClr val="tx1">
                  <a:lumMod val="50000"/>
                  <a:lumOff val="50000"/>
                </a:schemeClr>
              </a:solidFill>
              <a:ln w="19050">
                <a:solidFill>
                  <a:schemeClr val="lt1"/>
                </a:solidFill>
              </a:ln>
              <a:effectLst/>
            </c:spPr>
            <c:extLst>
              <c:ext xmlns:c16="http://schemas.microsoft.com/office/drawing/2014/chart" uri="{C3380CC4-5D6E-409C-BE32-E72D297353CC}">
                <c16:uniqueId val="{00000011-1434-4256-8C13-A624FBE6061B}"/>
              </c:ext>
            </c:extLst>
          </c:dPt>
          <c:dPt>
            <c:idx val="9"/>
            <c:bubble3D val="0"/>
            <c:spPr>
              <a:solidFill>
                <a:schemeClr val="tx1">
                  <a:lumMod val="50000"/>
                  <a:lumOff val="50000"/>
                </a:schemeClr>
              </a:solidFill>
              <a:ln w="19050">
                <a:solidFill>
                  <a:schemeClr val="lt1"/>
                </a:solidFill>
              </a:ln>
              <a:effectLst/>
            </c:spPr>
            <c:extLst>
              <c:ext xmlns:c16="http://schemas.microsoft.com/office/drawing/2014/chart" uri="{C3380CC4-5D6E-409C-BE32-E72D297353CC}">
                <c16:uniqueId val="{00000013-1434-4256-8C13-A624FBE6061B}"/>
              </c:ext>
            </c:extLst>
          </c:dPt>
          <c:dPt>
            <c:idx val="10"/>
            <c:bubble3D val="0"/>
            <c:spPr>
              <a:solidFill>
                <a:schemeClr val="tx1">
                  <a:lumMod val="50000"/>
                  <a:lumOff val="50000"/>
                </a:schemeClr>
              </a:solidFill>
              <a:ln w="19050">
                <a:solidFill>
                  <a:schemeClr val="lt1"/>
                </a:solidFill>
              </a:ln>
              <a:effectLst/>
            </c:spPr>
            <c:extLst>
              <c:ext xmlns:c16="http://schemas.microsoft.com/office/drawing/2014/chart" uri="{C3380CC4-5D6E-409C-BE32-E72D297353CC}">
                <c16:uniqueId val="{00000015-1434-4256-8C13-A624FBE6061B}"/>
              </c:ext>
            </c:extLst>
          </c:dPt>
          <c:dPt>
            <c:idx val="11"/>
            <c:bubble3D val="0"/>
            <c:spPr>
              <a:solidFill>
                <a:schemeClr val="tx1">
                  <a:lumMod val="50000"/>
                  <a:lumOff val="50000"/>
                </a:schemeClr>
              </a:solidFill>
              <a:ln w="19050">
                <a:solidFill>
                  <a:schemeClr val="lt1"/>
                </a:solidFill>
              </a:ln>
              <a:effectLst/>
            </c:spPr>
            <c:extLst>
              <c:ext xmlns:c16="http://schemas.microsoft.com/office/drawing/2014/chart" uri="{C3380CC4-5D6E-409C-BE32-E72D297353CC}">
                <c16:uniqueId val="{00000017-1434-4256-8C13-A624FBE6061B}"/>
              </c:ext>
            </c:extLst>
          </c:dPt>
          <c:dPt>
            <c:idx val="12"/>
            <c:bubble3D val="0"/>
            <c:spPr>
              <a:solidFill>
                <a:schemeClr val="tx1">
                  <a:lumMod val="50000"/>
                  <a:lumOff val="50000"/>
                </a:schemeClr>
              </a:solidFill>
              <a:ln w="19050">
                <a:solidFill>
                  <a:schemeClr val="lt1"/>
                </a:solidFill>
              </a:ln>
              <a:effectLst/>
            </c:spPr>
            <c:extLst>
              <c:ext xmlns:c16="http://schemas.microsoft.com/office/drawing/2014/chart" uri="{C3380CC4-5D6E-409C-BE32-E72D297353CC}">
                <c16:uniqueId val="{00000019-1434-4256-8C13-A624FBE6061B}"/>
              </c:ext>
            </c:extLst>
          </c:dPt>
          <c:dPt>
            <c:idx val="13"/>
            <c:bubble3D val="0"/>
            <c:spPr>
              <a:solidFill>
                <a:schemeClr val="tx1">
                  <a:lumMod val="50000"/>
                  <a:lumOff val="50000"/>
                </a:schemeClr>
              </a:solidFill>
              <a:ln w="19050">
                <a:solidFill>
                  <a:schemeClr val="lt1"/>
                </a:solidFill>
              </a:ln>
              <a:effectLst/>
            </c:spPr>
            <c:extLst>
              <c:ext xmlns:c16="http://schemas.microsoft.com/office/drawing/2014/chart" uri="{C3380CC4-5D6E-409C-BE32-E72D297353CC}">
                <c16:uniqueId val="{0000001B-1434-4256-8C13-A624FBE6061B}"/>
              </c:ext>
            </c:extLst>
          </c:dPt>
          <c:dPt>
            <c:idx val="14"/>
            <c:bubble3D val="0"/>
            <c:spPr>
              <a:solidFill>
                <a:schemeClr val="tx1">
                  <a:lumMod val="50000"/>
                  <a:lumOff val="50000"/>
                </a:schemeClr>
              </a:solidFill>
              <a:ln w="19050">
                <a:solidFill>
                  <a:schemeClr val="lt1"/>
                </a:solidFill>
              </a:ln>
              <a:effectLst/>
            </c:spPr>
            <c:extLst>
              <c:ext xmlns:c16="http://schemas.microsoft.com/office/drawing/2014/chart" uri="{C3380CC4-5D6E-409C-BE32-E72D297353CC}">
                <c16:uniqueId val="{0000001D-1434-4256-8C13-A624FBE6061B}"/>
              </c:ext>
            </c:extLst>
          </c:dPt>
          <c:dPt>
            <c:idx val="15"/>
            <c:bubble3D val="0"/>
            <c:spPr>
              <a:solidFill>
                <a:schemeClr val="tx1">
                  <a:lumMod val="50000"/>
                  <a:lumOff val="50000"/>
                </a:schemeClr>
              </a:solidFill>
              <a:ln w="19050">
                <a:solidFill>
                  <a:schemeClr val="lt1"/>
                </a:solidFill>
              </a:ln>
              <a:effectLst/>
            </c:spPr>
            <c:extLst>
              <c:ext xmlns:c16="http://schemas.microsoft.com/office/drawing/2014/chart" uri="{C3380CC4-5D6E-409C-BE32-E72D297353CC}">
                <c16:uniqueId val="{0000001F-1434-4256-8C13-A624FBE6061B}"/>
              </c:ext>
            </c:extLst>
          </c:dPt>
          <c:dPt>
            <c:idx val="16"/>
            <c:bubble3D val="0"/>
            <c:spPr>
              <a:solidFill>
                <a:schemeClr val="tx1">
                  <a:lumMod val="50000"/>
                  <a:lumOff val="50000"/>
                </a:schemeClr>
              </a:solidFill>
              <a:ln w="19050">
                <a:solidFill>
                  <a:schemeClr val="lt1"/>
                </a:solidFill>
              </a:ln>
              <a:effectLst/>
            </c:spPr>
            <c:extLst>
              <c:ext xmlns:c16="http://schemas.microsoft.com/office/drawing/2014/chart" uri="{C3380CC4-5D6E-409C-BE32-E72D297353CC}">
                <c16:uniqueId val="{00000021-1434-4256-8C13-A624FBE6061B}"/>
              </c:ext>
            </c:extLst>
          </c:dPt>
          <c:dPt>
            <c:idx val="17"/>
            <c:bubble3D val="0"/>
            <c:spPr>
              <a:solidFill>
                <a:schemeClr val="tx1">
                  <a:lumMod val="50000"/>
                  <a:lumOff val="50000"/>
                </a:schemeClr>
              </a:solidFill>
              <a:ln w="19050">
                <a:solidFill>
                  <a:schemeClr val="lt1"/>
                </a:solidFill>
              </a:ln>
              <a:effectLst/>
            </c:spPr>
            <c:extLst>
              <c:ext xmlns:c16="http://schemas.microsoft.com/office/drawing/2014/chart" uri="{C3380CC4-5D6E-409C-BE32-E72D297353CC}">
                <c16:uniqueId val="{00000023-1434-4256-8C13-A624FBE6061B}"/>
              </c:ext>
            </c:extLst>
          </c:dPt>
          <c:dPt>
            <c:idx val="18"/>
            <c:bubble3D val="0"/>
            <c:spPr>
              <a:solidFill>
                <a:schemeClr val="tx1">
                  <a:lumMod val="50000"/>
                  <a:lumOff val="50000"/>
                </a:schemeClr>
              </a:solidFill>
              <a:ln w="19050">
                <a:solidFill>
                  <a:schemeClr val="lt1"/>
                </a:solidFill>
              </a:ln>
              <a:effectLst/>
            </c:spPr>
            <c:extLst>
              <c:ext xmlns:c16="http://schemas.microsoft.com/office/drawing/2014/chart" uri="{C3380CC4-5D6E-409C-BE32-E72D297353CC}">
                <c16:uniqueId val="{00000025-1434-4256-8C13-A624FBE6061B}"/>
              </c:ext>
            </c:extLst>
          </c:dPt>
          <c:dPt>
            <c:idx val="19"/>
            <c:bubble3D val="0"/>
            <c:spPr>
              <a:solidFill>
                <a:schemeClr val="tx1">
                  <a:lumMod val="50000"/>
                  <a:lumOff val="50000"/>
                </a:schemeClr>
              </a:solidFill>
              <a:ln w="19050">
                <a:solidFill>
                  <a:schemeClr val="lt1"/>
                </a:solidFill>
              </a:ln>
              <a:effectLst/>
            </c:spPr>
            <c:extLst>
              <c:ext xmlns:c16="http://schemas.microsoft.com/office/drawing/2014/chart" uri="{C3380CC4-5D6E-409C-BE32-E72D297353CC}">
                <c16:uniqueId val="{00000027-1434-4256-8C13-A624FBE6061B}"/>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1434-4256-8C13-A624FBE6061B}"/>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'[1]CONTROLE%NEGROS'!$C$12</c:f>
              <c:strCache>
                <c:ptCount val="1"/>
                <c:pt idx="0">
                  <c:v>PRETA</c:v>
                </c:pt>
              </c:strCache>
            </c:strRef>
          </c:tx>
          <c:dPt>
            <c:idx val="0"/>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2A-1434-4256-8C13-A624FBE6061B}"/>
              </c:ext>
            </c:extLst>
          </c:dPt>
          <c:dPt>
            <c:idx val="1"/>
            <c:bubble3D val="0"/>
            <c:spPr>
              <a:solidFill>
                <a:schemeClr val="bg1">
                  <a:alpha val="70000"/>
                </a:schemeClr>
              </a:solidFill>
              <a:ln w="19050">
                <a:solidFill>
                  <a:schemeClr val="lt1"/>
                </a:solidFill>
              </a:ln>
              <a:effectLst/>
            </c:spPr>
            <c:extLst>
              <c:ext xmlns:c16="http://schemas.microsoft.com/office/drawing/2014/chart" uri="{C3380CC4-5D6E-409C-BE32-E72D297353CC}">
                <c16:uniqueId val="{0000002C-1434-4256-8C13-A624FBE6061B}"/>
              </c:ext>
            </c:extLst>
          </c:dPt>
          <c:val>
            <c:numRef>
              <c:f>'[1]CONTROLE%NEGROS'!$C$18:$C$19</c:f>
              <c:numCache>
                <c:formatCode>General</c:formatCode>
                <c:ptCount val="2"/>
                <c:pt idx="0">
                  <c:v>7.1428571428571425E-2</c:v>
                </c:pt>
                <c:pt idx="1">
                  <c:v>0.9285714285714286</c:v>
                </c:pt>
              </c:numCache>
            </c:numRef>
          </c:val>
          <c:extLst>
            <c:ext xmlns:c16="http://schemas.microsoft.com/office/drawing/2014/chart" uri="{C3380CC4-5D6E-409C-BE32-E72D297353CC}">
              <c16:uniqueId val="{0000002D-1434-4256-8C13-A624FBE6061B}"/>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'[1]CONTROLE%NEGROS'!$D$12</c:f>
              <c:strCache>
                <c:ptCount val="1"/>
                <c:pt idx="0">
                  <c:v>PARDA</c:v>
                </c:pt>
              </c:strCache>
            </c:strRef>
          </c:tx>
          <c:spPr>
            <a:solidFill>
              <a:schemeClr val="bg2">
                <a:lumMod val="50000"/>
              </a:schemeClr>
            </a:solidFill>
          </c:spPr>
          <c:dPt>
            <c:idx val="0"/>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01-1423-4458-B37C-170EF4CFFF67}"/>
              </c:ext>
            </c:extLst>
          </c:dPt>
          <c:dPt>
            <c:idx val="1"/>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03-1423-4458-B37C-170EF4CFFF67}"/>
              </c:ext>
            </c:extLst>
          </c:dPt>
          <c:dPt>
            <c:idx val="2"/>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05-1423-4458-B37C-170EF4CFFF67}"/>
              </c:ext>
            </c:extLst>
          </c:dPt>
          <c:dPt>
            <c:idx val="3"/>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07-1423-4458-B37C-170EF4CFFF67}"/>
              </c:ext>
            </c:extLst>
          </c:dPt>
          <c:dPt>
            <c:idx val="4"/>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09-1423-4458-B37C-170EF4CFFF67}"/>
              </c:ext>
            </c:extLst>
          </c:dPt>
          <c:dPt>
            <c:idx val="5"/>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0B-1423-4458-B37C-170EF4CFFF67}"/>
              </c:ext>
            </c:extLst>
          </c:dPt>
          <c:dPt>
            <c:idx val="6"/>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0D-1423-4458-B37C-170EF4CFFF67}"/>
              </c:ext>
            </c:extLst>
          </c:dPt>
          <c:dPt>
            <c:idx val="7"/>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0F-1423-4458-B37C-170EF4CFFF67}"/>
              </c:ext>
            </c:extLst>
          </c:dPt>
          <c:dPt>
            <c:idx val="8"/>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11-1423-4458-B37C-170EF4CFFF67}"/>
              </c:ext>
            </c:extLst>
          </c:dPt>
          <c:dPt>
            <c:idx val="9"/>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13-1423-4458-B37C-170EF4CFFF67}"/>
              </c:ext>
            </c:extLst>
          </c:dPt>
          <c:dPt>
            <c:idx val="10"/>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15-1423-4458-B37C-170EF4CFFF67}"/>
              </c:ext>
            </c:extLst>
          </c:dPt>
          <c:dPt>
            <c:idx val="11"/>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17-1423-4458-B37C-170EF4CFFF67}"/>
              </c:ext>
            </c:extLst>
          </c:dPt>
          <c:dPt>
            <c:idx val="12"/>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19-1423-4458-B37C-170EF4CFFF67}"/>
              </c:ext>
            </c:extLst>
          </c:dPt>
          <c:dPt>
            <c:idx val="13"/>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1B-1423-4458-B37C-170EF4CFFF67}"/>
              </c:ext>
            </c:extLst>
          </c:dPt>
          <c:dPt>
            <c:idx val="14"/>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1D-1423-4458-B37C-170EF4CFFF67}"/>
              </c:ext>
            </c:extLst>
          </c:dPt>
          <c:dPt>
            <c:idx val="15"/>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1F-1423-4458-B37C-170EF4CFFF67}"/>
              </c:ext>
            </c:extLst>
          </c:dPt>
          <c:dPt>
            <c:idx val="16"/>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21-1423-4458-B37C-170EF4CFFF67}"/>
              </c:ext>
            </c:extLst>
          </c:dPt>
          <c:dPt>
            <c:idx val="17"/>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23-1423-4458-B37C-170EF4CFFF67}"/>
              </c:ext>
            </c:extLst>
          </c:dPt>
          <c:dPt>
            <c:idx val="18"/>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25-1423-4458-B37C-170EF4CFFF67}"/>
              </c:ext>
            </c:extLst>
          </c:dPt>
          <c:dPt>
            <c:idx val="19"/>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27-1423-4458-B37C-170EF4CFFF67}"/>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1423-4458-B37C-170EF4CFFF67}"/>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'[1]CONTROLE%NEGROS'!$D$12</c:f>
              <c:strCache>
                <c:ptCount val="1"/>
                <c:pt idx="0">
                  <c:v>PARDA</c:v>
                </c:pt>
              </c:strCache>
            </c:strRef>
          </c:tx>
          <c:dPt>
            <c:idx val="0"/>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2A-1423-4458-B37C-170EF4CFFF67}"/>
              </c:ext>
            </c:extLst>
          </c:dPt>
          <c:dPt>
            <c:idx val="1"/>
            <c:bubble3D val="0"/>
            <c:spPr>
              <a:solidFill>
                <a:schemeClr val="bg1">
                  <a:alpha val="70000"/>
                </a:schemeClr>
              </a:solidFill>
              <a:ln w="19050">
                <a:solidFill>
                  <a:schemeClr val="lt1"/>
                </a:solidFill>
              </a:ln>
              <a:effectLst/>
            </c:spPr>
            <c:extLst>
              <c:ext xmlns:c16="http://schemas.microsoft.com/office/drawing/2014/chart" uri="{C3380CC4-5D6E-409C-BE32-E72D297353CC}">
                <c16:uniqueId val="{0000002C-1423-4458-B37C-170EF4CFFF67}"/>
              </c:ext>
            </c:extLst>
          </c:dPt>
          <c:val>
            <c:numRef>
              <c:f>'[1]CONTROLE%NEGROS'!$D$18:$D$19</c:f>
              <c:numCache>
                <c:formatCode>General</c:formatCode>
                <c:ptCount val="2"/>
                <c:pt idx="0">
                  <c:v>0.5</c:v>
                </c:pt>
                <c:pt idx="1">
                  <c:v>0.5</c:v>
                </c:pt>
              </c:numCache>
            </c:numRef>
          </c:val>
          <c:extLst>
            <c:ext xmlns:c16="http://schemas.microsoft.com/office/drawing/2014/chart" uri="{C3380CC4-5D6E-409C-BE32-E72D297353CC}">
              <c16:uniqueId val="{0000002D-1423-4458-B37C-170EF4CFFF67}"/>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'[1]CONTROLE%NEGROS'!$E$12</c:f>
              <c:strCache>
                <c:ptCount val="1"/>
                <c:pt idx="0">
                  <c:v>BRANCA</c:v>
                </c:pt>
              </c:strCache>
            </c:strRef>
          </c:tx>
          <c:spPr>
            <a:solidFill>
              <a:srgbClr val="FBC69B"/>
            </a:solidFill>
          </c:spPr>
          <c:dPt>
            <c:idx val="0"/>
            <c:bubble3D val="0"/>
            <c:spPr>
              <a:solidFill>
                <a:srgbClr val="FBC69B"/>
              </a:solidFill>
              <a:ln w="19050">
                <a:solidFill>
                  <a:schemeClr val="lt1"/>
                </a:solidFill>
              </a:ln>
              <a:effectLst/>
            </c:spPr>
            <c:extLst>
              <c:ext xmlns:c16="http://schemas.microsoft.com/office/drawing/2014/chart" uri="{C3380CC4-5D6E-409C-BE32-E72D297353CC}">
                <c16:uniqueId val="{00000001-920E-4ABB-BFD6-EB3BE0AB3991}"/>
              </c:ext>
            </c:extLst>
          </c:dPt>
          <c:dPt>
            <c:idx val="1"/>
            <c:bubble3D val="0"/>
            <c:spPr>
              <a:solidFill>
                <a:srgbClr val="FBC69B"/>
              </a:solidFill>
              <a:ln w="19050">
                <a:solidFill>
                  <a:schemeClr val="lt1"/>
                </a:solidFill>
              </a:ln>
              <a:effectLst/>
            </c:spPr>
            <c:extLst>
              <c:ext xmlns:c16="http://schemas.microsoft.com/office/drawing/2014/chart" uri="{C3380CC4-5D6E-409C-BE32-E72D297353CC}">
                <c16:uniqueId val="{00000003-920E-4ABB-BFD6-EB3BE0AB3991}"/>
              </c:ext>
            </c:extLst>
          </c:dPt>
          <c:dPt>
            <c:idx val="2"/>
            <c:bubble3D val="0"/>
            <c:spPr>
              <a:solidFill>
                <a:srgbClr val="FBC69B"/>
              </a:solidFill>
              <a:ln w="19050">
                <a:solidFill>
                  <a:schemeClr val="lt1"/>
                </a:solidFill>
              </a:ln>
              <a:effectLst/>
            </c:spPr>
            <c:extLst>
              <c:ext xmlns:c16="http://schemas.microsoft.com/office/drawing/2014/chart" uri="{C3380CC4-5D6E-409C-BE32-E72D297353CC}">
                <c16:uniqueId val="{00000005-920E-4ABB-BFD6-EB3BE0AB3991}"/>
              </c:ext>
            </c:extLst>
          </c:dPt>
          <c:dPt>
            <c:idx val="3"/>
            <c:bubble3D val="0"/>
            <c:spPr>
              <a:solidFill>
                <a:srgbClr val="FBC69B"/>
              </a:solidFill>
              <a:ln w="19050">
                <a:solidFill>
                  <a:schemeClr val="lt1"/>
                </a:solidFill>
              </a:ln>
              <a:effectLst/>
            </c:spPr>
            <c:extLst>
              <c:ext xmlns:c16="http://schemas.microsoft.com/office/drawing/2014/chart" uri="{C3380CC4-5D6E-409C-BE32-E72D297353CC}">
                <c16:uniqueId val="{00000007-920E-4ABB-BFD6-EB3BE0AB3991}"/>
              </c:ext>
            </c:extLst>
          </c:dPt>
          <c:dPt>
            <c:idx val="4"/>
            <c:bubble3D val="0"/>
            <c:spPr>
              <a:solidFill>
                <a:srgbClr val="FBC69B"/>
              </a:solidFill>
              <a:ln w="19050">
                <a:solidFill>
                  <a:schemeClr val="lt1"/>
                </a:solidFill>
              </a:ln>
              <a:effectLst/>
            </c:spPr>
            <c:extLst>
              <c:ext xmlns:c16="http://schemas.microsoft.com/office/drawing/2014/chart" uri="{C3380CC4-5D6E-409C-BE32-E72D297353CC}">
                <c16:uniqueId val="{00000009-920E-4ABB-BFD6-EB3BE0AB3991}"/>
              </c:ext>
            </c:extLst>
          </c:dPt>
          <c:dPt>
            <c:idx val="5"/>
            <c:bubble3D val="0"/>
            <c:spPr>
              <a:solidFill>
                <a:srgbClr val="FBC69B"/>
              </a:solidFill>
              <a:ln w="19050">
                <a:solidFill>
                  <a:schemeClr val="lt1"/>
                </a:solidFill>
              </a:ln>
              <a:effectLst/>
            </c:spPr>
            <c:extLst>
              <c:ext xmlns:c16="http://schemas.microsoft.com/office/drawing/2014/chart" uri="{C3380CC4-5D6E-409C-BE32-E72D297353CC}">
                <c16:uniqueId val="{0000000B-920E-4ABB-BFD6-EB3BE0AB3991}"/>
              </c:ext>
            </c:extLst>
          </c:dPt>
          <c:dPt>
            <c:idx val="6"/>
            <c:bubble3D val="0"/>
            <c:spPr>
              <a:solidFill>
                <a:srgbClr val="FBC69B"/>
              </a:solidFill>
              <a:ln w="19050">
                <a:solidFill>
                  <a:schemeClr val="lt1"/>
                </a:solidFill>
              </a:ln>
              <a:effectLst/>
            </c:spPr>
            <c:extLst>
              <c:ext xmlns:c16="http://schemas.microsoft.com/office/drawing/2014/chart" uri="{C3380CC4-5D6E-409C-BE32-E72D297353CC}">
                <c16:uniqueId val="{0000000D-920E-4ABB-BFD6-EB3BE0AB3991}"/>
              </c:ext>
            </c:extLst>
          </c:dPt>
          <c:dPt>
            <c:idx val="7"/>
            <c:bubble3D val="0"/>
            <c:spPr>
              <a:solidFill>
                <a:srgbClr val="FBC69B"/>
              </a:solidFill>
              <a:ln w="19050">
                <a:solidFill>
                  <a:schemeClr val="lt1"/>
                </a:solidFill>
              </a:ln>
              <a:effectLst/>
            </c:spPr>
            <c:extLst>
              <c:ext xmlns:c16="http://schemas.microsoft.com/office/drawing/2014/chart" uri="{C3380CC4-5D6E-409C-BE32-E72D297353CC}">
                <c16:uniqueId val="{0000000F-920E-4ABB-BFD6-EB3BE0AB3991}"/>
              </c:ext>
            </c:extLst>
          </c:dPt>
          <c:dPt>
            <c:idx val="8"/>
            <c:bubble3D val="0"/>
            <c:spPr>
              <a:solidFill>
                <a:srgbClr val="FBC69B"/>
              </a:solidFill>
              <a:ln w="19050">
                <a:solidFill>
                  <a:schemeClr val="lt1"/>
                </a:solidFill>
              </a:ln>
              <a:effectLst/>
            </c:spPr>
            <c:extLst>
              <c:ext xmlns:c16="http://schemas.microsoft.com/office/drawing/2014/chart" uri="{C3380CC4-5D6E-409C-BE32-E72D297353CC}">
                <c16:uniqueId val="{00000011-920E-4ABB-BFD6-EB3BE0AB3991}"/>
              </c:ext>
            </c:extLst>
          </c:dPt>
          <c:dPt>
            <c:idx val="9"/>
            <c:bubble3D val="0"/>
            <c:spPr>
              <a:solidFill>
                <a:srgbClr val="FBC69B"/>
              </a:solidFill>
              <a:ln w="19050">
                <a:solidFill>
                  <a:schemeClr val="lt1"/>
                </a:solidFill>
              </a:ln>
              <a:effectLst/>
            </c:spPr>
            <c:extLst>
              <c:ext xmlns:c16="http://schemas.microsoft.com/office/drawing/2014/chart" uri="{C3380CC4-5D6E-409C-BE32-E72D297353CC}">
                <c16:uniqueId val="{00000013-920E-4ABB-BFD6-EB3BE0AB3991}"/>
              </c:ext>
            </c:extLst>
          </c:dPt>
          <c:dPt>
            <c:idx val="10"/>
            <c:bubble3D val="0"/>
            <c:spPr>
              <a:solidFill>
                <a:srgbClr val="FBC69B"/>
              </a:solidFill>
              <a:ln w="19050">
                <a:solidFill>
                  <a:schemeClr val="lt1"/>
                </a:solidFill>
              </a:ln>
              <a:effectLst/>
            </c:spPr>
            <c:extLst>
              <c:ext xmlns:c16="http://schemas.microsoft.com/office/drawing/2014/chart" uri="{C3380CC4-5D6E-409C-BE32-E72D297353CC}">
                <c16:uniqueId val="{00000015-920E-4ABB-BFD6-EB3BE0AB3991}"/>
              </c:ext>
            </c:extLst>
          </c:dPt>
          <c:dPt>
            <c:idx val="11"/>
            <c:bubble3D val="0"/>
            <c:spPr>
              <a:solidFill>
                <a:srgbClr val="FBC69B"/>
              </a:solidFill>
              <a:ln w="19050">
                <a:solidFill>
                  <a:schemeClr val="lt1"/>
                </a:solidFill>
              </a:ln>
              <a:effectLst/>
            </c:spPr>
            <c:extLst>
              <c:ext xmlns:c16="http://schemas.microsoft.com/office/drawing/2014/chart" uri="{C3380CC4-5D6E-409C-BE32-E72D297353CC}">
                <c16:uniqueId val="{00000017-920E-4ABB-BFD6-EB3BE0AB3991}"/>
              </c:ext>
            </c:extLst>
          </c:dPt>
          <c:dPt>
            <c:idx val="12"/>
            <c:bubble3D val="0"/>
            <c:spPr>
              <a:solidFill>
                <a:srgbClr val="FBC69B"/>
              </a:solidFill>
              <a:ln w="19050">
                <a:solidFill>
                  <a:schemeClr val="lt1"/>
                </a:solidFill>
              </a:ln>
              <a:effectLst/>
            </c:spPr>
            <c:extLst>
              <c:ext xmlns:c16="http://schemas.microsoft.com/office/drawing/2014/chart" uri="{C3380CC4-5D6E-409C-BE32-E72D297353CC}">
                <c16:uniqueId val="{00000019-920E-4ABB-BFD6-EB3BE0AB3991}"/>
              </c:ext>
            </c:extLst>
          </c:dPt>
          <c:dPt>
            <c:idx val="13"/>
            <c:bubble3D val="0"/>
            <c:spPr>
              <a:solidFill>
                <a:srgbClr val="FBC69B"/>
              </a:solidFill>
              <a:ln w="19050">
                <a:solidFill>
                  <a:schemeClr val="lt1"/>
                </a:solidFill>
              </a:ln>
              <a:effectLst/>
            </c:spPr>
            <c:extLst>
              <c:ext xmlns:c16="http://schemas.microsoft.com/office/drawing/2014/chart" uri="{C3380CC4-5D6E-409C-BE32-E72D297353CC}">
                <c16:uniqueId val="{0000001B-920E-4ABB-BFD6-EB3BE0AB3991}"/>
              </c:ext>
            </c:extLst>
          </c:dPt>
          <c:dPt>
            <c:idx val="14"/>
            <c:bubble3D val="0"/>
            <c:spPr>
              <a:solidFill>
                <a:srgbClr val="FBC69B"/>
              </a:solidFill>
              <a:ln w="19050">
                <a:solidFill>
                  <a:schemeClr val="lt1"/>
                </a:solidFill>
              </a:ln>
              <a:effectLst/>
            </c:spPr>
            <c:extLst>
              <c:ext xmlns:c16="http://schemas.microsoft.com/office/drawing/2014/chart" uri="{C3380CC4-5D6E-409C-BE32-E72D297353CC}">
                <c16:uniqueId val="{0000001D-920E-4ABB-BFD6-EB3BE0AB3991}"/>
              </c:ext>
            </c:extLst>
          </c:dPt>
          <c:dPt>
            <c:idx val="15"/>
            <c:bubble3D val="0"/>
            <c:spPr>
              <a:solidFill>
                <a:srgbClr val="FBC69B"/>
              </a:solidFill>
              <a:ln w="19050">
                <a:solidFill>
                  <a:schemeClr val="lt1"/>
                </a:solidFill>
              </a:ln>
              <a:effectLst/>
            </c:spPr>
            <c:extLst>
              <c:ext xmlns:c16="http://schemas.microsoft.com/office/drawing/2014/chart" uri="{C3380CC4-5D6E-409C-BE32-E72D297353CC}">
                <c16:uniqueId val="{0000001F-920E-4ABB-BFD6-EB3BE0AB3991}"/>
              </c:ext>
            </c:extLst>
          </c:dPt>
          <c:dPt>
            <c:idx val="16"/>
            <c:bubble3D val="0"/>
            <c:spPr>
              <a:solidFill>
                <a:srgbClr val="FBC69B"/>
              </a:solidFill>
              <a:ln w="19050">
                <a:solidFill>
                  <a:schemeClr val="lt1"/>
                </a:solidFill>
              </a:ln>
              <a:effectLst/>
            </c:spPr>
            <c:extLst>
              <c:ext xmlns:c16="http://schemas.microsoft.com/office/drawing/2014/chart" uri="{C3380CC4-5D6E-409C-BE32-E72D297353CC}">
                <c16:uniqueId val="{00000021-920E-4ABB-BFD6-EB3BE0AB3991}"/>
              </c:ext>
            </c:extLst>
          </c:dPt>
          <c:dPt>
            <c:idx val="17"/>
            <c:bubble3D val="0"/>
            <c:spPr>
              <a:solidFill>
                <a:srgbClr val="FBC69B"/>
              </a:solidFill>
              <a:ln w="19050">
                <a:solidFill>
                  <a:schemeClr val="lt1"/>
                </a:solidFill>
              </a:ln>
              <a:effectLst/>
            </c:spPr>
            <c:extLst>
              <c:ext xmlns:c16="http://schemas.microsoft.com/office/drawing/2014/chart" uri="{C3380CC4-5D6E-409C-BE32-E72D297353CC}">
                <c16:uniqueId val="{00000023-920E-4ABB-BFD6-EB3BE0AB3991}"/>
              </c:ext>
            </c:extLst>
          </c:dPt>
          <c:dPt>
            <c:idx val="18"/>
            <c:bubble3D val="0"/>
            <c:spPr>
              <a:solidFill>
                <a:srgbClr val="FBC69B"/>
              </a:solidFill>
              <a:ln w="19050">
                <a:solidFill>
                  <a:schemeClr val="lt1"/>
                </a:solidFill>
              </a:ln>
              <a:effectLst/>
            </c:spPr>
            <c:extLst>
              <c:ext xmlns:c16="http://schemas.microsoft.com/office/drawing/2014/chart" uri="{C3380CC4-5D6E-409C-BE32-E72D297353CC}">
                <c16:uniqueId val="{00000025-920E-4ABB-BFD6-EB3BE0AB3991}"/>
              </c:ext>
            </c:extLst>
          </c:dPt>
          <c:dPt>
            <c:idx val="19"/>
            <c:bubble3D val="0"/>
            <c:spPr>
              <a:solidFill>
                <a:srgbClr val="FBC69B"/>
              </a:solidFill>
              <a:ln w="19050">
                <a:solidFill>
                  <a:schemeClr val="lt1"/>
                </a:solidFill>
              </a:ln>
              <a:effectLst/>
            </c:spPr>
            <c:extLst>
              <c:ext xmlns:c16="http://schemas.microsoft.com/office/drawing/2014/chart" uri="{C3380CC4-5D6E-409C-BE32-E72D297353CC}">
                <c16:uniqueId val="{00000027-920E-4ABB-BFD6-EB3BE0AB3991}"/>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920E-4ABB-BFD6-EB3BE0AB3991}"/>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'[1]CONTROLE%NEGROS'!$E$12</c:f>
              <c:strCache>
                <c:ptCount val="1"/>
                <c:pt idx="0">
                  <c:v>BRANCA</c:v>
                </c:pt>
              </c:strCache>
            </c:strRef>
          </c:tx>
          <c:spPr>
            <a:solidFill>
              <a:schemeClr val="bg1">
                <a:alpha val="70000"/>
              </a:schemeClr>
            </a:solidFill>
          </c:spPr>
          <c:dPt>
            <c:idx val="0"/>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2A-920E-4ABB-BFD6-EB3BE0AB3991}"/>
              </c:ext>
            </c:extLst>
          </c:dPt>
          <c:dPt>
            <c:idx val="1"/>
            <c:bubble3D val="0"/>
            <c:spPr>
              <a:solidFill>
                <a:schemeClr val="bg1">
                  <a:alpha val="70000"/>
                </a:schemeClr>
              </a:solidFill>
              <a:ln w="19050">
                <a:solidFill>
                  <a:schemeClr val="lt1"/>
                </a:solidFill>
              </a:ln>
              <a:effectLst/>
            </c:spPr>
            <c:extLst>
              <c:ext xmlns:c16="http://schemas.microsoft.com/office/drawing/2014/chart" uri="{C3380CC4-5D6E-409C-BE32-E72D297353CC}">
                <c16:uniqueId val="{0000002C-920E-4ABB-BFD6-EB3BE0AB3991}"/>
              </c:ext>
            </c:extLst>
          </c:dPt>
          <c:val>
            <c:numRef>
              <c:f>'[1]CONTROLE%NEGROS'!$E$18:$E$19</c:f>
              <c:numCache>
                <c:formatCode>General</c:formatCode>
                <c:ptCount val="2"/>
                <c:pt idx="0">
                  <c:v>0.42857142857142855</c:v>
                </c:pt>
                <c:pt idx="1">
                  <c:v>0.5714285714285714</c:v>
                </c:pt>
              </c:numCache>
            </c:numRef>
          </c:val>
          <c:extLst>
            <c:ext xmlns:c16="http://schemas.microsoft.com/office/drawing/2014/chart" uri="{C3380CC4-5D6E-409C-BE32-E72D297353CC}">
              <c16:uniqueId val="{0000002D-920E-4ABB-BFD6-EB3BE0AB3991}"/>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sz="1400" b="1"/>
              <a:t>% Negros</a:t>
            </a:r>
            <a:r>
              <a:rPr lang="pt-BR" sz="1400" b="1" baseline="0"/>
              <a:t> (Preta + Parda)</a:t>
            </a:r>
            <a:endParaRPr lang="pt-BR" sz="1400" b="1"/>
          </a:p>
        </c:rich>
      </c:tx>
      <c:layout>
        <c:manualLayout>
          <c:xMode val="edge"/>
          <c:yMode val="edge"/>
          <c:x val="0.30727984167430022"/>
          <c:y val="3.389829000476444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32792362952895193"/>
          <c:y val="0.17000348324948475"/>
          <c:w val="0.4163026022434928"/>
          <c:h val="0.81496471597281195"/>
        </c:manualLayout>
      </c:layout>
      <c:doughnutChart>
        <c:varyColors val="1"/>
        <c:ser>
          <c:idx val="0"/>
          <c:order val="0"/>
          <c:tx>
            <c:strRef>
              <c:f>'[1]CONTROLE%NEGROS'!$B$20</c:f>
              <c:strCache>
                <c:ptCount val="1"/>
                <c:pt idx="0">
                  <c:v>% Preta + Parda</c:v>
                </c:pt>
              </c:strCache>
            </c:strRef>
          </c:tx>
          <c:spPr>
            <a:solidFill>
              <a:srgbClr val="FFC000"/>
            </a:solidFill>
          </c:spPr>
          <c:dPt>
            <c:idx val="0"/>
            <c:bubble3D val="0"/>
            <c:spPr>
              <a:solidFill>
                <a:srgbClr val="FFC000"/>
              </a:solidFill>
              <a:ln w="19050">
                <a:solidFill>
                  <a:schemeClr val="lt1"/>
                </a:solidFill>
              </a:ln>
              <a:effectLst/>
            </c:spPr>
            <c:extLst>
              <c:ext xmlns:c16="http://schemas.microsoft.com/office/drawing/2014/chart" uri="{C3380CC4-5D6E-409C-BE32-E72D297353CC}">
                <c16:uniqueId val="{00000001-20FA-449F-9277-EA278973F249}"/>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20FA-449F-9277-EA278973F249}"/>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20FA-449F-9277-EA278973F249}"/>
              </c:ext>
            </c:extLst>
          </c:dPt>
          <c:dPt>
            <c:idx val="3"/>
            <c:bubble3D val="0"/>
            <c:spPr>
              <a:solidFill>
                <a:srgbClr val="FFC000"/>
              </a:solidFill>
              <a:ln w="19050">
                <a:solidFill>
                  <a:schemeClr val="lt1"/>
                </a:solidFill>
              </a:ln>
              <a:effectLst/>
            </c:spPr>
            <c:extLst>
              <c:ext xmlns:c16="http://schemas.microsoft.com/office/drawing/2014/chart" uri="{C3380CC4-5D6E-409C-BE32-E72D297353CC}">
                <c16:uniqueId val="{00000007-20FA-449F-9277-EA278973F249}"/>
              </c:ext>
            </c:extLst>
          </c:dPt>
          <c:dPt>
            <c:idx val="4"/>
            <c:bubble3D val="0"/>
            <c:spPr>
              <a:solidFill>
                <a:srgbClr val="FFC000"/>
              </a:solidFill>
              <a:ln w="19050">
                <a:solidFill>
                  <a:schemeClr val="lt1"/>
                </a:solidFill>
              </a:ln>
              <a:effectLst/>
            </c:spPr>
            <c:extLst>
              <c:ext xmlns:c16="http://schemas.microsoft.com/office/drawing/2014/chart" uri="{C3380CC4-5D6E-409C-BE32-E72D297353CC}">
                <c16:uniqueId val="{00000009-20FA-449F-9277-EA278973F249}"/>
              </c:ext>
            </c:extLst>
          </c:dPt>
          <c:dPt>
            <c:idx val="5"/>
            <c:bubble3D val="0"/>
            <c:spPr>
              <a:solidFill>
                <a:srgbClr val="FFC000"/>
              </a:solidFill>
              <a:ln w="19050">
                <a:solidFill>
                  <a:schemeClr val="lt1"/>
                </a:solidFill>
              </a:ln>
              <a:effectLst/>
            </c:spPr>
            <c:extLst>
              <c:ext xmlns:c16="http://schemas.microsoft.com/office/drawing/2014/chart" uri="{C3380CC4-5D6E-409C-BE32-E72D297353CC}">
                <c16:uniqueId val="{0000000B-20FA-449F-9277-EA278973F249}"/>
              </c:ext>
            </c:extLst>
          </c:dPt>
          <c:dPt>
            <c:idx val="6"/>
            <c:bubble3D val="0"/>
            <c:spPr>
              <a:solidFill>
                <a:srgbClr val="FFC000"/>
              </a:solidFill>
              <a:ln w="19050">
                <a:solidFill>
                  <a:schemeClr val="lt1"/>
                </a:solidFill>
              </a:ln>
              <a:effectLst/>
            </c:spPr>
            <c:extLst>
              <c:ext xmlns:c16="http://schemas.microsoft.com/office/drawing/2014/chart" uri="{C3380CC4-5D6E-409C-BE32-E72D297353CC}">
                <c16:uniqueId val="{0000000D-20FA-449F-9277-EA278973F249}"/>
              </c:ext>
            </c:extLst>
          </c:dPt>
          <c:dPt>
            <c:idx val="7"/>
            <c:bubble3D val="0"/>
            <c:spPr>
              <a:solidFill>
                <a:srgbClr val="FFC000"/>
              </a:solidFill>
              <a:ln w="19050">
                <a:solidFill>
                  <a:schemeClr val="lt1"/>
                </a:solidFill>
              </a:ln>
              <a:effectLst/>
            </c:spPr>
            <c:extLst>
              <c:ext xmlns:c16="http://schemas.microsoft.com/office/drawing/2014/chart" uri="{C3380CC4-5D6E-409C-BE32-E72D297353CC}">
                <c16:uniqueId val="{0000000F-20FA-449F-9277-EA278973F249}"/>
              </c:ext>
            </c:extLst>
          </c:dPt>
          <c:dPt>
            <c:idx val="8"/>
            <c:bubble3D val="0"/>
            <c:spPr>
              <a:solidFill>
                <a:srgbClr val="FFC000"/>
              </a:solidFill>
              <a:ln w="19050">
                <a:solidFill>
                  <a:schemeClr val="lt1"/>
                </a:solidFill>
              </a:ln>
              <a:effectLst/>
            </c:spPr>
            <c:extLst>
              <c:ext xmlns:c16="http://schemas.microsoft.com/office/drawing/2014/chart" uri="{C3380CC4-5D6E-409C-BE32-E72D297353CC}">
                <c16:uniqueId val="{00000011-20FA-449F-9277-EA278973F249}"/>
              </c:ext>
            </c:extLst>
          </c:dPt>
          <c:dPt>
            <c:idx val="9"/>
            <c:bubble3D val="0"/>
            <c:spPr>
              <a:solidFill>
                <a:srgbClr val="FFC000"/>
              </a:solidFill>
              <a:ln w="19050">
                <a:solidFill>
                  <a:schemeClr val="lt1"/>
                </a:solidFill>
              </a:ln>
              <a:effectLst/>
            </c:spPr>
            <c:extLst>
              <c:ext xmlns:c16="http://schemas.microsoft.com/office/drawing/2014/chart" uri="{C3380CC4-5D6E-409C-BE32-E72D297353CC}">
                <c16:uniqueId val="{00000013-20FA-449F-9277-EA278973F249}"/>
              </c:ext>
            </c:extLst>
          </c:dPt>
          <c:dPt>
            <c:idx val="10"/>
            <c:bubble3D val="0"/>
            <c:spPr>
              <a:solidFill>
                <a:srgbClr val="FFC000"/>
              </a:solidFill>
              <a:ln w="19050">
                <a:solidFill>
                  <a:schemeClr val="lt1"/>
                </a:solidFill>
              </a:ln>
              <a:effectLst/>
            </c:spPr>
            <c:extLst>
              <c:ext xmlns:c16="http://schemas.microsoft.com/office/drawing/2014/chart" uri="{C3380CC4-5D6E-409C-BE32-E72D297353CC}">
                <c16:uniqueId val="{00000015-20FA-449F-9277-EA278973F249}"/>
              </c:ext>
            </c:extLst>
          </c:dPt>
          <c:dPt>
            <c:idx val="11"/>
            <c:bubble3D val="0"/>
            <c:spPr>
              <a:solidFill>
                <a:srgbClr val="FFC000"/>
              </a:solidFill>
              <a:ln w="19050">
                <a:solidFill>
                  <a:schemeClr val="lt1"/>
                </a:solidFill>
              </a:ln>
              <a:effectLst/>
            </c:spPr>
            <c:extLst>
              <c:ext xmlns:c16="http://schemas.microsoft.com/office/drawing/2014/chart" uri="{C3380CC4-5D6E-409C-BE32-E72D297353CC}">
                <c16:uniqueId val="{00000017-20FA-449F-9277-EA278973F249}"/>
              </c:ext>
            </c:extLst>
          </c:dPt>
          <c:dPt>
            <c:idx val="12"/>
            <c:bubble3D val="0"/>
            <c:spPr>
              <a:solidFill>
                <a:srgbClr val="FFC000"/>
              </a:solidFill>
              <a:ln w="19050">
                <a:solidFill>
                  <a:schemeClr val="lt1"/>
                </a:solidFill>
              </a:ln>
              <a:effectLst/>
            </c:spPr>
            <c:extLst>
              <c:ext xmlns:c16="http://schemas.microsoft.com/office/drawing/2014/chart" uri="{C3380CC4-5D6E-409C-BE32-E72D297353CC}">
                <c16:uniqueId val="{00000019-20FA-449F-9277-EA278973F249}"/>
              </c:ext>
            </c:extLst>
          </c:dPt>
          <c:dPt>
            <c:idx val="13"/>
            <c:bubble3D val="0"/>
            <c:spPr>
              <a:solidFill>
                <a:srgbClr val="FFC000"/>
              </a:solidFill>
              <a:ln w="19050">
                <a:solidFill>
                  <a:schemeClr val="lt1"/>
                </a:solidFill>
              </a:ln>
              <a:effectLst/>
            </c:spPr>
            <c:extLst>
              <c:ext xmlns:c16="http://schemas.microsoft.com/office/drawing/2014/chart" uri="{C3380CC4-5D6E-409C-BE32-E72D297353CC}">
                <c16:uniqueId val="{0000001B-20FA-449F-9277-EA278973F249}"/>
              </c:ext>
            </c:extLst>
          </c:dPt>
          <c:dPt>
            <c:idx val="14"/>
            <c:bubble3D val="0"/>
            <c:spPr>
              <a:solidFill>
                <a:srgbClr val="FFC000"/>
              </a:solidFill>
              <a:ln w="19050">
                <a:solidFill>
                  <a:schemeClr val="lt1"/>
                </a:solidFill>
              </a:ln>
              <a:effectLst/>
            </c:spPr>
            <c:extLst>
              <c:ext xmlns:c16="http://schemas.microsoft.com/office/drawing/2014/chart" uri="{C3380CC4-5D6E-409C-BE32-E72D297353CC}">
                <c16:uniqueId val="{0000001D-20FA-449F-9277-EA278973F249}"/>
              </c:ext>
            </c:extLst>
          </c:dPt>
          <c:dPt>
            <c:idx val="15"/>
            <c:bubble3D val="0"/>
            <c:spPr>
              <a:solidFill>
                <a:srgbClr val="FFC000"/>
              </a:solidFill>
              <a:ln w="19050">
                <a:solidFill>
                  <a:schemeClr val="lt1"/>
                </a:solidFill>
              </a:ln>
              <a:effectLst/>
            </c:spPr>
            <c:extLst>
              <c:ext xmlns:c16="http://schemas.microsoft.com/office/drawing/2014/chart" uri="{C3380CC4-5D6E-409C-BE32-E72D297353CC}">
                <c16:uniqueId val="{0000001F-20FA-449F-9277-EA278973F249}"/>
              </c:ext>
            </c:extLst>
          </c:dPt>
          <c:dPt>
            <c:idx val="16"/>
            <c:bubble3D val="0"/>
            <c:spPr>
              <a:solidFill>
                <a:srgbClr val="FFC000"/>
              </a:solidFill>
              <a:ln w="19050">
                <a:solidFill>
                  <a:schemeClr val="lt1"/>
                </a:solidFill>
              </a:ln>
              <a:effectLst/>
            </c:spPr>
            <c:extLst>
              <c:ext xmlns:c16="http://schemas.microsoft.com/office/drawing/2014/chart" uri="{C3380CC4-5D6E-409C-BE32-E72D297353CC}">
                <c16:uniqueId val="{00000021-20FA-449F-9277-EA278973F249}"/>
              </c:ext>
            </c:extLst>
          </c:dPt>
          <c:dPt>
            <c:idx val="17"/>
            <c:bubble3D val="0"/>
            <c:spPr>
              <a:solidFill>
                <a:srgbClr val="FFC000"/>
              </a:solidFill>
              <a:ln w="19050">
                <a:solidFill>
                  <a:schemeClr val="lt1"/>
                </a:solidFill>
              </a:ln>
              <a:effectLst/>
            </c:spPr>
            <c:extLst>
              <c:ext xmlns:c16="http://schemas.microsoft.com/office/drawing/2014/chart" uri="{C3380CC4-5D6E-409C-BE32-E72D297353CC}">
                <c16:uniqueId val="{00000023-20FA-449F-9277-EA278973F249}"/>
              </c:ext>
            </c:extLst>
          </c:dPt>
          <c:dPt>
            <c:idx val="18"/>
            <c:bubble3D val="0"/>
            <c:spPr>
              <a:solidFill>
                <a:srgbClr val="FFC000"/>
              </a:solidFill>
              <a:ln w="19050">
                <a:solidFill>
                  <a:schemeClr val="lt1"/>
                </a:solidFill>
              </a:ln>
              <a:effectLst/>
            </c:spPr>
            <c:extLst>
              <c:ext xmlns:c16="http://schemas.microsoft.com/office/drawing/2014/chart" uri="{C3380CC4-5D6E-409C-BE32-E72D297353CC}">
                <c16:uniqueId val="{00000025-20FA-449F-9277-EA278973F249}"/>
              </c:ext>
            </c:extLst>
          </c:dPt>
          <c:dPt>
            <c:idx val="19"/>
            <c:bubble3D val="0"/>
            <c:spPr>
              <a:solidFill>
                <a:srgbClr val="FFC000"/>
              </a:solidFill>
              <a:ln w="19050">
                <a:solidFill>
                  <a:schemeClr val="lt1"/>
                </a:solidFill>
              </a:ln>
              <a:effectLst/>
            </c:spPr>
            <c:extLst>
              <c:ext xmlns:c16="http://schemas.microsoft.com/office/drawing/2014/chart" uri="{C3380CC4-5D6E-409C-BE32-E72D297353CC}">
                <c16:uniqueId val="{00000027-20FA-449F-9277-EA278973F249}"/>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20FA-449F-9277-EA278973F249}"/>
            </c:ext>
          </c:extLst>
        </c:ser>
        <c:dLbls>
          <c:showLegendKey val="0"/>
          <c:showVal val="0"/>
          <c:showCatName val="0"/>
          <c:showSerName val="0"/>
          <c:showPercent val="0"/>
          <c:showBubbleSize val="0"/>
          <c:showLeaderLines val="1"/>
        </c:dLbls>
        <c:firstSliceAng val="0"/>
        <c:holeSize val="54"/>
      </c:doughnutChart>
      <c:doughnutChart>
        <c:varyColors val="1"/>
        <c:ser>
          <c:idx val="1"/>
          <c:order val="1"/>
          <c:tx>
            <c:strRef>
              <c:f>'[1]CONTROLE%NEGROS'!$B$20</c:f>
              <c:strCache>
                <c:ptCount val="1"/>
                <c:pt idx="0">
                  <c:v>% Preta + Parda</c:v>
                </c:pt>
              </c:strCache>
            </c:strRef>
          </c:tx>
          <c:dPt>
            <c:idx val="0"/>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2A-20FA-449F-9277-EA278973F249}"/>
              </c:ext>
            </c:extLst>
          </c:dPt>
          <c:dPt>
            <c:idx val="1"/>
            <c:bubble3D val="0"/>
            <c:spPr>
              <a:noFill/>
              <a:ln w="19050">
                <a:solidFill>
                  <a:schemeClr val="lt1"/>
                </a:solidFill>
              </a:ln>
              <a:effectLst/>
            </c:spPr>
            <c:extLst>
              <c:ext xmlns:c16="http://schemas.microsoft.com/office/drawing/2014/chart" uri="{C3380CC4-5D6E-409C-BE32-E72D297353CC}">
                <c16:uniqueId val="{0000002C-20FA-449F-9277-EA278973F249}"/>
              </c:ext>
            </c:extLst>
          </c:dPt>
          <c:dPt>
            <c:idx val="2"/>
            <c:bubble3D val="0"/>
            <c:spPr>
              <a:solidFill>
                <a:schemeClr val="bg1">
                  <a:alpha val="70000"/>
                </a:schemeClr>
              </a:solidFill>
              <a:ln w="19050">
                <a:solidFill>
                  <a:schemeClr val="lt1"/>
                </a:solidFill>
              </a:ln>
              <a:effectLst/>
            </c:spPr>
            <c:extLst>
              <c:ext xmlns:c16="http://schemas.microsoft.com/office/drawing/2014/chart" uri="{C3380CC4-5D6E-409C-BE32-E72D297353CC}">
                <c16:uniqueId val="{0000002E-20FA-449F-9277-EA278973F249}"/>
              </c:ext>
            </c:extLst>
          </c:dPt>
          <c:val>
            <c:numRef>
              <c:f>'[1]CONTROLE%NEGROS'!$C$20:$E$20</c:f>
              <c:numCache>
                <c:formatCode>General</c:formatCode>
                <c:ptCount val="3"/>
                <c:pt idx="0">
                  <c:v>0.5714285714285714</c:v>
                </c:pt>
                <c:pt idx="2">
                  <c:v>0.4285714285714286</c:v>
                </c:pt>
              </c:numCache>
            </c:numRef>
          </c:val>
          <c:extLst>
            <c:ext xmlns:c16="http://schemas.microsoft.com/office/drawing/2014/chart" uri="{C3380CC4-5D6E-409C-BE32-E72D297353CC}">
              <c16:uniqueId val="{0000002F-20FA-449F-9277-EA278973F249}"/>
            </c:ext>
          </c:extLst>
        </c:ser>
        <c:dLbls>
          <c:showLegendKey val="0"/>
          <c:showVal val="0"/>
          <c:showCatName val="0"/>
          <c:showSerName val="0"/>
          <c:showPercent val="0"/>
          <c:showBubbleSize val="0"/>
          <c:showLeaderLines val="1"/>
        </c:dLbls>
        <c:firstSliceAng val="0"/>
        <c:holeSize val="54"/>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'[1]CONTROLE%NEGROS'!$F$12</c:f>
              <c:strCache>
                <c:ptCount val="1"/>
                <c:pt idx="0">
                  <c:v>AMARELA</c:v>
                </c:pt>
              </c:strCache>
            </c:strRef>
          </c:tx>
          <c:spPr>
            <a:solidFill>
              <a:schemeClr val="accent4">
                <a:lumMod val="20000"/>
                <a:lumOff val="80000"/>
              </a:schemeClr>
            </a:solidFill>
          </c:spPr>
          <c:dPt>
            <c:idx val="0"/>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1-A885-47D7-A95C-14BAABE33BF3}"/>
              </c:ext>
            </c:extLst>
          </c:dPt>
          <c:dPt>
            <c:idx val="1"/>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3-A885-47D7-A95C-14BAABE33BF3}"/>
              </c:ext>
            </c:extLst>
          </c:dPt>
          <c:dPt>
            <c:idx val="2"/>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5-A885-47D7-A95C-14BAABE33BF3}"/>
              </c:ext>
            </c:extLst>
          </c:dPt>
          <c:dPt>
            <c:idx val="3"/>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7-A885-47D7-A95C-14BAABE33BF3}"/>
              </c:ext>
            </c:extLst>
          </c:dPt>
          <c:dPt>
            <c:idx val="4"/>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9-A885-47D7-A95C-14BAABE33BF3}"/>
              </c:ext>
            </c:extLst>
          </c:dPt>
          <c:dPt>
            <c:idx val="5"/>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B-A885-47D7-A95C-14BAABE33BF3}"/>
              </c:ext>
            </c:extLst>
          </c:dPt>
          <c:dPt>
            <c:idx val="6"/>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D-A885-47D7-A95C-14BAABE33BF3}"/>
              </c:ext>
            </c:extLst>
          </c:dPt>
          <c:dPt>
            <c:idx val="7"/>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F-A885-47D7-A95C-14BAABE33BF3}"/>
              </c:ext>
            </c:extLst>
          </c:dPt>
          <c:dPt>
            <c:idx val="8"/>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11-A885-47D7-A95C-14BAABE33BF3}"/>
              </c:ext>
            </c:extLst>
          </c:dPt>
          <c:dPt>
            <c:idx val="9"/>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13-A885-47D7-A95C-14BAABE33BF3}"/>
              </c:ext>
            </c:extLst>
          </c:dPt>
          <c:dPt>
            <c:idx val="10"/>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15-A885-47D7-A95C-14BAABE33BF3}"/>
              </c:ext>
            </c:extLst>
          </c:dPt>
          <c:dPt>
            <c:idx val="11"/>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17-A885-47D7-A95C-14BAABE33BF3}"/>
              </c:ext>
            </c:extLst>
          </c:dPt>
          <c:dPt>
            <c:idx val="12"/>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19-A885-47D7-A95C-14BAABE33BF3}"/>
              </c:ext>
            </c:extLst>
          </c:dPt>
          <c:dPt>
            <c:idx val="13"/>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1B-A885-47D7-A95C-14BAABE33BF3}"/>
              </c:ext>
            </c:extLst>
          </c:dPt>
          <c:dPt>
            <c:idx val="14"/>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1D-A885-47D7-A95C-14BAABE33BF3}"/>
              </c:ext>
            </c:extLst>
          </c:dPt>
          <c:dPt>
            <c:idx val="15"/>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1F-A885-47D7-A95C-14BAABE33BF3}"/>
              </c:ext>
            </c:extLst>
          </c:dPt>
          <c:dPt>
            <c:idx val="16"/>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21-A885-47D7-A95C-14BAABE33BF3}"/>
              </c:ext>
            </c:extLst>
          </c:dPt>
          <c:dPt>
            <c:idx val="17"/>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23-A885-47D7-A95C-14BAABE33BF3}"/>
              </c:ext>
            </c:extLst>
          </c:dPt>
          <c:dPt>
            <c:idx val="18"/>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25-A885-47D7-A95C-14BAABE33BF3}"/>
              </c:ext>
            </c:extLst>
          </c:dPt>
          <c:dPt>
            <c:idx val="19"/>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27-A885-47D7-A95C-14BAABE33BF3}"/>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A885-47D7-A95C-14BAABE33BF3}"/>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'[1]CONTROLE%NEGROS'!$F$12</c:f>
              <c:strCache>
                <c:ptCount val="1"/>
                <c:pt idx="0">
                  <c:v>AMARELA</c:v>
                </c:pt>
              </c:strCache>
            </c:strRef>
          </c:tx>
          <c:spPr>
            <a:solidFill>
              <a:schemeClr val="bg1">
                <a:alpha val="70000"/>
              </a:schemeClr>
            </a:solidFill>
          </c:spPr>
          <c:dPt>
            <c:idx val="0"/>
            <c:bubble3D val="0"/>
            <c:spPr>
              <a:solidFill>
                <a:schemeClr val="bg1">
                  <a:alpha val="70000"/>
                </a:schemeClr>
              </a:solidFill>
              <a:ln w="19050">
                <a:solidFill>
                  <a:schemeClr val="lt1"/>
                </a:solidFill>
              </a:ln>
              <a:effectLst/>
            </c:spPr>
            <c:extLst>
              <c:ext xmlns:c16="http://schemas.microsoft.com/office/drawing/2014/chart" uri="{C3380CC4-5D6E-409C-BE32-E72D297353CC}">
                <c16:uniqueId val="{0000002A-A885-47D7-A95C-14BAABE33BF3}"/>
              </c:ext>
            </c:extLst>
          </c:dPt>
          <c:dPt>
            <c:idx val="1"/>
            <c:bubble3D val="0"/>
            <c:spPr>
              <a:noFill/>
              <a:ln w="19050">
                <a:solidFill>
                  <a:schemeClr val="lt1"/>
                </a:solidFill>
              </a:ln>
              <a:effectLst/>
            </c:spPr>
            <c:extLst>
              <c:ext xmlns:c16="http://schemas.microsoft.com/office/drawing/2014/chart" uri="{C3380CC4-5D6E-409C-BE32-E72D297353CC}">
                <c16:uniqueId val="{0000002C-A885-47D7-A95C-14BAABE33BF3}"/>
              </c:ext>
            </c:extLst>
          </c:dPt>
          <c:val>
            <c:numRef>
              <c:f>'[1]CONTROLE%NEGROS'!$F$18:$F$19</c:f>
              <c:numCache>
                <c:formatCode>General</c:formatCode>
                <c:ptCount val="2"/>
                <c:pt idx="0">
                  <c:v>0</c:v>
                </c:pt>
                <c:pt idx="1">
                  <c:v>0</c:v>
                </c:pt>
              </c:numCache>
            </c:numRef>
          </c:val>
          <c:extLst>
            <c:ext xmlns:c16="http://schemas.microsoft.com/office/drawing/2014/chart" uri="{C3380CC4-5D6E-409C-BE32-E72D297353CC}">
              <c16:uniqueId val="{0000002D-A885-47D7-A95C-14BAABE33BF3}"/>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'[1]CONTROLE%NEGROS'!$G$12</c:f>
              <c:strCache>
                <c:ptCount val="1"/>
                <c:pt idx="0">
                  <c:v>INDÍGENA</c:v>
                </c:pt>
              </c:strCache>
            </c:strRef>
          </c:tx>
          <c:spPr>
            <a:solidFill>
              <a:srgbClr val="C00000">
                <a:alpha val="23000"/>
              </a:srgbClr>
            </a:solidFill>
          </c:spPr>
          <c:dPt>
            <c:idx val="0"/>
            <c:bubble3D val="0"/>
            <c:spPr>
              <a:solidFill>
                <a:srgbClr val="C00000">
                  <a:alpha val="23000"/>
                </a:srgbClr>
              </a:solidFill>
              <a:ln w="19050">
                <a:solidFill>
                  <a:schemeClr val="lt1"/>
                </a:solidFill>
              </a:ln>
              <a:effectLst/>
            </c:spPr>
            <c:extLst>
              <c:ext xmlns:c16="http://schemas.microsoft.com/office/drawing/2014/chart" uri="{C3380CC4-5D6E-409C-BE32-E72D297353CC}">
                <c16:uniqueId val="{00000001-0144-48A3-8CD7-22156AAA57CB}"/>
              </c:ext>
            </c:extLst>
          </c:dPt>
          <c:dPt>
            <c:idx val="1"/>
            <c:bubble3D val="0"/>
            <c:spPr>
              <a:solidFill>
                <a:srgbClr val="C00000">
                  <a:alpha val="23000"/>
                </a:srgbClr>
              </a:solidFill>
              <a:ln w="19050">
                <a:solidFill>
                  <a:schemeClr val="lt1"/>
                </a:solidFill>
              </a:ln>
              <a:effectLst/>
            </c:spPr>
            <c:extLst>
              <c:ext xmlns:c16="http://schemas.microsoft.com/office/drawing/2014/chart" uri="{C3380CC4-5D6E-409C-BE32-E72D297353CC}">
                <c16:uniqueId val="{00000003-0144-48A3-8CD7-22156AAA57CB}"/>
              </c:ext>
            </c:extLst>
          </c:dPt>
          <c:dPt>
            <c:idx val="2"/>
            <c:bubble3D val="0"/>
            <c:spPr>
              <a:solidFill>
                <a:srgbClr val="C00000">
                  <a:alpha val="23000"/>
                </a:srgbClr>
              </a:solidFill>
              <a:ln w="19050">
                <a:solidFill>
                  <a:schemeClr val="lt1"/>
                </a:solidFill>
              </a:ln>
              <a:effectLst/>
            </c:spPr>
            <c:extLst>
              <c:ext xmlns:c16="http://schemas.microsoft.com/office/drawing/2014/chart" uri="{C3380CC4-5D6E-409C-BE32-E72D297353CC}">
                <c16:uniqueId val="{00000005-0144-48A3-8CD7-22156AAA57CB}"/>
              </c:ext>
            </c:extLst>
          </c:dPt>
          <c:dPt>
            <c:idx val="3"/>
            <c:bubble3D val="0"/>
            <c:spPr>
              <a:solidFill>
                <a:srgbClr val="C00000">
                  <a:alpha val="23000"/>
                </a:srgbClr>
              </a:solidFill>
              <a:ln w="19050">
                <a:solidFill>
                  <a:schemeClr val="lt1"/>
                </a:solidFill>
              </a:ln>
              <a:effectLst/>
            </c:spPr>
            <c:extLst>
              <c:ext xmlns:c16="http://schemas.microsoft.com/office/drawing/2014/chart" uri="{C3380CC4-5D6E-409C-BE32-E72D297353CC}">
                <c16:uniqueId val="{00000007-0144-48A3-8CD7-22156AAA57CB}"/>
              </c:ext>
            </c:extLst>
          </c:dPt>
          <c:dPt>
            <c:idx val="4"/>
            <c:bubble3D val="0"/>
            <c:spPr>
              <a:solidFill>
                <a:srgbClr val="C00000">
                  <a:alpha val="23000"/>
                </a:srgbClr>
              </a:solidFill>
              <a:ln w="19050">
                <a:solidFill>
                  <a:schemeClr val="lt1"/>
                </a:solidFill>
              </a:ln>
              <a:effectLst/>
            </c:spPr>
            <c:extLst>
              <c:ext xmlns:c16="http://schemas.microsoft.com/office/drawing/2014/chart" uri="{C3380CC4-5D6E-409C-BE32-E72D297353CC}">
                <c16:uniqueId val="{00000009-0144-48A3-8CD7-22156AAA57CB}"/>
              </c:ext>
            </c:extLst>
          </c:dPt>
          <c:dPt>
            <c:idx val="5"/>
            <c:bubble3D val="0"/>
            <c:spPr>
              <a:solidFill>
                <a:srgbClr val="C00000">
                  <a:alpha val="23000"/>
                </a:srgbClr>
              </a:solidFill>
              <a:ln w="19050">
                <a:solidFill>
                  <a:schemeClr val="lt1"/>
                </a:solidFill>
              </a:ln>
              <a:effectLst/>
            </c:spPr>
            <c:extLst>
              <c:ext xmlns:c16="http://schemas.microsoft.com/office/drawing/2014/chart" uri="{C3380CC4-5D6E-409C-BE32-E72D297353CC}">
                <c16:uniqueId val="{0000000B-0144-48A3-8CD7-22156AAA57CB}"/>
              </c:ext>
            </c:extLst>
          </c:dPt>
          <c:dPt>
            <c:idx val="6"/>
            <c:bubble3D val="0"/>
            <c:spPr>
              <a:solidFill>
                <a:srgbClr val="C00000">
                  <a:alpha val="23000"/>
                </a:srgbClr>
              </a:solidFill>
              <a:ln w="19050">
                <a:solidFill>
                  <a:schemeClr val="lt1"/>
                </a:solidFill>
              </a:ln>
              <a:effectLst/>
            </c:spPr>
            <c:extLst>
              <c:ext xmlns:c16="http://schemas.microsoft.com/office/drawing/2014/chart" uri="{C3380CC4-5D6E-409C-BE32-E72D297353CC}">
                <c16:uniqueId val="{0000000D-0144-48A3-8CD7-22156AAA57CB}"/>
              </c:ext>
            </c:extLst>
          </c:dPt>
          <c:dPt>
            <c:idx val="7"/>
            <c:bubble3D val="0"/>
            <c:spPr>
              <a:solidFill>
                <a:srgbClr val="C00000">
                  <a:alpha val="23000"/>
                </a:srgbClr>
              </a:solidFill>
              <a:ln w="19050">
                <a:solidFill>
                  <a:schemeClr val="lt1"/>
                </a:solidFill>
              </a:ln>
              <a:effectLst/>
            </c:spPr>
            <c:extLst>
              <c:ext xmlns:c16="http://schemas.microsoft.com/office/drawing/2014/chart" uri="{C3380CC4-5D6E-409C-BE32-E72D297353CC}">
                <c16:uniqueId val="{0000000F-0144-48A3-8CD7-22156AAA57CB}"/>
              </c:ext>
            </c:extLst>
          </c:dPt>
          <c:dPt>
            <c:idx val="8"/>
            <c:bubble3D val="0"/>
            <c:spPr>
              <a:solidFill>
                <a:srgbClr val="C00000">
                  <a:alpha val="23000"/>
                </a:srgbClr>
              </a:solidFill>
              <a:ln w="19050">
                <a:solidFill>
                  <a:schemeClr val="lt1"/>
                </a:solidFill>
              </a:ln>
              <a:effectLst/>
            </c:spPr>
            <c:extLst>
              <c:ext xmlns:c16="http://schemas.microsoft.com/office/drawing/2014/chart" uri="{C3380CC4-5D6E-409C-BE32-E72D297353CC}">
                <c16:uniqueId val="{00000011-0144-48A3-8CD7-22156AAA57CB}"/>
              </c:ext>
            </c:extLst>
          </c:dPt>
          <c:dPt>
            <c:idx val="9"/>
            <c:bubble3D val="0"/>
            <c:spPr>
              <a:solidFill>
                <a:srgbClr val="C00000">
                  <a:alpha val="23000"/>
                </a:srgbClr>
              </a:solidFill>
              <a:ln w="19050">
                <a:solidFill>
                  <a:schemeClr val="lt1"/>
                </a:solidFill>
              </a:ln>
              <a:effectLst/>
            </c:spPr>
            <c:extLst>
              <c:ext xmlns:c16="http://schemas.microsoft.com/office/drawing/2014/chart" uri="{C3380CC4-5D6E-409C-BE32-E72D297353CC}">
                <c16:uniqueId val="{00000013-0144-48A3-8CD7-22156AAA57CB}"/>
              </c:ext>
            </c:extLst>
          </c:dPt>
          <c:dPt>
            <c:idx val="10"/>
            <c:bubble3D val="0"/>
            <c:spPr>
              <a:solidFill>
                <a:srgbClr val="C00000">
                  <a:alpha val="23000"/>
                </a:srgbClr>
              </a:solidFill>
              <a:ln w="19050">
                <a:solidFill>
                  <a:schemeClr val="lt1"/>
                </a:solidFill>
              </a:ln>
              <a:effectLst/>
            </c:spPr>
            <c:extLst>
              <c:ext xmlns:c16="http://schemas.microsoft.com/office/drawing/2014/chart" uri="{C3380CC4-5D6E-409C-BE32-E72D297353CC}">
                <c16:uniqueId val="{00000015-0144-48A3-8CD7-22156AAA57CB}"/>
              </c:ext>
            </c:extLst>
          </c:dPt>
          <c:dPt>
            <c:idx val="11"/>
            <c:bubble3D val="0"/>
            <c:spPr>
              <a:solidFill>
                <a:srgbClr val="C00000">
                  <a:alpha val="23000"/>
                </a:srgbClr>
              </a:solidFill>
              <a:ln w="19050">
                <a:solidFill>
                  <a:schemeClr val="lt1"/>
                </a:solidFill>
              </a:ln>
              <a:effectLst/>
            </c:spPr>
            <c:extLst>
              <c:ext xmlns:c16="http://schemas.microsoft.com/office/drawing/2014/chart" uri="{C3380CC4-5D6E-409C-BE32-E72D297353CC}">
                <c16:uniqueId val="{00000017-0144-48A3-8CD7-22156AAA57CB}"/>
              </c:ext>
            </c:extLst>
          </c:dPt>
          <c:dPt>
            <c:idx val="12"/>
            <c:bubble3D val="0"/>
            <c:spPr>
              <a:solidFill>
                <a:srgbClr val="C00000">
                  <a:alpha val="23000"/>
                </a:srgbClr>
              </a:solidFill>
              <a:ln w="19050">
                <a:solidFill>
                  <a:schemeClr val="lt1"/>
                </a:solidFill>
              </a:ln>
              <a:effectLst/>
            </c:spPr>
            <c:extLst>
              <c:ext xmlns:c16="http://schemas.microsoft.com/office/drawing/2014/chart" uri="{C3380CC4-5D6E-409C-BE32-E72D297353CC}">
                <c16:uniqueId val="{00000019-0144-48A3-8CD7-22156AAA57CB}"/>
              </c:ext>
            </c:extLst>
          </c:dPt>
          <c:dPt>
            <c:idx val="13"/>
            <c:bubble3D val="0"/>
            <c:spPr>
              <a:solidFill>
                <a:srgbClr val="C00000">
                  <a:alpha val="23000"/>
                </a:srgbClr>
              </a:solidFill>
              <a:ln w="19050">
                <a:solidFill>
                  <a:schemeClr val="lt1"/>
                </a:solidFill>
              </a:ln>
              <a:effectLst/>
            </c:spPr>
            <c:extLst>
              <c:ext xmlns:c16="http://schemas.microsoft.com/office/drawing/2014/chart" uri="{C3380CC4-5D6E-409C-BE32-E72D297353CC}">
                <c16:uniqueId val="{0000001B-0144-48A3-8CD7-22156AAA57CB}"/>
              </c:ext>
            </c:extLst>
          </c:dPt>
          <c:dPt>
            <c:idx val="14"/>
            <c:bubble3D val="0"/>
            <c:spPr>
              <a:solidFill>
                <a:srgbClr val="C00000">
                  <a:alpha val="23000"/>
                </a:srgbClr>
              </a:solidFill>
              <a:ln w="19050">
                <a:solidFill>
                  <a:schemeClr val="lt1"/>
                </a:solidFill>
              </a:ln>
              <a:effectLst/>
            </c:spPr>
            <c:extLst>
              <c:ext xmlns:c16="http://schemas.microsoft.com/office/drawing/2014/chart" uri="{C3380CC4-5D6E-409C-BE32-E72D297353CC}">
                <c16:uniqueId val="{0000001D-0144-48A3-8CD7-22156AAA57CB}"/>
              </c:ext>
            </c:extLst>
          </c:dPt>
          <c:dPt>
            <c:idx val="15"/>
            <c:bubble3D val="0"/>
            <c:spPr>
              <a:solidFill>
                <a:srgbClr val="C00000">
                  <a:alpha val="23000"/>
                </a:srgbClr>
              </a:solidFill>
              <a:ln w="19050">
                <a:solidFill>
                  <a:schemeClr val="lt1"/>
                </a:solidFill>
              </a:ln>
              <a:effectLst/>
            </c:spPr>
            <c:extLst>
              <c:ext xmlns:c16="http://schemas.microsoft.com/office/drawing/2014/chart" uri="{C3380CC4-5D6E-409C-BE32-E72D297353CC}">
                <c16:uniqueId val="{0000001F-0144-48A3-8CD7-22156AAA57CB}"/>
              </c:ext>
            </c:extLst>
          </c:dPt>
          <c:dPt>
            <c:idx val="16"/>
            <c:bubble3D val="0"/>
            <c:spPr>
              <a:solidFill>
                <a:srgbClr val="C00000">
                  <a:alpha val="23000"/>
                </a:srgbClr>
              </a:solidFill>
              <a:ln w="19050">
                <a:solidFill>
                  <a:schemeClr val="lt1"/>
                </a:solidFill>
              </a:ln>
              <a:effectLst/>
            </c:spPr>
            <c:extLst>
              <c:ext xmlns:c16="http://schemas.microsoft.com/office/drawing/2014/chart" uri="{C3380CC4-5D6E-409C-BE32-E72D297353CC}">
                <c16:uniqueId val="{00000021-0144-48A3-8CD7-22156AAA57CB}"/>
              </c:ext>
            </c:extLst>
          </c:dPt>
          <c:dPt>
            <c:idx val="17"/>
            <c:bubble3D val="0"/>
            <c:spPr>
              <a:solidFill>
                <a:srgbClr val="C00000">
                  <a:alpha val="23000"/>
                </a:srgbClr>
              </a:solidFill>
              <a:ln w="19050">
                <a:solidFill>
                  <a:schemeClr val="lt1"/>
                </a:solidFill>
              </a:ln>
              <a:effectLst/>
            </c:spPr>
            <c:extLst>
              <c:ext xmlns:c16="http://schemas.microsoft.com/office/drawing/2014/chart" uri="{C3380CC4-5D6E-409C-BE32-E72D297353CC}">
                <c16:uniqueId val="{00000023-0144-48A3-8CD7-22156AAA57CB}"/>
              </c:ext>
            </c:extLst>
          </c:dPt>
          <c:dPt>
            <c:idx val="18"/>
            <c:bubble3D val="0"/>
            <c:spPr>
              <a:solidFill>
                <a:srgbClr val="C00000">
                  <a:alpha val="23000"/>
                </a:srgbClr>
              </a:solidFill>
              <a:ln w="19050">
                <a:solidFill>
                  <a:schemeClr val="lt1"/>
                </a:solidFill>
              </a:ln>
              <a:effectLst/>
            </c:spPr>
            <c:extLst>
              <c:ext xmlns:c16="http://schemas.microsoft.com/office/drawing/2014/chart" uri="{C3380CC4-5D6E-409C-BE32-E72D297353CC}">
                <c16:uniqueId val="{00000025-0144-48A3-8CD7-22156AAA57CB}"/>
              </c:ext>
            </c:extLst>
          </c:dPt>
          <c:dPt>
            <c:idx val="19"/>
            <c:bubble3D val="0"/>
            <c:spPr>
              <a:solidFill>
                <a:srgbClr val="C00000">
                  <a:alpha val="23000"/>
                </a:srgbClr>
              </a:solidFill>
              <a:ln w="19050">
                <a:solidFill>
                  <a:schemeClr val="lt1"/>
                </a:solidFill>
              </a:ln>
              <a:effectLst/>
            </c:spPr>
            <c:extLst>
              <c:ext xmlns:c16="http://schemas.microsoft.com/office/drawing/2014/chart" uri="{C3380CC4-5D6E-409C-BE32-E72D297353CC}">
                <c16:uniqueId val="{00000027-0144-48A3-8CD7-22156AAA57CB}"/>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0144-48A3-8CD7-22156AAA57CB}"/>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'[1]CONTROLE%NEGROS'!$G$12</c:f>
              <c:strCache>
                <c:ptCount val="1"/>
                <c:pt idx="0">
                  <c:v>INDÍGENA</c:v>
                </c:pt>
              </c:strCache>
            </c:strRef>
          </c:tx>
          <c:spPr>
            <a:solidFill>
              <a:schemeClr val="bg1">
                <a:alpha val="91000"/>
              </a:schemeClr>
            </a:solidFill>
          </c:spPr>
          <c:dPt>
            <c:idx val="0"/>
            <c:bubble3D val="0"/>
            <c:spPr>
              <a:noFill/>
              <a:ln w="19050">
                <a:solidFill>
                  <a:schemeClr val="lt1"/>
                </a:solidFill>
              </a:ln>
              <a:effectLst/>
            </c:spPr>
            <c:extLst>
              <c:ext xmlns:c16="http://schemas.microsoft.com/office/drawing/2014/chart" uri="{C3380CC4-5D6E-409C-BE32-E72D297353CC}">
                <c16:uniqueId val="{0000002A-0144-48A3-8CD7-22156AAA57CB}"/>
              </c:ext>
            </c:extLst>
          </c:dPt>
          <c:dPt>
            <c:idx val="1"/>
            <c:bubble3D val="0"/>
            <c:spPr>
              <a:solidFill>
                <a:schemeClr val="bg1">
                  <a:alpha val="91000"/>
                </a:schemeClr>
              </a:solidFill>
              <a:ln w="19050">
                <a:solidFill>
                  <a:schemeClr val="lt1"/>
                </a:solidFill>
              </a:ln>
              <a:effectLst/>
            </c:spPr>
            <c:extLst>
              <c:ext xmlns:c16="http://schemas.microsoft.com/office/drawing/2014/chart" uri="{C3380CC4-5D6E-409C-BE32-E72D297353CC}">
                <c16:uniqueId val="{0000002C-0144-48A3-8CD7-22156AAA57CB}"/>
              </c:ext>
            </c:extLst>
          </c:dPt>
          <c:val>
            <c:numRef>
              <c:f>'[1]CONTROLE%NEGROS'!$G$18:$G$19</c:f>
              <c:numCache>
                <c:formatCode>General</c:formatCode>
                <c:ptCount val="2"/>
                <c:pt idx="0">
                  <c:v>0</c:v>
                </c:pt>
                <c:pt idx="1">
                  <c:v>0</c:v>
                </c:pt>
              </c:numCache>
            </c:numRef>
          </c:val>
          <c:extLst>
            <c:ext xmlns:c16="http://schemas.microsoft.com/office/drawing/2014/chart" uri="{C3380CC4-5D6E-409C-BE32-E72D297353CC}">
              <c16:uniqueId val="{0000002D-0144-48A3-8CD7-22156AAA57CB}"/>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 de Vagas</a:t>
            </a:r>
            <a:r>
              <a:rPr lang="en-US" sz="1200" b="1" baseline="0"/>
              <a:t> Ocupadas considerando o limite de 8%</a:t>
            </a:r>
            <a:endParaRPr lang="en-US" sz="1200" b="1"/>
          </a:p>
        </c:rich>
      </c:tx>
      <c:overlay val="0"/>
      <c:spPr>
        <a:solidFill>
          <a:schemeClr val="bg1">
            <a:lumMod val="95000"/>
          </a:schemeClr>
        </a:solid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
          <c:y val="0.43009362144096364"/>
          <c:w val="1"/>
          <c:h val="0.5106473718108655"/>
        </c:manualLayout>
      </c:layout>
      <c:barChart>
        <c:barDir val="col"/>
        <c:grouping val="clustered"/>
        <c:varyColors val="0"/>
        <c:ser>
          <c:idx val="0"/>
          <c:order val="0"/>
          <c:tx>
            <c:strRef>
              <c:f>[1]CONTROLEVAGASEST!$O$26</c:f>
              <c:strCache>
                <c:ptCount val="1"/>
                <c:pt idx="0">
                  <c:v>Preenchido</c:v>
                </c:pt>
              </c:strCache>
            </c:strRef>
          </c:tx>
          <c:spPr>
            <a:solidFill>
              <a:srgbClr val="FF0000"/>
            </a:solidFill>
            <a:ln>
              <a:noFill/>
            </a:ln>
            <a:effectLst/>
          </c:spPr>
          <c:invertIfNegative val="0"/>
          <c:trendline>
            <c:spPr>
              <a:ln w="19050" cap="rnd">
                <a:solidFill>
                  <a:schemeClr val="accent1"/>
                </a:solidFill>
                <a:prstDash val="sysDot"/>
              </a:ln>
              <a:effectLst/>
            </c:spPr>
            <c:trendlineType val="linear"/>
            <c:dispRSqr val="0"/>
            <c:dispEq val="0"/>
          </c:trendline>
          <c:val>
            <c:numRef>
              <c:f>([1]CONTROLEVAGASEST!$O$27,[1]CONTROLEVAGASEST!$O$32:$O$33)</c:f>
              <c:numCache>
                <c:formatCode>General</c:formatCode>
                <c:ptCount val="3"/>
                <c:pt idx="1">
                  <c:v>0.55147058823529416</c:v>
                </c:pt>
              </c:numCache>
            </c:numRef>
          </c:val>
          <c:extLst>
            <c:ext xmlns:c16="http://schemas.microsoft.com/office/drawing/2014/chart" uri="{C3380CC4-5D6E-409C-BE32-E72D297353CC}">
              <c16:uniqueId val="{00000000-A8E4-4EA4-95A6-77EA20D4AB28}"/>
            </c:ext>
          </c:extLst>
        </c:ser>
        <c:dLbls>
          <c:showLegendKey val="0"/>
          <c:showVal val="0"/>
          <c:showCatName val="0"/>
          <c:showSerName val="0"/>
          <c:showPercent val="0"/>
          <c:showBubbleSize val="0"/>
        </c:dLbls>
        <c:gapWidth val="0"/>
        <c:overlap val="-27"/>
        <c:axId val="150953984"/>
        <c:axId val="150955520"/>
      </c:barChart>
      <c:catAx>
        <c:axId val="150953984"/>
        <c:scaling>
          <c:orientation val="minMax"/>
        </c:scaling>
        <c:delete val="1"/>
        <c:axPos val="b"/>
        <c:numFmt formatCode="General" sourceLinked="1"/>
        <c:majorTickMark val="none"/>
        <c:minorTickMark val="none"/>
        <c:tickLblPos val="nextTo"/>
        <c:crossAx val="150955520"/>
        <c:crosses val="autoZero"/>
        <c:auto val="1"/>
        <c:lblAlgn val="ctr"/>
        <c:lblOffset val="100"/>
        <c:tickMarkSkip val="4"/>
        <c:noMultiLvlLbl val="0"/>
      </c:catAx>
      <c:valAx>
        <c:axId val="150955520"/>
        <c:scaling>
          <c:orientation val="minMax"/>
          <c:max val="1"/>
        </c:scaling>
        <c:delete val="1"/>
        <c:axPos val="l"/>
        <c:numFmt formatCode="General" sourceLinked="1"/>
        <c:majorTickMark val="none"/>
        <c:minorTickMark val="none"/>
        <c:tickLblPos val="nextTo"/>
        <c:crossAx val="1509539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Exercício MME por situação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9699999999999999"/>
          <c:y val="0.23408926262439678"/>
          <c:w val="0.40044466316710409"/>
          <c:h val="0.66052704114618199"/>
        </c:manualLayout>
      </c:layout>
      <c:pieChart>
        <c:varyColors val="1"/>
        <c:dLbls>
          <c:dLblPos val="inEnd"/>
          <c:showLegendKey val="0"/>
          <c:showVal val="0"/>
          <c:showCatName val="0"/>
          <c:showSerName val="0"/>
          <c:showPercent val="1"/>
          <c:showBubbleSize val="0"/>
          <c:showLeaderLines val="0"/>
        </c:dLbls>
        <c:firstSliceAng val="0"/>
      </c:pieChart>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3410479549513332E-2"/>
          <c:y val="4.6296296296296294E-2"/>
          <c:w val="0.95317904090097338"/>
          <c:h val="0.79629629629629628"/>
        </c:manualLayout>
      </c:layout>
      <c:barChart>
        <c:barDir val="col"/>
        <c:grouping val="clustered"/>
        <c:varyColors val="0"/>
        <c:ser>
          <c:idx val="0"/>
          <c:order val="0"/>
          <c:spPr>
            <a:solidFill>
              <a:srgbClr val="92D050"/>
            </a:solidFill>
            <a:ln>
              <a:noFill/>
            </a:ln>
            <a:effectLst/>
            <a:scene3d>
              <a:camera prst="orthographicFront"/>
              <a:lightRig rig="threePt" dir="t"/>
            </a:scene3d>
            <a:sp3d>
              <a:bevelT w="190500" h="38100"/>
            </a:sp3d>
          </c:spPr>
          <c:invertIfNegative val="0"/>
          <c:dLbls>
            <c:dLbl>
              <c:idx val="0"/>
              <c:layout>
                <c:manualLayout>
                  <c:x val="9.7542537969916626E-18"/>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F4-4FB1-A797-D2645787BE89}"/>
                </c:ext>
              </c:extLst>
            </c:dLbl>
            <c:dLbl>
              <c:idx val="1"/>
              <c:layout>
                <c:manualLayout>
                  <c:x val="0"/>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F4-4FB1-A797-D2645787BE89}"/>
                </c:ext>
              </c:extLst>
            </c:dLbl>
            <c:dLbl>
              <c:idx val="2"/>
              <c:layout>
                <c:manualLayout>
                  <c:x val="-7.8034030375933301E-17"/>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F4-4FB1-A797-D2645787BE89}"/>
                </c:ext>
              </c:extLst>
            </c:dLbl>
            <c:dLbl>
              <c:idx val="3"/>
              <c:layout>
                <c:manualLayout>
                  <c:x val="-7.8034030375933301E-17"/>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F4-4FB1-A797-D2645787BE89}"/>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5F4-4FB1-A797-D2645787BE89}"/>
                </c:ext>
              </c:extLst>
            </c:dLbl>
            <c:dLbl>
              <c:idx val="5"/>
              <c:layout>
                <c:manualLayout>
                  <c:x val="-2.1282254135921211E-3"/>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5F4-4FB1-A797-D2645787BE89}"/>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'[1]IDADE-COR-SALARIO'!$B$6:$G$6</c:f>
              <c:strCache>
                <c:ptCount val="6"/>
                <c:pt idx="0">
                  <c:v>Até 30 anos</c:v>
                </c:pt>
                <c:pt idx="1">
                  <c:v>31 a 40 anos</c:v>
                </c:pt>
                <c:pt idx="2">
                  <c:v>41 a 50 anos</c:v>
                </c:pt>
                <c:pt idx="3">
                  <c:v>51 a 60 anos</c:v>
                </c:pt>
                <c:pt idx="4">
                  <c:v>acima de 60 anos</c:v>
                </c:pt>
                <c:pt idx="5">
                  <c:v>Média  da Idade no MME (anos)</c:v>
                </c:pt>
              </c:strCache>
            </c:strRef>
          </c:cat>
          <c:val>
            <c:numRef>
              <c:f>'[1]IDADE-COR-SALARIO'!$B$8:$F$8</c:f>
              <c:numCache>
                <c:formatCode>General</c:formatCode>
                <c:ptCount val="5"/>
                <c:pt idx="0">
                  <c:v>1.9342359767891684E-2</c:v>
                </c:pt>
                <c:pt idx="1">
                  <c:v>0.16827852998065765</c:v>
                </c:pt>
                <c:pt idx="2">
                  <c:v>0.18375241779497098</c:v>
                </c:pt>
                <c:pt idx="3">
                  <c:v>0.31721470019342357</c:v>
                </c:pt>
                <c:pt idx="4">
                  <c:v>0.3114119922630561</c:v>
                </c:pt>
              </c:numCache>
            </c:numRef>
          </c:val>
          <c:extLst>
            <c:ext xmlns:c16="http://schemas.microsoft.com/office/drawing/2014/chart" uri="{C3380CC4-5D6E-409C-BE32-E72D297353CC}">
              <c16:uniqueId val="{00000006-25F4-4FB1-A797-D2645787BE89}"/>
            </c:ext>
          </c:extLst>
        </c:ser>
        <c:dLbls>
          <c:showLegendKey val="0"/>
          <c:showVal val="0"/>
          <c:showCatName val="0"/>
          <c:showSerName val="0"/>
          <c:showPercent val="0"/>
          <c:showBubbleSize val="0"/>
        </c:dLbls>
        <c:gapWidth val="219"/>
        <c:overlap val="-27"/>
        <c:axId val="616605224"/>
        <c:axId val="616608832"/>
      </c:barChart>
      <c:catAx>
        <c:axId val="616605224"/>
        <c:scaling>
          <c:orientation val="minMax"/>
        </c:scaling>
        <c:delete val="1"/>
        <c:axPos val="b"/>
        <c:numFmt formatCode="General" sourceLinked="1"/>
        <c:majorTickMark val="none"/>
        <c:minorTickMark val="none"/>
        <c:tickLblPos val="nextTo"/>
        <c:crossAx val="616608832"/>
        <c:crosses val="autoZero"/>
        <c:auto val="1"/>
        <c:lblAlgn val="ctr"/>
        <c:lblOffset val="100"/>
        <c:noMultiLvlLbl val="0"/>
      </c:catAx>
      <c:valAx>
        <c:axId val="616608832"/>
        <c:scaling>
          <c:orientation val="minMax"/>
        </c:scaling>
        <c:delete val="1"/>
        <c:axPos val="l"/>
        <c:numFmt formatCode="General" sourceLinked="1"/>
        <c:majorTickMark val="none"/>
        <c:minorTickMark val="none"/>
        <c:tickLblPos val="nextTo"/>
        <c:crossAx val="61660522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4"/>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dLbls>
          <c:showLegendKey val="0"/>
          <c:showVal val="0"/>
          <c:showCatName val="0"/>
          <c:showSerName val="0"/>
          <c:showPercent val="0"/>
          <c:showBubbleSize val="0"/>
        </c:dLbls>
        <c:gapWidth val="219"/>
        <c:overlap val="-27"/>
        <c:axId val="588662512"/>
        <c:axId val="588664152"/>
      </c:barChart>
      <c:catAx>
        <c:axId val="58866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88664152"/>
        <c:crosses val="autoZero"/>
        <c:auto val="1"/>
        <c:lblAlgn val="ctr"/>
        <c:lblOffset val="100"/>
        <c:noMultiLvlLbl val="0"/>
      </c:catAx>
      <c:valAx>
        <c:axId val="588664152"/>
        <c:scaling>
          <c:orientation val="minMax"/>
        </c:scaling>
        <c:delete val="1"/>
        <c:axPos val="l"/>
        <c:numFmt formatCode="0.00%" sourceLinked="1"/>
        <c:majorTickMark val="none"/>
        <c:minorTickMark val="none"/>
        <c:tickLblPos val="nextTo"/>
        <c:crossAx val="58866251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pt-BR" sz="1000" b="1"/>
              <a:t>EVOLUÇÃO QUANTITATIVO GERAL DE SERVIDORES/EMPREGADOS ATIVOS NO </a:t>
            </a:r>
            <a:r>
              <a:rPr lang="pt-BR" sz="1000" b="1" baseline="0"/>
              <a:t>MME</a:t>
            </a:r>
            <a:endParaRPr lang="pt-BR" sz="1000" b="1"/>
          </a:p>
        </c:rich>
      </c:tx>
      <c:overlay val="0"/>
      <c:spPr>
        <a:noFill/>
        <a:ln>
          <a:noFill/>
        </a:ln>
        <a:effectLst/>
      </c:spPr>
    </c:title>
    <c:autoTitleDeleted val="0"/>
    <c:plotArea>
      <c:layout>
        <c:manualLayout>
          <c:layoutTarget val="inner"/>
          <c:xMode val="edge"/>
          <c:yMode val="edge"/>
          <c:x val="4.2911877394636012E-2"/>
          <c:y val="0.37646404183783627"/>
          <c:w val="0.93256704980842908"/>
          <c:h val="0.42789088509295525"/>
        </c:manualLayout>
      </c:layout>
      <c:lineChart>
        <c:grouping val="standard"/>
        <c:varyColors val="0"/>
        <c:ser>
          <c:idx val="0"/>
          <c:order val="0"/>
          <c:spPr>
            <a:ln w="38100" cap="rnd">
              <a:solidFill>
                <a:srgbClr val="4F81BD"/>
              </a:solidFill>
              <a:round/>
            </a:ln>
            <a:effectLst/>
          </c:spPr>
          <c:marker>
            <c:spPr>
              <a:scene3d>
                <a:camera prst="orthographicFront"/>
                <a:lightRig rig="threePt" dir="t"/>
              </a:scene3d>
              <a:sp3d>
                <a:bevelT w="190500" h="38100"/>
              </a:sp3d>
            </c:spPr>
          </c:marker>
          <c:dLbls>
            <c:dLbl>
              <c:idx val="0"/>
              <c:layout>
                <c:manualLayout>
                  <c:x val="-7.0685735890625795E-2"/>
                  <c:y val="9.415758586197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0E-4857-8F5C-329E6036708D}"/>
                </c:ext>
              </c:extLst>
            </c:dLbl>
            <c:dLbl>
              <c:idx val="1"/>
              <c:layout>
                <c:manualLayout>
                  <c:x val="-5.5906115183877891E-2"/>
                  <c:y val="-0.101851851851851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0E-4857-8F5C-329E6036708D}"/>
                </c:ext>
              </c:extLst>
            </c:dLbl>
            <c:dLbl>
              <c:idx val="2"/>
              <c:layout>
                <c:manualLayout>
                  <c:x val="-6.1759225115694823E-2"/>
                  <c:y val="9.0397204729561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0E-4857-8F5C-329E6036708D}"/>
                </c:ext>
              </c:extLst>
            </c:dLbl>
            <c:dLbl>
              <c:idx val="3"/>
              <c:layout>
                <c:manualLayout>
                  <c:x val="-5.7622107581379915E-2"/>
                  <c:y val="-0.106481481481481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0E-4857-8F5C-329E6036708D}"/>
                </c:ext>
              </c:extLst>
            </c:dLbl>
            <c:dLbl>
              <c:idx val="4"/>
              <c:layout>
                <c:manualLayout>
                  <c:x val="-6.3475133717435461E-2"/>
                  <c:y val="0.105155244658087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0E-4857-8F5C-329E6036708D}"/>
                </c:ext>
              </c:extLst>
            </c:dLbl>
            <c:dLbl>
              <c:idx val="5"/>
              <c:layout>
                <c:manualLayout>
                  <c:x val="-5.8237547892720308E-2"/>
                  <c:y val="-0.106481481481481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0E-4857-8F5C-329E6036708D}"/>
                </c:ext>
              </c:extLst>
            </c:dLbl>
            <c:dLbl>
              <c:idx val="6"/>
              <c:layout>
                <c:manualLayout>
                  <c:x val="-7.2005924902483393E-2"/>
                  <c:y val="0.100004104913160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0E-4857-8F5C-329E6036708D}"/>
                </c:ext>
              </c:extLst>
            </c:dLbl>
            <c:dLbl>
              <c:idx val="7"/>
              <c:layout>
                <c:manualLayout>
                  <c:x val="-5.2107279693486705E-2"/>
                  <c:y val="-0.138888888888888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0E-4857-8F5C-329E6036708D}"/>
                </c:ext>
              </c:extLst>
            </c:dLbl>
            <c:dLbl>
              <c:idx val="8"/>
              <c:layout>
                <c:manualLayout>
                  <c:x val="-6.482410705070657E-2"/>
                  <c:y val="0.10567695456141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50E-4857-8F5C-329E6036708D}"/>
                </c:ext>
              </c:extLst>
            </c:dLbl>
            <c:dLbl>
              <c:idx val="9"/>
              <c:layout>
                <c:manualLayout>
                  <c:x val="-4.8675294898482629E-2"/>
                  <c:y val="-0.13425925925925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50E-4857-8F5C-329E6036708D}"/>
                </c:ext>
              </c:extLst>
            </c:dLbl>
            <c:dLbl>
              <c:idx val="10"/>
              <c:layout>
                <c:manualLayout>
                  <c:x val="-6.8574107699002088E-2"/>
                  <c:y val="0.114240785785633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50E-4857-8F5C-329E6036708D}"/>
                </c:ext>
              </c:extLst>
            </c:dLbl>
            <c:dLbl>
              <c:idx val="11"/>
              <c:layout>
                <c:manualLayout>
                  <c:x val="-2.4521072796934867E-2"/>
                  <c:y val="-0.1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50E-4857-8F5C-329E603670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[1]GLOBAL!$A$6:$A$17</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[1]GLOBAL!$B$6:$B$17</c:f>
              <c:numCache>
                <c:formatCode>General</c:formatCode>
                <c:ptCount val="12"/>
                <c:pt idx="0">
                  <c:v>1105</c:v>
                </c:pt>
                <c:pt idx="1">
                  <c:v>1160</c:v>
                </c:pt>
                <c:pt idx="2">
                  <c:v>1122</c:v>
                </c:pt>
                <c:pt idx="3">
                  <c:v>1204</c:v>
                </c:pt>
                <c:pt idx="4">
                  <c:v>1203</c:v>
                </c:pt>
                <c:pt idx="5">
                  <c:v>1190</c:v>
                </c:pt>
                <c:pt idx="6">
                  <c:v>1167</c:v>
                </c:pt>
                <c:pt idx="7">
                  <c:v>1116</c:v>
                </c:pt>
                <c:pt idx="8">
                  <c:v>1091</c:v>
                </c:pt>
                <c:pt idx="9">
                  <c:v>1046</c:v>
                </c:pt>
                <c:pt idx="10">
                  <c:v>1000</c:v>
                </c:pt>
                <c:pt idx="11">
                  <c:v>954</c:v>
                </c:pt>
              </c:numCache>
            </c:numRef>
          </c:val>
          <c:smooth val="0"/>
          <c:extLst>
            <c:ext xmlns:c16="http://schemas.microsoft.com/office/drawing/2014/chart" uri="{C3380CC4-5D6E-409C-BE32-E72D297353CC}">
              <c16:uniqueId val="{0000000C-550E-4857-8F5C-329E6036708D}"/>
            </c:ext>
          </c:extLst>
        </c:ser>
        <c:dLbls>
          <c:showLegendKey val="0"/>
          <c:showVal val="0"/>
          <c:showCatName val="0"/>
          <c:showSerName val="0"/>
          <c:showPercent val="0"/>
          <c:showBubbleSize val="0"/>
        </c:dLbls>
        <c:marker val="1"/>
        <c:smooth val="0"/>
        <c:axId val="85963136"/>
        <c:axId val="85964672"/>
      </c:lineChart>
      <c:catAx>
        <c:axId val="8596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5964672"/>
        <c:crosses val="autoZero"/>
        <c:auto val="1"/>
        <c:lblAlgn val="ctr"/>
        <c:lblOffset val="100"/>
        <c:noMultiLvlLbl val="0"/>
      </c:catAx>
      <c:valAx>
        <c:axId val="85964672"/>
        <c:scaling>
          <c:orientation val="minMax"/>
        </c:scaling>
        <c:delete val="1"/>
        <c:axPos val="l"/>
        <c:numFmt formatCode="General" sourceLinked="1"/>
        <c:majorTickMark val="none"/>
        <c:minorTickMark val="none"/>
        <c:tickLblPos val="nextTo"/>
        <c:crossAx val="85963136"/>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pt-BR" sz="1000" b="1" i="0" baseline="0">
                <a:effectLst/>
              </a:rPr>
              <a:t>Evolução Quantitativo Área Meio x Área Finalística</a:t>
            </a:r>
            <a:endParaRPr lang="pt-BR" sz="1000">
              <a:effectLst/>
            </a:endParaRPr>
          </a:p>
        </c:rich>
      </c:tx>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'[1]FINALISTICA-MEIO'!$B$4:$B$5</c:f>
              <c:strCache>
                <c:ptCount val="1"/>
                <c:pt idx="0">
                  <c:v>Total MME</c:v>
                </c:pt>
              </c:strCache>
            </c:strRef>
          </c:tx>
          <c:spPr>
            <a:ln w="38100" cap="rnd">
              <a:solidFill>
                <a:schemeClr val="accent1"/>
              </a:solidFill>
              <a:round/>
            </a:ln>
            <a:effectLst/>
          </c:spPr>
          <c:marker>
            <c:symbol val="diamond"/>
            <c:size val="6"/>
            <c:spPr>
              <a:solidFill>
                <a:schemeClr val="accent1"/>
              </a:solidFill>
              <a:ln w="9525">
                <a:solidFill>
                  <a:schemeClr val="accent1"/>
                </a:solidFill>
                <a:round/>
              </a:ln>
              <a:effectLst/>
              <a:scene3d>
                <a:camera prst="orthographicFront"/>
                <a:lightRig rig="threePt" dir="t"/>
              </a:scene3d>
              <a:sp3d>
                <a:bevelT w="190500" h="38100"/>
              </a:sp3d>
            </c:spPr>
          </c:marker>
          <c:dLbls>
            <c:dLbl>
              <c:idx val="0"/>
              <c:layout>
                <c:manualLayout>
                  <c:x val="-3.0247984068091413E-2"/>
                  <c:y val="-7.86711392784732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0D-41DA-9769-F14D6507A1C3}"/>
                </c:ext>
              </c:extLst>
            </c:dLbl>
            <c:dLbl>
              <c:idx val="1"/>
              <c:layout>
                <c:manualLayout>
                  <c:x val="-3.4663994195351135E-2"/>
                  <c:y val="-8.02290485110805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0D-41DA-9769-F14D6507A1C3}"/>
                </c:ext>
              </c:extLst>
            </c:dLbl>
            <c:dLbl>
              <c:idx val="2"/>
              <c:layout>
                <c:manualLayout>
                  <c:x val="-3.9212255630972505E-2"/>
                  <c:y val="-8.02290485110805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0D-41DA-9769-F14D6507A1C3}"/>
                </c:ext>
              </c:extLst>
            </c:dLbl>
            <c:dLbl>
              <c:idx val="3"/>
              <c:layout>
                <c:manualLayout>
                  <c:x val="-4.1199370133846558E-2"/>
                  <c:y val="-7.64092601723839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0D-41DA-9769-F14D6507A1C3}"/>
                </c:ext>
              </c:extLst>
            </c:dLbl>
            <c:dLbl>
              <c:idx val="4"/>
              <c:layout>
                <c:manualLayout>
                  <c:x val="-3.9212255630972533E-2"/>
                  <c:y val="-6.87677558666405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A0D-41DA-9769-F14D6507A1C3}"/>
                </c:ext>
              </c:extLst>
            </c:dLbl>
            <c:dLbl>
              <c:idx val="5"/>
              <c:layout>
                <c:manualLayout>
                  <c:x val="-3.4663994195351197E-2"/>
                  <c:y val="-8.18987601879977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A0D-41DA-9769-F14D6507A1C3}"/>
                </c:ext>
              </c:extLst>
            </c:dLbl>
            <c:dLbl>
              <c:idx val="6"/>
              <c:layout>
                <c:manualLayout>
                  <c:x val="-2.614150375398169E-2"/>
                  <c:y val="-7.0436696492217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A0D-41DA-9769-F14D6507A1C3}"/>
                </c:ext>
              </c:extLst>
            </c:dLbl>
            <c:dLbl>
              <c:idx val="7"/>
              <c:layout>
                <c:manualLayout>
                  <c:x val="-2.6715536183855047E-2"/>
                  <c:y val="-7.2809606991276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A0D-41DA-9769-F14D6507A1C3}"/>
                </c:ext>
              </c:extLst>
            </c:dLbl>
            <c:dLbl>
              <c:idx val="8"/>
              <c:layout>
                <c:manualLayout>
                  <c:x val="-3.2677136990742407E-2"/>
                  <c:y val="-8.1898374662327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A0D-41DA-9769-F14D6507A1C3}"/>
                </c:ext>
              </c:extLst>
            </c:dLbl>
            <c:dLbl>
              <c:idx val="9"/>
              <c:layout>
                <c:manualLayout>
                  <c:x val="-4.5747631569467838E-2"/>
                  <c:y val="-8.5718548526694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A0D-41DA-9769-F14D6507A1C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'[1]FINALISTICA-MEIO'!$A$6:$A$15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'[1]FINALISTICA-MEIO'!$B$6:$B$15</c:f>
              <c:numCache>
                <c:formatCode>General</c:formatCode>
                <c:ptCount val="10"/>
                <c:pt idx="0">
                  <c:v>695</c:v>
                </c:pt>
                <c:pt idx="1">
                  <c:v>634</c:v>
                </c:pt>
                <c:pt idx="2">
                  <c:v>646</c:v>
                </c:pt>
                <c:pt idx="3">
                  <c:v>634</c:v>
                </c:pt>
                <c:pt idx="4">
                  <c:v>606</c:v>
                </c:pt>
                <c:pt idx="5">
                  <c:v>565</c:v>
                </c:pt>
                <c:pt idx="6">
                  <c:v>562</c:v>
                </c:pt>
                <c:pt idx="7">
                  <c:v>520</c:v>
                </c:pt>
                <c:pt idx="8">
                  <c:v>528</c:v>
                </c:pt>
                <c:pt idx="9">
                  <c:v>490</c:v>
                </c:pt>
              </c:numCache>
            </c:numRef>
          </c:val>
          <c:smooth val="0"/>
          <c:extLst>
            <c:ext xmlns:c16="http://schemas.microsoft.com/office/drawing/2014/chart" uri="{C3380CC4-5D6E-409C-BE32-E72D297353CC}">
              <c16:uniqueId val="{0000000A-3A0D-41DA-9769-F14D6507A1C3}"/>
            </c:ext>
          </c:extLst>
        </c:ser>
        <c:ser>
          <c:idx val="1"/>
          <c:order val="1"/>
          <c:tx>
            <c:strRef>
              <c:f>'[1]FINALISTICA-MEIO'!$C$4:$D$4</c:f>
              <c:strCache>
                <c:ptCount val="1"/>
                <c:pt idx="0">
                  <c:v>ÁREA FINALISTICA</c:v>
                </c:pt>
              </c:strCache>
            </c:strRef>
          </c:tx>
          <c:spPr>
            <a:ln w="38100" cap="rnd">
              <a:solidFill>
                <a:schemeClr val="accent2"/>
              </a:solidFill>
              <a:round/>
            </a:ln>
            <a:effectLst/>
          </c:spPr>
          <c:marker>
            <c:symbol val="square"/>
            <c:size val="6"/>
            <c:spPr>
              <a:solidFill>
                <a:schemeClr val="accent2"/>
              </a:solidFill>
              <a:ln w="9525">
                <a:solidFill>
                  <a:schemeClr val="accent2"/>
                </a:solidFill>
                <a:round/>
              </a:ln>
              <a:effectLst/>
              <a:scene3d>
                <a:camera prst="orthographicFront"/>
                <a:lightRig rig="threePt" dir="t"/>
              </a:scene3d>
              <a:sp3d>
                <a:bevelT w="190500" h="38100"/>
              </a:sp3d>
            </c:spPr>
          </c:marker>
          <c:dLbls>
            <c:dLbl>
              <c:idx val="0"/>
              <c:layout>
                <c:manualLayout>
                  <c:x val="-6.6634332851327915E-2"/>
                  <c:y val="6.83251723974415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A0D-41DA-9769-F14D6507A1C3}"/>
                </c:ext>
              </c:extLst>
            </c:dLbl>
            <c:dLbl>
              <c:idx val="1"/>
              <c:layout>
                <c:manualLayout>
                  <c:x val="-5.6831268943584784E-2"/>
                  <c:y val="5.7456432707843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A0D-41DA-9769-F14D6507A1C3}"/>
                </c:ext>
              </c:extLst>
            </c:dLbl>
            <c:dLbl>
              <c:idx val="2"/>
              <c:layout>
                <c:manualLayout>
                  <c:x val="-4.9015319538715643E-2"/>
                  <c:y val="6.5097937013587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A0D-41DA-9769-F14D6507A1C3}"/>
                </c:ext>
              </c:extLst>
            </c:dLbl>
            <c:dLbl>
              <c:idx val="3"/>
              <c:layout>
                <c:manualLayout>
                  <c:x val="-4.2479943600220248E-2"/>
                  <c:y val="6.02017610041555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A0D-41DA-9769-F14D6507A1C3}"/>
                </c:ext>
              </c:extLst>
            </c:dLbl>
            <c:dLbl>
              <c:idx val="4"/>
              <c:layout>
                <c:manualLayout>
                  <c:x val="-4.0492829097346222E-2"/>
                  <c:y val="5.0409408985292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A0D-41DA-9769-F14D6507A1C3}"/>
                </c:ext>
              </c:extLst>
            </c:dLbl>
            <c:dLbl>
              <c:idx val="5"/>
              <c:layout>
                <c:manualLayout>
                  <c:x val="-4.9015319538715671E-2"/>
                  <c:y val="5.853243485290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A0D-41DA-9769-F14D6507A1C3}"/>
                </c:ext>
              </c:extLst>
            </c:dLbl>
            <c:dLbl>
              <c:idx val="6"/>
              <c:layout>
                <c:manualLayout>
                  <c:x val="-4.3760517066593937E-2"/>
                  <c:y val="6.23529942429451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A0D-41DA-9769-F14D6507A1C3}"/>
                </c:ext>
              </c:extLst>
            </c:dLbl>
            <c:dLbl>
              <c:idx val="7"/>
              <c:layout>
                <c:manualLayout>
                  <c:x val="-4.5747631569467956E-2"/>
                  <c:y val="4.9816084979110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A0D-41DA-9769-F14D6507A1C3}"/>
                </c:ext>
              </c:extLst>
            </c:dLbl>
            <c:dLbl>
              <c:idx val="8"/>
              <c:layout>
                <c:manualLayout>
                  <c:x val="-4.2480200898485546E-2"/>
                  <c:y val="5.3636644369146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A0D-41DA-9769-F14D6507A1C3}"/>
                </c:ext>
              </c:extLst>
            </c:dLbl>
            <c:dLbl>
              <c:idx val="9"/>
              <c:layout>
                <c:manualLayout>
                  <c:x val="-3.2676879692476991E-2"/>
                  <c:y val="5.79394963723962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A0D-41DA-9769-F14D6507A1C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'[1]FINALISTICA-MEIO'!$A$6:$A$15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'[1]FINALISTICA-MEIO'!$C$6:$C$15</c:f>
              <c:numCache>
                <c:formatCode>General</c:formatCode>
                <c:ptCount val="10"/>
                <c:pt idx="0">
                  <c:v>245</c:v>
                </c:pt>
                <c:pt idx="1">
                  <c:v>239</c:v>
                </c:pt>
                <c:pt idx="2">
                  <c:v>252</c:v>
                </c:pt>
                <c:pt idx="3">
                  <c:v>239</c:v>
                </c:pt>
                <c:pt idx="4">
                  <c:v>223</c:v>
                </c:pt>
                <c:pt idx="5">
                  <c:v>206</c:v>
                </c:pt>
                <c:pt idx="6">
                  <c:v>212</c:v>
                </c:pt>
                <c:pt idx="7">
                  <c:v>184</c:v>
                </c:pt>
                <c:pt idx="8">
                  <c:v>177</c:v>
                </c:pt>
                <c:pt idx="9">
                  <c:v>168</c:v>
                </c:pt>
              </c:numCache>
            </c:numRef>
          </c:val>
          <c:smooth val="0"/>
          <c:extLst>
            <c:ext xmlns:c16="http://schemas.microsoft.com/office/drawing/2014/chart" uri="{C3380CC4-5D6E-409C-BE32-E72D297353CC}">
              <c16:uniqueId val="{00000015-3A0D-41DA-9769-F14D6507A1C3}"/>
            </c:ext>
          </c:extLst>
        </c:ser>
        <c:ser>
          <c:idx val="2"/>
          <c:order val="2"/>
          <c:tx>
            <c:strRef>
              <c:f>'[1]FINALISTICA-MEIO'!$E$4:$F$4</c:f>
              <c:strCache>
                <c:ptCount val="1"/>
                <c:pt idx="0">
                  <c:v>ÁREA MEIO</c:v>
                </c:pt>
              </c:strCache>
            </c:strRef>
          </c:tx>
          <c:spPr>
            <a:ln w="38100" cap="rnd">
              <a:solidFill>
                <a:schemeClr val="accent3"/>
              </a:solidFill>
              <a:round/>
            </a:ln>
            <a:effectLst/>
          </c:spPr>
          <c:marker>
            <c:symbol val="triangle"/>
            <c:size val="6"/>
            <c:spPr>
              <a:solidFill>
                <a:schemeClr val="accent3"/>
              </a:solidFill>
              <a:ln w="9525">
                <a:solidFill>
                  <a:schemeClr val="accent3"/>
                </a:solidFill>
                <a:round/>
              </a:ln>
              <a:effectLst/>
              <a:scene3d>
                <a:camera prst="orthographicFront"/>
                <a:lightRig rig="threePt" dir="t"/>
              </a:scene3d>
              <a:sp3d>
                <a:bevelT w="190500" h="38100"/>
              </a:sp3d>
            </c:spPr>
          </c:marker>
          <c:dLbls>
            <c:dLbl>
              <c:idx val="0"/>
              <c:layout>
                <c:manualLayout>
                  <c:x val="-3.9212255630972526E-2"/>
                  <c:y val="-6.87677558666405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A0D-41DA-9769-F14D6507A1C3}"/>
                </c:ext>
              </c:extLst>
            </c:dLbl>
            <c:dLbl>
              <c:idx val="1"/>
              <c:layout>
                <c:manualLayout>
                  <c:x val="-4.5747631569467956E-2"/>
                  <c:y val="-7.8560107885503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A0D-41DA-9769-F14D6507A1C3}"/>
                </c:ext>
              </c:extLst>
            </c:dLbl>
            <c:dLbl>
              <c:idx val="2"/>
              <c:layout>
                <c:manualLayout>
                  <c:x val="-4.5747631569467928E-2"/>
                  <c:y val="-7.5332872501649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A0D-41DA-9769-F14D6507A1C3}"/>
                </c:ext>
              </c:extLst>
            </c:dLbl>
            <c:dLbl>
              <c:idx val="3"/>
              <c:layout>
                <c:manualLayout>
                  <c:x val="-5.5550695477211094E-2"/>
                  <c:y val="-8.02290485110805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A0D-41DA-9769-F14D6507A1C3}"/>
                </c:ext>
              </c:extLst>
            </c:dLbl>
            <c:dLbl>
              <c:idx val="4"/>
              <c:layout>
                <c:manualLayout>
                  <c:x val="-6.5353759384954233E-2"/>
                  <c:y val="-6.87677558666405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A0D-41DA-9769-F14D6507A1C3}"/>
                </c:ext>
              </c:extLst>
            </c:dLbl>
            <c:dLbl>
              <c:idx val="5"/>
              <c:layout>
                <c:manualLayout>
                  <c:x val="-4.5747631569467956E-2"/>
                  <c:y val="-8.404960790111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A0D-41DA-9769-F14D6507A1C3}"/>
                </c:ext>
              </c:extLst>
            </c:dLbl>
            <c:dLbl>
              <c:idx val="6"/>
              <c:layout>
                <c:manualLayout>
                  <c:x val="-5.5550695477211094E-2"/>
                  <c:y val="-6.925043400552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A0D-41DA-9769-F14D6507A1C3}"/>
                </c:ext>
              </c:extLst>
            </c:dLbl>
            <c:dLbl>
              <c:idx val="7"/>
              <c:layout>
                <c:manualLayout>
                  <c:x val="-5.5550695477211094E-2"/>
                  <c:y val="-7.09193746311001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A0D-41DA-9769-F14D6507A1C3}"/>
                </c:ext>
              </c:extLst>
            </c:dLbl>
            <c:dLbl>
              <c:idx val="8"/>
              <c:layout>
                <c:manualLayout>
                  <c:x val="-4.2480200898485546E-2"/>
                  <c:y val="-6.49475820022738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A0D-41DA-9769-F14D6507A1C3}"/>
                </c:ext>
              </c:extLst>
            </c:dLbl>
            <c:dLbl>
              <c:idx val="9"/>
              <c:layout>
                <c:manualLayout>
                  <c:x val="-3.4663994195351135E-2"/>
                  <c:y val="-5.8975403847777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A0D-41DA-9769-F14D6507A1C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'[1]FINALISTICA-MEIO'!$A$6:$A$15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'[1]FINALISTICA-MEIO'!$E$6:$E$15</c:f>
              <c:numCache>
                <c:formatCode>General</c:formatCode>
                <c:ptCount val="10"/>
                <c:pt idx="0">
                  <c:v>450</c:v>
                </c:pt>
                <c:pt idx="1">
                  <c:v>395</c:v>
                </c:pt>
                <c:pt idx="2">
                  <c:v>394</c:v>
                </c:pt>
                <c:pt idx="3">
                  <c:v>395</c:v>
                </c:pt>
                <c:pt idx="4">
                  <c:v>383</c:v>
                </c:pt>
                <c:pt idx="5">
                  <c:v>359</c:v>
                </c:pt>
                <c:pt idx="6">
                  <c:v>350</c:v>
                </c:pt>
                <c:pt idx="7">
                  <c:v>336</c:v>
                </c:pt>
                <c:pt idx="8">
                  <c:v>351</c:v>
                </c:pt>
                <c:pt idx="9">
                  <c:v>322</c:v>
                </c:pt>
              </c:numCache>
            </c:numRef>
          </c:val>
          <c:smooth val="0"/>
          <c:extLst>
            <c:ext xmlns:c16="http://schemas.microsoft.com/office/drawing/2014/chart" uri="{C3380CC4-5D6E-409C-BE32-E72D297353CC}">
              <c16:uniqueId val="{00000020-3A0D-41DA-9769-F14D6507A1C3}"/>
            </c:ext>
          </c:extLst>
        </c:ser>
        <c:dLbls>
          <c:showLegendKey val="0"/>
          <c:showVal val="0"/>
          <c:showCatName val="0"/>
          <c:showSerName val="0"/>
          <c:showPercent val="0"/>
          <c:showBubbleSize val="0"/>
        </c:dLbls>
        <c:marker val="1"/>
        <c:smooth val="0"/>
        <c:axId val="72994176"/>
        <c:axId val="85861504"/>
      </c:lineChart>
      <c:catAx>
        <c:axId val="7299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pt-BR"/>
          </a:p>
        </c:txPr>
        <c:crossAx val="85861504"/>
        <c:crosses val="autoZero"/>
        <c:auto val="1"/>
        <c:lblAlgn val="ctr"/>
        <c:lblOffset val="100"/>
        <c:noMultiLvlLbl val="0"/>
      </c:catAx>
      <c:valAx>
        <c:axId val="85861504"/>
        <c:scaling>
          <c:orientation val="minMax"/>
        </c:scaling>
        <c:delete val="1"/>
        <c:axPos val="l"/>
        <c:numFmt formatCode="General" sourceLinked="1"/>
        <c:majorTickMark val="none"/>
        <c:minorTickMark val="none"/>
        <c:tickLblPos val="nextTo"/>
        <c:crossAx val="729941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MOVIMENTAÇÃO - ÍNDICE</a:t>
            </a:r>
            <a:r>
              <a:rPr lang="pt-BR" sz="1100" b="1" baseline="0"/>
              <a:t> DE PERDA POR EXERCÍCIO</a:t>
            </a:r>
            <a:endParaRPr lang="pt-BR"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[1]MEMORIAPERDA!$I$12</c:f>
              <c:strCache>
                <c:ptCount val="1"/>
                <c:pt idx="0">
                  <c:v>Egressos no Exercício</c:v>
                </c:pt>
              </c:strCache>
            </c:strRef>
          </c:tx>
          <c:spPr>
            <a:solidFill>
              <a:srgbClr val="FF0000"/>
            </a:solidFill>
            <a:ln>
              <a:noFill/>
            </a:ln>
            <a:effectLst/>
            <a:scene3d>
              <a:camera prst="orthographicFront"/>
              <a:lightRig rig="threePt" dir="t"/>
            </a:scene3d>
            <a:sp3d>
              <a:bevelT w="190500" h="381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[1]MEMORIAPERDA!$H$14:$H$17</c:f>
              <c:numCache>
                <c:formatCode>General</c:formatCode>
                <c:ptCount val="4"/>
                <c:pt idx="0">
                  <c:v>2017</c:v>
                </c:pt>
                <c:pt idx="1">
                  <c:v>2018</c:v>
                </c:pt>
                <c:pt idx="2">
                  <c:v>2019</c:v>
                </c:pt>
                <c:pt idx="3">
                  <c:v>2020</c:v>
                </c:pt>
              </c:numCache>
            </c:numRef>
          </c:cat>
          <c:val>
            <c:numRef>
              <c:f>[1]MEMORIAPERDA!$I$14:$I$17</c:f>
              <c:numCache>
                <c:formatCode>General</c:formatCode>
                <c:ptCount val="4"/>
                <c:pt idx="0">
                  <c:v>0.58571428571428574</c:v>
                </c:pt>
                <c:pt idx="1">
                  <c:v>0.58974358974358976</c:v>
                </c:pt>
                <c:pt idx="2">
                  <c:v>0.54385964912280704</c:v>
                </c:pt>
                <c:pt idx="3">
                  <c:v>0.66666666666666663</c:v>
                </c:pt>
              </c:numCache>
            </c:numRef>
          </c:val>
          <c:extLst>
            <c:ext xmlns:c16="http://schemas.microsoft.com/office/drawing/2014/chart" uri="{C3380CC4-5D6E-409C-BE32-E72D297353CC}">
              <c16:uniqueId val="{00000000-B37F-4FF1-939A-7EDABD26D367}"/>
            </c:ext>
          </c:extLst>
        </c:ser>
        <c:ser>
          <c:idx val="1"/>
          <c:order val="1"/>
          <c:tx>
            <c:strRef>
              <c:f>[1]MEMORIAPERDA!$J$12</c:f>
              <c:strCache>
                <c:ptCount val="1"/>
                <c:pt idx="0">
                  <c:v>Ingressos no Exercício</c:v>
                </c:pt>
              </c:strCache>
            </c:strRef>
          </c:tx>
          <c:spPr>
            <a:solidFill>
              <a:srgbClr val="92D050"/>
            </a:solidFill>
            <a:ln>
              <a:noFill/>
            </a:ln>
            <a:effectLst/>
            <a:scene3d>
              <a:camera prst="orthographicFront"/>
              <a:lightRig rig="threePt" dir="t"/>
            </a:scene3d>
            <a:sp3d>
              <a:bevelT w="190500" h="381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[1]MEMORIAPERDA!$H$14:$H$17</c:f>
              <c:numCache>
                <c:formatCode>General</c:formatCode>
                <c:ptCount val="4"/>
                <c:pt idx="0">
                  <c:v>2017</c:v>
                </c:pt>
                <c:pt idx="1">
                  <c:v>2018</c:v>
                </c:pt>
                <c:pt idx="2">
                  <c:v>2019</c:v>
                </c:pt>
                <c:pt idx="3">
                  <c:v>2020</c:v>
                </c:pt>
              </c:numCache>
            </c:numRef>
          </c:cat>
          <c:val>
            <c:numRef>
              <c:f>[1]MEMORIAPERDA!$J$14:$J$17</c:f>
              <c:numCache>
                <c:formatCode>General</c:formatCode>
                <c:ptCount val="4"/>
                <c:pt idx="0">
                  <c:v>0.41428571428571426</c:v>
                </c:pt>
                <c:pt idx="1">
                  <c:v>0.41025641025641024</c:v>
                </c:pt>
                <c:pt idx="2">
                  <c:v>0.45614035087719296</c:v>
                </c:pt>
                <c:pt idx="3">
                  <c:v>0.33333333333333337</c:v>
                </c:pt>
              </c:numCache>
            </c:numRef>
          </c:val>
          <c:extLst>
            <c:ext xmlns:c16="http://schemas.microsoft.com/office/drawing/2014/chart" uri="{C3380CC4-5D6E-409C-BE32-E72D297353CC}">
              <c16:uniqueId val="{00000001-B37F-4FF1-939A-7EDABD26D367}"/>
            </c:ext>
          </c:extLst>
        </c:ser>
        <c:dLbls>
          <c:showLegendKey val="0"/>
          <c:showVal val="0"/>
          <c:showCatName val="0"/>
          <c:showSerName val="0"/>
          <c:showPercent val="0"/>
          <c:showBubbleSize val="0"/>
        </c:dLbls>
        <c:gapWidth val="150"/>
        <c:overlap val="100"/>
        <c:axId val="158347919"/>
        <c:axId val="158352079"/>
      </c:barChart>
      <c:catAx>
        <c:axId val="158347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352079"/>
        <c:crosses val="autoZero"/>
        <c:auto val="1"/>
        <c:lblAlgn val="ctr"/>
        <c:lblOffset val="100"/>
        <c:noMultiLvlLbl val="0"/>
      </c:catAx>
      <c:valAx>
        <c:axId val="158352079"/>
        <c:scaling>
          <c:orientation val="minMax"/>
        </c:scaling>
        <c:delete val="1"/>
        <c:axPos val="l"/>
        <c:numFmt formatCode="General" sourceLinked="1"/>
        <c:majorTickMark val="none"/>
        <c:minorTickMark val="none"/>
        <c:tickLblPos val="nextTo"/>
        <c:crossAx val="158347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n-US" sz="1000" b="1" i="0" u="none" strike="noStrike" cap="all" normalizeH="0" baseline="0">
                <a:effectLst/>
              </a:rPr>
              <a:t>Evolução Quantitativo Ativo permanente/Cedido/anistiado</a:t>
            </a:r>
            <a:endParaRPr lang="pt-BR" sz="1000"/>
          </a:p>
        </c:rich>
      </c:tx>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3.4876147236758109E-2"/>
          <c:y val="0.33460052493438325"/>
          <c:w val="0.93024770552648373"/>
          <c:h val="0.57054733158355209"/>
        </c:manualLayout>
      </c:layout>
      <c:lineChart>
        <c:grouping val="standard"/>
        <c:varyColors val="0"/>
        <c:ser>
          <c:idx val="0"/>
          <c:order val="0"/>
          <c:tx>
            <c:strRef>
              <c:f>'[1]ATIV-CED-ANIST'!$B$4:$D$4</c:f>
              <c:strCache>
                <c:ptCount val="1"/>
                <c:pt idx="0">
                  <c:v>Ativo Permanente</c:v>
                </c:pt>
              </c:strCache>
            </c:strRef>
          </c:tx>
          <c:spPr>
            <a:ln w="38100" cap="rnd">
              <a:solidFill>
                <a:schemeClr val="accent1"/>
              </a:solidFill>
              <a:round/>
            </a:ln>
            <a:effectLst/>
          </c:spPr>
          <c:marker>
            <c:symbol val="diamond"/>
            <c:size val="6"/>
            <c:spPr>
              <a:solidFill>
                <a:schemeClr val="accent1"/>
              </a:solidFill>
              <a:ln w="9525">
                <a:solidFill>
                  <a:schemeClr val="accent1"/>
                </a:solidFill>
                <a:round/>
              </a:ln>
              <a:effectLst/>
              <a:scene3d>
                <a:camera prst="orthographicFront"/>
                <a:lightRig rig="threePt" dir="t"/>
              </a:scene3d>
              <a:sp3d>
                <a:bevelT w="190500" h="38100"/>
              </a:sp3d>
            </c:spPr>
          </c:marker>
          <c:dLbls>
            <c:dLbl>
              <c:idx val="0"/>
              <c:layout>
                <c:manualLayout>
                  <c:x val="8.0620587280337684E-18"/>
                  <c:y val="-5.0925925925926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57-49D0-BC7D-F34E0249772D}"/>
                </c:ext>
              </c:extLst>
            </c:dLbl>
            <c:dLbl>
              <c:idx val="1"/>
              <c:layout>
                <c:manualLayout>
                  <c:x val="0"/>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57-49D0-BC7D-F34E0249772D}"/>
                </c:ext>
              </c:extLst>
            </c:dLbl>
            <c:dLbl>
              <c:idx val="2"/>
              <c:layout>
                <c:manualLayout>
                  <c:x val="-3.2248234912135074E-17"/>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57-49D0-BC7D-F34E0249772D}"/>
                </c:ext>
              </c:extLst>
            </c:dLbl>
            <c:dLbl>
              <c:idx val="3"/>
              <c:layout>
                <c:manualLayout>
                  <c:x val="0"/>
                  <c:y val="-6.01851851851852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57-49D0-BC7D-F34E0249772D}"/>
                </c:ext>
              </c:extLst>
            </c:dLbl>
            <c:dLbl>
              <c:idx val="4"/>
              <c:layout>
                <c:manualLayout>
                  <c:x val="-1.7590149516270889E-3"/>
                  <c:y val="-6.4814814814814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57-49D0-BC7D-F34E0249772D}"/>
                </c:ext>
              </c:extLst>
            </c:dLbl>
            <c:dLbl>
              <c:idx val="5"/>
              <c:layout>
                <c:manualLayout>
                  <c:x val="0"/>
                  <c:y val="-6.4814814814814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57-49D0-BC7D-F34E0249772D}"/>
                </c:ext>
              </c:extLst>
            </c:dLbl>
            <c:dLbl>
              <c:idx val="6"/>
              <c:layout>
                <c:manualLayout>
                  <c:x val="-6.4496469824270147E-17"/>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57-49D0-BC7D-F34E0249772D}"/>
                </c:ext>
              </c:extLst>
            </c:dLbl>
            <c:dLbl>
              <c:idx val="7"/>
              <c:layout>
                <c:manualLayout>
                  <c:x val="0"/>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457-49D0-BC7D-F34E0249772D}"/>
                </c:ext>
              </c:extLst>
            </c:dLbl>
            <c:dLbl>
              <c:idx val="8"/>
              <c:layout>
                <c:manualLayout>
                  <c:x val="0"/>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457-49D0-BC7D-F34E0249772D}"/>
                </c:ext>
              </c:extLst>
            </c:dLbl>
            <c:dLbl>
              <c:idx val="9"/>
              <c:layout>
                <c:manualLayout>
                  <c:x val="-3.5180299032543066E-3"/>
                  <c:y val="-9.2592592592592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457-49D0-BC7D-F34E0249772D}"/>
                </c:ext>
              </c:extLst>
            </c:dLbl>
            <c:dLbl>
              <c:idx val="10"/>
              <c:layout>
                <c:manualLayout>
                  <c:x val="0"/>
                  <c:y val="-7.870370370370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457-49D0-BC7D-F34E0249772D}"/>
                </c:ext>
              </c:extLst>
            </c:dLbl>
            <c:dLbl>
              <c:idx val="11"/>
              <c:layout>
                <c:manualLayout>
                  <c:x val="-5.2770448548812663E-3"/>
                  <c:y val="-9.25925925925926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57-49D0-BC7D-F34E024977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'[1]ATIV-CED-ANIST'!$A$6:$A$17</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'[1]ATIV-CED-ANIST'!$B$6:$B$17</c:f>
              <c:numCache>
                <c:formatCode>General</c:formatCode>
                <c:ptCount val="12"/>
                <c:pt idx="0">
                  <c:v>307</c:v>
                </c:pt>
                <c:pt idx="1">
                  <c:v>305</c:v>
                </c:pt>
                <c:pt idx="2">
                  <c:v>295</c:v>
                </c:pt>
                <c:pt idx="3">
                  <c:v>218</c:v>
                </c:pt>
                <c:pt idx="4">
                  <c:v>203</c:v>
                </c:pt>
                <c:pt idx="5">
                  <c:v>199</c:v>
                </c:pt>
                <c:pt idx="6">
                  <c:v>194</c:v>
                </c:pt>
                <c:pt idx="7">
                  <c:v>193</c:v>
                </c:pt>
                <c:pt idx="8">
                  <c:v>174</c:v>
                </c:pt>
                <c:pt idx="9">
                  <c:v>162</c:v>
                </c:pt>
                <c:pt idx="10">
                  <c:v>145</c:v>
                </c:pt>
                <c:pt idx="11">
                  <c:v>137</c:v>
                </c:pt>
              </c:numCache>
            </c:numRef>
          </c:val>
          <c:smooth val="0"/>
          <c:extLst>
            <c:ext xmlns:c16="http://schemas.microsoft.com/office/drawing/2014/chart" uri="{C3380CC4-5D6E-409C-BE32-E72D297353CC}">
              <c16:uniqueId val="{0000000C-C457-49D0-BC7D-F34E0249772D}"/>
            </c:ext>
          </c:extLst>
        </c:ser>
        <c:ser>
          <c:idx val="1"/>
          <c:order val="1"/>
          <c:tx>
            <c:strRef>
              <c:f>'[1]ATIV-CED-ANIST'!$E$4:$G$4</c:f>
              <c:strCache>
                <c:ptCount val="1"/>
                <c:pt idx="0">
                  <c:v>Cedido</c:v>
                </c:pt>
              </c:strCache>
            </c:strRef>
          </c:tx>
          <c:spPr>
            <a:ln w="38100" cap="rnd">
              <a:solidFill>
                <a:schemeClr val="accent2"/>
              </a:solidFill>
              <a:round/>
            </a:ln>
            <a:effectLst/>
          </c:spPr>
          <c:marker>
            <c:symbol val="square"/>
            <c:size val="6"/>
            <c:spPr>
              <a:solidFill>
                <a:schemeClr val="accent2"/>
              </a:solidFill>
              <a:ln w="9525">
                <a:solidFill>
                  <a:schemeClr val="accent2"/>
                </a:solidFill>
                <a:round/>
              </a:ln>
              <a:effectLst/>
              <a:scene3d>
                <a:camera prst="orthographicFront"/>
                <a:lightRig rig="threePt" dir="t"/>
              </a:scene3d>
              <a:sp3d>
                <a:bevelT w="190500" h="38100"/>
              </a:sp3d>
            </c:spPr>
          </c:marker>
          <c:dLbls>
            <c:dLbl>
              <c:idx val="0"/>
              <c:layout>
                <c:manualLayout>
                  <c:x val="-3.5180299032541778E-3"/>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57-49D0-BC7D-F34E0249772D}"/>
                </c:ext>
              </c:extLst>
            </c:dLbl>
            <c:dLbl>
              <c:idx val="1"/>
              <c:layout>
                <c:manualLayout>
                  <c:x val="0"/>
                  <c:y val="-8.3333333333333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457-49D0-BC7D-F34E0249772D}"/>
                </c:ext>
              </c:extLst>
            </c:dLbl>
            <c:dLbl>
              <c:idx val="2"/>
              <c:layout>
                <c:manualLayout>
                  <c:x val="-5.2770448548812984E-3"/>
                  <c:y val="-8.3333333333333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457-49D0-BC7D-F34E0249772D}"/>
                </c:ext>
              </c:extLst>
            </c:dLbl>
            <c:dLbl>
              <c:idx val="3"/>
              <c:layout>
                <c:manualLayout>
                  <c:x val="-5.2770448548812663E-3"/>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57-49D0-BC7D-F34E0249772D}"/>
                </c:ext>
              </c:extLst>
            </c:dLbl>
            <c:dLbl>
              <c:idx val="4"/>
              <c:layout>
                <c:manualLayout>
                  <c:x val="-1.7590149516270889E-3"/>
                  <c:y val="-5.5555555555555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457-49D0-BC7D-F34E0249772D}"/>
                </c:ext>
              </c:extLst>
            </c:dLbl>
            <c:dLbl>
              <c:idx val="5"/>
              <c:layout>
                <c:manualLayout>
                  <c:x val="0"/>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457-49D0-BC7D-F34E0249772D}"/>
                </c:ext>
              </c:extLst>
            </c:dLbl>
            <c:dLbl>
              <c:idx val="6"/>
              <c:layout>
                <c:manualLayout>
                  <c:x val="-6.4496469824270147E-17"/>
                  <c:y val="-4.62962962962964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457-49D0-BC7D-F34E0249772D}"/>
                </c:ext>
              </c:extLst>
            </c:dLbl>
            <c:dLbl>
              <c:idx val="7"/>
              <c:layout>
                <c:manualLayout>
                  <c:x val="0"/>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457-49D0-BC7D-F34E0249772D}"/>
                </c:ext>
              </c:extLst>
            </c:dLbl>
            <c:dLbl>
              <c:idx val="8"/>
              <c:layout>
                <c:manualLayout>
                  <c:x val="0"/>
                  <c:y val="-5.0925925925926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457-49D0-BC7D-F34E0249772D}"/>
                </c:ext>
              </c:extLst>
            </c:dLbl>
            <c:dLbl>
              <c:idx val="9"/>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457-49D0-BC7D-F34E0249772D}"/>
                </c:ext>
              </c:extLst>
            </c:dLbl>
            <c:dLbl>
              <c:idx val="10"/>
              <c:layout>
                <c:manualLayout>
                  <c:x val="0"/>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457-49D0-BC7D-F34E0249772D}"/>
                </c:ext>
              </c:extLst>
            </c:dLbl>
            <c:dLbl>
              <c:idx val="11"/>
              <c:layout>
                <c:manualLayout>
                  <c:x val="-1.2899293964854029E-16"/>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457-49D0-BC7D-F34E024977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'[1]ATIV-CED-ANIST'!$A$6:$A$17</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'[1]ATIV-CED-ANIST'!$E$6:$E$17</c:f>
              <c:numCache>
                <c:formatCode>General</c:formatCode>
                <c:ptCount val="12"/>
                <c:pt idx="0">
                  <c:v>100</c:v>
                </c:pt>
                <c:pt idx="1">
                  <c:v>100</c:v>
                </c:pt>
                <c:pt idx="2">
                  <c:v>94</c:v>
                </c:pt>
                <c:pt idx="3">
                  <c:v>97</c:v>
                </c:pt>
                <c:pt idx="4">
                  <c:v>95</c:v>
                </c:pt>
                <c:pt idx="5">
                  <c:v>86</c:v>
                </c:pt>
                <c:pt idx="6">
                  <c:v>76</c:v>
                </c:pt>
                <c:pt idx="7">
                  <c:v>67</c:v>
                </c:pt>
                <c:pt idx="8">
                  <c:v>62</c:v>
                </c:pt>
                <c:pt idx="9">
                  <c:v>58</c:v>
                </c:pt>
                <c:pt idx="10">
                  <c:v>47</c:v>
                </c:pt>
                <c:pt idx="11">
                  <c:v>32</c:v>
                </c:pt>
              </c:numCache>
            </c:numRef>
          </c:val>
          <c:smooth val="0"/>
          <c:extLst>
            <c:ext xmlns:c16="http://schemas.microsoft.com/office/drawing/2014/chart" uri="{C3380CC4-5D6E-409C-BE32-E72D297353CC}">
              <c16:uniqueId val="{00000019-C457-49D0-BC7D-F34E0249772D}"/>
            </c:ext>
          </c:extLst>
        </c:ser>
        <c:ser>
          <c:idx val="2"/>
          <c:order val="2"/>
          <c:tx>
            <c:strRef>
              <c:f>'[1]ATIV-CED-ANIST'!$H$4:$J$4</c:f>
              <c:strCache>
                <c:ptCount val="1"/>
                <c:pt idx="0">
                  <c:v>Anistiado</c:v>
                </c:pt>
              </c:strCache>
            </c:strRef>
          </c:tx>
          <c:spPr>
            <a:ln w="38100" cap="rnd">
              <a:solidFill>
                <a:schemeClr val="accent3"/>
              </a:solidFill>
              <a:round/>
            </a:ln>
            <a:effectLst/>
          </c:spPr>
          <c:marker>
            <c:symbol val="triangle"/>
            <c:size val="6"/>
            <c:spPr>
              <a:solidFill>
                <a:schemeClr val="accent3"/>
              </a:solidFill>
              <a:ln w="9525">
                <a:solidFill>
                  <a:schemeClr val="accent3"/>
                </a:solidFill>
                <a:round/>
              </a:ln>
              <a:effectLst/>
              <a:scene3d>
                <a:camera prst="orthographicFront"/>
                <a:lightRig rig="threePt" dir="t"/>
              </a:scene3d>
              <a:sp3d>
                <a:bevelT w="190500" h="38100"/>
              </a:sp3d>
            </c:spPr>
          </c:marker>
          <c:dLbls>
            <c:dLbl>
              <c:idx val="0"/>
              <c:layout>
                <c:manualLayout>
                  <c:x val="-5.277044854881275E-3"/>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457-49D0-BC7D-F34E0249772D}"/>
                </c:ext>
              </c:extLst>
            </c:dLbl>
            <c:dLbl>
              <c:idx val="1"/>
              <c:layout>
                <c:manualLayout>
                  <c:x val="-1.7590149516270904E-2"/>
                  <c:y val="-8.3333333333333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457-49D0-BC7D-F34E0249772D}"/>
                </c:ext>
              </c:extLst>
            </c:dLbl>
            <c:dLbl>
              <c:idx val="2"/>
              <c:layout>
                <c:manualLayout>
                  <c:x val="-1.0554089709762566E-2"/>
                  <c:y val="-8.7962962962963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457-49D0-BC7D-F34E0249772D}"/>
                </c:ext>
              </c:extLst>
            </c:dLbl>
            <c:dLbl>
              <c:idx val="3"/>
              <c:layout>
                <c:manualLayout>
                  <c:x val="-1.4072050360459561E-2"/>
                  <c:y val="-9.2592410323709573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15:layout>
                    <c:manualLayout>
                      <c:w val="3.4617414248021103E-2"/>
                      <c:h val="0.10641221930592007"/>
                    </c:manualLayout>
                  </c15:layout>
                </c:ext>
                <c:ext xmlns:c16="http://schemas.microsoft.com/office/drawing/2014/chart" uri="{C3380CC4-5D6E-409C-BE32-E72D297353CC}">
                  <c16:uniqueId val="{0000001D-C457-49D0-BC7D-F34E0249772D}"/>
                </c:ext>
              </c:extLst>
            </c:dLbl>
            <c:dLbl>
              <c:idx val="4"/>
              <c:layout>
                <c:manualLayout>
                  <c:x val="-1.2313104661389622E-2"/>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457-49D0-BC7D-F34E0249772D}"/>
                </c:ext>
              </c:extLst>
            </c:dLbl>
            <c:dLbl>
              <c:idx val="5"/>
              <c:layout>
                <c:manualLayout>
                  <c:x val="-1.9349164467898042E-2"/>
                  <c:y val="-8.3333333333333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457-49D0-BC7D-F34E0249772D}"/>
                </c:ext>
              </c:extLst>
            </c:dLbl>
            <c:dLbl>
              <c:idx val="6"/>
              <c:layout>
                <c:manualLayout>
                  <c:x val="-8.795074758135445E-3"/>
                  <c:y val="-7.87037037037037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457-49D0-BC7D-F34E0249772D}"/>
                </c:ext>
              </c:extLst>
            </c:dLbl>
            <c:dLbl>
              <c:idx val="7"/>
              <c:layout>
                <c:manualLayout>
                  <c:x val="-8.795074758135445E-3"/>
                  <c:y val="-6.9444444444444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457-49D0-BC7D-F34E0249772D}"/>
                </c:ext>
              </c:extLst>
            </c:dLbl>
            <c:dLbl>
              <c:idx val="8"/>
              <c:layout>
                <c:manualLayout>
                  <c:x val="-1.0554089709762533E-2"/>
                  <c:y val="-9.7222222222222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457-49D0-BC7D-F34E0249772D}"/>
                </c:ext>
              </c:extLst>
            </c:dLbl>
            <c:dLbl>
              <c:idx val="9"/>
              <c:layout>
                <c:manualLayout>
                  <c:x val="-1.2313104661389622E-2"/>
                  <c:y val="-9.7222222222222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457-49D0-BC7D-F34E0249772D}"/>
                </c:ext>
              </c:extLst>
            </c:dLbl>
            <c:dLbl>
              <c:idx val="10"/>
              <c:layout>
                <c:manualLayout>
                  <c:x val="-1.5831134564643801E-2"/>
                  <c:y val="-9.7222222222222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457-49D0-BC7D-F34E0249772D}"/>
                </c:ext>
              </c:extLst>
            </c:dLbl>
            <c:dLbl>
              <c:idx val="11"/>
              <c:layout>
                <c:manualLayout>
                  <c:x val="-1.759014951627089E-2"/>
                  <c:y val="-7.4074074074074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457-49D0-BC7D-F34E024977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'[1]ATIV-CED-ANIST'!$A$6:$A$17</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'[1]ATIV-CED-ANIST'!$H$6:$H$17</c:f>
              <c:numCache>
                <c:formatCode>General</c:formatCode>
                <c:ptCount val="12"/>
                <c:pt idx="0">
                  <c:v>419</c:v>
                </c:pt>
                <c:pt idx="1">
                  <c:v>437</c:v>
                </c:pt>
                <c:pt idx="2">
                  <c:v>438</c:v>
                </c:pt>
                <c:pt idx="3">
                  <c:v>519</c:v>
                </c:pt>
                <c:pt idx="4">
                  <c:v>538</c:v>
                </c:pt>
                <c:pt idx="5">
                  <c:v>546</c:v>
                </c:pt>
                <c:pt idx="6">
                  <c:v>556</c:v>
                </c:pt>
                <c:pt idx="7">
                  <c:v>561</c:v>
                </c:pt>
                <c:pt idx="8">
                  <c:v>548</c:v>
                </c:pt>
                <c:pt idx="9">
                  <c:v>529</c:v>
                </c:pt>
                <c:pt idx="10">
                  <c:v>529</c:v>
                </c:pt>
                <c:pt idx="11">
                  <c:v>499</c:v>
                </c:pt>
              </c:numCache>
            </c:numRef>
          </c:val>
          <c:smooth val="0"/>
          <c:extLst>
            <c:ext xmlns:c16="http://schemas.microsoft.com/office/drawing/2014/chart" uri="{C3380CC4-5D6E-409C-BE32-E72D297353CC}">
              <c16:uniqueId val="{00000026-C457-49D0-BC7D-F34E0249772D}"/>
            </c:ext>
          </c:extLst>
        </c:ser>
        <c:dLbls>
          <c:showLegendKey val="0"/>
          <c:showVal val="0"/>
          <c:showCatName val="0"/>
          <c:showSerName val="0"/>
          <c:showPercent val="0"/>
          <c:showBubbleSize val="0"/>
        </c:dLbls>
        <c:marker val="1"/>
        <c:smooth val="0"/>
        <c:axId val="87922176"/>
        <c:axId val="87923712"/>
      </c:lineChart>
      <c:catAx>
        <c:axId val="87922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pt-BR"/>
          </a:p>
        </c:txPr>
        <c:crossAx val="87923712"/>
        <c:crosses val="autoZero"/>
        <c:auto val="1"/>
        <c:lblAlgn val="ctr"/>
        <c:lblOffset val="100"/>
        <c:noMultiLvlLbl val="0"/>
      </c:catAx>
      <c:valAx>
        <c:axId val="87923712"/>
        <c:scaling>
          <c:orientation val="minMax"/>
        </c:scaling>
        <c:delete val="1"/>
        <c:axPos val="l"/>
        <c:numFmt formatCode="General" sourceLinked="1"/>
        <c:majorTickMark val="none"/>
        <c:minorTickMark val="none"/>
        <c:tickLblPos val="nextTo"/>
        <c:crossAx val="87922176"/>
        <c:crosses val="autoZero"/>
        <c:crossBetween val="between"/>
      </c:valAx>
      <c:spPr>
        <a:noFill/>
        <a:ln>
          <a:noFill/>
        </a:ln>
        <a:effectLst/>
      </c:spPr>
    </c:plotArea>
    <c:legend>
      <c:legendPos val="t"/>
      <c:layout>
        <c:manualLayout>
          <c:xMode val="edge"/>
          <c:yMode val="edge"/>
          <c:x val="5.7017987430470284E-2"/>
          <c:y val="0.17731481481481481"/>
          <c:w val="0.91870740928026196"/>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pt-BR" sz="1000" b="1" i="0" baseline="0">
                <a:effectLst/>
              </a:rPr>
              <a:t>Evolução Quantitativo Aposentado/Beneficiário de Pensão</a:t>
            </a:r>
            <a:endParaRPr lang="pt-BR" sz="1000">
              <a:effectLst/>
            </a:endParaRPr>
          </a:p>
        </c:rich>
      </c:tx>
      <c:layout>
        <c:manualLayout>
          <c:xMode val="edge"/>
          <c:yMode val="edge"/>
          <c:x val="9.3907284768211918E-2"/>
          <c:y val="2.0050122147870126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3.1977149682771565E-2"/>
          <c:y val="0.38916939448706445"/>
          <c:w val="0.92965027069790251"/>
          <c:h val="0.43542157288160349"/>
        </c:manualLayout>
      </c:layout>
      <c:lineChart>
        <c:grouping val="standard"/>
        <c:varyColors val="0"/>
        <c:ser>
          <c:idx val="0"/>
          <c:order val="0"/>
          <c:tx>
            <c:strRef>
              <c:f>'[1]APOS-PENS'!$B$4:$D$4</c:f>
              <c:strCache>
                <c:ptCount val="1"/>
                <c:pt idx="0">
                  <c:v>APOSENTADO</c:v>
                </c:pt>
              </c:strCache>
            </c:strRef>
          </c:tx>
          <c:spPr>
            <a:ln w="38100" cap="rnd">
              <a:solidFill>
                <a:schemeClr val="accent1"/>
              </a:solidFill>
              <a:round/>
            </a:ln>
            <a:effectLst/>
          </c:spPr>
          <c:marker>
            <c:symbol val="diamond"/>
            <c:size val="6"/>
            <c:spPr>
              <a:solidFill>
                <a:schemeClr val="accent1"/>
              </a:solidFill>
              <a:ln w="9525">
                <a:solidFill>
                  <a:schemeClr val="accent1"/>
                </a:solidFill>
                <a:round/>
              </a:ln>
              <a:effectLst/>
              <a:scene3d>
                <a:camera prst="orthographicFront"/>
                <a:lightRig rig="threePt" dir="t"/>
              </a:scene3d>
              <a:sp3d>
                <a:bevelT w="190500" h="38100"/>
              </a:sp3d>
            </c:spPr>
          </c:marker>
          <c:dLbls>
            <c:dLbl>
              <c:idx val="0"/>
              <c:layout>
                <c:manualLayout>
                  <c:x val="-5.7558869428988815E-2"/>
                  <c:y val="9.17548205536527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48-4592-9F21-3CC98BC18400}"/>
                </c:ext>
              </c:extLst>
            </c:dLbl>
            <c:dLbl>
              <c:idx val="1"/>
              <c:layout>
                <c:manualLayout>
                  <c:x val="-3.8372579619325879E-2"/>
                  <c:y val="7.57417775699438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48-4592-9F21-3CC98BC18400}"/>
                </c:ext>
              </c:extLst>
            </c:dLbl>
            <c:dLbl>
              <c:idx val="2"/>
              <c:layout>
                <c:manualLayout>
                  <c:x val="-3.1977149682771565E-2"/>
                  <c:y val="6.63762608709084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48-4592-9F21-3CC98BC18400}"/>
                </c:ext>
              </c:extLst>
            </c:dLbl>
            <c:dLbl>
              <c:idx val="3"/>
              <c:layout>
                <c:manualLayout>
                  <c:x val="-4.4995122855201929E-2"/>
                  <c:y val="5.88047161451860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48-4592-9F21-3CC98BC18400}"/>
                </c:ext>
              </c:extLst>
            </c:dLbl>
            <c:dLbl>
              <c:idx val="4"/>
              <c:layout>
                <c:manualLayout>
                  <c:x val="-5.1163439492434508E-2"/>
                  <c:y val="7.0386191962724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48-4592-9F21-3CC98BC18400}"/>
                </c:ext>
              </c:extLst>
            </c:dLbl>
            <c:dLbl>
              <c:idx val="5"/>
              <c:layout>
                <c:manualLayout>
                  <c:x val="-4.7965724524157351E-2"/>
                  <c:y val="6.3263315765748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48-4592-9F21-3CC98BC18400}"/>
                </c:ext>
              </c:extLst>
            </c:dLbl>
            <c:dLbl>
              <c:idx val="6"/>
              <c:layout>
                <c:manualLayout>
                  <c:x val="-4.4768009555880194E-2"/>
                  <c:y val="6.3263315765748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48-4592-9F21-3CC98BC18400}"/>
                </c:ext>
              </c:extLst>
            </c:dLbl>
            <c:dLbl>
              <c:idx val="7"/>
              <c:layout>
                <c:manualLayout>
                  <c:x val="-4.4768009555880194E-2"/>
                  <c:y val="6.2365978708255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48-4592-9F21-3CC98BC18400}"/>
                </c:ext>
              </c:extLst>
            </c:dLbl>
            <c:dLbl>
              <c:idx val="8"/>
              <c:layout>
                <c:manualLayout>
                  <c:x val="-4.278769237276997E-2"/>
                  <c:y val="7.12831779493812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48-4592-9F21-3CC98BC18400}"/>
                </c:ext>
              </c:extLst>
            </c:dLbl>
            <c:dLbl>
              <c:idx val="9"/>
              <c:layout>
                <c:manualLayout>
                  <c:x val="-4.4995122855201929E-2"/>
                  <c:y val="6.94888549052319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48-4592-9F21-3CC98BC18400}"/>
                </c:ext>
              </c:extLst>
            </c:dLbl>
            <c:dLbl>
              <c:idx val="10"/>
              <c:layout>
                <c:manualLayout>
                  <c:x val="-3.7609408432802409E-2"/>
                  <c:y val="7.43961230545409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48-4592-9F21-3CC98BC18400}"/>
                </c:ext>
              </c:extLst>
            </c:dLbl>
            <c:dLbl>
              <c:idx val="11"/>
              <c:layout>
                <c:manualLayout>
                  <c:x val="-2.5581719746217254E-2"/>
                  <c:y val="7.4844791583287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48-4592-9F21-3CC98BC1840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'[1]APOS-PENS'!$A$6:$A$17</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'[1]APOS-PENS'!$B$6:$B$17</c:f>
              <c:numCache>
                <c:formatCode>General</c:formatCode>
                <c:ptCount val="12"/>
                <c:pt idx="0">
                  <c:v>845</c:v>
                </c:pt>
                <c:pt idx="1">
                  <c:v>816</c:v>
                </c:pt>
                <c:pt idx="2">
                  <c:v>793</c:v>
                </c:pt>
                <c:pt idx="3">
                  <c:v>765</c:v>
                </c:pt>
                <c:pt idx="4">
                  <c:v>727</c:v>
                </c:pt>
                <c:pt idx="5">
                  <c:v>696</c:v>
                </c:pt>
                <c:pt idx="6">
                  <c:v>681</c:v>
                </c:pt>
                <c:pt idx="7">
                  <c:v>660</c:v>
                </c:pt>
                <c:pt idx="8">
                  <c:v>650</c:v>
                </c:pt>
                <c:pt idx="9">
                  <c:v>633</c:v>
                </c:pt>
                <c:pt idx="10">
                  <c:v>636</c:v>
                </c:pt>
                <c:pt idx="11">
                  <c:v>613</c:v>
                </c:pt>
              </c:numCache>
            </c:numRef>
          </c:val>
          <c:smooth val="0"/>
          <c:extLst>
            <c:ext xmlns:c16="http://schemas.microsoft.com/office/drawing/2014/chart" uri="{C3380CC4-5D6E-409C-BE32-E72D297353CC}">
              <c16:uniqueId val="{0000000C-5048-4592-9F21-3CC98BC18400}"/>
            </c:ext>
          </c:extLst>
        </c:ser>
        <c:ser>
          <c:idx val="1"/>
          <c:order val="1"/>
          <c:tx>
            <c:strRef>
              <c:f>'[1]APOS-PENS'!$E$4:$G$4</c:f>
              <c:strCache>
                <c:ptCount val="1"/>
                <c:pt idx="0">
                  <c:v>BENEFICIÁRIO DE PENSÃO</c:v>
                </c:pt>
              </c:strCache>
            </c:strRef>
          </c:tx>
          <c:spPr>
            <a:ln w="38100" cap="rnd">
              <a:solidFill>
                <a:schemeClr val="accent2"/>
              </a:solidFill>
              <a:round/>
            </a:ln>
            <a:effectLst/>
          </c:spPr>
          <c:marker>
            <c:symbol val="square"/>
            <c:size val="6"/>
            <c:spPr>
              <a:solidFill>
                <a:schemeClr val="accent2"/>
              </a:solidFill>
              <a:ln w="9525">
                <a:solidFill>
                  <a:schemeClr val="accent2"/>
                </a:solidFill>
                <a:round/>
              </a:ln>
              <a:effectLst/>
              <a:scene3d>
                <a:camera prst="orthographicFront"/>
                <a:lightRig rig="threePt" dir="t"/>
              </a:scene3d>
              <a:sp3d>
                <a:bevelT w="190500" h="38100"/>
              </a:sp3d>
            </c:spPr>
          </c:marker>
          <c:dLbls>
            <c:dLbl>
              <c:idx val="0"/>
              <c:layout>
                <c:manualLayout>
                  <c:x val="-3.22042629820933E-2"/>
                  <c:y val="-8.42106593531590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48-4592-9F21-3CC98BC18400}"/>
                </c:ext>
              </c:extLst>
            </c:dLbl>
            <c:dLbl>
              <c:idx val="1"/>
              <c:layout>
                <c:manualLayout>
                  <c:x val="-3.1977149682771565E-2"/>
                  <c:y val="-8.82205904449752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048-4592-9F21-3CC98BC18400}"/>
                </c:ext>
              </c:extLst>
            </c:dLbl>
            <c:dLbl>
              <c:idx val="2"/>
              <c:layout>
                <c:manualLayout>
                  <c:x val="-3.5174864651048722E-2"/>
                  <c:y val="-8.4658976811069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048-4592-9F21-3CC98BC18400}"/>
                </c:ext>
              </c:extLst>
            </c:dLbl>
            <c:dLbl>
              <c:idx val="3"/>
              <c:layout>
                <c:manualLayout>
                  <c:x val="-4.1797407886924771E-2"/>
                  <c:y val="-7.21805150068739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048-4592-9F21-3CC98BC18400}"/>
                </c:ext>
              </c:extLst>
            </c:dLbl>
            <c:dLbl>
              <c:idx val="4"/>
              <c:layout>
                <c:manualLayout>
                  <c:x val="-4.4768009555880194E-2"/>
                  <c:y val="-7.57417775699438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048-4592-9F21-3CC98BC18400}"/>
                </c:ext>
              </c:extLst>
            </c:dLbl>
            <c:dLbl>
              <c:idx val="5"/>
              <c:layout>
                <c:manualLayout>
                  <c:x val="-3.8372579619325879E-2"/>
                  <c:y val="-8.8220941515811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048-4592-9F21-3CC98BC18400}"/>
                </c:ext>
              </c:extLst>
            </c:dLbl>
            <c:dLbl>
              <c:idx val="6"/>
              <c:layout>
                <c:manualLayout>
                  <c:x val="-3.5174864651048722E-2"/>
                  <c:y val="-8.4210659353158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048-4592-9F21-3CC98BC18400}"/>
                </c:ext>
              </c:extLst>
            </c:dLbl>
            <c:dLbl>
              <c:idx val="7"/>
              <c:layout>
                <c:manualLayout>
                  <c:x val="-3.8372579619325879E-2"/>
                  <c:y val="-8.42106593531590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048-4592-9F21-3CC98BC18400}"/>
                </c:ext>
              </c:extLst>
            </c:dLbl>
            <c:dLbl>
              <c:idx val="8"/>
              <c:layout>
                <c:manualLayout>
                  <c:x val="-3.6619123946957211E-2"/>
                  <c:y val="-8.42106593531590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048-4592-9F21-3CC98BC18400}"/>
                </c:ext>
              </c:extLst>
            </c:dLbl>
            <c:dLbl>
              <c:idx val="9"/>
              <c:layout>
                <c:manualLayout>
                  <c:x val="-4.4231951668678458E-2"/>
                  <c:y val="-8.42106593531590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048-4592-9F21-3CC98BC18400}"/>
                </c:ext>
              </c:extLst>
            </c:dLbl>
            <c:dLbl>
              <c:idx val="10"/>
              <c:layout>
                <c:manualLayout>
                  <c:x val="-4.5222236154523657E-2"/>
                  <c:y val="-9.1781853008045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048-4592-9F21-3CC98BC18400}"/>
                </c:ext>
              </c:extLst>
            </c:dLbl>
            <c:dLbl>
              <c:idx val="11"/>
              <c:layout>
                <c:manualLayout>
                  <c:x val="-3.585620454901392E-2"/>
                  <c:y val="-8.28646537669198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048-4592-9F21-3CC98BC1840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'[1]APOS-PENS'!$A$6:$A$17</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'[1]APOS-PENS'!$E$6:$E$17</c:f>
              <c:numCache>
                <c:formatCode>General</c:formatCode>
                <c:ptCount val="12"/>
                <c:pt idx="0">
                  <c:v>833</c:v>
                </c:pt>
                <c:pt idx="1">
                  <c:v>826</c:v>
                </c:pt>
                <c:pt idx="2">
                  <c:v>815</c:v>
                </c:pt>
                <c:pt idx="3">
                  <c:v>802</c:v>
                </c:pt>
                <c:pt idx="4">
                  <c:v>796</c:v>
                </c:pt>
                <c:pt idx="5">
                  <c:v>788</c:v>
                </c:pt>
                <c:pt idx="6">
                  <c:v>768</c:v>
                </c:pt>
                <c:pt idx="7">
                  <c:v>755</c:v>
                </c:pt>
                <c:pt idx="8">
                  <c:v>722</c:v>
                </c:pt>
                <c:pt idx="9">
                  <c:v>697</c:v>
                </c:pt>
                <c:pt idx="10">
                  <c:v>675</c:v>
                </c:pt>
                <c:pt idx="11">
                  <c:v>649</c:v>
                </c:pt>
              </c:numCache>
            </c:numRef>
          </c:val>
          <c:smooth val="0"/>
          <c:extLst>
            <c:ext xmlns:c16="http://schemas.microsoft.com/office/drawing/2014/chart" uri="{C3380CC4-5D6E-409C-BE32-E72D297353CC}">
              <c16:uniqueId val="{00000019-5048-4592-9F21-3CC98BC18400}"/>
            </c:ext>
          </c:extLst>
        </c:ser>
        <c:dLbls>
          <c:showLegendKey val="0"/>
          <c:showVal val="0"/>
          <c:showCatName val="0"/>
          <c:showSerName val="0"/>
          <c:showPercent val="0"/>
          <c:showBubbleSize val="0"/>
        </c:dLbls>
        <c:marker val="1"/>
        <c:smooth val="0"/>
        <c:axId val="86213760"/>
        <c:axId val="86215296"/>
      </c:lineChart>
      <c:catAx>
        <c:axId val="86213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cap="all" spc="120" normalizeH="0" baseline="0">
                <a:solidFill>
                  <a:schemeClr val="tx1">
                    <a:lumMod val="65000"/>
                    <a:lumOff val="35000"/>
                  </a:schemeClr>
                </a:solidFill>
                <a:latin typeface="+mn-lt"/>
                <a:ea typeface="+mn-ea"/>
                <a:cs typeface="+mn-cs"/>
              </a:defRPr>
            </a:pPr>
            <a:endParaRPr lang="pt-BR"/>
          </a:p>
        </c:txPr>
        <c:crossAx val="86215296"/>
        <c:crosses val="autoZero"/>
        <c:auto val="1"/>
        <c:lblAlgn val="ctr"/>
        <c:lblOffset val="100"/>
        <c:noMultiLvlLbl val="0"/>
      </c:catAx>
      <c:valAx>
        <c:axId val="86215296"/>
        <c:scaling>
          <c:orientation val="minMax"/>
        </c:scaling>
        <c:delete val="1"/>
        <c:axPos val="l"/>
        <c:numFmt formatCode="General" sourceLinked="1"/>
        <c:majorTickMark val="none"/>
        <c:minorTickMark val="none"/>
        <c:tickLblPos val="nextTo"/>
        <c:crossAx val="86213760"/>
        <c:crosses val="autoZero"/>
        <c:crossBetween val="between"/>
      </c:valAx>
      <c:spPr>
        <a:noFill/>
        <a:ln>
          <a:noFill/>
        </a:ln>
        <a:effectLst/>
      </c:spPr>
    </c:plotArea>
    <c:legend>
      <c:legendPos val="t"/>
      <c:layout>
        <c:manualLayout>
          <c:xMode val="edge"/>
          <c:yMode val="edge"/>
          <c:x val="9.2264660294093234E-2"/>
          <c:y val="0.15358393565268516"/>
          <c:w val="0.7971218191813384"/>
          <c:h val="6.766963587399429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pt-BR" sz="1000" b="1" i="0" baseline="0">
                <a:effectLst/>
              </a:rPr>
              <a:t>Evolução Quantitativo Requisitado Empresa/Requisitado Órgãos/Sem Vínculo/Exercício Descentralizado/contrato temporário </a:t>
            </a:r>
            <a:endParaRPr lang="pt-BR" sz="1000">
              <a:effectLst/>
            </a:endParaRPr>
          </a:p>
        </c:rich>
      </c:tx>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3.6749523105509954E-2"/>
          <c:y val="0.26509288736945047"/>
          <c:w val="0.9296712629783831"/>
          <c:h val="0.64141699075242886"/>
        </c:manualLayout>
      </c:layout>
      <c:lineChart>
        <c:grouping val="standard"/>
        <c:varyColors val="0"/>
        <c:ser>
          <c:idx val="0"/>
          <c:order val="0"/>
          <c:tx>
            <c:strRef>
              <c:f>'[1]REQ-SVINC-EXDESC'!$B$4:$D$4</c:f>
              <c:strCache>
                <c:ptCount val="1"/>
                <c:pt idx="0">
                  <c:v>REQUISITADO DE EMPRESA</c:v>
                </c:pt>
              </c:strCache>
            </c:strRef>
          </c:tx>
          <c:spPr>
            <a:ln w="38100" cap="rnd">
              <a:solidFill>
                <a:schemeClr val="accent1"/>
              </a:solidFill>
              <a:round/>
            </a:ln>
            <a:effectLst/>
          </c:spPr>
          <c:marker>
            <c:symbol val="diamond"/>
            <c:size val="6"/>
            <c:spPr>
              <a:solidFill>
                <a:schemeClr val="accent1"/>
              </a:solidFill>
              <a:ln w="9525">
                <a:solidFill>
                  <a:schemeClr val="accent1"/>
                </a:solidFill>
                <a:round/>
              </a:ln>
              <a:effectLst/>
              <a:scene3d>
                <a:camera prst="orthographicFront"/>
                <a:lightRig rig="threePt" dir="t"/>
              </a:scene3d>
              <a:sp3d>
                <a:bevelT w="190500" h="38100"/>
              </a:sp3d>
            </c:spPr>
          </c:marker>
          <c:dLbls>
            <c:dLbl>
              <c:idx val="0"/>
              <c:layout>
                <c:manualLayout>
                  <c:x val="-4.3913219059433649E-2"/>
                  <c:y val="-6.63286512771872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7E-468A-8252-9331EFCD3F91}"/>
                </c:ext>
              </c:extLst>
            </c:dLbl>
            <c:dLbl>
              <c:idx val="1"/>
              <c:layout>
                <c:manualLayout>
                  <c:x val="-2.2262762524949561E-2"/>
                  <c:y val="-4.64602530466700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7E-468A-8252-9331EFCD3F91}"/>
                </c:ext>
              </c:extLst>
            </c:dLbl>
            <c:dLbl>
              <c:idx val="2"/>
              <c:layout>
                <c:manualLayout>
                  <c:x val="-4.8261387655864797E-5"/>
                  <c:y val="-4.4219100851458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7E-468A-8252-9331EFCD3F91}"/>
                </c:ext>
              </c:extLst>
            </c:dLbl>
            <c:dLbl>
              <c:idx val="3"/>
              <c:layout>
                <c:manualLayout>
                  <c:x val="-1.0832442598386477E-2"/>
                  <c:y val="-5.2941507373105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7E-468A-8252-9331EFCD3F91}"/>
                </c:ext>
              </c:extLst>
            </c:dLbl>
            <c:dLbl>
              <c:idx val="4"/>
              <c:layout>
                <c:manualLayout>
                  <c:x val="-3.0981654868056516E-2"/>
                  <c:y val="-5.2227010708465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7E-468A-8252-9331EFCD3F91}"/>
                </c:ext>
              </c:extLst>
            </c:dLbl>
            <c:dLbl>
              <c:idx val="5"/>
              <c:layout>
                <c:manualLayout>
                  <c:x val="-3.0037987185026035E-2"/>
                  <c:y val="-5.3686083995743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7E-468A-8252-9331EFCD3F91}"/>
                </c:ext>
              </c:extLst>
            </c:dLbl>
            <c:dLbl>
              <c:idx val="6"/>
              <c:layout>
                <c:manualLayout>
                  <c:x val="-4.0561291547706213E-2"/>
                  <c:y val="-6.01743700006719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07E-468A-8252-9331EFCD3F91}"/>
                </c:ext>
              </c:extLst>
            </c:dLbl>
            <c:dLbl>
              <c:idx val="7"/>
              <c:layout>
                <c:manualLayout>
                  <c:x val="-4.4479917209330866E-2"/>
                  <c:y val="-5.8382463931395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07E-468A-8252-9331EFCD3F91}"/>
                </c:ext>
              </c:extLst>
            </c:dLbl>
            <c:dLbl>
              <c:idx val="8"/>
              <c:layout>
                <c:manualLayout>
                  <c:x val="-3.0607007188624908E-3"/>
                  <c:y val="-2.00199699669198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07E-468A-8252-9331EFCD3F91}"/>
                </c:ext>
              </c:extLst>
            </c:dLbl>
            <c:dLbl>
              <c:idx val="9"/>
              <c:layout>
                <c:manualLayout>
                  <c:x val="-4.8246461453497003E-3"/>
                  <c:y val="-3.2207040741545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07E-468A-8252-9331EFCD3F91}"/>
                </c:ext>
              </c:extLst>
            </c:dLbl>
            <c:dLbl>
              <c:idx val="10"/>
              <c:layout>
                <c:manualLayout>
                  <c:x val="-2.8214834489146579E-2"/>
                  <c:y val="-4.8223251104364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07E-468A-8252-9331EFCD3F91}"/>
                </c:ext>
              </c:extLst>
            </c:dLbl>
            <c:dLbl>
              <c:idx val="11"/>
              <c:layout>
                <c:manualLayout>
                  <c:x val="-1.2000690033435665E-3"/>
                  <c:y val="-5.35345122593408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07E-468A-8252-9331EFCD3F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'[1]REQ-SVINC-EXDESC'!$A$6:$A$17</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'[1]REQ-SVINC-EXDESC'!$B$6:$B$17</c:f>
              <c:numCache>
                <c:formatCode>General</c:formatCode>
                <c:ptCount val="12"/>
                <c:pt idx="0">
                  <c:v>47</c:v>
                </c:pt>
                <c:pt idx="1">
                  <c:v>45</c:v>
                </c:pt>
                <c:pt idx="2">
                  <c:v>49</c:v>
                </c:pt>
                <c:pt idx="3">
                  <c:v>52</c:v>
                </c:pt>
                <c:pt idx="4">
                  <c:v>48</c:v>
                </c:pt>
                <c:pt idx="5">
                  <c:v>43</c:v>
                </c:pt>
                <c:pt idx="6">
                  <c:v>41</c:v>
                </c:pt>
                <c:pt idx="7">
                  <c:v>26</c:v>
                </c:pt>
                <c:pt idx="8">
                  <c:v>20</c:v>
                </c:pt>
                <c:pt idx="9">
                  <c:v>12</c:v>
                </c:pt>
                <c:pt idx="10">
                  <c:v>9</c:v>
                </c:pt>
                <c:pt idx="11">
                  <c:v>5</c:v>
                </c:pt>
              </c:numCache>
            </c:numRef>
          </c:val>
          <c:smooth val="0"/>
          <c:extLst>
            <c:ext xmlns:c16="http://schemas.microsoft.com/office/drawing/2014/chart" uri="{C3380CC4-5D6E-409C-BE32-E72D297353CC}">
              <c16:uniqueId val="{0000000C-307E-468A-8252-9331EFCD3F91}"/>
            </c:ext>
          </c:extLst>
        </c:ser>
        <c:ser>
          <c:idx val="1"/>
          <c:order val="1"/>
          <c:tx>
            <c:strRef>
              <c:f>'[1]REQ-SVINC-EXDESC'!$E$4:$G$4</c:f>
              <c:strCache>
                <c:ptCount val="1"/>
                <c:pt idx="0">
                  <c:v>REQUISITADO ÓRGÃOS</c:v>
                </c:pt>
              </c:strCache>
            </c:strRef>
          </c:tx>
          <c:spPr>
            <a:ln w="38100" cap="rnd">
              <a:solidFill>
                <a:schemeClr val="accent2"/>
              </a:solidFill>
              <a:round/>
            </a:ln>
            <a:effectLst/>
          </c:spPr>
          <c:marker>
            <c:symbol val="square"/>
            <c:size val="6"/>
            <c:spPr>
              <a:solidFill>
                <a:schemeClr val="accent2"/>
              </a:solidFill>
              <a:ln w="9525">
                <a:solidFill>
                  <a:schemeClr val="accent2"/>
                </a:solidFill>
                <a:round/>
              </a:ln>
              <a:effectLst/>
              <a:scene3d>
                <a:camera prst="orthographicFront"/>
                <a:lightRig rig="threePt" dir="t"/>
              </a:scene3d>
              <a:sp3d>
                <a:bevelT w="190500" h="38100"/>
              </a:sp3d>
            </c:spPr>
          </c:marker>
          <c:dLbls>
            <c:dLbl>
              <c:idx val="0"/>
              <c:layout>
                <c:manualLayout>
                  <c:x val="-9.943338477344927E-3"/>
                  <c:y val="3.02924709474483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07E-468A-8252-9331EFCD3F91}"/>
                </c:ext>
              </c:extLst>
            </c:dLbl>
            <c:dLbl>
              <c:idx val="1"/>
              <c:layout>
                <c:manualLayout>
                  <c:x val="-1.1143405147715484E-2"/>
                  <c:y val="2.82032811374443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07E-468A-8252-9331EFCD3F91}"/>
                </c:ext>
              </c:extLst>
            </c:dLbl>
            <c:dLbl>
              <c:idx val="2"/>
              <c:layout>
                <c:manualLayout>
                  <c:x val="-7.8370854765563262E-3"/>
                  <c:y val="2.82032811374443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07E-468A-8252-9331EFCD3F91}"/>
                </c:ext>
              </c:extLst>
            </c:dLbl>
            <c:dLbl>
              <c:idx val="3"/>
              <c:layout>
                <c:manualLayout>
                  <c:x val="-7.8370854765563262E-3"/>
                  <c:y val="1.61912210275313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07E-468A-8252-9331EFCD3F91}"/>
                </c:ext>
              </c:extLst>
            </c:dLbl>
            <c:dLbl>
              <c:idx val="4"/>
              <c:layout>
                <c:manualLayout>
                  <c:x val="-2.7183931445610991E-3"/>
                  <c:y val="1.61912210275313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07E-468A-8252-9331EFCD3F91}"/>
                </c:ext>
              </c:extLst>
            </c:dLbl>
            <c:dLbl>
              <c:idx val="5"/>
              <c:layout>
                <c:manualLayout>
                  <c:x val="-3.2403240324032405E-2"/>
                  <c:y val="4.0040040040040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07E-468A-8252-9331EFCD3F91}"/>
                </c:ext>
              </c:extLst>
            </c:dLbl>
            <c:dLbl>
              <c:idx val="6"/>
              <c:layout>
                <c:manualLayout>
                  <c:x val="-4.8246461453497003E-3"/>
                  <c:y val="2.0194980631632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07E-468A-8252-9331EFCD3F91}"/>
                </c:ext>
              </c:extLst>
            </c:dLbl>
            <c:dLbl>
              <c:idx val="7"/>
              <c:layout>
                <c:manualLayout>
                  <c:x val="-4.440445696402702E-2"/>
                  <c:y val="2.5156220457184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07E-468A-8252-9331EFCD3F91}"/>
                </c:ext>
              </c:extLst>
            </c:dLbl>
            <c:dLbl>
              <c:idx val="8"/>
              <c:layout>
                <c:manualLayout>
                  <c:x val="-4.5050098139780566E-2"/>
                  <c:y val="-4.8101368677153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07E-468A-8252-9331EFCD3F91}"/>
                </c:ext>
              </c:extLst>
            </c:dLbl>
            <c:dLbl>
              <c:idx val="9"/>
              <c:layout>
                <c:manualLayout>
                  <c:x val="-3.5408932337036965E-2"/>
                  <c:y val="-4.9180340677010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07E-468A-8252-9331EFCD3F91}"/>
                </c:ext>
              </c:extLst>
            </c:dLbl>
            <c:dLbl>
              <c:idx val="10"/>
              <c:layout>
                <c:manualLayout>
                  <c:x val="-2.3442430052084155E-3"/>
                  <c:y val="2.50882475650859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07E-468A-8252-9331EFCD3F91}"/>
                </c:ext>
              </c:extLst>
            </c:dLbl>
            <c:dLbl>
              <c:idx val="11"/>
              <c:layout>
                <c:manualLayout>
                  <c:x val="1.494112857016103E-3"/>
                  <c:y val="1.0354537229612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07E-468A-8252-9331EFCD3F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'[1]REQ-SVINC-EXDESC'!$A$6:$A$17</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'[1]REQ-SVINC-EXDESC'!$E$6:$E$17</c:f>
              <c:numCache>
                <c:formatCode>General</c:formatCode>
                <c:ptCount val="12"/>
                <c:pt idx="0">
                  <c:v>34</c:v>
                </c:pt>
                <c:pt idx="1">
                  <c:v>30</c:v>
                </c:pt>
                <c:pt idx="2">
                  <c:v>32</c:v>
                </c:pt>
                <c:pt idx="3">
                  <c:v>30</c:v>
                </c:pt>
                <c:pt idx="4">
                  <c:v>32</c:v>
                </c:pt>
                <c:pt idx="5">
                  <c:v>37</c:v>
                </c:pt>
                <c:pt idx="6">
                  <c:v>32</c:v>
                </c:pt>
                <c:pt idx="7">
                  <c:v>28</c:v>
                </c:pt>
                <c:pt idx="8">
                  <c:v>37</c:v>
                </c:pt>
                <c:pt idx="9">
                  <c:v>40</c:v>
                </c:pt>
                <c:pt idx="10">
                  <c:v>62</c:v>
                </c:pt>
                <c:pt idx="11">
                  <c:v>71</c:v>
                </c:pt>
              </c:numCache>
            </c:numRef>
          </c:val>
          <c:smooth val="0"/>
          <c:extLst>
            <c:ext xmlns:c16="http://schemas.microsoft.com/office/drawing/2014/chart" uri="{C3380CC4-5D6E-409C-BE32-E72D297353CC}">
              <c16:uniqueId val="{00000019-307E-468A-8252-9331EFCD3F91}"/>
            </c:ext>
          </c:extLst>
        </c:ser>
        <c:ser>
          <c:idx val="2"/>
          <c:order val="2"/>
          <c:tx>
            <c:strRef>
              <c:f>'[1]REQ-SVINC-EXDESC'!$H$4:$J$4</c:f>
              <c:strCache>
                <c:ptCount val="1"/>
                <c:pt idx="0">
                  <c:v>SEM VÍNCULO</c:v>
                </c:pt>
              </c:strCache>
            </c:strRef>
          </c:tx>
          <c:spPr>
            <a:ln w="38100" cap="rnd">
              <a:solidFill>
                <a:schemeClr val="accent3"/>
              </a:solidFill>
              <a:round/>
            </a:ln>
            <a:effectLst/>
          </c:spPr>
          <c:marker>
            <c:symbol val="triangle"/>
            <c:size val="6"/>
            <c:spPr>
              <a:solidFill>
                <a:schemeClr val="accent3"/>
              </a:solidFill>
              <a:ln w="9525">
                <a:solidFill>
                  <a:schemeClr val="accent3"/>
                </a:solidFill>
                <a:round/>
              </a:ln>
              <a:effectLst/>
              <a:scene3d>
                <a:camera prst="orthographicFront"/>
                <a:lightRig rig="threePt" dir="t"/>
              </a:scene3d>
              <a:sp3d>
                <a:bevelT w="190500" h="38100"/>
              </a:sp3d>
            </c:spPr>
          </c:marker>
          <c:dLbls>
            <c:dLbl>
              <c:idx val="0"/>
              <c:layout>
                <c:manualLayout>
                  <c:x val="-3.1705588397052828E-2"/>
                  <c:y val="-6.005990990075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07E-468A-8252-9331EFCD3F91}"/>
                </c:ext>
              </c:extLst>
            </c:dLbl>
            <c:dLbl>
              <c:idx val="1"/>
              <c:layout>
                <c:manualLayout>
                  <c:x val="-2.1423491044918828E-2"/>
                  <c:y val="-5.2227010708465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07E-468A-8252-9331EFCD3F91}"/>
                </c:ext>
              </c:extLst>
            </c:dLbl>
            <c:dLbl>
              <c:idx val="2"/>
              <c:layout>
                <c:manualLayout>
                  <c:x val="-3.1705838047355168E-2"/>
                  <c:y val="-7.83407113871001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07E-468A-8252-9331EFCD3F91}"/>
                </c:ext>
              </c:extLst>
            </c:dLbl>
            <c:dLbl>
              <c:idx val="3"/>
              <c:layout>
                <c:manualLayout>
                  <c:x val="-3.4876147236758109E-2"/>
                  <c:y val="-6.4239070818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07E-468A-8252-9331EFCD3F91}"/>
                </c:ext>
              </c:extLst>
            </c:dLbl>
            <c:dLbl>
              <c:idx val="4"/>
              <c:layout>
                <c:manualLayout>
                  <c:x val="-3.8046706076463391E-2"/>
                  <c:y val="-7.91227902950336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07E-468A-8252-9331EFCD3F91}"/>
                </c:ext>
              </c:extLst>
            </c:dLbl>
            <c:dLbl>
              <c:idx val="5"/>
              <c:layout>
                <c:manualLayout>
                  <c:x val="-3.8046706076463335E-2"/>
                  <c:y val="-7.01577908653808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07E-468A-8252-9331EFCD3F91}"/>
                </c:ext>
              </c:extLst>
            </c:dLbl>
            <c:dLbl>
              <c:idx val="6"/>
              <c:layout>
                <c:manualLayout>
                  <c:x val="-3.4876147236758109E-2"/>
                  <c:y val="-7.4161550469481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307E-468A-8252-9331EFCD3F91}"/>
                </c:ext>
              </c:extLst>
            </c:dLbl>
            <c:dLbl>
              <c:idx val="7"/>
              <c:layout>
                <c:manualLayout>
                  <c:x val="-3.8046706076463391E-2"/>
                  <c:y val="-8.1212370753842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07E-468A-8252-9331EFCD3F91}"/>
                </c:ext>
              </c:extLst>
            </c:dLbl>
            <c:dLbl>
              <c:idx val="8"/>
              <c:layout>
                <c:manualLayout>
                  <c:x val="-5.1158839255912282E-2"/>
                  <c:y val="-7.72082205009367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307E-468A-8252-9331EFCD3F91}"/>
                </c:ext>
              </c:extLst>
            </c:dLbl>
            <c:dLbl>
              <c:idx val="9"/>
              <c:layout>
                <c:manualLayout>
                  <c:x val="-5.6299638281676938E-2"/>
                  <c:y val="-7.6076120263578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307E-468A-8252-9331EFCD3F91}"/>
                </c:ext>
              </c:extLst>
            </c:dLbl>
            <c:dLbl>
              <c:idx val="10"/>
              <c:layout>
                <c:manualLayout>
                  <c:x val="-5.7589082093257866E-2"/>
                  <c:y val="-8.21694603264886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307E-468A-8252-9331EFCD3F91}"/>
                </c:ext>
              </c:extLst>
            </c:dLbl>
            <c:dLbl>
              <c:idx val="11"/>
              <c:layout>
                <c:manualLayout>
                  <c:x val="-5.912967410899183E-2"/>
                  <c:y val="-7.01577908653808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307E-468A-8252-9331EFCD3F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'[1]REQ-SVINC-EXDESC'!$A$6:$A$17</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'[1]REQ-SVINC-EXDESC'!$H$6:$H$17</c:f>
              <c:numCache>
                <c:formatCode>General</c:formatCode>
                <c:ptCount val="12"/>
                <c:pt idx="0">
                  <c:v>161</c:v>
                </c:pt>
                <c:pt idx="1">
                  <c:v>158</c:v>
                </c:pt>
                <c:pt idx="2">
                  <c:v>148</c:v>
                </c:pt>
                <c:pt idx="3">
                  <c:v>150</c:v>
                </c:pt>
                <c:pt idx="4">
                  <c:v>150</c:v>
                </c:pt>
                <c:pt idx="5">
                  <c:v>154</c:v>
                </c:pt>
                <c:pt idx="6">
                  <c:v>152</c:v>
                </c:pt>
                <c:pt idx="7">
                  <c:v>129</c:v>
                </c:pt>
                <c:pt idx="8">
                  <c:v>137</c:v>
                </c:pt>
                <c:pt idx="9">
                  <c:v>138</c:v>
                </c:pt>
                <c:pt idx="10">
                  <c:v>125</c:v>
                </c:pt>
                <c:pt idx="11">
                  <c:v>119</c:v>
                </c:pt>
              </c:numCache>
            </c:numRef>
          </c:val>
          <c:smooth val="0"/>
          <c:extLst>
            <c:ext xmlns:c16="http://schemas.microsoft.com/office/drawing/2014/chart" uri="{C3380CC4-5D6E-409C-BE32-E72D297353CC}">
              <c16:uniqueId val="{00000026-307E-468A-8252-9331EFCD3F91}"/>
            </c:ext>
          </c:extLst>
        </c:ser>
        <c:ser>
          <c:idx val="3"/>
          <c:order val="3"/>
          <c:tx>
            <c:strRef>
              <c:f>'[1]REQ-SVINC-EXDESC'!$K$4:$M$4</c:f>
              <c:strCache>
                <c:ptCount val="1"/>
                <c:pt idx="0">
                  <c:v>EXERCÍCIO DESCENTRALIZADO</c:v>
                </c:pt>
              </c:strCache>
            </c:strRef>
          </c:tx>
          <c:spPr>
            <a:ln w="38100" cap="rnd">
              <a:solidFill>
                <a:schemeClr val="accent4"/>
              </a:solidFill>
              <a:round/>
            </a:ln>
            <a:effectLst/>
          </c:spPr>
          <c:marker>
            <c:symbol val="x"/>
            <c:size val="6"/>
            <c:spPr>
              <a:noFill/>
              <a:ln w="9525">
                <a:solidFill>
                  <a:schemeClr val="accent4"/>
                </a:solidFill>
                <a:round/>
              </a:ln>
              <a:effectLst/>
            </c:spPr>
          </c:marker>
          <c:dLbls>
            <c:dLbl>
              <c:idx val="0"/>
              <c:layout>
                <c:manualLayout>
                  <c:x val="-5.6454048442160551E-2"/>
                  <c:y val="1.052954789432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307E-468A-8252-9331EFCD3F91}"/>
                </c:ext>
              </c:extLst>
            </c:dLbl>
            <c:dLbl>
              <c:idx val="1"/>
              <c:layout>
                <c:manualLayout>
                  <c:x val="-4.2419106202417546E-2"/>
                  <c:y val="-6.4239070818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307E-468A-8252-9331EFCD3F91}"/>
                </c:ext>
              </c:extLst>
            </c:dLbl>
            <c:dLbl>
              <c:idx val="2"/>
              <c:layout>
                <c:manualLayout>
                  <c:x val="-2.1602160216021602E-2"/>
                  <c:y val="-0.100100100100100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307E-468A-8252-9331EFCD3F91}"/>
                </c:ext>
              </c:extLst>
            </c:dLbl>
            <c:dLbl>
              <c:idx val="3"/>
              <c:layout>
                <c:manualLayout>
                  <c:x val="-2.3521801836078115E-2"/>
                  <c:y val="4.098999782799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307E-468A-8252-9331EFCD3F91}"/>
                </c:ext>
              </c:extLst>
            </c:dLbl>
            <c:dLbl>
              <c:idx val="4"/>
              <c:layout>
                <c:manualLayout>
                  <c:x val="-3.5383557793011715E-2"/>
                  <c:y val="3.94328716906186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307E-468A-8252-9331EFCD3F91}"/>
                </c:ext>
              </c:extLst>
            </c:dLbl>
            <c:dLbl>
              <c:idx val="5"/>
              <c:layout>
                <c:manualLayout>
                  <c:x val="-4.9356307522888915E-2"/>
                  <c:y val="2.22775294119485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307E-468A-8252-9331EFCD3F91}"/>
                </c:ext>
              </c:extLst>
            </c:dLbl>
            <c:dLbl>
              <c:idx val="6"/>
              <c:layout>
                <c:manualLayout>
                  <c:x val="-5.3585066500377719E-2"/>
                  <c:y val="2.65238819240547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307E-468A-8252-9331EFCD3F91}"/>
                </c:ext>
              </c:extLst>
            </c:dLbl>
            <c:dLbl>
              <c:idx val="7"/>
              <c:layout>
                <c:manualLayout>
                  <c:x val="-5.3879776073795148E-2"/>
                  <c:y val="2.3356110762999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307E-468A-8252-9331EFCD3F91}"/>
                </c:ext>
              </c:extLst>
            </c:dLbl>
            <c:dLbl>
              <c:idx val="8"/>
              <c:layout>
                <c:manualLayout>
                  <c:x val="-5.3010739402603625E-2"/>
                  <c:y val="2.47007239503658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307E-468A-8252-9331EFCD3F91}"/>
                </c:ext>
              </c:extLst>
            </c:dLbl>
            <c:dLbl>
              <c:idx val="9"/>
              <c:layout>
                <c:manualLayout>
                  <c:x val="-5.8997473325632516E-2"/>
                  <c:y val="3.5253710773000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307E-468A-8252-9331EFCD3F91}"/>
                </c:ext>
              </c:extLst>
            </c:dLbl>
            <c:dLbl>
              <c:idx val="10"/>
              <c:layout>
                <c:manualLayout>
                  <c:x val="-4.6337566017349223E-2"/>
                  <c:y val="2.41991308845382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307E-468A-8252-9331EFCD3F91}"/>
                </c:ext>
              </c:extLst>
            </c:dLbl>
            <c:dLbl>
              <c:idx val="11"/>
              <c:layout>
                <c:manualLayout>
                  <c:x val="-3.0124393312066259E-3"/>
                  <c:y val="-2.2459571755153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307E-468A-8252-9331EFCD3F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'[1]REQ-SVINC-EXDESC'!$A$6:$A$17</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'[1]REQ-SVINC-EXDESC'!$K$6:$K$17</c:f>
              <c:numCache>
                <c:formatCode>General</c:formatCode>
                <c:ptCount val="12"/>
                <c:pt idx="0">
                  <c:v>37</c:v>
                </c:pt>
                <c:pt idx="1">
                  <c:v>85</c:v>
                </c:pt>
                <c:pt idx="2">
                  <c:v>66</c:v>
                </c:pt>
                <c:pt idx="3">
                  <c:v>138</c:v>
                </c:pt>
                <c:pt idx="4">
                  <c:v>133</c:v>
                </c:pt>
                <c:pt idx="5">
                  <c:v>118</c:v>
                </c:pt>
                <c:pt idx="6">
                  <c:v>109</c:v>
                </c:pt>
                <c:pt idx="7">
                  <c:v>105</c:v>
                </c:pt>
                <c:pt idx="8">
                  <c:v>104</c:v>
                </c:pt>
                <c:pt idx="9">
                  <c:v>102</c:v>
                </c:pt>
                <c:pt idx="10">
                  <c:v>95</c:v>
                </c:pt>
                <c:pt idx="11">
                  <c:v>88</c:v>
                </c:pt>
              </c:numCache>
            </c:numRef>
          </c:val>
          <c:smooth val="0"/>
          <c:extLst>
            <c:ext xmlns:c16="http://schemas.microsoft.com/office/drawing/2014/chart" uri="{C3380CC4-5D6E-409C-BE32-E72D297353CC}">
              <c16:uniqueId val="{00000033-307E-468A-8252-9331EFCD3F91}"/>
            </c:ext>
          </c:extLst>
        </c:ser>
        <c:ser>
          <c:idx val="4"/>
          <c:order val="4"/>
          <c:tx>
            <c:strRef>
              <c:f>'[1]REQ-SVINC-EXDESC'!$N$4:$P$4</c:f>
              <c:strCache>
                <c:ptCount val="1"/>
                <c:pt idx="0">
                  <c:v>CONTRATO TEMPORÁRIO</c:v>
                </c:pt>
              </c:strCache>
            </c:strRef>
          </c:tx>
          <c:spPr>
            <a:ln w="38100" cap="rnd">
              <a:solidFill>
                <a:schemeClr val="accent5"/>
              </a:solidFill>
              <a:round/>
            </a:ln>
            <a:effectLst/>
          </c:spPr>
          <c:marker>
            <c:symbol val="star"/>
            <c:size val="6"/>
            <c:spPr>
              <a:noFill/>
              <a:ln w="9525">
                <a:solidFill>
                  <a:schemeClr val="accent5"/>
                </a:solidFill>
                <a:round/>
              </a:ln>
              <a:effectLst/>
            </c:spPr>
          </c:marker>
          <c:dLbls>
            <c:dLbl>
              <c:idx val="1"/>
              <c:layout>
                <c:manualLayout>
                  <c:x val="-1.0531265003943005E-2"/>
                  <c:y val="9.92247965110373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307E-468A-8252-9331EFCD3F91}"/>
                </c:ext>
              </c:extLst>
            </c:dLbl>
            <c:dLbl>
              <c:idx val="4"/>
              <c:layout>
                <c:manualLayout>
                  <c:x val="-2.2484167860071829E-2"/>
                  <c:y val="-3.01174602827359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307E-468A-8252-9331EFCD3F91}"/>
                </c:ext>
              </c:extLst>
            </c:dLbl>
            <c:dLbl>
              <c:idx val="5"/>
              <c:layout>
                <c:manualLayout>
                  <c:x val="0"/>
                  <c:y val="-4.40440440440440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307E-468A-8252-9331EFCD3F91}"/>
                </c:ext>
              </c:extLst>
            </c:dLbl>
            <c:dLbl>
              <c:idx val="6"/>
              <c:layout>
                <c:manualLayout>
                  <c:x val="-3.6003600360036005E-2"/>
                  <c:y val="-2.40240240240240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307E-468A-8252-9331EFCD3F91}"/>
                </c:ext>
              </c:extLst>
            </c:dLbl>
            <c:dLbl>
              <c:idx val="7"/>
              <c:layout>
                <c:manualLayout>
                  <c:x val="-8.8007784206654856E-17"/>
                  <c:y val="-3.6036036036036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307E-468A-8252-9331EFCD3F91}"/>
                </c:ext>
              </c:extLst>
            </c:dLbl>
            <c:dLbl>
              <c:idx val="8"/>
              <c:layout>
                <c:manualLayout>
                  <c:x val="-4.3204320432043204E-2"/>
                  <c:y val="-2.0020020020020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307E-468A-8252-9331EFCD3F91}"/>
                </c:ext>
              </c:extLst>
            </c:dLbl>
            <c:dLbl>
              <c:idx val="9"/>
              <c:layout>
                <c:manualLayout>
                  <c:x val="-4.680468046804680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307E-468A-8252-9331EFCD3F91}"/>
                </c:ext>
              </c:extLst>
            </c:dLbl>
            <c:dLbl>
              <c:idx val="10"/>
              <c:layout>
                <c:manualLayout>
                  <c:x val="2.3988065671973484E-3"/>
                  <c:y val="-2.77548163091188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307E-468A-8252-9331EFCD3F91}"/>
                </c:ext>
              </c:extLst>
            </c:dLbl>
            <c:dLbl>
              <c:idx val="11"/>
              <c:layout>
                <c:manualLayout>
                  <c:x val="-1.8811150281242387E-3"/>
                  <c:y val="-1.8105400172823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307E-468A-8252-9331EFCD3F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'[1]REQ-SVINC-EXDESC'!$A$6:$A$17</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'[1]REQ-SVINC-EXDESC'!$N$6:$N$17</c:f>
              <c:numCache>
                <c:formatCode>General</c:formatCode>
                <c:ptCount val="12"/>
                <c:pt idx="0">
                  <c:v>0</c:v>
                </c:pt>
                <c:pt idx="1">
                  <c:v>0</c:v>
                </c:pt>
                <c:pt idx="2">
                  <c:v>0</c:v>
                </c:pt>
                <c:pt idx="3">
                  <c:v>0</c:v>
                </c:pt>
                <c:pt idx="4">
                  <c:v>4</c:v>
                </c:pt>
                <c:pt idx="5">
                  <c:v>7</c:v>
                </c:pt>
                <c:pt idx="6">
                  <c:v>7</c:v>
                </c:pt>
                <c:pt idx="7">
                  <c:v>7</c:v>
                </c:pt>
                <c:pt idx="8">
                  <c:v>9</c:v>
                </c:pt>
                <c:pt idx="9">
                  <c:v>5</c:v>
                </c:pt>
                <c:pt idx="10">
                  <c:v>4</c:v>
                </c:pt>
                <c:pt idx="11">
                  <c:v>3</c:v>
                </c:pt>
              </c:numCache>
            </c:numRef>
          </c:val>
          <c:smooth val="0"/>
          <c:extLst>
            <c:ext xmlns:c16="http://schemas.microsoft.com/office/drawing/2014/chart" uri="{C3380CC4-5D6E-409C-BE32-E72D297353CC}">
              <c16:uniqueId val="{0000003D-307E-468A-8252-9331EFCD3F91}"/>
            </c:ext>
          </c:extLst>
        </c:ser>
        <c:dLbls>
          <c:showLegendKey val="0"/>
          <c:showVal val="0"/>
          <c:showCatName val="0"/>
          <c:showSerName val="0"/>
          <c:showPercent val="0"/>
          <c:showBubbleSize val="0"/>
        </c:dLbls>
        <c:marker val="1"/>
        <c:smooth val="0"/>
        <c:axId val="86105088"/>
        <c:axId val="86262528"/>
      </c:lineChart>
      <c:catAx>
        <c:axId val="8610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cap="all" spc="120" normalizeH="0" baseline="0">
                <a:solidFill>
                  <a:schemeClr val="tx1">
                    <a:lumMod val="65000"/>
                    <a:lumOff val="35000"/>
                  </a:schemeClr>
                </a:solidFill>
                <a:latin typeface="+mn-lt"/>
                <a:ea typeface="+mn-ea"/>
                <a:cs typeface="+mn-cs"/>
              </a:defRPr>
            </a:pPr>
            <a:endParaRPr lang="pt-BR"/>
          </a:p>
        </c:txPr>
        <c:crossAx val="86262528"/>
        <c:crosses val="autoZero"/>
        <c:auto val="1"/>
        <c:lblAlgn val="ctr"/>
        <c:lblOffset val="100"/>
        <c:noMultiLvlLbl val="0"/>
      </c:catAx>
      <c:valAx>
        <c:axId val="86262528"/>
        <c:scaling>
          <c:orientation val="minMax"/>
        </c:scaling>
        <c:delete val="1"/>
        <c:axPos val="l"/>
        <c:numFmt formatCode="General" sourceLinked="1"/>
        <c:majorTickMark val="none"/>
        <c:minorTickMark val="none"/>
        <c:tickLblPos val="nextTo"/>
        <c:crossAx val="86105088"/>
        <c:crosses val="autoZero"/>
        <c:crossBetween val="between"/>
      </c:valAx>
      <c:spPr>
        <a:noFill/>
        <a:ln>
          <a:noFill/>
        </a:ln>
        <a:effectLst/>
      </c:spPr>
    </c:plotArea>
    <c:legend>
      <c:legendPos val="t"/>
      <c:layout>
        <c:manualLayout>
          <c:xMode val="edge"/>
          <c:yMode val="edge"/>
          <c:x val="2.5723776094393972E-2"/>
          <c:y val="0.15087342897774828"/>
          <c:w val="0.95245718252428768"/>
          <c:h val="0.15861982214541198"/>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pt-BR" sz="1100" b="1"/>
              <a:t>Movimentação</a:t>
            </a:r>
            <a:r>
              <a:rPr lang="pt-BR" sz="1100" b="1" baseline="0"/>
              <a:t> - Índice de Perda por Período de 12 meses</a:t>
            </a:r>
            <a:endParaRPr lang="pt-BR"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[1]MEMORIAPERDA!$I$46</c:f>
              <c:strCache>
                <c:ptCount val="1"/>
                <c:pt idx="0">
                  <c:v>Egressos no Exercício</c:v>
                </c:pt>
              </c:strCache>
            </c:strRef>
          </c:tx>
          <c:spPr>
            <a:solidFill>
              <a:srgbClr val="FF0000"/>
            </a:solidFill>
            <a:ln>
              <a:noFill/>
            </a:ln>
            <a:effectLst/>
            <a:scene3d>
              <a:camera prst="orthographicFront"/>
              <a:lightRig rig="threePt" dir="t"/>
            </a:scene3d>
            <a:sp3d>
              <a:bevelT w="190500" h="381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[1]MEMORIAPERDA!$H$48</c:f>
              <c:numCache>
                <c:formatCode>General</c:formatCode>
                <c:ptCount val="1"/>
                <c:pt idx="0">
                  <c:v>2020</c:v>
                </c:pt>
              </c:numCache>
            </c:numRef>
          </c:cat>
          <c:val>
            <c:numRef>
              <c:f>[1]MEMORIAPERDA!$I$48</c:f>
              <c:numCache>
                <c:formatCode>General</c:formatCode>
                <c:ptCount val="1"/>
                <c:pt idx="0">
                  <c:v>0.6</c:v>
                </c:pt>
              </c:numCache>
            </c:numRef>
          </c:val>
          <c:extLst>
            <c:ext xmlns:c16="http://schemas.microsoft.com/office/drawing/2014/chart" uri="{C3380CC4-5D6E-409C-BE32-E72D297353CC}">
              <c16:uniqueId val="{00000000-5CAA-437D-AA39-02F75ACB99AC}"/>
            </c:ext>
          </c:extLst>
        </c:ser>
        <c:ser>
          <c:idx val="1"/>
          <c:order val="1"/>
          <c:tx>
            <c:strRef>
              <c:f>[1]MEMORIAPERDA!$J$46</c:f>
              <c:strCache>
                <c:ptCount val="1"/>
                <c:pt idx="0">
                  <c:v>Ingressos no Exercício</c:v>
                </c:pt>
              </c:strCache>
            </c:strRef>
          </c:tx>
          <c:spPr>
            <a:solidFill>
              <a:srgbClr val="92D050"/>
            </a:solidFill>
            <a:ln>
              <a:noFill/>
            </a:ln>
            <a:effectLst/>
            <a:scene3d>
              <a:camera prst="orthographicFront"/>
              <a:lightRig rig="threePt" dir="t"/>
            </a:scene3d>
            <a:sp3d>
              <a:bevelT w="190500" h="381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[1]MEMORIAPERDA!$H$48</c:f>
              <c:numCache>
                <c:formatCode>General</c:formatCode>
                <c:ptCount val="1"/>
                <c:pt idx="0">
                  <c:v>2020</c:v>
                </c:pt>
              </c:numCache>
            </c:numRef>
          </c:cat>
          <c:val>
            <c:numRef>
              <c:f>[1]MEMORIAPERDA!$J$48</c:f>
              <c:numCache>
                <c:formatCode>General</c:formatCode>
                <c:ptCount val="1"/>
                <c:pt idx="0">
                  <c:v>0.4</c:v>
                </c:pt>
              </c:numCache>
            </c:numRef>
          </c:val>
          <c:extLst>
            <c:ext xmlns:c16="http://schemas.microsoft.com/office/drawing/2014/chart" uri="{C3380CC4-5D6E-409C-BE32-E72D297353CC}">
              <c16:uniqueId val="{00000001-5CAA-437D-AA39-02F75ACB99AC}"/>
            </c:ext>
          </c:extLst>
        </c:ser>
        <c:dLbls>
          <c:showLegendKey val="0"/>
          <c:showVal val="0"/>
          <c:showCatName val="0"/>
          <c:showSerName val="0"/>
          <c:showPercent val="0"/>
          <c:showBubbleSize val="0"/>
        </c:dLbls>
        <c:gapWidth val="437"/>
        <c:overlap val="100"/>
        <c:axId val="1971292656"/>
        <c:axId val="1971277680"/>
      </c:barChart>
      <c:catAx>
        <c:axId val="1971292656"/>
        <c:scaling>
          <c:orientation val="minMax"/>
        </c:scaling>
        <c:delete val="1"/>
        <c:axPos val="b"/>
        <c:numFmt formatCode="General" sourceLinked="1"/>
        <c:majorTickMark val="none"/>
        <c:minorTickMark val="none"/>
        <c:tickLblPos val="nextTo"/>
        <c:crossAx val="1971277680"/>
        <c:crosses val="autoZero"/>
        <c:auto val="1"/>
        <c:lblAlgn val="ctr"/>
        <c:lblOffset val="100"/>
        <c:noMultiLvlLbl val="0"/>
      </c:catAx>
      <c:valAx>
        <c:axId val="1971277680"/>
        <c:scaling>
          <c:orientation val="minMax"/>
        </c:scaling>
        <c:delete val="1"/>
        <c:axPos val="l"/>
        <c:numFmt formatCode="General" sourceLinked="1"/>
        <c:majorTickMark val="none"/>
        <c:minorTickMark val="none"/>
        <c:tickLblPos val="nextTo"/>
        <c:crossAx val="1971292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FF0000"/>
            </a:solidFill>
            <a:ln>
              <a:noFill/>
            </a:ln>
            <a:effectLst/>
            <a:scene3d>
              <a:camera prst="orthographicFront"/>
              <a:lightRig rig="balanced" dir="t">
                <a:rot lat="0" lon="0" rev="8700000"/>
              </a:lightRig>
            </a:scene3d>
            <a:sp3d>
              <a:bevelT w="190500" h="38100"/>
            </a:sp3d>
          </c:spPr>
          <c:invertIfNegative val="0"/>
          <c:dPt>
            <c:idx val="0"/>
            <c:invertIfNegative val="0"/>
            <c:bubble3D val="0"/>
            <c:spPr>
              <a:solidFill>
                <a:srgbClr val="00B050"/>
              </a:solidFill>
              <a:ln>
                <a:solidFill>
                  <a:schemeClr val="accent1"/>
                </a:solidFill>
              </a:ln>
              <a:effectLst/>
              <a:scene3d>
                <a:camera prst="orthographicFront"/>
                <a:lightRig rig="balanced" dir="t">
                  <a:rot lat="0" lon="0" rev="8700000"/>
                </a:lightRig>
              </a:scene3d>
              <a:sp3d>
                <a:bevelT w="190500" h="38100"/>
              </a:sp3d>
            </c:spPr>
            <c:extLst>
              <c:ext xmlns:c16="http://schemas.microsoft.com/office/drawing/2014/chart" uri="{C3380CC4-5D6E-409C-BE32-E72D297353CC}">
                <c16:uniqueId val="{00000001-5BBA-4482-82CC-CE2F30FB168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([1]MEMORIAPERDA!$B$63:$C$63,[1]MEMORIAPERDA!$E$63)</c:f>
              <c:strCache>
                <c:ptCount val="3"/>
                <c:pt idx="0">
                  <c:v>Ingressos no Exercício</c:v>
                </c:pt>
                <c:pt idx="1">
                  <c:v>Egressos no Exercício</c:v>
                </c:pt>
                <c:pt idx="2">
                  <c:v>Variação Movimentação</c:v>
                </c:pt>
              </c:strCache>
            </c:strRef>
          </c:cat>
          <c:val>
            <c:numRef>
              <c:f>([1]MEMORIAPERDA!$B$74:$C$74,[1]MEMORIAPERDA!$E$74)</c:f>
              <c:numCache>
                <c:formatCode>General</c:formatCode>
                <c:ptCount val="3"/>
                <c:pt idx="0">
                  <c:v>20</c:v>
                </c:pt>
                <c:pt idx="1">
                  <c:v>40</c:v>
                </c:pt>
                <c:pt idx="2">
                  <c:v>-20</c:v>
                </c:pt>
              </c:numCache>
            </c:numRef>
          </c:val>
          <c:extLst>
            <c:ext xmlns:c16="http://schemas.microsoft.com/office/drawing/2014/chart" uri="{C3380CC4-5D6E-409C-BE32-E72D297353CC}">
              <c16:uniqueId val="{00000002-5BBA-4482-82CC-CE2F30FB1681}"/>
            </c:ext>
          </c:extLst>
        </c:ser>
        <c:dLbls>
          <c:showLegendKey val="0"/>
          <c:showVal val="0"/>
          <c:showCatName val="0"/>
          <c:showSerName val="0"/>
          <c:showPercent val="0"/>
          <c:showBubbleSize val="0"/>
        </c:dLbls>
        <c:gapWidth val="219"/>
        <c:overlap val="-27"/>
        <c:axId val="242440751"/>
        <c:axId val="242441167"/>
      </c:barChart>
      <c:catAx>
        <c:axId val="242440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BR"/>
          </a:p>
        </c:txPr>
        <c:crossAx val="242441167"/>
        <c:crosses val="autoZero"/>
        <c:auto val="1"/>
        <c:lblAlgn val="ctr"/>
        <c:lblOffset val="100"/>
        <c:noMultiLvlLbl val="0"/>
      </c:catAx>
      <c:valAx>
        <c:axId val="242441167"/>
        <c:scaling>
          <c:orientation val="minMax"/>
        </c:scaling>
        <c:delete val="1"/>
        <c:axPos val="l"/>
        <c:numFmt formatCode="General" sourceLinked="1"/>
        <c:majorTickMark val="none"/>
        <c:minorTickMark val="none"/>
        <c:tickLblPos val="nextTo"/>
        <c:crossAx val="242440751"/>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B050"/>
            </a:solidFill>
            <a:ln>
              <a:noFill/>
            </a:ln>
            <a:effectLst/>
          </c:spPr>
          <c:invertIfNegative val="0"/>
          <c:dPt>
            <c:idx val="0"/>
            <c:invertIfNegative val="0"/>
            <c:bubble3D val="0"/>
            <c:spPr>
              <a:solidFill>
                <a:srgbClr val="00B050"/>
              </a:solidFill>
              <a:ln>
                <a:noFill/>
              </a:ln>
              <a:effectLst/>
              <a:scene3d>
                <a:camera prst="orthographicFront"/>
                <a:lightRig rig="threePt" dir="t"/>
              </a:scene3d>
              <a:sp3d>
                <a:bevelT w="190500" h="38100"/>
              </a:sp3d>
            </c:spPr>
            <c:extLst>
              <c:ext xmlns:c16="http://schemas.microsoft.com/office/drawing/2014/chart" uri="{C3380CC4-5D6E-409C-BE32-E72D297353CC}">
                <c16:uniqueId val="{00000001-FCB1-4BF8-92CE-FFFEA8B92CD7}"/>
              </c:ext>
            </c:extLst>
          </c:dPt>
          <c:dPt>
            <c:idx val="2"/>
            <c:invertIfNegative val="0"/>
            <c:bubble3D val="0"/>
            <c:spPr>
              <a:solidFill>
                <a:srgbClr val="FF0000"/>
              </a:solidFill>
              <a:ln>
                <a:noFill/>
              </a:ln>
              <a:effectLst/>
              <a:scene3d>
                <a:camera prst="orthographicFront"/>
                <a:lightRig rig="threePt" dir="t"/>
              </a:scene3d>
              <a:sp3d>
                <a:bevelT w="190500" h="38100"/>
              </a:sp3d>
            </c:spPr>
            <c:extLst>
              <c:ext xmlns:c16="http://schemas.microsoft.com/office/drawing/2014/chart" uri="{C3380CC4-5D6E-409C-BE32-E72D297353CC}">
                <c16:uniqueId val="{00000003-FCB1-4BF8-92CE-FFFEA8B92CD7}"/>
              </c:ext>
            </c:extLst>
          </c:dPt>
          <c:dPt>
            <c:idx val="4"/>
            <c:invertIfNegative val="0"/>
            <c:bubble3D val="0"/>
            <c:spPr>
              <a:solidFill>
                <a:srgbClr val="FF0000"/>
              </a:solidFill>
              <a:ln>
                <a:noFill/>
              </a:ln>
              <a:effectLst/>
              <a:scene3d>
                <a:camera prst="orthographicFront"/>
                <a:lightRig rig="threePt" dir="t"/>
              </a:scene3d>
              <a:sp3d>
                <a:bevelT w="190500" h="38100"/>
              </a:sp3d>
            </c:spPr>
            <c:extLst>
              <c:ext xmlns:c16="http://schemas.microsoft.com/office/drawing/2014/chart" uri="{C3380CC4-5D6E-409C-BE32-E72D297353CC}">
                <c16:uniqueId val="{00000005-FCB1-4BF8-92CE-FFFEA8B92CD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 PINDICPERDA (1)'!$B$9:$H$10</c:f>
              <c:multiLvlStrCache>
                <c:ptCount val="7"/>
                <c:lvl/>
                <c:lvl>
                  <c:pt idx="0">
                    <c:v>Ingressos no Exercício</c:v>
                  </c:pt>
                  <c:pt idx="2">
                    <c:v>Egressos no Exercício</c:v>
                  </c:pt>
                  <c:pt idx="4">
                    <c:v>Total Movimentação</c:v>
                  </c:pt>
                  <c:pt idx="6">
                    <c:v>Variação Movimentação -12 meses</c:v>
                  </c:pt>
                </c:lvl>
              </c:multiLvlStrCache>
            </c:multiLvlStrRef>
          </c:cat>
          <c:val>
            <c:numRef>
              <c:f>('[1] PINDICPERDA (1)'!$B$20:$E$20,'[1] PINDICPERDA (1)'!$H$20)</c:f>
              <c:numCache>
                <c:formatCode>General</c:formatCode>
                <c:ptCount val="5"/>
                <c:pt idx="0">
                  <c:v>28</c:v>
                </c:pt>
                <c:pt idx="2">
                  <c:v>42</c:v>
                </c:pt>
                <c:pt idx="4">
                  <c:v>-14</c:v>
                </c:pt>
              </c:numCache>
            </c:numRef>
          </c:val>
          <c:extLst>
            <c:ext xmlns:c16="http://schemas.microsoft.com/office/drawing/2014/chart" uri="{C3380CC4-5D6E-409C-BE32-E72D297353CC}">
              <c16:uniqueId val="{00000006-FCB1-4BF8-92CE-FFFEA8B92CD7}"/>
            </c:ext>
          </c:extLst>
        </c:ser>
        <c:dLbls>
          <c:showLegendKey val="0"/>
          <c:showVal val="0"/>
          <c:showCatName val="0"/>
          <c:showSerName val="0"/>
          <c:showPercent val="0"/>
          <c:showBubbleSize val="0"/>
        </c:dLbls>
        <c:gapWidth val="219"/>
        <c:overlap val="-27"/>
        <c:axId val="1327619487"/>
        <c:axId val="242373551"/>
      </c:barChart>
      <c:catAx>
        <c:axId val="1327619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BR"/>
          </a:p>
        </c:txPr>
        <c:crossAx val="242373551"/>
        <c:crosses val="autoZero"/>
        <c:auto val="1"/>
        <c:lblAlgn val="ctr"/>
        <c:lblOffset val="100"/>
        <c:tickMarkSkip val="2"/>
        <c:noMultiLvlLbl val="0"/>
      </c:catAx>
      <c:valAx>
        <c:axId val="242373551"/>
        <c:scaling>
          <c:orientation val="minMax"/>
        </c:scaling>
        <c:delete val="1"/>
        <c:axPos val="l"/>
        <c:numFmt formatCode="General" sourceLinked="1"/>
        <c:majorTickMark val="none"/>
        <c:minorTickMark val="none"/>
        <c:tickLblPos val="nextTo"/>
        <c:crossAx val="13276194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40831964969896E-2"/>
          <c:y val="5.0925925925925923E-2"/>
          <c:w val="0.95183360700602082"/>
          <c:h val="0.8416746864975212"/>
        </c:manualLayout>
      </c:layout>
      <c:barChart>
        <c:barDir val="col"/>
        <c:grouping val="clustered"/>
        <c:varyColors val="0"/>
        <c:ser>
          <c:idx val="0"/>
          <c:order val="0"/>
          <c:spPr>
            <a:solidFill>
              <a:schemeClr val="accent1"/>
            </a:solidFill>
            <a:ln>
              <a:noFill/>
            </a:ln>
            <a:effectLst/>
            <a:scene3d>
              <a:camera prst="orthographicFront"/>
              <a:lightRig rig="threePt" dir="t"/>
            </a:scene3d>
            <a:sp3d>
              <a:bevelT w="190500" h="381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'[1]IDADE-COR-SALARIO'!$B$38:$G$38</c:f>
              <c:strCache>
                <c:ptCount val="6"/>
                <c:pt idx="0">
                  <c:v>Até 30 anos</c:v>
                </c:pt>
                <c:pt idx="1">
                  <c:v>31 a 40 anos</c:v>
                </c:pt>
                <c:pt idx="2">
                  <c:v>41 a 50 anos</c:v>
                </c:pt>
                <c:pt idx="3">
                  <c:v>51 a 60 anos</c:v>
                </c:pt>
                <c:pt idx="4">
                  <c:v>acima de 60 anos</c:v>
                </c:pt>
                <c:pt idx="5">
                  <c:v>Média  da Idade no MME (anos)</c:v>
                </c:pt>
              </c:strCache>
            </c:strRef>
          </c:cat>
          <c:val>
            <c:numRef>
              <c:f>'[1]IDADE-COR-SALARIO'!$B$40:$F$40</c:f>
              <c:numCache>
                <c:formatCode>General</c:formatCode>
                <c:ptCount val="5"/>
                <c:pt idx="0">
                  <c:v>2.3369036027263874E-2</c:v>
                </c:pt>
                <c:pt idx="1">
                  <c:v>8.4712755598831554E-2</c:v>
                </c:pt>
                <c:pt idx="2">
                  <c:v>9.2502434274586168E-2</c:v>
                </c:pt>
                <c:pt idx="3">
                  <c:v>0.26679649464459593</c:v>
                </c:pt>
                <c:pt idx="4">
                  <c:v>0.53261927945472254</c:v>
                </c:pt>
              </c:numCache>
            </c:numRef>
          </c:val>
          <c:extLst>
            <c:ext xmlns:c16="http://schemas.microsoft.com/office/drawing/2014/chart" uri="{C3380CC4-5D6E-409C-BE32-E72D297353CC}">
              <c16:uniqueId val="{00000000-F456-4A0D-A9EB-F3DA07096372}"/>
            </c:ext>
          </c:extLst>
        </c:ser>
        <c:dLbls>
          <c:showLegendKey val="0"/>
          <c:showVal val="0"/>
          <c:showCatName val="0"/>
          <c:showSerName val="0"/>
          <c:showPercent val="0"/>
          <c:showBubbleSize val="0"/>
        </c:dLbls>
        <c:gapWidth val="219"/>
        <c:overlap val="-27"/>
        <c:axId val="616562912"/>
        <c:axId val="616565208"/>
      </c:barChart>
      <c:catAx>
        <c:axId val="616562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6565208"/>
        <c:crosses val="autoZero"/>
        <c:auto val="1"/>
        <c:lblAlgn val="ctr"/>
        <c:lblOffset val="100"/>
        <c:noMultiLvlLbl val="0"/>
      </c:catAx>
      <c:valAx>
        <c:axId val="616565208"/>
        <c:scaling>
          <c:orientation val="minMax"/>
        </c:scaling>
        <c:delete val="1"/>
        <c:axPos val="l"/>
        <c:numFmt formatCode="General" sourceLinked="1"/>
        <c:majorTickMark val="none"/>
        <c:minorTickMark val="none"/>
        <c:tickLblPos val="nextTo"/>
        <c:crossAx val="61656291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Exercício MME por situação</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9699999999999999"/>
          <c:y val="0.23408926262439678"/>
          <c:w val="0.40044466316710409"/>
          <c:h val="0.66052704114618199"/>
        </c:manualLayout>
      </c:layout>
      <c:pieChart>
        <c:varyColors val="1"/>
        <c:dLbls>
          <c:dLblPos val="inEnd"/>
          <c:showLegendKey val="0"/>
          <c:showVal val="0"/>
          <c:showCatName val="0"/>
          <c:showSerName val="0"/>
          <c:showPercent val="1"/>
          <c:showBubbleSize val="0"/>
          <c:showLeaderLines val="0"/>
        </c:dLbls>
        <c:firstSliceAng val="0"/>
      </c:pieChart>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dLbls>
          <c:showLegendKey val="0"/>
          <c:showVal val="0"/>
          <c:showCatName val="0"/>
          <c:showSerName val="0"/>
          <c:showPercent val="0"/>
          <c:showBubbleSize val="0"/>
        </c:dLbls>
        <c:gapWidth val="219"/>
        <c:overlap val="-27"/>
        <c:axId val="588662512"/>
        <c:axId val="588664152"/>
      </c:barChart>
      <c:catAx>
        <c:axId val="58866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88664152"/>
        <c:crosses val="autoZero"/>
        <c:auto val="1"/>
        <c:lblAlgn val="ctr"/>
        <c:lblOffset val="100"/>
        <c:noMultiLvlLbl val="0"/>
      </c:catAx>
      <c:valAx>
        <c:axId val="588664152"/>
        <c:scaling>
          <c:orientation val="minMax"/>
        </c:scaling>
        <c:delete val="1"/>
        <c:axPos val="l"/>
        <c:numFmt formatCode="0.00%" sourceLinked="1"/>
        <c:majorTickMark val="none"/>
        <c:minorTickMark val="none"/>
        <c:tickLblPos val="nextTo"/>
        <c:crossAx val="58866251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a:pPr>
            <a:r>
              <a:rPr lang="pt-BR" sz="1100"/>
              <a:t>Total de DAS / FCPE</a:t>
            </a:r>
            <a:r>
              <a:rPr lang="pt-BR" sz="1100" baseline="0"/>
              <a:t> </a:t>
            </a:r>
            <a:r>
              <a:rPr lang="pt-BR" sz="1100"/>
              <a:t>nas Unidades</a:t>
            </a:r>
          </a:p>
        </c:rich>
      </c:tx>
      <c:layout/>
      <c:overlay val="0"/>
    </c:title>
    <c:autoTitleDeleted val="0"/>
    <c:plotArea>
      <c:layout>
        <c:manualLayout>
          <c:layoutTarget val="inner"/>
          <c:xMode val="edge"/>
          <c:yMode val="edge"/>
          <c:x val="2.8996279132830358E-2"/>
          <c:y val="0.16188862121408071"/>
          <c:w val="0.95092937377521014"/>
          <c:h val="0.65132047892737588"/>
        </c:manualLayout>
      </c:layout>
      <c:barChart>
        <c:barDir val="col"/>
        <c:grouping val="clustered"/>
        <c:varyColors val="0"/>
        <c:ser>
          <c:idx val="0"/>
          <c:order val="0"/>
          <c:tx>
            <c:strRef>
              <c:f>[1]TABELAS!$B$3</c:f>
              <c:strCache>
                <c:ptCount val="1"/>
                <c:pt idx="0">
                  <c:v>Total de DAS / FCPE na Unidade</c:v>
                </c:pt>
              </c:strCache>
            </c:strRef>
          </c:tx>
          <c:spPr>
            <a:solidFill>
              <a:srgbClr val="9BBB59"/>
            </a:solidFill>
            <a:scene3d>
              <a:camera prst="orthographicFront"/>
              <a:lightRig rig="threePt" dir="t"/>
            </a:scene3d>
            <a:sp3d>
              <a:bevelT w="190500" h="38100"/>
            </a:sp3d>
          </c:spPr>
          <c:invertIfNegative val="0"/>
          <c:dLbls>
            <c:dLbl>
              <c:idx val="1"/>
              <c:layout>
                <c:manualLayout>
                  <c:x val="1.8998056517480533E-17"/>
                  <c:y val="2.0942408376963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4C9-43FD-9F2E-02E2B9CE727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[1]TABELAS!$A$5:$A$15</c:f>
              <c:strCache>
                <c:ptCount val="11"/>
                <c:pt idx="0">
                  <c:v>GM</c:v>
                </c:pt>
                <c:pt idx="1">
                  <c:v>SE</c:v>
                </c:pt>
                <c:pt idx="2">
                  <c:v>CONJUR</c:v>
                </c:pt>
                <c:pt idx="3">
                  <c:v>ASSEC</c:v>
                </c:pt>
                <c:pt idx="4">
                  <c:v>ASSINT</c:v>
                </c:pt>
                <c:pt idx="5">
                  <c:v>AECI</c:v>
                </c:pt>
                <c:pt idx="6">
                  <c:v>AEPED</c:v>
                </c:pt>
                <c:pt idx="7">
                  <c:v>SPE</c:v>
                </c:pt>
                <c:pt idx="8">
                  <c:v>SEE</c:v>
                </c:pt>
                <c:pt idx="9">
                  <c:v>SPG</c:v>
                </c:pt>
                <c:pt idx="10">
                  <c:v>SGM</c:v>
                </c:pt>
              </c:strCache>
            </c:strRef>
          </c:cat>
          <c:val>
            <c:numRef>
              <c:f>[1]TABELAS!$B$5:$B$15</c:f>
              <c:numCache>
                <c:formatCode>General</c:formatCode>
                <c:ptCount val="11"/>
                <c:pt idx="0">
                  <c:v>51</c:v>
                </c:pt>
                <c:pt idx="1">
                  <c:v>91</c:v>
                </c:pt>
                <c:pt idx="2">
                  <c:v>14</c:v>
                </c:pt>
                <c:pt idx="3">
                  <c:v>9</c:v>
                </c:pt>
                <c:pt idx="4">
                  <c:v>4</c:v>
                </c:pt>
                <c:pt idx="5">
                  <c:v>3</c:v>
                </c:pt>
                <c:pt idx="6">
                  <c:v>4</c:v>
                </c:pt>
                <c:pt idx="7">
                  <c:v>30</c:v>
                </c:pt>
                <c:pt idx="8">
                  <c:v>32</c:v>
                </c:pt>
                <c:pt idx="9">
                  <c:v>26</c:v>
                </c:pt>
                <c:pt idx="10">
                  <c:v>30</c:v>
                </c:pt>
              </c:numCache>
            </c:numRef>
          </c:val>
          <c:extLst>
            <c:ext xmlns:c16="http://schemas.microsoft.com/office/drawing/2014/chart" uri="{C3380CC4-5D6E-409C-BE32-E72D297353CC}">
              <c16:uniqueId val="{00000001-64C9-43FD-9F2E-02E2B9CE7273}"/>
            </c:ext>
          </c:extLst>
        </c:ser>
        <c:dLbls>
          <c:showLegendKey val="0"/>
          <c:showVal val="0"/>
          <c:showCatName val="0"/>
          <c:showSerName val="0"/>
          <c:showPercent val="0"/>
          <c:showBubbleSize val="0"/>
        </c:dLbls>
        <c:gapWidth val="100"/>
        <c:axId val="88770816"/>
        <c:axId val="88776704"/>
      </c:barChart>
      <c:catAx>
        <c:axId val="88770816"/>
        <c:scaling>
          <c:orientation val="minMax"/>
        </c:scaling>
        <c:delete val="0"/>
        <c:axPos val="b"/>
        <c:numFmt formatCode="General" sourceLinked="0"/>
        <c:majorTickMark val="out"/>
        <c:minorTickMark val="none"/>
        <c:tickLblPos val="nextTo"/>
        <c:crossAx val="88776704"/>
        <c:crosses val="autoZero"/>
        <c:auto val="1"/>
        <c:lblAlgn val="ctr"/>
        <c:lblOffset val="100"/>
        <c:noMultiLvlLbl val="0"/>
      </c:catAx>
      <c:valAx>
        <c:axId val="88776704"/>
        <c:scaling>
          <c:orientation val="minMax"/>
        </c:scaling>
        <c:delete val="1"/>
        <c:axPos val="l"/>
        <c:numFmt formatCode="General" sourceLinked="1"/>
        <c:majorTickMark val="out"/>
        <c:minorTickMark val="none"/>
        <c:tickLblPos val="nextTo"/>
        <c:crossAx val="88770816"/>
        <c:crosses val="autoZero"/>
        <c:crossBetween val="between"/>
      </c:valAx>
      <c:spPr>
        <a:noFill/>
        <a:ln>
          <a:noFill/>
        </a:ln>
      </c:spPr>
    </c:plotArea>
    <c:plotVisOnly val="1"/>
    <c:dispBlanksAs val="gap"/>
    <c:showDLblsOverMax val="0"/>
  </c:chart>
  <c:spPr>
    <a:noFill/>
    <a:ln>
      <a:noFill/>
    </a:ln>
  </c:spPr>
  <c:txPr>
    <a:bodyPr/>
    <a:lstStyle/>
    <a:p>
      <a:pPr>
        <a:defRPr sz="800"/>
      </a:pPr>
      <a:endParaRPr lang="pt-BR"/>
    </a:p>
  </c:txPr>
  <c:printSettings>
    <c:headerFooter/>
    <c:pageMargins b="0.78740157499999996" l="0.511811024" r="0.511811024" t="0.78740157499999996" header="0.31496062000000002" footer="0.3149606200000000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a:pPr>
            <a:r>
              <a:rPr lang="en-US" sz="1100"/>
              <a:t>Relação DAS / FCPE GERENCIAL x</a:t>
            </a:r>
            <a:r>
              <a:rPr lang="en-US" sz="1100" baseline="0"/>
              <a:t> DAS / FCPE ASSESSORIA/ASSISTÊNCIA</a:t>
            </a:r>
            <a:endParaRPr lang="en-US" sz="1100"/>
          </a:p>
        </c:rich>
      </c:tx>
      <c:layout/>
      <c:overlay val="0"/>
    </c:title>
    <c:autoTitleDeleted val="0"/>
    <c:view3D>
      <c:rotX val="30"/>
      <c:rotY val="32"/>
      <c:rAngAx val="0"/>
      <c:perspective val="90"/>
    </c:view3D>
    <c:floor>
      <c:thickness val="0"/>
    </c:floor>
    <c:sideWall>
      <c:thickness val="0"/>
    </c:sideWall>
    <c:backWall>
      <c:thickness val="0"/>
    </c:backWall>
    <c:plotArea>
      <c:layout>
        <c:manualLayout>
          <c:layoutTarget val="inner"/>
          <c:xMode val="edge"/>
          <c:yMode val="edge"/>
          <c:x val="0.17884133198433996"/>
          <c:y val="0.25498516171657459"/>
          <c:w val="0.57682608045138317"/>
          <c:h val="0.74005167958656326"/>
        </c:manualLayout>
      </c:layout>
      <c:pie3DChart>
        <c:varyColors val="1"/>
        <c:ser>
          <c:idx val="0"/>
          <c:order val="0"/>
          <c:tx>
            <c:strRef>
              <c:f>[1]TABELAS!$A$37</c:f>
              <c:strCache>
                <c:ptCount val="1"/>
                <c:pt idx="0">
                  <c:v>TOTAL</c:v>
                </c:pt>
              </c:strCache>
            </c:strRef>
          </c:tx>
          <c:explosion val="9"/>
          <c:dLbls>
            <c:dLbl>
              <c:idx val="0"/>
              <c:layout>
                <c:manualLayout>
                  <c:x val="8.9014032463819032E-2"/>
                  <c:y val="3.3638893673868846E-2"/>
                </c:manualLayout>
              </c:layout>
              <c:spPr>
                <a:noFill/>
                <a:ln>
                  <a:noFill/>
                </a:ln>
                <a:effectLst/>
              </c:spPr>
              <c:txPr>
                <a:bodyPr wrap="square" lIns="38100" tIns="19050" rIns="38100" bIns="19050" anchor="ctr">
                  <a:noAutofit/>
                </a:bodyPr>
                <a:lstStyle/>
                <a:p>
                  <a:pPr>
                    <a:defRPr/>
                  </a:pPr>
                  <a:endParaRPr lang="pt-BR"/>
                </a:p>
              </c:txPr>
              <c:showLegendKey val="0"/>
              <c:showVal val="1"/>
              <c:showCatName val="1"/>
              <c:showSerName val="0"/>
              <c:showPercent val="1"/>
              <c:showBubbleSize val="0"/>
              <c:extLst>
                <c:ext xmlns:c15="http://schemas.microsoft.com/office/drawing/2012/chart" uri="{CE6537A1-D6FC-4f65-9D91-7224C49458BB}">
                  <c15:layout>
                    <c:manualLayout>
                      <c:w val="0.24733735098755114"/>
                      <c:h val="0.37710972189211911"/>
                    </c:manualLayout>
                  </c15:layout>
                </c:ext>
                <c:ext xmlns:c16="http://schemas.microsoft.com/office/drawing/2014/chart" uri="{C3380CC4-5D6E-409C-BE32-E72D297353CC}">
                  <c16:uniqueId val="{00000000-56FA-4CFE-B230-20AB031EABD1}"/>
                </c:ext>
              </c:extLst>
            </c:dLbl>
            <c:dLbl>
              <c:idx val="1"/>
              <c:layout>
                <c:manualLayout>
                  <c:x val="-7.4458012580829597E-2"/>
                  <c:y val="0.18495086249566628"/>
                </c:manualLayout>
              </c:layout>
              <c:spPr>
                <a:noFill/>
                <a:ln>
                  <a:noFill/>
                </a:ln>
                <a:effectLst/>
              </c:spPr>
              <c:txPr>
                <a:bodyPr wrap="square" lIns="38100" tIns="19050" rIns="38100" bIns="19050" anchor="ctr">
                  <a:noAutofit/>
                </a:bodyPr>
                <a:lstStyle/>
                <a:p>
                  <a:pPr>
                    <a:defRPr/>
                  </a:pPr>
                  <a:endParaRPr lang="pt-BR"/>
                </a:p>
              </c:txPr>
              <c:showLegendKey val="0"/>
              <c:showVal val="1"/>
              <c:showCatName val="1"/>
              <c:showSerName val="0"/>
              <c:showPercent val="1"/>
              <c:showBubbleSize val="0"/>
              <c:extLst>
                <c:ext xmlns:c15="http://schemas.microsoft.com/office/drawing/2012/chart" uri="{CE6537A1-D6FC-4f65-9D91-7224C49458BB}">
                  <c15:layout>
                    <c:manualLayout>
                      <c:w val="0.25127647032947698"/>
                      <c:h val="0.48624724076250531"/>
                    </c:manualLayout>
                  </c15:layout>
                </c:ext>
                <c:ext xmlns:c16="http://schemas.microsoft.com/office/drawing/2014/chart" uri="{C3380CC4-5D6E-409C-BE32-E72D297353CC}">
                  <c16:uniqueId val="{00000001-56FA-4CFE-B230-20AB031EABD1}"/>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[1]TABELAS!$C$23:$D$23</c:f>
              <c:strCache>
                <c:ptCount val="2"/>
                <c:pt idx="0">
                  <c:v>DAS / FCPE Gerencial</c:v>
                </c:pt>
                <c:pt idx="1">
                  <c:v>DAS / FCPE Assessoria / Assistência</c:v>
                </c:pt>
              </c:strCache>
            </c:strRef>
          </c:cat>
          <c:val>
            <c:numRef>
              <c:f>[1]TABELAS!$C$37:$D$37</c:f>
              <c:numCache>
                <c:formatCode>General</c:formatCode>
                <c:ptCount val="2"/>
                <c:pt idx="0">
                  <c:v>130</c:v>
                </c:pt>
                <c:pt idx="1">
                  <c:v>168</c:v>
                </c:pt>
              </c:numCache>
            </c:numRef>
          </c:val>
          <c:extLst>
            <c:ext xmlns:c16="http://schemas.microsoft.com/office/drawing/2014/chart" uri="{C3380CC4-5D6E-409C-BE32-E72D297353CC}">
              <c16:uniqueId val="{00000002-56FA-4CFE-B230-20AB031EABD1}"/>
            </c:ext>
          </c:extLst>
        </c:ser>
        <c:dLbls>
          <c:showLegendKey val="0"/>
          <c:showVal val="0"/>
          <c:showCatName val="0"/>
          <c:showSerName val="0"/>
          <c:showPercent val="0"/>
          <c:showBubbleSize val="0"/>
          <c:showLeaderLines val="1"/>
        </c:dLbls>
      </c:pie3DChart>
      <c:spPr>
        <a:scene3d>
          <a:camera prst="orthographicFront"/>
          <a:lightRig rig="threePt" dir="t"/>
        </a:scene3d>
        <a:sp3d prstMaterial="translucentPowder">
          <a:bevelT w="203200" h="50800" prst="softRound"/>
        </a:sp3d>
      </c:spPr>
    </c:plotArea>
    <c:plotVisOnly val="1"/>
    <c:dispBlanksAs val="gap"/>
    <c:showDLblsOverMax val="0"/>
  </c:chart>
  <c:spPr>
    <a:noFill/>
    <a:ln>
      <a:noFill/>
    </a:ln>
  </c:spPr>
  <c:printSettings>
    <c:headerFooter/>
    <c:pageMargins b="0.78740157499999996" l="0.511811024" r="0.511811024" t="0.78740157499999996" header="0.31496062000000002" footer="0.3149606200000000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a:pPr>
            <a:r>
              <a:rPr lang="pt-BR" sz="1100"/>
              <a:t>% de Ocupação de DAS/FCPE Gerencial por Situação</a:t>
            </a:r>
          </a:p>
        </c:rich>
      </c:tx>
      <c:layout/>
      <c:overlay val="0"/>
    </c:title>
    <c:autoTitleDeleted val="0"/>
    <c:view3D>
      <c:rotX val="30"/>
      <c:rotY val="32"/>
      <c:rAngAx val="0"/>
      <c:perspective val="90"/>
    </c:view3D>
    <c:floor>
      <c:thickness val="0"/>
    </c:floor>
    <c:sideWall>
      <c:thickness val="0"/>
    </c:sideWall>
    <c:backWall>
      <c:thickness val="0"/>
    </c:backWall>
    <c:plotArea>
      <c:layout>
        <c:manualLayout>
          <c:layoutTarget val="inner"/>
          <c:xMode val="edge"/>
          <c:yMode val="edge"/>
          <c:x val="0.2841167312476387"/>
          <c:y val="0.31627636765211214"/>
          <c:w val="0.47448320363553503"/>
          <c:h val="0.5988097439480492"/>
        </c:manualLayout>
      </c:layout>
      <c:pie3DChart>
        <c:varyColors val="1"/>
        <c:ser>
          <c:idx val="0"/>
          <c:order val="0"/>
          <c:explosion val="25"/>
          <c:dLbls>
            <c:dLbl>
              <c:idx val="0"/>
              <c:layout>
                <c:manualLayout>
                  <c:x val="6.329845506889846E-2"/>
                  <c:y val="0.25919220708565543"/>
                </c:manualLayout>
              </c:layout>
              <c:spPr>
                <a:noFill/>
                <a:ln>
                  <a:noFill/>
                </a:ln>
                <a:effectLst/>
              </c:spPr>
              <c:txPr>
                <a:bodyPr wrap="square" lIns="38100" tIns="19050" rIns="38100" bIns="19050" anchor="ctr">
                  <a:noAutofit/>
                </a:bodyPr>
                <a:lstStyle/>
                <a:p>
                  <a:pPr>
                    <a:defRPr sz="900"/>
                  </a:pPr>
                  <a:endParaRPr lang="pt-BR"/>
                </a:p>
              </c:txPr>
              <c:showLegendKey val="0"/>
              <c:showVal val="1"/>
              <c:showCatName val="1"/>
              <c:showSerName val="0"/>
              <c:showPercent val="1"/>
              <c:showBubbleSize val="0"/>
              <c:extLst>
                <c:ext xmlns:c15="http://schemas.microsoft.com/office/drawing/2012/chart" uri="{CE6537A1-D6FC-4f65-9D91-7224C49458BB}">
                  <c15:layout>
                    <c:manualLayout>
                      <c:w val="0.24515895427262832"/>
                      <c:h val="0.34749032326406537"/>
                    </c:manualLayout>
                  </c15:layout>
                </c:ext>
                <c:ext xmlns:c16="http://schemas.microsoft.com/office/drawing/2014/chart" uri="{C3380CC4-5D6E-409C-BE32-E72D297353CC}">
                  <c16:uniqueId val="{00000000-F709-478D-8898-B01A9C42EB82}"/>
                </c:ext>
              </c:extLst>
            </c:dLbl>
            <c:dLbl>
              <c:idx val="1"/>
              <c:layout>
                <c:manualLayout>
                  <c:x val="1.1027600520766123E-3"/>
                  <c:y val="0.18753508704910027"/>
                </c:manualLayout>
              </c:layout>
              <c:spPr>
                <a:noFill/>
                <a:ln>
                  <a:noFill/>
                </a:ln>
                <a:effectLst/>
              </c:spPr>
              <c:txPr>
                <a:bodyPr wrap="square" lIns="38100" tIns="19050" rIns="38100" bIns="19050" anchor="ctr">
                  <a:noAutofit/>
                </a:bodyPr>
                <a:lstStyle/>
                <a:p>
                  <a:pPr>
                    <a:defRPr sz="900"/>
                  </a:pPr>
                  <a:endParaRPr lang="pt-BR"/>
                </a:p>
              </c:txPr>
              <c:showLegendKey val="0"/>
              <c:showVal val="1"/>
              <c:showCatName val="1"/>
              <c:showSerName val="0"/>
              <c:showPercent val="1"/>
              <c:showBubbleSize val="0"/>
              <c:extLst>
                <c:ext xmlns:c15="http://schemas.microsoft.com/office/drawing/2012/chart" uri="{CE6537A1-D6FC-4f65-9D91-7224C49458BB}">
                  <c15:layout>
                    <c:manualLayout>
                      <c:w val="0.69773183662851357"/>
                      <c:h val="0.1772717599489253"/>
                    </c:manualLayout>
                  </c15:layout>
                </c:ext>
                <c:ext xmlns:c16="http://schemas.microsoft.com/office/drawing/2014/chart" uri="{C3380CC4-5D6E-409C-BE32-E72D297353CC}">
                  <c16:uniqueId val="{00000001-F709-478D-8898-B01A9C42EB82}"/>
                </c:ext>
              </c:extLst>
            </c:dLbl>
            <c:dLbl>
              <c:idx val="2"/>
              <c:layout>
                <c:manualLayout>
                  <c:x val="5.4268444467407397E-2"/>
                  <c:y val="-4.2611225714963799E-2"/>
                </c:manualLayout>
              </c:layout>
              <c:showLegendKey val="0"/>
              <c:showVal val="1"/>
              <c:showCatName val="1"/>
              <c:showSerName val="0"/>
              <c:showPercent val="1"/>
              <c:showBubbleSize val="0"/>
              <c:extLst>
                <c:ext xmlns:c15="http://schemas.microsoft.com/office/drawing/2012/chart" uri="{CE6537A1-D6FC-4f65-9D91-7224C49458BB}">
                  <c15:layout>
                    <c:manualLayout>
                      <c:w val="0.19746740754021397"/>
                      <c:h val="0.26676971786044756"/>
                    </c:manualLayout>
                  </c15:layout>
                </c:ext>
                <c:ext xmlns:c16="http://schemas.microsoft.com/office/drawing/2014/chart" uri="{C3380CC4-5D6E-409C-BE32-E72D297353CC}">
                  <c16:uniqueId val="{00000002-F709-478D-8898-B01A9C42EB82}"/>
                </c:ext>
              </c:extLst>
            </c:dLbl>
            <c:spPr>
              <a:noFill/>
              <a:ln>
                <a:noFill/>
              </a:ln>
              <a:effectLst/>
            </c:spPr>
            <c:txPr>
              <a:bodyPr/>
              <a:lstStyle/>
              <a:p>
                <a:pPr>
                  <a:defRPr sz="900"/>
                </a:pPr>
                <a:endParaRPr lang="pt-BR"/>
              </a:p>
            </c:txPr>
            <c:showLegendKey val="0"/>
            <c:showVal val="1"/>
            <c:showCatName val="1"/>
            <c:showSerName val="0"/>
            <c:showPercent val="1"/>
            <c:showBubbleSize val="0"/>
            <c:showLeaderLines val="1"/>
            <c:extLst>
              <c:ext xmlns:c15="http://schemas.microsoft.com/office/drawing/2012/chart" uri="{CE6537A1-D6FC-4f65-9D91-7224C49458BB}"/>
            </c:extLst>
          </c:dLbls>
          <c:cat>
            <c:strRef>
              <c:f>[1]TABELAS!$E$23:$G$23</c:f>
              <c:strCache>
                <c:ptCount val="3"/>
                <c:pt idx="0">
                  <c:v>DAS / FCPE Gerencial ocupado por Servidores do MME</c:v>
                </c:pt>
                <c:pt idx="1">
                  <c:v>DAS /FCPE Gerencial ocupados por Requisitados e S/Vínculo</c:v>
                </c:pt>
                <c:pt idx="2">
                  <c:v>DAS /FCPE Gerencial vagos</c:v>
                </c:pt>
              </c:strCache>
            </c:strRef>
          </c:cat>
          <c:val>
            <c:numRef>
              <c:f>[1]TABELAS!$E$37:$G$37</c:f>
              <c:numCache>
                <c:formatCode>General</c:formatCode>
                <c:ptCount val="3"/>
                <c:pt idx="0">
                  <c:v>17</c:v>
                </c:pt>
                <c:pt idx="1">
                  <c:v>108</c:v>
                </c:pt>
                <c:pt idx="2">
                  <c:v>5</c:v>
                </c:pt>
              </c:numCache>
            </c:numRef>
          </c:val>
          <c:extLst>
            <c:ext xmlns:c16="http://schemas.microsoft.com/office/drawing/2014/chart" uri="{C3380CC4-5D6E-409C-BE32-E72D297353CC}">
              <c16:uniqueId val="{00000003-F709-478D-8898-B01A9C42EB82}"/>
            </c:ext>
          </c:extLst>
        </c:ser>
        <c:dLbls>
          <c:showLegendKey val="0"/>
          <c:showVal val="0"/>
          <c:showCatName val="0"/>
          <c:showSerName val="0"/>
          <c:showPercent val="1"/>
          <c:showBubbleSize val="0"/>
          <c:showLeaderLines val="1"/>
        </c:dLbls>
      </c:pie3DChart>
      <c:spPr>
        <a:scene3d>
          <a:camera prst="orthographicFront"/>
          <a:lightRig rig="threePt" dir="t"/>
        </a:scene3d>
        <a:sp3d prstMaterial="translucentPowder">
          <a:bevelT w="203200" h="50800" prst="softRound"/>
        </a:sp3d>
      </c:spPr>
    </c:plotArea>
    <c:plotVisOnly val="1"/>
    <c:dispBlanksAs val="gap"/>
    <c:showDLblsOverMax val="0"/>
  </c:chart>
  <c:spPr>
    <a:noFill/>
    <a:ln>
      <a:noFill/>
    </a:ln>
  </c:spPr>
  <c:printSettings>
    <c:headerFooter/>
    <c:pageMargins b="0.78740157499999996" l="0.511811024" r="0.511811024" t="0.78740157499999996" header="0.31496062000000002" footer="0.3149606200000000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pt-BR" sz="1200"/>
              <a:t>% DAS/FCPE</a:t>
            </a:r>
            <a:r>
              <a:rPr lang="pt-BR" sz="1200" baseline="0"/>
              <a:t> Gerencial por Sexo</a:t>
            </a:r>
            <a:endParaRPr lang="pt-BR" sz="1200"/>
          </a:p>
        </c:rich>
      </c:tx>
      <c:layout/>
      <c:overlay val="0"/>
    </c:title>
    <c:autoTitleDeleted val="0"/>
    <c:view3D>
      <c:rotX val="30"/>
      <c:rotY val="32"/>
      <c:rAngAx val="0"/>
      <c:perspective val="90"/>
    </c:view3D>
    <c:floor>
      <c:thickness val="0"/>
    </c:floor>
    <c:sideWall>
      <c:thickness val="0"/>
    </c:sideWall>
    <c:backWall>
      <c:thickness val="0"/>
    </c:backWall>
    <c:plotArea>
      <c:layout>
        <c:manualLayout>
          <c:layoutTarget val="inner"/>
          <c:xMode val="edge"/>
          <c:yMode val="edge"/>
          <c:x val="0.24630031040915076"/>
          <c:y val="0.35649938336021253"/>
          <c:w val="0.50171088125525187"/>
          <c:h val="0.53776529741011292"/>
        </c:manualLayout>
      </c:layout>
      <c:pie3DChart>
        <c:varyColors val="1"/>
        <c:ser>
          <c:idx val="0"/>
          <c:order val="0"/>
          <c:explosion val="12"/>
          <c:dLbls>
            <c:dLbl>
              <c:idx val="0"/>
              <c:layout>
                <c:manualLayout>
                  <c:x val="6.1682147870945385E-2"/>
                  <c:y val="-9.9910824399962045E-3"/>
                </c:manualLayout>
              </c:layout>
              <c:showLegendKey val="0"/>
              <c:showVal val="1"/>
              <c:showCatName val="1"/>
              <c:showSerName val="0"/>
              <c:showPercent val="1"/>
              <c:showBubbleSize val="0"/>
              <c:extLst>
                <c:ext xmlns:c15="http://schemas.microsoft.com/office/drawing/2012/chart" uri="{CE6537A1-D6FC-4f65-9D91-7224C49458BB}">
                  <c15:layout>
                    <c:manualLayout>
                      <c:w val="0.17318046432678"/>
                      <c:h val="0.20237586566739399"/>
                    </c:manualLayout>
                  </c15:layout>
                </c:ext>
                <c:ext xmlns:c16="http://schemas.microsoft.com/office/drawing/2014/chart" uri="{C3380CC4-5D6E-409C-BE32-E72D297353CC}">
                  <c16:uniqueId val="{00000000-2FBD-4E94-8398-D084A670954A}"/>
                </c:ext>
              </c:extLst>
            </c:dLbl>
            <c:dLbl>
              <c:idx val="1"/>
              <c:layout>
                <c:manualLayout>
                  <c:x val="-0.15776003250169701"/>
                  <c:y val="-8.0173797552414411E-2"/>
                </c:manualLayout>
              </c:layout>
              <c:showLegendKey val="0"/>
              <c:showVal val="1"/>
              <c:showCatName val="1"/>
              <c:showSerName val="0"/>
              <c:showPercent val="1"/>
              <c:showBubbleSize val="0"/>
              <c:extLst>
                <c:ext xmlns:c15="http://schemas.microsoft.com/office/drawing/2012/chart" uri="{CE6537A1-D6FC-4f65-9D91-7224C49458BB}">
                  <c15:layout>
                    <c:manualLayout>
                      <c:w val="0.14967266989160211"/>
                      <c:h val="0.20237586566739399"/>
                    </c:manualLayout>
                  </c15:layout>
                </c:ext>
                <c:ext xmlns:c16="http://schemas.microsoft.com/office/drawing/2014/chart" uri="{C3380CC4-5D6E-409C-BE32-E72D297353CC}">
                  <c16:uniqueId val="{00000001-2FBD-4E94-8398-D084A670954A}"/>
                </c:ext>
              </c:extLst>
            </c:dLbl>
            <c:dLbl>
              <c:idx val="2"/>
              <c:layout>
                <c:manualLayout>
                  <c:x val="0.11622062349313055"/>
                  <c:y val="-4.763456977516365E-2"/>
                </c:manualLayout>
              </c:layout>
              <c:showLegendKey val="0"/>
              <c:showVal val="1"/>
              <c:showCatName val="1"/>
              <c:showSerName val="0"/>
              <c:showPercent val="1"/>
              <c:showBubbleSize val="0"/>
              <c:extLst>
                <c:ext xmlns:c15="http://schemas.microsoft.com/office/drawing/2012/chart" uri="{CE6537A1-D6FC-4f65-9D91-7224C49458BB}">
                  <c15:layout>
                    <c:manualLayout>
                      <c:w val="0.14632520818946315"/>
                      <c:h val="0.14002542453277678"/>
                    </c:manualLayout>
                  </c15:layout>
                </c:ext>
                <c:ext xmlns:c16="http://schemas.microsoft.com/office/drawing/2014/chart" uri="{C3380CC4-5D6E-409C-BE32-E72D297353CC}">
                  <c16:uniqueId val="{00000002-2FBD-4E94-8398-D084A670954A}"/>
                </c:ext>
              </c:extLst>
            </c:dLbl>
            <c:spPr>
              <a:noFill/>
              <a:ln>
                <a:noFill/>
              </a:ln>
              <a:effectLst/>
            </c:spPr>
            <c:txPr>
              <a:bodyPr/>
              <a:lstStyle/>
              <a:p>
                <a:pPr>
                  <a:defRPr sz="900"/>
                </a:pPr>
                <a:endParaRPr lang="pt-BR"/>
              </a:p>
            </c:txPr>
            <c:showLegendKey val="0"/>
            <c:showVal val="1"/>
            <c:showCatName val="1"/>
            <c:showSerName val="0"/>
            <c:showPercent val="1"/>
            <c:showBubbleSize val="0"/>
            <c:showLeaderLines val="1"/>
            <c:extLst>
              <c:ext xmlns:c15="http://schemas.microsoft.com/office/drawing/2012/chart" uri="{CE6537A1-D6FC-4f65-9D91-7224C49458BB}"/>
            </c:extLst>
          </c:dLbls>
          <c:cat>
            <c:strRef>
              <c:f>[1]TABELAS!$E$42:$G$42</c:f>
              <c:strCache>
                <c:ptCount val="3"/>
                <c:pt idx="0">
                  <c:v>MASCULINO</c:v>
                </c:pt>
                <c:pt idx="1">
                  <c:v>FEMININO</c:v>
                </c:pt>
                <c:pt idx="2">
                  <c:v>VAGO</c:v>
                </c:pt>
              </c:strCache>
            </c:strRef>
          </c:cat>
          <c:val>
            <c:numRef>
              <c:f>[1]TABELAS!$E$56:$G$56</c:f>
              <c:numCache>
                <c:formatCode>General</c:formatCode>
                <c:ptCount val="3"/>
                <c:pt idx="0">
                  <c:v>82</c:v>
                </c:pt>
                <c:pt idx="1">
                  <c:v>43</c:v>
                </c:pt>
                <c:pt idx="2">
                  <c:v>5</c:v>
                </c:pt>
              </c:numCache>
            </c:numRef>
          </c:val>
          <c:extLst>
            <c:ext xmlns:c16="http://schemas.microsoft.com/office/drawing/2014/chart" uri="{C3380CC4-5D6E-409C-BE32-E72D297353CC}">
              <c16:uniqueId val="{00000003-2FBD-4E94-8398-D084A670954A}"/>
            </c:ext>
          </c:extLst>
        </c:ser>
        <c:dLbls>
          <c:showLegendKey val="0"/>
          <c:showVal val="0"/>
          <c:showCatName val="0"/>
          <c:showSerName val="0"/>
          <c:showPercent val="1"/>
          <c:showBubbleSize val="0"/>
          <c:showLeaderLines val="1"/>
        </c:dLbls>
      </c:pie3DChart>
      <c:spPr>
        <a:scene3d>
          <a:camera prst="orthographicFront"/>
          <a:lightRig rig="threePt" dir="t"/>
        </a:scene3d>
        <a:sp3d prstMaterial="translucentPowder">
          <a:bevelT w="203200" h="50800" prst="softRound"/>
        </a:sp3d>
      </c:spPr>
    </c:plotArea>
    <c:plotVisOnly val="1"/>
    <c:dispBlanksAs val="gap"/>
    <c:showDLblsOverMax val="0"/>
  </c:chart>
  <c:spPr>
    <a:noFill/>
    <a:ln>
      <a:noFill/>
    </a:ln>
  </c:spPr>
  <c:printSettings>
    <c:headerFooter/>
    <c:pageMargins b="0.78740157499999996" l="0.511811024" r="0.511811024" t="0.78740157499999996" header="0.31496062000000002" footer="0.3149606200000000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a:pPr>
            <a:r>
              <a:rPr lang="pt-BR" sz="1100"/>
              <a:t>Situação DAS/FCPE Gerencial</a:t>
            </a:r>
            <a:r>
              <a:rPr lang="pt-BR" sz="1100" baseline="0"/>
              <a:t> por Cor</a:t>
            </a:r>
            <a:endParaRPr lang="pt-BR" sz="1100"/>
          </a:p>
        </c:rich>
      </c:tx>
      <c:layout/>
      <c:overlay val="0"/>
    </c:title>
    <c:autoTitleDeleted val="0"/>
    <c:view3D>
      <c:rotX val="30"/>
      <c:rotY val="32"/>
      <c:rAngAx val="0"/>
      <c:perspective val="90"/>
    </c:view3D>
    <c:floor>
      <c:thickness val="0"/>
    </c:floor>
    <c:sideWall>
      <c:thickness val="0"/>
    </c:sideWall>
    <c:backWall>
      <c:thickness val="0"/>
    </c:backWall>
    <c:plotArea>
      <c:layout>
        <c:manualLayout>
          <c:layoutTarget val="inner"/>
          <c:xMode val="edge"/>
          <c:yMode val="edge"/>
          <c:x val="0.17762629184583842"/>
          <c:y val="0.3261096429954049"/>
          <c:w val="0.68913054220394865"/>
          <c:h val="0.58236345886360197"/>
        </c:manualLayout>
      </c:layout>
      <c:pie3DChart>
        <c:varyColors val="1"/>
        <c:ser>
          <c:idx val="0"/>
          <c:order val="0"/>
          <c:explosion val="25"/>
          <c:dPt>
            <c:idx val="0"/>
            <c:bubble3D val="0"/>
            <c:spPr>
              <a:solidFill>
                <a:srgbClr val="FEEFE2"/>
              </a:solidFill>
            </c:spPr>
            <c:extLst>
              <c:ext xmlns:c16="http://schemas.microsoft.com/office/drawing/2014/chart" uri="{C3380CC4-5D6E-409C-BE32-E72D297353CC}">
                <c16:uniqueId val="{00000001-5CCB-4A8E-9A6A-1968FBC53415}"/>
              </c:ext>
            </c:extLst>
          </c:dPt>
          <c:dPt>
            <c:idx val="1"/>
            <c:bubble3D val="0"/>
            <c:spPr>
              <a:solidFill>
                <a:srgbClr val="FFFFCC"/>
              </a:solidFill>
            </c:spPr>
            <c:extLst>
              <c:ext xmlns:c16="http://schemas.microsoft.com/office/drawing/2014/chart" uri="{C3380CC4-5D6E-409C-BE32-E72D297353CC}">
                <c16:uniqueId val="{00000003-5CCB-4A8E-9A6A-1968FBC53415}"/>
              </c:ext>
            </c:extLst>
          </c:dPt>
          <c:dPt>
            <c:idx val="2"/>
            <c:bubble3D val="0"/>
            <c:spPr>
              <a:solidFill>
                <a:schemeClr val="bg2">
                  <a:lumMod val="75000"/>
                </a:schemeClr>
              </a:solidFill>
            </c:spPr>
            <c:extLst>
              <c:ext xmlns:c16="http://schemas.microsoft.com/office/drawing/2014/chart" uri="{C3380CC4-5D6E-409C-BE32-E72D297353CC}">
                <c16:uniqueId val="{00000005-5CCB-4A8E-9A6A-1968FBC53415}"/>
              </c:ext>
            </c:extLst>
          </c:dPt>
          <c:dPt>
            <c:idx val="3"/>
            <c:bubble3D val="0"/>
            <c:spPr>
              <a:solidFill>
                <a:schemeClr val="accent6">
                  <a:lumMod val="60000"/>
                  <a:lumOff val="40000"/>
                </a:schemeClr>
              </a:solidFill>
            </c:spPr>
            <c:extLst>
              <c:ext xmlns:c16="http://schemas.microsoft.com/office/drawing/2014/chart" uri="{C3380CC4-5D6E-409C-BE32-E72D297353CC}">
                <c16:uniqueId val="{00000007-5CCB-4A8E-9A6A-1968FBC53415}"/>
              </c:ext>
            </c:extLst>
          </c:dPt>
          <c:dPt>
            <c:idx val="4"/>
            <c:bubble3D val="0"/>
            <c:spPr>
              <a:solidFill>
                <a:schemeClr val="tx1">
                  <a:lumMod val="65000"/>
                  <a:lumOff val="35000"/>
                </a:schemeClr>
              </a:solidFill>
            </c:spPr>
            <c:extLst>
              <c:ext xmlns:c16="http://schemas.microsoft.com/office/drawing/2014/chart" uri="{C3380CC4-5D6E-409C-BE32-E72D297353CC}">
                <c16:uniqueId val="{00000009-5CCB-4A8E-9A6A-1968FBC53415}"/>
              </c:ext>
            </c:extLst>
          </c:dPt>
          <c:dPt>
            <c:idx val="5"/>
            <c:bubble3D val="0"/>
            <c:spPr>
              <a:solidFill>
                <a:schemeClr val="tx2">
                  <a:lumMod val="40000"/>
                  <a:lumOff val="60000"/>
                </a:schemeClr>
              </a:solidFill>
            </c:spPr>
            <c:extLst>
              <c:ext xmlns:c16="http://schemas.microsoft.com/office/drawing/2014/chart" uri="{C3380CC4-5D6E-409C-BE32-E72D297353CC}">
                <c16:uniqueId val="{0000000B-5CCB-4A8E-9A6A-1968FBC53415}"/>
              </c:ext>
            </c:extLst>
          </c:dPt>
          <c:dLbls>
            <c:dLbl>
              <c:idx val="0"/>
              <c:layout>
                <c:manualLayout>
                  <c:x val="2.4223898621326397E-2"/>
                  <c:y val="3.6767372433326458E-2"/>
                </c:manualLayout>
              </c:layout>
              <c:showLegendKey val="0"/>
              <c:showVal val="1"/>
              <c:showCatName val="1"/>
              <c:showSerName val="0"/>
              <c:showPercent val="1"/>
              <c:showBubbleSize val="0"/>
              <c:extLst>
                <c:ext xmlns:c15="http://schemas.microsoft.com/office/drawing/2012/chart" uri="{CE6537A1-D6FC-4f65-9D91-7224C49458BB}">
                  <c15:layout>
                    <c:manualLayout>
                      <c:w val="0.21499475555628966"/>
                      <c:h val="0.14212588424855513"/>
                    </c:manualLayout>
                  </c15:layout>
                </c:ext>
                <c:ext xmlns:c16="http://schemas.microsoft.com/office/drawing/2014/chart" uri="{C3380CC4-5D6E-409C-BE32-E72D297353CC}">
                  <c16:uniqueId val="{00000001-5CCB-4A8E-9A6A-1968FBC53415}"/>
                </c:ext>
              </c:extLst>
            </c:dLbl>
            <c:dLbl>
              <c:idx val="1"/>
              <c:layout>
                <c:manualLayout>
                  <c:x val="-5.8400831719918583E-2"/>
                  <c:y val="0.20662954977728326"/>
                </c:manualLayout>
              </c:layout>
              <c:showLegendKey val="0"/>
              <c:showVal val="1"/>
              <c:showCatName val="1"/>
              <c:showSerName val="0"/>
              <c:showPercent val="1"/>
              <c:showBubbleSize val="0"/>
              <c:extLst>
                <c:ext xmlns:c15="http://schemas.microsoft.com/office/drawing/2012/chart" uri="{CE6537A1-D6FC-4f65-9D91-7224C49458BB}">
                  <c15:layout>
                    <c:manualLayout>
                      <c:w val="0.15385446665204316"/>
                      <c:h val="0.14212588424855513"/>
                    </c:manualLayout>
                  </c15:layout>
                </c:ext>
                <c:ext xmlns:c16="http://schemas.microsoft.com/office/drawing/2014/chart" uri="{C3380CC4-5D6E-409C-BE32-E72D297353CC}">
                  <c16:uniqueId val="{00000003-5CCB-4A8E-9A6A-1968FBC53415}"/>
                </c:ext>
              </c:extLst>
            </c:dLbl>
            <c:dLbl>
              <c:idx val="2"/>
              <c:layout>
                <c:manualLayout>
                  <c:x val="-0.11480313353586932"/>
                  <c:y val="-9.6858784951057431E-2"/>
                </c:manualLayout>
              </c:layout>
              <c:showLegendKey val="0"/>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5CCB-4A8E-9A6A-1968FBC53415}"/>
                </c:ext>
              </c:extLst>
            </c:dLbl>
            <c:dLbl>
              <c:idx val="3"/>
              <c:layout>
                <c:manualLayout>
                  <c:x val="-9.3417799696545969E-2"/>
                  <c:y val="-7.1952928827076712E-2"/>
                </c:manualLayout>
              </c:layout>
              <c:spPr>
                <a:noFill/>
                <a:ln>
                  <a:noFill/>
                </a:ln>
                <a:effectLst/>
              </c:spPr>
              <c:txPr>
                <a:bodyPr wrap="square" lIns="38100" tIns="19050" rIns="38100" bIns="19050" anchor="ctr">
                  <a:noAutofit/>
                </a:bodyPr>
                <a:lstStyle/>
                <a:p>
                  <a:pPr>
                    <a:defRPr sz="900"/>
                  </a:pPr>
                  <a:endParaRPr lang="pt-BR"/>
                </a:p>
              </c:txPr>
              <c:showLegendKey val="0"/>
              <c:showVal val="1"/>
              <c:showCatName val="1"/>
              <c:showSerName val="0"/>
              <c:showPercent val="1"/>
              <c:showBubbleSize val="0"/>
              <c:extLst>
                <c:ext xmlns:c15="http://schemas.microsoft.com/office/drawing/2012/chart" uri="{CE6537A1-D6FC-4f65-9D91-7224C49458BB}">
                  <c15:layout>
                    <c:manualLayout>
                      <c:w val="0.15066020638177335"/>
                      <c:h val="0.10582980501009148"/>
                    </c:manualLayout>
                  </c15:layout>
                </c:ext>
                <c:ext xmlns:c16="http://schemas.microsoft.com/office/drawing/2014/chart" uri="{C3380CC4-5D6E-409C-BE32-E72D297353CC}">
                  <c16:uniqueId val="{00000007-5CCB-4A8E-9A6A-1968FBC53415}"/>
                </c:ext>
              </c:extLst>
            </c:dLbl>
            <c:dLbl>
              <c:idx val="4"/>
              <c:layout>
                <c:manualLayout>
                  <c:x val="0.13069156525752354"/>
                  <c:y val="-7.0593370373714104E-2"/>
                </c:manualLayout>
              </c:layout>
              <c:spPr>
                <a:noFill/>
                <a:ln>
                  <a:noFill/>
                </a:ln>
                <a:effectLst/>
              </c:spPr>
              <c:txPr>
                <a:bodyPr wrap="square" lIns="38100" tIns="19050" rIns="38100" bIns="19050" anchor="ctr">
                  <a:noAutofit/>
                </a:bodyPr>
                <a:lstStyle/>
                <a:p>
                  <a:pPr>
                    <a:defRPr sz="900"/>
                  </a:pPr>
                  <a:endParaRPr lang="pt-BR"/>
                </a:p>
              </c:txPr>
              <c:showLegendKey val="0"/>
              <c:showVal val="1"/>
              <c:showCatName val="1"/>
              <c:showSerName val="0"/>
              <c:showPercent val="1"/>
              <c:showBubbleSize val="0"/>
              <c:extLst>
                <c:ext xmlns:c15="http://schemas.microsoft.com/office/drawing/2012/chart" uri="{CE6537A1-D6FC-4f65-9D91-7224C49458BB}">
                  <c15:layout>
                    <c:manualLayout>
                      <c:w val="0.15284267326786727"/>
                      <c:h val="0.11101479523993873"/>
                    </c:manualLayout>
                  </c15:layout>
                </c:ext>
                <c:ext xmlns:c16="http://schemas.microsoft.com/office/drawing/2014/chart" uri="{C3380CC4-5D6E-409C-BE32-E72D297353CC}">
                  <c16:uniqueId val="{00000009-5CCB-4A8E-9A6A-1968FBC53415}"/>
                </c:ext>
              </c:extLst>
            </c:dLbl>
            <c:dLbl>
              <c:idx val="5"/>
              <c:layout>
                <c:manualLayout>
                  <c:x val="0.17382233787263862"/>
                  <c:y val="9.3330971766783274E-2"/>
                </c:manualLayout>
              </c:layout>
              <c:spPr>
                <a:noFill/>
                <a:ln>
                  <a:noFill/>
                </a:ln>
                <a:effectLst/>
              </c:spPr>
              <c:txPr>
                <a:bodyPr wrap="square" lIns="38100" tIns="19050" rIns="38100" bIns="19050" anchor="ctr">
                  <a:noAutofit/>
                </a:bodyPr>
                <a:lstStyle/>
                <a:p>
                  <a:pPr>
                    <a:defRPr sz="900"/>
                  </a:pPr>
                  <a:endParaRPr lang="pt-BR"/>
                </a:p>
              </c:txPr>
              <c:showLegendKey val="0"/>
              <c:showVal val="1"/>
              <c:showCatName val="1"/>
              <c:showSerName val="0"/>
              <c:showPercent val="1"/>
              <c:showBubbleSize val="0"/>
              <c:extLst>
                <c:ext xmlns:c15="http://schemas.microsoft.com/office/drawing/2012/chart" uri="{CE6537A1-D6FC-4f65-9D91-7224C49458BB}">
                  <c15:layout>
                    <c:manualLayout>
                      <c:w val="0.19303262389744541"/>
                      <c:h val="0.11832596045115612"/>
                    </c:manualLayout>
                  </c15:layout>
                </c:ext>
                <c:ext xmlns:c16="http://schemas.microsoft.com/office/drawing/2014/chart" uri="{C3380CC4-5D6E-409C-BE32-E72D297353CC}">
                  <c16:uniqueId val="{0000000B-5CCB-4A8E-9A6A-1968FBC53415}"/>
                </c:ext>
              </c:extLst>
            </c:dLbl>
            <c:spPr>
              <a:noFill/>
              <a:ln>
                <a:noFill/>
              </a:ln>
              <a:effectLst/>
            </c:spPr>
            <c:txPr>
              <a:bodyPr/>
              <a:lstStyle/>
              <a:p>
                <a:pPr>
                  <a:defRPr sz="900"/>
                </a:pPr>
                <a:endParaRPr lang="pt-BR"/>
              </a:p>
            </c:txPr>
            <c:showLegendKey val="0"/>
            <c:showVal val="1"/>
            <c:showCatName val="1"/>
            <c:showSerName val="0"/>
            <c:showPercent val="1"/>
            <c:showBubbleSize val="0"/>
            <c:showLeaderLines val="1"/>
            <c:extLst>
              <c:ext xmlns:c15="http://schemas.microsoft.com/office/drawing/2012/chart" uri="{CE6537A1-D6FC-4f65-9D91-7224C49458BB}"/>
            </c:extLst>
          </c:dLbls>
          <c:cat>
            <c:strRef>
              <c:f>[1]TABELAS!$C$83:$H$83</c:f>
              <c:strCache>
                <c:ptCount val="6"/>
                <c:pt idx="0">
                  <c:v>BRANCA </c:v>
                </c:pt>
                <c:pt idx="1">
                  <c:v>AMARELA</c:v>
                </c:pt>
                <c:pt idx="2">
                  <c:v>PARDA </c:v>
                </c:pt>
                <c:pt idx="3">
                  <c:v>INDIGENA</c:v>
                </c:pt>
                <c:pt idx="4">
                  <c:v>PRETA </c:v>
                </c:pt>
                <c:pt idx="5">
                  <c:v>S / INFORMAÇÃO</c:v>
                </c:pt>
              </c:strCache>
            </c:strRef>
          </c:cat>
          <c:val>
            <c:numRef>
              <c:f>[1]TABELAS!$C$97:$H$97</c:f>
              <c:numCache>
                <c:formatCode>General</c:formatCode>
                <c:ptCount val="6"/>
                <c:pt idx="0">
                  <c:v>87</c:v>
                </c:pt>
                <c:pt idx="1">
                  <c:v>3</c:v>
                </c:pt>
                <c:pt idx="2">
                  <c:v>34</c:v>
                </c:pt>
                <c:pt idx="3">
                  <c:v>0</c:v>
                </c:pt>
                <c:pt idx="4">
                  <c:v>1</c:v>
                </c:pt>
                <c:pt idx="5">
                  <c:v>5</c:v>
                </c:pt>
              </c:numCache>
            </c:numRef>
          </c:val>
          <c:extLst>
            <c:ext xmlns:c16="http://schemas.microsoft.com/office/drawing/2014/chart" uri="{C3380CC4-5D6E-409C-BE32-E72D297353CC}">
              <c16:uniqueId val="{0000000C-5CCB-4A8E-9A6A-1968FBC53415}"/>
            </c:ext>
          </c:extLst>
        </c:ser>
        <c:dLbls>
          <c:showLegendKey val="0"/>
          <c:showVal val="0"/>
          <c:showCatName val="0"/>
          <c:showSerName val="0"/>
          <c:showPercent val="1"/>
          <c:showBubbleSize val="0"/>
          <c:showLeaderLines val="1"/>
        </c:dLbls>
      </c:pie3DChart>
      <c:spPr>
        <a:scene3d>
          <a:camera prst="orthographicFront"/>
          <a:lightRig rig="threePt" dir="t"/>
        </a:scene3d>
        <a:sp3d prstMaterial="translucentPowder">
          <a:bevelT w="203200" h="50800" prst="softRound"/>
        </a:sp3d>
      </c:spPr>
    </c:plotArea>
    <c:plotVisOnly val="1"/>
    <c:dispBlanksAs val="gap"/>
    <c:showDLblsOverMax val="0"/>
  </c:chart>
  <c:spPr>
    <a:noFill/>
    <a:ln>
      <a:noFill/>
    </a:ln>
  </c:spPr>
  <c:printSettings>
    <c:headerFooter/>
    <c:pageMargins b="0.78740157499999996" l="0.511811024" r="0.511811024" t="0.78740157499999996" header="0.31496062000000002" footer="0.3149606200000000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a:pPr>
            <a:r>
              <a:rPr lang="en-US" sz="1100"/>
              <a:t>% de DAS / FCPE  por Situação</a:t>
            </a:r>
          </a:p>
        </c:rich>
      </c:tx>
      <c:layout>
        <c:manualLayout>
          <c:xMode val="edge"/>
          <c:yMode val="edge"/>
          <c:x val="0.38654304167035303"/>
          <c:y val="3.0674748146899654E-2"/>
        </c:manualLayout>
      </c:layout>
      <c:overlay val="0"/>
    </c:title>
    <c:autoTitleDeleted val="0"/>
    <c:view3D>
      <c:rotX val="30"/>
      <c:rotY val="32"/>
      <c:rAngAx val="0"/>
      <c:perspective val="90"/>
    </c:view3D>
    <c:floor>
      <c:thickness val="0"/>
    </c:floor>
    <c:sideWall>
      <c:thickness val="0"/>
    </c:sideWall>
    <c:backWall>
      <c:thickness val="0"/>
    </c:backWall>
    <c:plotArea>
      <c:layout>
        <c:manualLayout>
          <c:layoutTarget val="inner"/>
          <c:xMode val="edge"/>
          <c:yMode val="edge"/>
          <c:x val="0.29321242148102278"/>
          <c:y val="0.30049958374101904"/>
          <c:w val="0.53836839777050338"/>
          <c:h val="0.69148241460853788"/>
        </c:manualLayout>
      </c:layout>
      <c:pie3DChart>
        <c:varyColors val="1"/>
        <c:ser>
          <c:idx val="0"/>
          <c:order val="0"/>
          <c:tx>
            <c:strRef>
              <c:f>[1]TABELAS!$A$18</c:f>
              <c:strCache>
                <c:ptCount val="1"/>
                <c:pt idx="0">
                  <c:v>TOTAL</c:v>
                </c:pt>
              </c:strCache>
            </c:strRef>
          </c:tx>
          <c:explosion val="5"/>
          <c:dPt>
            <c:idx val="0"/>
            <c:bubble3D val="0"/>
            <c:explosion val="10"/>
            <c:extLst>
              <c:ext xmlns:c16="http://schemas.microsoft.com/office/drawing/2014/chart" uri="{C3380CC4-5D6E-409C-BE32-E72D297353CC}">
                <c16:uniqueId val="{00000001-E8B7-4B46-9458-00DD30617AB0}"/>
              </c:ext>
            </c:extLst>
          </c:dPt>
          <c:dPt>
            <c:idx val="1"/>
            <c:bubble3D val="0"/>
            <c:explosion val="35"/>
            <c:extLst>
              <c:ext xmlns:c16="http://schemas.microsoft.com/office/drawing/2014/chart" uri="{C3380CC4-5D6E-409C-BE32-E72D297353CC}">
                <c16:uniqueId val="{00000003-E8B7-4B46-9458-00DD30617AB0}"/>
              </c:ext>
            </c:extLst>
          </c:dPt>
          <c:dPt>
            <c:idx val="2"/>
            <c:bubble3D val="0"/>
            <c:explosion val="33"/>
            <c:extLst>
              <c:ext xmlns:c16="http://schemas.microsoft.com/office/drawing/2014/chart" uri="{C3380CC4-5D6E-409C-BE32-E72D297353CC}">
                <c16:uniqueId val="{00000005-E8B7-4B46-9458-00DD30617AB0}"/>
              </c:ext>
            </c:extLst>
          </c:dPt>
          <c:dPt>
            <c:idx val="3"/>
            <c:bubble3D val="0"/>
            <c:explosion val="32"/>
            <c:extLst>
              <c:ext xmlns:c16="http://schemas.microsoft.com/office/drawing/2014/chart" uri="{C3380CC4-5D6E-409C-BE32-E72D297353CC}">
                <c16:uniqueId val="{00000007-E8B7-4B46-9458-00DD30617AB0}"/>
              </c:ext>
            </c:extLst>
          </c:dPt>
          <c:dLbls>
            <c:dLbl>
              <c:idx val="0"/>
              <c:layout>
                <c:manualLayout>
                  <c:x val="7.034153045724037E-2"/>
                  <c:y val="-5.6238083891861919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E8B7-4B46-9458-00DD30617AB0}"/>
                </c:ext>
              </c:extLst>
            </c:dLbl>
            <c:dLbl>
              <c:idx val="1"/>
              <c:layout>
                <c:manualLayout>
                  <c:x val="5.7888781339041052E-2"/>
                  <c:y val="-0.16404033729425685"/>
                </c:manualLayout>
              </c:layout>
              <c:tx>
                <c:rich>
                  <a:bodyPr/>
                  <a:lstStyle/>
                  <a:p>
                    <a:r>
                      <a:rPr lang="en-US"/>
                      <a:t>32%</a:t>
                    </a:r>
                  </a:p>
                </c:rich>
              </c:tx>
              <c:showLegendKey val="0"/>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E8B7-4B46-9458-00DD30617AB0}"/>
                </c:ext>
              </c:extLst>
            </c:dLbl>
            <c:dLbl>
              <c:idx val="2"/>
              <c:layout>
                <c:manualLayout>
                  <c:x val="0.15506502978827827"/>
                  <c:y val="-0.10438113079185377"/>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E8B7-4B46-9458-00DD30617AB0}"/>
                </c:ext>
              </c:extLst>
            </c:dLbl>
            <c:dLbl>
              <c:idx val="3"/>
              <c:layout>
                <c:manualLayout>
                  <c:x val="-0.14085385293400596"/>
                  <c:y val="1.3924288909002347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E8B7-4B46-9458-00DD30617AB0}"/>
                </c:ext>
              </c:extLst>
            </c:dLbl>
            <c:dLbl>
              <c:idx val="4"/>
              <c:layout>
                <c:manualLayout>
                  <c:x val="-1.5605032403599626E-2"/>
                  <c:y val="-6.4332732803177167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E8B7-4B46-9458-00DD30617AB0}"/>
                </c:ext>
              </c:extLst>
            </c:dLbl>
            <c:dLbl>
              <c:idx val="5"/>
              <c:layout>
                <c:manualLayout>
                  <c:x val="-8.3544255896008418E-2"/>
                  <c:y val="-0.11400052739479684"/>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E8B7-4B46-9458-00DD30617AB0}"/>
                </c:ext>
              </c:extLst>
            </c:dLbl>
            <c:dLbl>
              <c:idx val="6"/>
              <c:layout>
                <c:manualLayout>
                  <c:x val="-1.9248930373116934E-2"/>
                  <c:y val="-0.12147099677206497"/>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E8B7-4B46-9458-00DD30617AB0}"/>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[1]TABELAS!$C$4:$I$4</c:f>
              <c:strCache>
                <c:ptCount val="7"/>
                <c:pt idx="0">
                  <c:v>Ativo Permanente</c:v>
                </c:pt>
                <c:pt idx="1">
                  <c:v>Requisitado Órgãos</c:v>
                </c:pt>
                <c:pt idx="2">
                  <c:v>Requisitado Empresa</c:v>
                </c:pt>
                <c:pt idx="3">
                  <c:v>S/Vínculo</c:v>
                </c:pt>
                <c:pt idx="4">
                  <c:v>Exercício Descentralizado</c:v>
                </c:pt>
                <c:pt idx="5">
                  <c:v>Anistiado</c:v>
                </c:pt>
                <c:pt idx="6">
                  <c:v>Vago</c:v>
                </c:pt>
              </c:strCache>
            </c:strRef>
          </c:cat>
          <c:val>
            <c:numRef>
              <c:f>[1]TABELAS!$C$18:$I$18</c:f>
              <c:numCache>
                <c:formatCode>General</c:formatCode>
                <c:ptCount val="7"/>
                <c:pt idx="0">
                  <c:v>40</c:v>
                </c:pt>
                <c:pt idx="1">
                  <c:v>55</c:v>
                </c:pt>
                <c:pt idx="2">
                  <c:v>5</c:v>
                </c:pt>
                <c:pt idx="3">
                  <c:v>120</c:v>
                </c:pt>
                <c:pt idx="4">
                  <c:v>55</c:v>
                </c:pt>
                <c:pt idx="5">
                  <c:v>11</c:v>
                </c:pt>
                <c:pt idx="6">
                  <c:v>12</c:v>
                </c:pt>
              </c:numCache>
            </c:numRef>
          </c:val>
          <c:extLst>
            <c:ext xmlns:c16="http://schemas.microsoft.com/office/drawing/2014/chart" uri="{C3380CC4-5D6E-409C-BE32-E72D297353CC}">
              <c16:uniqueId val="{0000000B-E8B7-4B46-9458-00DD30617AB0}"/>
            </c:ext>
          </c:extLst>
        </c:ser>
        <c:dLbls>
          <c:showLegendKey val="0"/>
          <c:showVal val="0"/>
          <c:showCatName val="0"/>
          <c:showSerName val="0"/>
          <c:showPercent val="0"/>
          <c:showBubbleSize val="0"/>
          <c:showLeaderLines val="1"/>
        </c:dLbls>
      </c:pie3DChart>
      <c:spPr>
        <a:noFill/>
        <a:scene3d>
          <a:camera prst="orthographicFront"/>
          <a:lightRig rig="threePt" dir="t"/>
        </a:scene3d>
        <a:sp3d prstMaterial="translucentPowder">
          <a:bevelT w="203200" h="50800" prst="softRound"/>
        </a:sp3d>
      </c:spPr>
    </c:plotArea>
    <c:plotVisOnly val="1"/>
    <c:dispBlanksAs val="gap"/>
    <c:showDLblsOverMax val="0"/>
  </c:chart>
  <c:spPr>
    <a:noFill/>
    <a:ln>
      <a:noFill/>
    </a:ln>
  </c:spPr>
  <c:printSettings>
    <c:headerFooter/>
    <c:pageMargins b="0.78740157499999996" l="0.511811024" r="0.511811024" t="0.78740157499999996" header="0.31496062000000002" footer="0.3149606200000000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en-US" sz="1200"/>
              <a:t>% de DAS / FCPE por Sexo</a:t>
            </a:r>
          </a:p>
        </c:rich>
      </c:tx>
      <c:layout>
        <c:manualLayout>
          <c:xMode val="edge"/>
          <c:yMode val="edge"/>
          <c:x val="0.40335491373051224"/>
          <c:y val="3.5871530406340342E-2"/>
        </c:manualLayout>
      </c:layout>
      <c:overlay val="0"/>
    </c:title>
    <c:autoTitleDeleted val="0"/>
    <c:view3D>
      <c:rotX val="30"/>
      <c:rotY val="32"/>
      <c:rAngAx val="0"/>
      <c:perspective val="90"/>
    </c:view3D>
    <c:floor>
      <c:thickness val="0"/>
    </c:floor>
    <c:sideWall>
      <c:thickness val="0"/>
    </c:sideWall>
    <c:backWall>
      <c:thickness val="0"/>
    </c:backWall>
    <c:plotArea>
      <c:layout>
        <c:manualLayout>
          <c:layoutTarget val="inner"/>
          <c:xMode val="edge"/>
          <c:yMode val="edge"/>
          <c:x val="0.21967798776527997"/>
          <c:y val="0.24025847191291549"/>
          <c:w val="0.61761808055013767"/>
          <c:h val="0.63023172687071705"/>
        </c:manualLayout>
      </c:layout>
      <c:pie3DChart>
        <c:varyColors val="1"/>
        <c:ser>
          <c:idx val="0"/>
          <c:order val="0"/>
          <c:tx>
            <c:strRef>
              <c:f>[1]TABELAS!$A$56</c:f>
              <c:strCache>
                <c:ptCount val="1"/>
                <c:pt idx="0">
                  <c:v>TOTAL</c:v>
                </c:pt>
              </c:strCache>
            </c:strRef>
          </c:tx>
          <c:explosion val="25"/>
          <c:dPt>
            <c:idx val="0"/>
            <c:bubble3D val="0"/>
            <c:explosion val="7"/>
            <c:extLst>
              <c:ext xmlns:c16="http://schemas.microsoft.com/office/drawing/2014/chart" uri="{C3380CC4-5D6E-409C-BE32-E72D297353CC}">
                <c16:uniqueId val="{00000001-B3D9-46AA-84DA-81649B74E8C9}"/>
              </c:ext>
            </c:extLst>
          </c:dPt>
          <c:dPt>
            <c:idx val="1"/>
            <c:bubble3D val="0"/>
            <c:explosion val="13"/>
            <c:extLst>
              <c:ext xmlns:c16="http://schemas.microsoft.com/office/drawing/2014/chart" uri="{C3380CC4-5D6E-409C-BE32-E72D297353CC}">
                <c16:uniqueId val="{00000003-B3D9-46AA-84DA-81649B74E8C9}"/>
              </c:ext>
            </c:extLst>
          </c:dPt>
          <c:dLbls>
            <c:dLbl>
              <c:idx val="0"/>
              <c:layout>
                <c:manualLayout>
                  <c:x val="1.1774641947141904E-2"/>
                  <c:y val="7.9388762178427247E-2"/>
                </c:manualLayout>
              </c:layout>
              <c:showLegendKey val="0"/>
              <c:showVal val="1"/>
              <c:showCatName val="1"/>
              <c:showSerName val="0"/>
              <c:showPercent val="1"/>
              <c:showBubbleSize val="0"/>
              <c:extLst>
                <c:ext xmlns:c15="http://schemas.microsoft.com/office/drawing/2012/chart" uri="{CE6537A1-D6FC-4f65-9D91-7224C49458BB}">
                  <c15:layout>
                    <c:manualLayout>
                      <c:w val="0.21223426078353144"/>
                      <c:h val="0.2039384026564256"/>
                    </c:manualLayout>
                  </c15:layout>
                </c:ext>
                <c:ext xmlns:c16="http://schemas.microsoft.com/office/drawing/2014/chart" uri="{C3380CC4-5D6E-409C-BE32-E72D297353CC}">
                  <c16:uniqueId val="{00000001-B3D9-46AA-84DA-81649B74E8C9}"/>
                </c:ext>
              </c:extLst>
            </c:dLbl>
            <c:dLbl>
              <c:idx val="1"/>
              <c:layout>
                <c:manualLayout>
                  <c:x val="1.0117124740135389E-2"/>
                  <c:y val="-0.10483727301824071"/>
                </c:manualLayout>
              </c:layout>
              <c:spPr>
                <a:noFill/>
                <a:ln>
                  <a:noFill/>
                </a:ln>
                <a:effectLst/>
              </c:spPr>
              <c:txPr>
                <a:bodyPr wrap="square" lIns="38100" tIns="19050" rIns="38100" bIns="19050" anchor="ctr">
                  <a:noAutofit/>
                </a:bodyPr>
                <a:lstStyle/>
                <a:p>
                  <a:pPr>
                    <a:defRPr/>
                  </a:pPr>
                  <a:endParaRPr lang="pt-BR"/>
                </a:p>
              </c:txPr>
              <c:showLegendKey val="0"/>
              <c:showVal val="1"/>
              <c:showCatName val="1"/>
              <c:showSerName val="0"/>
              <c:showPercent val="1"/>
              <c:showBubbleSize val="0"/>
              <c:extLst>
                <c:ext xmlns:c15="http://schemas.microsoft.com/office/drawing/2012/chart" uri="{CE6537A1-D6FC-4f65-9D91-7224C49458BB}">
                  <c15:layout>
                    <c:manualLayout>
                      <c:w val="0.24697644770945365"/>
                      <c:h val="0.21938244205960741"/>
                    </c:manualLayout>
                  </c15:layout>
                </c:ext>
                <c:ext xmlns:c16="http://schemas.microsoft.com/office/drawing/2014/chart" uri="{C3380CC4-5D6E-409C-BE32-E72D297353CC}">
                  <c16:uniqueId val="{00000003-B3D9-46AA-84DA-81649B74E8C9}"/>
                </c:ext>
              </c:extLst>
            </c:dLbl>
            <c:dLbl>
              <c:idx val="2"/>
              <c:layout>
                <c:manualLayout>
                  <c:x val="0.13204124701103817"/>
                  <c:y val="-2.4425760097819584E-2"/>
                </c:manualLayout>
              </c:layout>
              <c:showLegendKey val="0"/>
              <c:showVal val="1"/>
              <c:showCatName val="1"/>
              <c:showSerName val="0"/>
              <c:showPercent val="1"/>
              <c:showBubbleSize val="0"/>
              <c:extLst>
                <c:ext xmlns:c15="http://schemas.microsoft.com/office/drawing/2012/chart" uri="{CE6537A1-D6FC-4f65-9D91-7224C49458BB}">
                  <c15:layout>
                    <c:manualLayout>
                      <c:w val="0.20369111508962334"/>
                      <c:h val="0.14110673693401848"/>
                    </c:manualLayout>
                  </c15:layout>
                </c:ext>
                <c:ext xmlns:c16="http://schemas.microsoft.com/office/drawing/2014/chart" uri="{C3380CC4-5D6E-409C-BE32-E72D297353CC}">
                  <c16:uniqueId val="{00000004-B3D9-46AA-84DA-81649B74E8C9}"/>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[1]TABELAS!$B$42:$D$42</c:f>
              <c:strCache>
                <c:ptCount val="3"/>
                <c:pt idx="0">
                  <c:v>MASCULINO</c:v>
                </c:pt>
                <c:pt idx="1">
                  <c:v>FEMININO</c:v>
                </c:pt>
                <c:pt idx="2">
                  <c:v>VAGO</c:v>
                </c:pt>
              </c:strCache>
            </c:strRef>
          </c:cat>
          <c:val>
            <c:numRef>
              <c:f>[1]TABELAS!$B$56:$D$56</c:f>
              <c:numCache>
                <c:formatCode>General</c:formatCode>
                <c:ptCount val="3"/>
                <c:pt idx="0">
                  <c:v>157</c:v>
                </c:pt>
                <c:pt idx="1">
                  <c:v>129</c:v>
                </c:pt>
                <c:pt idx="2">
                  <c:v>12</c:v>
                </c:pt>
              </c:numCache>
            </c:numRef>
          </c:val>
          <c:extLst>
            <c:ext xmlns:c16="http://schemas.microsoft.com/office/drawing/2014/chart" uri="{C3380CC4-5D6E-409C-BE32-E72D297353CC}">
              <c16:uniqueId val="{00000005-B3D9-46AA-84DA-81649B74E8C9}"/>
            </c:ext>
          </c:extLst>
        </c:ser>
        <c:dLbls>
          <c:showLegendKey val="0"/>
          <c:showVal val="0"/>
          <c:showCatName val="0"/>
          <c:showSerName val="0"/>
          <c:showPercent val="0"/>
          <c:showBubbleSize val="0"/>
          <c:showLeaderLines val="1"/>
        </c:dLbls>
      </c:pie3DChart>
      <c:spPr>
        <a:scene3d>
          <a:camera prst="orthographicFront"/>
          <a:lightRig rig="threePt" dir="t"/>
        </a:scene3d>
        <a:sp3d prstMaterial="translucentPowder">
          <a:bevelT w="203200" h="50800" prst="softRound"/>
        </a:sp3d>
      </c:spPr>
    </c:plotArea>
    <c:plotVisOnly val="1"/>
    <c:dispBlanksAs val="gap"/>
    <c:showDLblsOverMax val="0"/>
  </c:chart>
  <c:spPr>
    <a:noFill/>
    <a:ln>
      <a:noFill/>
    </a:ln>
  </c:spPr>
  <c:printSettings>
    <c:headerFooter/>
    <c:pageMargins b="0.78740157499999996" l="0.511811024" r="0.511811024" t="0.78740157499999996" header="0.31496062000000002" footer="0.3149606200000000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a:pPr>
            <a:r>
              <a:rPr lang="pt-BR" sz="1100"/>
              <a:t>Situação</a:t>
            </a:r>
            <a:r>
              <a:rPr lang="pt-BR" sz="1100" baseline="0"/>
              <a:t> DAS/FCPE por Cor</a:t>
            </a:r>
            <a:endParaRPr lang="pt-BR" sz="1100"/>
          </a:p>
        </c:rich>
      </c:tx>
      <c:layout>
        <c:manualLayout>
          <c:xMode val="edge"/>
          <c:yMode val="edge"/>
          <c:x val="0.39461872953822824"/>
          <c:y val="3.0791456314250228E-2"/>
        </c:manualLayout>
      </c:layout>
      <c:overlay val="0"/>
    </c:title>
    <c:autoTitleDeleted val="0"/>
    <c:view3D>
      <c:rotX val="30"/>
      <c:rotY val="32"/>
      <c:rAngAx val="0"/>
      <c:perspective val="90"/>
    </c:view3D>
    <c:floor>
      <c:thickness val="0"/>
    </c:floor>
    <c:sideWall>
      <c:thickness val="0"/>
    </c:sideWall>
    <c:backWall>
      <c:thickness val="0"/>
    </c:backWall>
    <c:plotArea>
      <c:layout>
        <c:manualLayout>
          <c:layoutTarget val="inner"/>
          <c:xMode val="edge"/>
          <c:yMode val="edge"/>
          <c:x val="0.21107479349914152"/>
          <c:y val="0.38337441414824797"/>
          <c:w val="0.55607715393787049"/>
          <c:h val="0.53265330984690651"/>
        </c:manualLayout>
      </c:layout>
      <c:pie3DChart>
        <c:varyColors val="1"/>
        <c:ser>
          <c:idx val="0"/>
          <c:order val="0"/>
          <c:explosion val="14"/>
          <c:dPt>
            <c:idx val="0"/>
            <c:bubble3D val="0"/>
            <c:spPr>
              <a:solidFill>
                <a:srgbClr val="FEF1E6"/>
              </a:solidFill>
            </c:spPr>
            <c:extLst>
              <c:ext xmlns:c16="http://schemas.microsoft.com/office/drawing/2014/chart" uri="{C3380CC4-5D6E-409C-BE32-E72D297353CC}">
                <c16:uniqueId val="{00000001-2B78-4E01-AE09-EF9ABC0C22B9}"/>
              </c:ext>
            </c:extLst>
          </c:dPt>
          <c:dPt>
            <c:idx val="1"/>
            <c:bubble3D val="0"/>
            <c:spPr>
              <a:solidFill>
                <a:srgbClr val="FFFFCC"/>
              </a:solidFill>
            </c:spPr>
            <c:extLst>
              <c:ext xmlns:c16="http://schemas.microsoft.com/office/drawing/2014/chart" uri="{C3380CC4-5D6E-409C-BE32-E72D297353CC}">
                <c16:uniqueId val="{00000003-2B78-4E01-AE09-EF9ABC0C22B9}"/>
              </c:ext>
            </c:extLst>
          </c:dPt>
          <c:dPt>
            <c:idx val="2"/>
            <c:bubble3D val="0"/>
            <c:spPr>
              <a:solidFill>
                <a:schemeClr val="bg2">
                  <a:lumMod val="75000"/>
                </a:schemeClr>
              </a:solidFill>
            </c:spPr>
            <c:extLst>
              <c:ext xmlns:c16="http://schemas.microsoft.com/office/drawing/2014/chart" uri="{C3380CC4-5D6E-409C-BE32-E72D297353CC}">
                <c16:uniqueId val="{00000005-2B78-4E01-AE09-EF9ABC0C22B9}"/>
              </c:ext>
            </c:extLst>
          </c:dPt>
          <c:dPt>
            <c:idx val="3"/>
            <c:bubble3D val="0"/>
            <c:spPr>
              <a:solidFill>
                <a:schemeClr val="accent6">
                  <a:lumMod val="60000"/>
                  <a:lumOff val="40000"/>
                </a:schemeClr>
              </a:solidFill>
            </c:spPr>
            <c:extLst>
              <c:ext xmlns:c16="http://schemas.microsoft.com/office/drawing/2014/chart" uri="{C3380CC4-5D6E-409C-BE32-E72D297353CC}">
                <c16:uniqueId val="{00000007-2B78-4E01-AE09-EF9ABC0C22B9}"/>
              </c:ext>
            </c:extLst>
          </c:dPt>
          <c:dPt>
            <c:idx val="4"/>
            <c:bubble3D val="0"/>
            <c:spPr>
              <a:solidFill>
                <a:schemeClr val="tx1">
                  <a:lumMod val="65000"/>
                  <a:lumOff val="35000"/>
                </a:schemeClr>
              </a:solidFill>
            </c:spPr>
            <c:extLst>
              <c:ext xmlns:c16="http://schemas.microsoft.com/office/drawing/2014/chart" uri="{C3380CC4-5D6E-409C-BE32-E72D297353CC}">
                <c16:uniqueId val="{00000009-2B78-4E01-AE09-EF9ABC0C22B9}"/>
              </c:ext>
            </c:extLst>
          </c:dPt>
          <c:dPt>
            <c:idx val="5"/>
            <c:bubble3D val="0"/>
            <c:spPr>
              <a:solidFill>
                <a:schemeClr val="tx2">
                  <a:lumMod val="40000"/>
                  <a:lumOff val="60000"/>
                </a:schemeClr>
              </a:solidFill>
            </c:spPr>
            <c:extLst>
              <c:ext xmlns:c16="http://schemas.microsoft.com/office/drawing/2014/chart" uri="{C3380CC4-5D6E-409C-BE32-E72D297353CC}">
                <c16:uniqueId val="{0000000B-2B78-4E01-AE09-EF9ABC0C22B9}"/>
              </c:ext>
            </c:extLst>
          </c:dPt>
          <c:dLbls>
            <c:dLbl>
              <c:idx val="0"/>
              <c:layout>
                <c:manualLayout>
                  <c:x val="-2.4954773711370885E-2"/>
                  <c:y val="5.6065926471343071E-2"/>
                </c:manualLayout>
              </c:layout>
              <c:showLegendKey val="0"/>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2B78-4E01-AE09-EF9ABC0C22B9}"/>
                </c:ext>
              </c:extLst>
            </c:dLbl>
            <c:dLbl>
              <c:idx val="1"/>
              <c:layout>
                <c:manualLayout>
                  <c:x val="-1.3400721960451664E-2"/>
                  <c:y val="0.14009470934780718"/>
                </c:manualLayout>
              </c:layout>
              <c:spPr>
                <a:noFill/>
                <a:ln>
                  <a:noFill/>
                </a:ln>
                <a:effectLst/>
              </c:spPr>
              <c:txPr>
                <a:bodyPr wrap="square" lIns="38100" tIns="19050" rIns="38100" bIns="19050" anchor="ctr">
                  <a:noAutofit/>
                </a:bodyPr>
                <a:lstStyle/>
                <a:p>
                  <a:pPr>
                    <a:defRPr/>
                  </a:pPr>
                  <a:endParaRPr lang="pt-BR"/>
                </a:p>
              </c:txPr>
              <c:showLegendKey val="0"/>
              <c:showVal val="1"/>
              <c:showCatName val="1"/>
              <c:showSerName val="0"/>
              <c:showPercent val="1"/>
              <c:showBubbleSize val="0"/>
              <c:extLst>
                <c:ext xmlns:c15="http://schemas.microsoft.com/office/drawing/2012/chart" uri="{CE6537A1-D6FC-4f65-9D91-7224C49458BB}">
                  <c15:layout>
                    <c:manualLayout>
                      <c:w val="0.11693752988078769"/>
                      <c:h val="0.17361630953046811"/>
                    </c:manualLayout>
                  </c15:layout>
                </c:ext>
                <c:ext xmlns:c16="http://schemas.microsoft.com/office/drawing/2014/chart" uri="{C3380CC4-5D6E-409C-BE32-E72D297353CC}">
                  <c16:uniqueId val="{00000003-2B78-4E01-AE09-EF9ABC0C22B9}"/>
                </c:ext>
              </c:extLst>
            </c:dLbl>
            <c:dLbl>
              <c:idx val="2"/>
              <c:layout>
                <c:manualLayout>
                  <c:x val="-3.2366638044958228E-2"/>
                  <c:y val="-2.8757620436887621E-2"/>
                </c:manualLayout>
              </c:layout>
              <c:showLegendKey val="0"/>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2B78-4E01-AE09-EF9ABC0C22B9}"/>
                </c:ext>
              </c:extLst>
            </c:dLbl>
            <c:dLbl>
              <c:idx val="3"/>
              <c:layout>
                <c:manualLayout>
                  <c:x val="-9.4312160149197619E-2"/>
                  <c:y val="-5.0086165951484483E-3"/>
                </c:manualLayout>
              </c:layout>
              <c:spPr>
                <a:noFill/>
                <a:ln>
                  <a:noFill/>
                </a:ln>
                <a:effectLst/>
              </c:spPr>
              <c:txPr>
                <a:bodyPr wrap="square" lIns="38100" tIns="19050" rIns="38100" bIns="19050" anchor="ctr">
                  <a:noAutofit/>
                </a:bodyPr>
                <a:lstStyle/>
                <a:p>
                  <a:pPr>
                    <a:defRPr/>
                  </a:pPr>
                  <a:endParaRPr lang="pt-BR"/>
                </a:p>
              </c:txPr>
              <c:showLegendKey val="0"/>
              <c:showVal val="1"/>
              <c:showCatName val="1"/>
              <c:showSerName val="0"/>
              <c:showPercent val="1"/>
              <c:showBubbleSize val="0"/>
              <c:extLst>
                <c:ext xmlns:c15="http://schemas.microsoft.com/office/drawing/2012/chart" uri="{CE6537A1-D6FC-4f65-9D91-7224C49458BB}">
                  <c15:layout>
                    <c:manualLayout>
                      <c:w val="0.34626900834057062"/>
                      <c:h val="0.18936136097085629"/>
                    </c:manualLayout>
                  </c15:layout>
                </c:ext>
                <c:ext xmlns:c16="http://schemas.microsoft.com/office/drawing/2014/chart" uri="{C3380CC4-5D6E-409C-BE32-E72D297353CC}">
                  <c16:uniqueId val="{00000007-2B78-4E01-AE09-EF9ABC0C22B9}"/>
                </c:ext>
              </c:extLst>
            </c:dLbl>
            <c:dLbl>
              <c:idx val="4"/>
              <c:layout>
                <c:manualLayout>
                  <c:x val="6.3180988339450253E-2"/>
                  <c:y val="-0.11836446510786874"/>
                </c:manualLayout>
              </c:layout>
              <c:showLegendKey val="0"/>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2B78-4E01-AE09-EF9ABC0C22B9}"/>
                </c:ext>
              </c:extLst>
            </c:dLbl>
            <c:dLbl>
              <c:idx val="5"/>
              <c:layout>
                <c:manualLayout>
                  <c:x val="0.18510334447587576"/>
                  <c:y val="2.4592939820756374E-2"/>
                </c:manualLayout>
              </c:layout>
              <c:showLegendKey val="0"/>
              <c:showVal val="1"/>
              <c:showCatName val="1"/>
              <c:showSerName val="0"/>
              <c:showPercent val="1"/>
              <c:showBubbleSize val="0"/>
              <c:extLst>
                <c:ext xmlns:c15="http://schemas.microsoft.com/office/drawing/2012/chart" uri="{CE6537A1-D6FC-4f65-9D91-7224C49458BB}">
                  <c15:layout>
                    <c:manualLayout>
                      <c:w val="0.20632212562055338"/>
                      <c:h val="0.2686964956545258"/>
                    </c:manualLayout>
                  </c15:layout>
                </c:ext>
                <c:ext xmlns:c16="http://schemas.microsoft.com/office/drawing/2014/chart" uri="{C3380CC4-5D6E-409C-BE32-E72D297353CC}">
                  <c16:uniqueId val="{0000000B-2B78-4E01-AE09-EF9ABC0C22B9}"/>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[1]TABELAS!$C$62:$H$62</c:f>
              <c:strCache>
                <c:ptCount val="6"/>
                <c:pt idx="0">
                  <c:v>BRANCA </c:v>
                </c:pt>
                <c:pt idx="1">
                  <c:v>AMARELA</c:v>
                </c:pt>
                <c:pt idx="2">
                  <c:v>PARDA </c:v>
                </c:pt>
                <c:pt idx="3">
                  <c:v>INDIGENA</c:v>
                </c:pt>
                <c:pt idx="4">
                  <c:v>PRETA </c:v>
                </c:pt>
                <c:pt idx="5">
                  <c:v>S / INFORMAÇÃO</c:v>
                </c:pt>
              </c:strCache>
            </c:strRef>
          </c:cat>
          <c:val>
            <c:numRef>
              <c:f>[1]TABELAS!$C$76:$H$76</c:f>
              <c:numCache>
                <c:formatCode>General</c:formatCode>
                <c:ptCount val="6"/>
                <c:pt idx="0">
                  <c:v>179</c:v>
                </c:pt>
                <c:pt idx="1">
                  <c:v>6</c:v>
                </c:pt>
                <c:pt idx="2">
                  <c:v>92</c:v>
                </c:pt>
                <c:pt idx="3">
                  <c:v>0</c:v>
                </c:pt>
                <c:pt idx="4">
                  <c:v>9</c:v>
                </c:pt>
                <c:pt idx="5">
                  <c:v>12</c:v>
                </c:pt>
              </c:numCache>
            </c:numRef>
          </c:val>
          <c:extLst>
            <c:ext xmlns:c16="http://schemas.microsoft.com/office/drawing/2014/chart" uri="{C3380CC4-5D6E-409C-BE32-E72D297353CC}">
              <c16:uniqueId val="{0000000C-2B78-4E01-AE09-EF9ABC0C22B9}"/>
            </c:ext>
          </c:extLst>
        </c:ser>
        <c:dLbls>
          <c:showLegendKey val="0"/>
          <c:showVal val="0"/>
          <c:showCatName val="0"/>
          <c:showSerName val="0"/>
          <c:showPercent val="1"/>
          <c:showBubbleSize val="0"/>
          <c:showLeaderLines val="1"/>
        </c:dLbls>
      </c:pie3DChart>
      <c:spPr>
        <a:scene3d>
          <a:camera prst="orthographicFront"/>
          <a:lightRig rig="threePt" dir="t"/>
        </a:scene3d>
        <a:sp3d prstMaterial="translucentPowder">
          <a:bevelT w="203200" h="50800" prst="softRound"/>
        </a:sp3d>
      </c:spPr>
    </c:plotArea>
    <c:plotVisOnly val="1"/>
    <c:dispBlanksAs val="gap"/>
    <c:showDLblsOverMax val="0"/>
  </c:chart>
  <c:spPr>
    <a:noFill/>
    <a:ln>
      <a:noFill/>
    </a:ln>
  </c:sp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3078938560462357E-2"/>
          <c:y val="0.19444444444444445"/>
          <c:w val="0.95384212287907533"/>
          <c:h val="0.69815616797900248"/>
        </c:manualLayout>
      </c:layout>
      <c:barChart>
        <c:barDir val="col"/>
        <c:grouping val="clustered"/>
        <c:varyColors val="0"/>
        <c:ser>
          <c:idx val="0"/>
          <c:order val="0"/>
          <c:spPr>
            <a:solidFill>
              <a:schemeClr val="tx2">
                <a:lumMod val="60000"/>
                <a:lumOff val="40000"/>
              </a:schemeClr>
            </a:solidFill>
            <a:ln>
              <a:noFill/>
            </a:ln>
            <a:effectLst/>
            <a:scene3d>
              <a:camera prst="orthographicFront"/>
              <a:lightRig rig="threePt" dir="t"/>
            </a:scene3d>
            <a:sp3d>
              <a:bevelT w="190500" h="381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'[1]IDADE-COR-SALARIO'!$B$48:$G$48</c:f>
              <c:strCache>
                <c:ptCount val="6"/>
                <c:pt idx="0">
                  <c:v>PARDA</c:v>
                </c:pt>
                <c:pt idx="1">
                  <c:v>BRANCA</c:v>
                </c:pt>
                <c:pt idx="2">
                  <c:v>AMARELA</c:v>
                </c:pt>
                <c:pt idx="3">
                  <c:v>PRETA</c:v>
                </c:pt>
                <c:pt idx="4">
                  <c:v>INDIGENA</c:v>
                </c:pt>
                <c:pt idx="5">
                  <c:v>NÃO INFORMADO</c:v>
                </c:pt>
              </c:strCache>
            </c:strRef>
          </c:cat>
          <c:val>
            <c:numRef>
              <c:f>'[1]IDADE-COR-SALARIO'!$B$50:$G$50</c:f>
              <c:numCache>
                <c:formatCode>General</c:formatCode>
                <c:ptCount val="6"/>
                <c:pt idx="0">
                  <c:v>0.27640671273445211</c:v>
                </c:pt>
                <c:pt idx="1">
                  <c:v>0.68213228035538009</c:v>
                </c:pt>
                <c:pt idx="2">
                  <c:v>1.2833168805528134E-2</c:v>
                </c:pt>
                <c:pt idx="3">
                  <c:v>2.8627838104639685E-2</c:v>
                </c:pt>
                <c:pt idx="4">
                  <c:v>0</c:v>
                </c:pt>
                <c:pt idx="5">
                  <c:v>0</c:v>
                </c:pt>
              </c:numCache>
            </c:numRef>
          </c:val>
          <c:extLst>
            <c:ext xmlns:c16="http://schemas.microsoft.com/office/drawing/2014/chart" uri="{C3380CC4-5D6E-409C-BE32-E72D297353CC}">
              <c16:uniqueId val="{00000000-D7E3-4FDE-B279-0416E43813FA}"/>
            </c:ext>
          </c:extLst>
        </c:ser>
        <c:dLbls>
          <c:showLegendKey val="0"/>
          <c:showVal val="0"/>
          <c:showCatName val="0"/>
          <c:showSerName val="0"/>
          <c:showPercent val="0"/>
          <c:showBubbleSize val="0"/>
        </c:dLbls>
        <c:gapWidth val="219"/>
        <c:overlap val="-27"/>
        <c:axId val="588759600"/>
        <c:axId val="588758944"/>
      </c:barChart>
      <c:catAx>
        <c:axId val="588759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88758944"/>
        <c:crosses val="autoZero"/>
        <c:auto val="1"/>
        <c:lblAlgn val="ctr"/>
        <c:lblOffset val="100"/>
        <c:noMultiLvlLbl val="0"/>
      </c:catAx>
      <c:valAx>
        <c:axId val="588758944"/>
        <c:scaling>
          <c:orientation val="minMax"/>
        </c:scaling>
        <c:delete val="1"/>
        <c:axPos val="l"/>
        <c:numFmt formatCode="General" sourceLinked="1"/>
        <c:majorTickMark val="none"/>
        <c:minorTickMark val="none"/>
        <c:tickLblPos val="nextTo"/>
        <c:crossAx val="5887596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[1]UNITÁRIO!$F$3</c:f>
              <c:strCache>
                <c:ptCount val="1"/>
                <c:pt idx="0">
                  <c:v>% VALOR TOTAL</c:v>
                </c:pt>
              </c:strCache>
            </c:strRef>
          </c:tx>
          <c:spPr>
            <a:scene3d>
              <a:camera prst="orthographicFront"/>
              <a:lightRig rig="threePt" dir="t"/>
            </a:scene3d>
            <a:sp3d>
              <a:bevelT w="190500" h="38100"/>
            </a:sp3d>
          </c:spPr>
          <c:dPt>
            <c:idx val="0"/>
            <c:bubble3D val="0"/>
            <c:explosion val="28"/>
            <c:extLst>
              <c:ext xmlns:c16="http://schemas.microsoft.com/office/drawing/2014/chart" uri="{C3380CC4-5D6E-409C-BE32-E72D297353CC}">
                <c16:uniqueId val="{00000001-73E5-4CE9-9DCC-AE0E4A34F684}"/>
              </c:ext>
            </c:extLst>
          </c:dPt>
          <c:dPt>
            <c:idx val="1"/>
            <c:bubble3D val="0"/>
            <c:explosion val="19"/>
            <c:extLst>
              <c:ext xmlns:c16="http://schemas.microsoft.com/office/drawing/2014/chart" uri="{C3380CC4-5D6E-409C-BE32-E72D297353CC}">
                <c16:uniqueId val="{00000003-73E5-4CE9-9DCC-AE0E4A34F684}"/>
              </c:ext>
            </c:extLst>
          </c:dPt>
          <c:dLbls>
            <c:dLbl>
              <c:idx val="0"/>
              <c:layout>
                <c:manualLayout>
                  <c:x val="-0.30467594718879132"/>
                  <c:y val="-1.632922875091540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E5-4CE9-9DCC-AE0E4A34F684}"/>
                </c:ext>
              </c:extLst>
            </c:dLbl>
            <c:dLbl>
              <c:idx val="1"/>
              <c:layout>
                <c:manualLayout>
                  <c:x val="-0.23149825519114967"/>
                  <c:y val="-1.095941325770786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E5-4CE9-9DCC-AE0E4A34F684}"/>
                </c:ext>
              </c:extLst>
            </c:dLbl>
            <c:dLbl>
              <c:idx val="2"/>
              <c:layout>
                <c:manualLayout>
                  <c:x val="9.9580284223861851E-2"/>
                  <c:y val="-0.1189468647241233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E5-4CE9-9DCC-AE0E4A34F684}"/>
                </c:ext>
              </c:extLst>
            </c:dLbl>
            <c:numFmt formatCode="0.00%" sourceLinked="0"/>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([1]UNITÁRIO!$A$17,[1]UNITÁRIO!$A$27,[1]UNITÁRIO!$A$29)</c:f>
              <c:strCache>
                <c:ptCount val="3"/>
                <c:pt idx="0">
                  <c:v>SUBTOTAL DAS</c:v>
                </c:pt>
                <c:pt idx="1">
                  <c:v>SUBTOTAL FCPE</c:v>
                </c:pt>
                <c:pt idx="2">
                  <c:v>SUBTOTAL FG</c:v>
                </c:pt>
              </c:strCache>
            </c:strRef>
          </c:cat>
          <c:val>
            <c:numRef>
              <c:f>([1]UNITÁRIO!$F$17,[1]UNITÁRIO!$F$27,[1]UNITÁRIO!$F$29)</c:f>
              <c:numCache>
                <c:formatCode>General</c:formatCode>
                <c:ptCount val="3"/>
                <c:pt idx="0">
                  <c:v>0.88383456235973079</c:v>
                </c:pt>
                <c:pt idx="1">
                  <c:v>9.6415517794164809E-2</c:v>
                </c:pt>
                <c:pt idx="2">
                  <c:v>1.9749919846104528E-2</c:v>
                </c:pt>
              </c:numCache>
            </c:numRef>
          </c:val>
          <c:extLst>
            <c:ext xmlns:c16="http://schemas.microsoft.com/office/drawing/2014/chart" uri="{C3380CC4-5D6E-409C-BE32-E72D297353CC}">
              <c16:uniqueId val="{00000005-73E5-4CE9-9DCC-AE0E4A34F684}"/>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scene3d>
      <a:camera prst="orthographicFront"/>
      <a:lightRig rig="threePt" dir="t"/>
    </a:scene3d>
    <a:sp3d>
      <a:bevelT w="190500" h="38100"/>
    </a:sp3d>
  </c:spPr>
  <c:printSettings>
    <c:headerFooter/>
    <c:pageMargins b="0.78740157499999996" l="0.511811024" r="0.511811024" t="0.78740157499999996" header="0.31496062000000002" footer="0.3149606200000000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351419502116147"/>
          <c:y val="0.24671512857941935"/>
          <c:w val="0.46710413081235674"/>
          <c:h val="0.68811227600710789"/>
        </c:manualLayout>
      </c:layout>
      <c:pieChart>
        <c:varyColors val="1"/>
        <c:ser>
          <c:idx val="0"/>
          <c:order val="0"/>
          <c:tx>
            <c:strRef>
              <c:f>[1]UNITÁRIO!$F$3</c:f>
              <c:strCache>
                <c:ptCount val="1"/>
                <c:pt idx="0">
                  <c:v>% VALOR TOTAL</c:v>
                </c:pt>
              </c:strCache>
            </c:strRef>
          </c:tx>
          <c:spPr>
            <a:scene3d>
              <a:camera prst="orthographicFront"/>
              <a:lightRig rig="threePt" dir="t"/>
            </a:scene3d>
            <a:sp3d>
              <a:bevelT w="190500" h="38100"/>
            </a:sp3d>
          </c:spPr>
          <c:explosion val="50"/>
          <c:dLbls>
            <c:dLbl>
              <c:idx val="0"/>
              <c:layout>
                <c:manualLayout>
                  <c:x val="0.11251052768835478"/>
                  <c:y val="-3.608541762011328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53-48EE-A367-1DAB08D7B114}"/>
                </c:ext>
              </c:extLst>
            </c:dLbl>
            <c:dLbl>
              <c:idx val="1"/>
              <c:layout>
                <c:manualLayout>
                  <c:x val="0.17439955955904601"/>
                  <c:y val="5.23449771616005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53-48EE-A367-1DAB08D7B114}"/>
                </c:ext>
              </c:extLst>
            </c:dLbl>
            <c:dLbl>
              <c:idx val="2"/>
              <c:layout>
                <c:manualLayout>
                  <c:x val="4.0140201336745264E-2"/>
                  <c:y val="3.892604706515719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53-48EE-A367-1DAB08D7B114}"/>
                </c:ext>
              </c:extLst>
            </c:dLbl>
            <c:dLbl>
              <c:idx val="3"/>
              <c:layout>
                <c:manualLayout>
                  <c:x val="3.7701989505484056E-2"/>
                  <c:y val="-5.056940881411534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53-48EE-A367-1DAB08D7B114}"/>
                </c:ext>
              </c:extLst>
            </c:dLbl>
            <c:dLbl>
              <c:idx val="7"/>
              <c:layout>
                <c:manualLayout>
                  <c:x val="-9.5267603189555072E-2"/>
                  <c:y val="-5.527167921833939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53-48EE-A367-1DAB08D7B114}"/>
                </c:ext>
              </c:extLst>
            </c:dLbl>
            <c:dLbl>
              <c:idx val="8"/>
              <c:layout>
                <c:manualLayout>
                  <c:x val="-3.6842515282664572E-2"/>
                  <c:y val="-2.408610246886107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953-48EE-A367-1DAB08D7B114}"/>
                </c:ext>
              </c:extLst>
            </c:dLbl>
            <c:dLbl>
              <c:idx val="9"/>
              <c:layout>
                <c:manualLayout>
                  <c:x val="-3.9466935972812242E-2"/>
                  <c:y val="3.13749831470292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953-48EE-A367-1DAB08D7B114}"/>
                </c:ext>
              </c:extLst>
            </c:dLbl>
            <c:dLbl>
              <c:idx val="10"/>
              <c:layout>
                <c:manualLayout>
                  <c:x val="-3.6349520995128011E-2"/>
                  <c:y val="8.120402754510180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953-48EE-A367-1DAB08D7B114}"/>
                </c:ext>
              </c:extLst>
            </c:dLbl>
            <c:dLbl>
              <c:idx val="11"/>
              <c:layout>
                <c:manualLayout>
                  <c:x val="-8.1343819932233274E-2"/>
                  <c:y val="0.12093831742739461"/>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953-48EE-A367-1DAB08D7B114}"/>
                </c:ext>
              </c:extLst>
            </c:dLbl>
            <c:dLbl>
              <c:idx val="12"/>
              <c:layout>
                <c:manualLayout>
                  <c:x val="-8.8237189550959549E-2"/>
                  <c:y val="0.10062471454916379"/>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953-48EE-A367-1DAB08D7B114}"/>
                </c:ext>
              </c:extLst>
            </c:dLbl>
            <c:dLbl>
              <c:idx val="13"/>
              <c:layout>
                <c:manualLayout>
                  <c:x val="-0.13516918484063545"/>
                  <c:y val="8.176968088754157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953-48EE-A367-1DAB08D7B114}"/>
                </c:ext>
              </c:extLst>
            </c:dLbl>
            <c:dLbl>
              <c:idx val="18"/>
              <c:layout>
                <c:manualLayout>
                  <c:x val="4.7097540665497158E-2"/>
                  <c:y val="-0.192801250642045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953-48EE-A367-1DAB08D7B114}"/>
                </c:ext>
              </c:extLst>
            </c:dLbl>
            <c:dLbl>
              <c:idx val="19"/>
              <c:layout>
                <c:manualLayout>
                  <c:x val="0.1640742308315318"/>
                  <c:y val="-0.1710745640737117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953-48EE-A367-1DAB08D7B114}"/>
                </c:ext>
              </c:extLst>
            </c:dLbl>
            <c:dLbl>
              <c:idx val="20"/>
              <c:layout>
                <c:manualLayout>
                  <c:x val="9.2503209173509765E-2"/>
                  <c:y val="-8.985490816822087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953-48EE-A367-1DAB08D7B114}"/>
                </c:ext>
              </c:extLst>
            </c:dLbl>
            <c:numFmt formatCode="0.00%" sourceLinked="0"/>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([1]UNITÁRIO!$A$4:$A$10,[1]UNITÁRIO!$A$12:$A$16,[1]UNITÁRIO!$A$18:$A$21,[1]UNITÁRIO!$A$23:$A$26,[1]UNITÁRIO!$A$28)</c:f>
              <c:strCache>
                <c:ptCount val="21"/>
                <c:pt idx="0">
                  <c:v>NE</c:v>
                </c:pt>
                <c:pt idx="1">
                  <c:v>DAS 101.6</c:v>
                </c:pt>
                <c:pt idx="2">
                  <c:v>DAS 101.5</c:v>
                </c:pt>
                <c:pt idx="3">
                  <c:v>DAS 101.4</c:v>
                </c:pt>
                <c:pt idx="4">
                  <c:v>DAS 101.3</c:v>
                </c:pt>
                <c:pt idx="5">
                  <c:v>DAS 101.2</c:v>
                </c:pt>
                <c:pt idx="6">
                  <c:v>DAS 101.1</c:v>
                </c:pt>
                <c:pt idx="7">
                  <c:v>DAS 102.5</c:v>
                </c:pt>
                <c:pt idx="8">
                  <c:v>DAS 102.4</c:v>
                </c:pt>
                <c:pt idx="9">
                  <c:v>DAS 102.3</c:v>
                </c:pt>
                <c:pt idx="10">
                  <c:v>DAS 102.2</c:v>
                </c:pt>
                <c:pt idx="11">
                  <c:v>DAS 102.1</c:v>
                </c:pt>
                <c:pt idx="12">
                  <c:v>FCPE 101.4</c:v>
                </c:pt>
                <c:pt idx="13">
                  <c:v>FCPE 101.3</c:v>
                </c:pt>
                <c:pt idx="14">
                  <c:v>FCPE 101.2</c:v>
                </c:pt>
                <c:pt idx="15">
                  <c:v>FCPE 101.1</c:v>
                </c:pt>
                <c:pt idx="16">
                  <c:v>FCPE 102.4</c:v>
                </c:pt>
                <c:pt idx="17">
                  <c:v>FCPE 102.3</c:v>
                </c:pt>
                <c:pt idx="18">
                  <c:v>FCPE 102.2</c:v>
                </c:pt>
                <c:pt idx="19">
                  <c:v>FCPE 102.1</c:v>
                </c:pt>
                <c:pt idx="20">
                  <c:v>FG-1</c:v>
                </c:pt>
              </c:strCache>
            </c:strRef>
          </c:cat>
          <c:val>
            <c:numRef>
              <c:f>([1]UNITÁRIO!$F$4:$F$10,[1]UNITÁRIO!$F$12:$F$16,[1]UNITÁRIO!$F$18:$F$21,[1]UNITÁRIO!$F$23:$F$26,[1]UNITÁRIO!$F$28)</c:f>
              <c:numCache>
                <c:formatCode>General</c:formatCode>
                <c:ptCount val="21"/>
                <c:pt idx="0">
                  <c:v>8.2205835203590927E-3</c:v>
                </c:pt>
                <c:pt idx="1">
                  <c:v>4.020519397242707E-2</c:v>
                </c:pt>
                <c:pt idx="2">
                  <c:v>0.22622635460083368</c:v>
                </c:pt>
                <c:pt idx="3">
                  <c:v>0.21176017954472595</c:v>
                </c:pt>
                <c:pt idx="4">
                  <c:v>3.7704392433472282E-2</c:v>
                </c:pt>
                <c:pt idx="5">
                  <c:v>1.6287271561397889E-2</c:v>
                </c:pt>
                <c:pt idx="6">
                  <c:v>2.5649246553382504E-3</c:v>
                </c:pt>
                <c:pt idx="7">
                  <c:v>3.2318050657261954E-2</c:v>
                </c:pt>
                <c:pt idx="8">
                  <c:v>0.13296569413273487</c:v>
                </c:pt>
                <c:pt idx="9">
                  <c:v>7.0022443090734229E-2</c:v>
                </c:pt>
                <c:pt idx="10">
                  <c:v>8.6322539275408811E-2</c:v>
                </c:pt>
                <c:pt idx="11">
                  <c:v>1.9236934915036877E-2</c:v>
                </c:pt>
                <c:pt idx="12">
                  <c:v>4.1295286950945823E-2</c:v>
                </c:pt>
                <c:pt idx="13">
                  <c:v>6.4636101314523905E-3</c:v>
                </c:pt>
                <c:pt idx="14">
                  <c:v>1.9493427380570701E-3</c:v>
                </c:pt>
                <c:pt idx="15">
                  <c:v>0</c:v>
                </c:pt>
                <c:pt idx="16">
                  <c:v>5.8993267072779748E-3</c:v>
                </c:pt>
                <c:pt idx="17">
                  <c:v>1.1311317730041683E-2</c:v>
                </c:pt>
                <c:pt idx="18">
                  <c:v>1.9493427380570701E-2</c:v>
                </c:pt>
                <c:pt idx="19">
                  <c:v>1.0003206155819176E-2</c:v>
                </c:pt>
                <c:pt idx="20">
                  <c:v>1.9749919846104528E-2</c:v>
                </c:pt>
              </c:numCache>
            </c:numRef>
          </c:val>
          <c:extLst>
            <c:ext xmlns:c16="http://schemas.microsoft.com/office/drawing/2014/chart" uri="{C3380CC4-5D6E-409C-BE32-E72D297353CC}">
              <c16:uniqueId val="{0000000E-4953-48EE-A367-1DAB08D7B114}"/>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scene3d>
      <a:camera prst="orthographicFront"/>
      <a:lightRig rig="threePt" dir="t"/>
    </a:scene3d>
    <a:sp3d>
      <a:bevelT w="190500" h="38100"/>
    </a:sp3d>
  </c:spPr>
  <c:printSettings>
    <c:headerFooter/>
    <c:pageMargins b="0.78740157499999996" l="0.511811024" r="0.511811024" t="0.78740157499999996" header="0.31496062000000002" footer="0.3149606200000000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a:scene3d>
              <a:camera prst="orthographicFront"/>
              <a:lightRig rig="threePt" dir="t"/>
            </a:scene3d>
            <a:sp3d>
              <a:bevelT w="190500" h="38100"/>
            </a:sp3d>
          </c:spPr>
          <c:invertIfNegative val="0"/>
          <c:dLbls>
            <c:numFmt formatCode="0.00%" sourceLinked="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'[1]CUSTO RELATIVO'!$A$98:$A$109</c:f>
              <c:strCache>
                <c:ptCount val="12"/>
                <c:pt idx="0">
                  <c:v>GM</c:v>
                </c:pt>
                <c:pt idx="1">
                  <c:v>SE</c:v>
                </c:pt>
                <c:pt idx="2">
                  <c:v>CONJUR</c:v>
                </c:pt>
                <c:pt idx="3">
                  <c:v>ASSEC</c:v>
                </c:pt>
                <c:pt idx="4">
                  <c:v>AERINT</c:v>
                </c:pt>
                <c:pt idx="5">
                  <c:v>AECI</c:v>
                </c:pt>
                <c:pt idx="6">
                  <c:v>AEPED</c:v>
                </c:pt>
                <c:pt idx="7">
                  <c:v>SPE</c:v>
                </c:pt>
                <c:pt idx="8">
                  <c:v>SEE</c:v>
                </c:pt>
                <c:pt idx="9">
                  <c:v>SPG</c:v>
                </c:pt>
                <c:pt idx="10">
                  <c:v>SGM</c:v>
                </c:pt>
                <c:pt idx="11">
                  <c:v>ESCRITÓRIO RJ</c:v>
                </c:pt>
              </c:strCache>
            </c:strRef>
          </c:cat>
          <c:val>
            <c:numRef>
              <c:f>'[1]CUSTO RELATIVO'!$C$98:$C$109</c:f>
              <c:numCache>
                <c:formatCode>General</c:formatCode>
                <c:ptCount val="12"/>
                <c:pt idx="0">
                  <c:v>0.16328994315027359</c:v>
                </c:pt>
                <c:pt idx="1">
                  <c:v>0.2533424597919734</c:v>
                </c:pt>
                <c:pt idx="2">
                  <c:v>4.375941271851308E-2</c:v>
                </c:pt>
                <c:pt idx="3">
                  <c:v>3.9331097294277695E-2</c:v>
                </c:pt>
                <c:pt idx="4">
                  <c:v>1.5636595967622065E-2</c:v>
                </c:pt>
                <c:pt idx="5">
                  <c:v>1.4244913914486538E-2</c:v>
                </c:pt>
                <c:pt idx="6">
                  <c:v>2.1864224184573042E-2</c:v>
                </c:pt>
                <c:pt idx="7">
                  <c:v>0.11233844236949947</c:v>
                </c:pt>
                <c:pt idx="8">
                  <c:v>0.11490567102651686</c:v>
                </c:pt>
                <c:pt idx="9">
                  <c:v>9.5303665931016246E-2</c:v>
                </c:pt>
                <c:pt idx="10">
                  <c:v>0.12598357365124821</c:v>
                </c:pt>
                <c:pt idx="11">
                  <c:v>4.0462206838813896E-3</c:v>
                </c:pt>
              </c:numCache>
            </c:numRef>
          </c:val>
          <c:extLst>
            <c:ext xmlns:c16="http://schemas.microsoft.com/office/drawing/2014/chart" uri="{C3380CC4-5D6E-409C-BE32-E72D297353CC}">
              <c16:uniqueId val="{00000000-9CDF-4662-A0AF-59D379AE1940}"/>
            </c:ext>
          </c:extLst>
        </c:ser>
        <c:dLbls>
          <c:dLblPos val="outEnd"/>
          <c:showLegendKey val="0"/>
          <c:showVal val="1"/>
          <c:showCatName val="0"/>
          <c:showSerName val="0"/>
          <c:showPercent val="0"/>
          <c:showBubbleSize val="0"/>
        </c:dLbls>
        <c:gapWidth val="390"/>
        <c:overlap val="-90"/>
        <c:axId val="142078720"/>
        <c:axId val="142081408"/>
      </c:barChart>
      <c:catAx>
        <c:axId val="142078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pt-BR"/>
          </a:p>
        </c:txPr>
        <c:crossAx val="142081408"/>
        <c:crosses val="autoZero"/>
        <c:auto val="1"/>
        <c:lblAlgn val="ctr"/>
        <c:lblOffset val="100"/>
        <c:noMultiLvlLbl val="0"/>
      </c:catAx>
      <c:valAx>
        <c:axId val="142081408"/>
        <c:scaling>
          <c:orientation val="minMax"/>
        </c:scaling>
        <c:delete val="1"/>
        <c:axPos val="l"/>
        <c:numFmt formatCode="General" sourceLinked="1"/>
        <c:majorTickMark val="none"/>
        <c:minorTickMark val="none"/>
        <c:tickLblPos val="nextTo"/>
        <c:crossAx val="142078720"/>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a:scene3d>
      <a:camera prst="orthographicFront"/>
      <a:lightRig rig="threePt" dir="t"/>
    </a:scene3d>
    <a:sp3d>
      <a:bevelT w="190500" h="38100"/>
    </a:sp3d>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000005375328988E-2"/>
          <c:y val="0"/>
          <c:w val="0.9530666587828508"/>
          <c:h val="0.89814814814814814"/>
        </c:manualLayout>
      </c:layout>
      <c:barChart>
        <c:barDir val="col"/>
        <c:grouping val="clustered"/>
        <c:varyColors val="0"/>
        <c:ser>
          <c:idx val="0"/>
          <c:order val="0"/>
          <c:spPr>
            <a:solidFill>
              <a:schemeClr val="accent6">
                <a:lumMod val="60000"/>
                <a:lumOff val="40000"/>
              </a:schemeClr>
            </a:solidFill>
            <a:ln>
              <a:noFill/>
            </a:ln>
            <a:effectLst/>
            <a:scene3d>
              <a:camera prst="orthographicFront"/>
              <a:lightRig rig="threePt" dir="t"/>
            </a:scene3d>
            <a:sp3d>
              <a:bevelT w="190500" h="38100"/>
            </a:sp3d>
          </c:spPr>
          <c:invertIfNegative val="0"/>
          <c:dLbls>
            <c:dLbl>
              <c:idx val="1"/>
              <c:layout>
                <c:manualLayout>
                  <c:x val="2.773333799195178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61-4A97-8E92-0F4C444066DB}"/>
                </c:ext>
              </c:extLst>
            </c:dLbl>
            <c:numFmt formatCode="0.00%" sourceLinked="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'[1]CUSTO RELATIVO'!$A$98:$A$109</c:f>
              <c:strCache>
                <c:ptCount val="12"/>
                <c:pt idx="0">
                  <c:v>GM</c:v>
                </c:pt>
                <c:pt idx="1">
                  <c:v>SE</c:v>
                </c:pt>
                <c:pt idx="2">
                  <c:v>CONJUR</c:v>
                </c:pt>
                <c:pt idx="3">
                  <c:v>ASSEC</c:v>
                </c:pt>
                <c:pt idx="4">
                  <c:v>AERINT</c:v>
                </c:pt>
                <c:pt idx="5">
                  <c:v>AECI</c:v>
                </c:pt>
                <c:pt idx="6">
                  <c:v>AEPED</c:v>
                </c:pt>
                <c:pt idx="7">
                  <c:v>SPE</c:v>
                </c:pt>
                <c:pt idx="8">
                  <c:v>SEE</c:v>
                </c:pt>
                <c:pt idx="9">
                  <c:v>SPG</c:v>
                </c:pt>
                <c:pt idx="10">
                  <c:v>SGM</c:v>
                </c:pt>
                <c:pt idx="11">
                  <c:v>ESCRITÓRIO RJ</c:v>
                </c:pt>
              </c:strCache>
            </c:strRef>
          </c:cat>
          <c:val>
            <c:numRef>
              <c:f>'[1]CUSTO RELATIVO'!$E$98:$E$109</c:f>
              <c:numCache>
                <c:formatCode>General</c:formatCode>
                <c:ptCount val="12"/>
                <c:pt idx="0">
                  <c:v>0.16715890544750037</c:v>
                </c:pt>
                <c:pt idx="1">
                  <c:v>0.25766796479915294</c:v>
                </c:pt>
                <c:pt idx="2">
                  <c:v>3.5040175346277305E-2</c:v>
                </c:pt>
                <c:pt idx="3">
                  <c:v>4.0475885582664288E-2</c:v>
                </c:pt>
                <c:pt idx="4">
                  <c:v>1.4465962160404879E-2</c:v>
                </c:pt>
                <c:pt idx="5">
                  <c:v>1.0744245842744408E-2</c:v>
                </c:pt>
                <c:pt idx="6">
                  <c:v>1.760626250871293E-2</c:v>
                </c:pt>
                <c:pt idx="7">
                  <c:v>0.12112011048141037</c:v>
                </c:pt>
                <c:pt idx="8">
                  <c:v>0.12107064006028266</c:v>
                </c:pt>
                <c:pt idx="9">
                  <c:v>0.11428248823957807</c:v>
                </c:pt>
                <c:pt idx="10">
                  <c:v>0.10036735953127181</c:v>
                </c:pt>
                <c:pt idx="11">
                  <c:v>1.3450006720308353E-2</c:v>
                </c:pt>
              </c:numCache>
            </c:numRef>
          </c:val>
          <c:extLst>
            <c:ext xmlns:c16="http://schemas.microsoft.com/office/drawing/2014/chart" uri="{C3380CC4-5D6E-409C-BE32-E72D297353CC}">
              <c16:uniqueId val="{00000000-E061-4A97-8E92-0F4C444066DB}"/>
            </c:ext>
          </c:extLst>
        </c:ser>
        <c:dLbls>
          <c:dLblPos val="outEnd"/>
          <c:showLegendKey val="0"/>
          <c:showVal val="1"/>
          <c:showCatName val="0"/>
          <c:showSerName val="0"/>
          <c:showPercent val="0"/>
          <c:showBubbleSize val="0"/>
        </c:dLbls>
        <c:gapWidth val="277"/>
        <c:overlap val="-90"/>
        <c:axId val="142813440"/>
        <c:axId val="142832768"/>
      </c:barChart>
      <c:catAx>
        <c:axId val="142813440"/>
        <c:scaling>
          <c:orientation val="minMax"/>
        </c:scaling>
        <c:delete val="1"/>
        <c:axPos val="b"/>
        <c:numFmt formatCode="General" sourceLinked="1"/>
        <c:majorTickMark val="none"/>
        <c:minorTickMark val="none"/>
        <c:tickLblPos val="nextTo"/>
        <c:crossAx val="142832768"/>
        <c:crosses val="autoZero"/>
        <c:auto val="1"/>
        <c:lblAlgn val="ctr"/>
        <c:lblOffset val="100"/>
        <c:noMultiLvlLbl val="0"/>
      </c:catAx>
      <c:valAx>
        <c:axId val="142832768"/>
        <c:scaling>
          <c:orientation val="minMax"/>
        </c:scaling>
        <c:delete val="1"/>
        <c:axPos val="l"/>
        <c:numFmt formatCode="General" sourceLinked="1"/>
        <c:majorTickMark val="none"/>
        <c:minorTickMark val="none"/>
        <c:tickLblPos val="nextTo"/>
        <c:crossAx val="1428134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Exercício MME por situação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9699999999999999"/>
          <c:y val="0.23408926262439678"/>
          <c:w val="0.40044466316710409"/>
          <c:h val="0.66052704114618199"/>
        </c:manualLayout>
      </c:layout>
      <c:pieChart>
        <c:varyColors val="1"/>
        <c:dLbls>
          <c:dLblPos val="inEnd"/>
          <c:showLegendKey val="0"/>
          <c:showVal val="0"/>
          <c:showCatName val="0"/>
          <c:showSerName val="0"/>
          <c:showPercent val="1"/>
          <c:showBubbleSize val="0"/>
          <c:showLeaderLines val="0"/>
        </c:dLbls>
        <c:firstSliceAng val="0"/>
      </c:pieChart>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dLbls>
          <c:showLegendKey val="0"/>
          <c:showVal val="0"/>
          <c:showCatName val="0"/>
          <c:showSerName val="0"/>
          <c:showPercent val="0"/>
          <c:showBubbleSize val="0"/>
        </c:dLbls>
        <c:gapWidth val="219"/>
        <c:overlap val="-27"/>
        <c:axId val="588662512"/>
        <c:axId val="588664152"/>
      </c:barChart>
      <c:catAx>
        <c:axId val="58866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88664152"/>
        <c:crosses val="autoZero"/>
        <c:auto val="1"/>
        <c:lblAlgn val="ctr"/>
        <c:lblOffset val="100"/>
        <c:noMultiLvlLbl val="0"/>
      </c:catAx>
      <c:valAx>
        <c:axId val="588664152"/>
        <c:scaling>
          <c:orientation val="minMax"/>
        </c:scaling>
        <c:delete val="1"/>
        <c:axPos val="l"/>
        <c:numFmt formatCode="0.00%" sourceLinked="1"/>
        <c:majorTickMark val="none"/>
        <c:minorTickMark val="none"/>
        <c:tickLblPos val="nextTo"/>
        <c:crossAx val="58866251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pt-BR" sz="1200" b="1">
                <a:solidFill>
                  <a:sysClr val="windowText" lastClr="000000"/>
                </a:solidFill>
              </a:rPr>
              <a:t>Média</a:t>
            </a:r>
            <a:r>
              <a:rPr lang="pt-BR" sz="1200" b="1" baseline="0">
                <a:solidFill>
                  <a:sysClr val="windowText" lastClr="000000"/>
                </a:solidFill>
              </a:rPr>
              <a:t> de Afastamento por Servidor em Exercício no MME</a:t>
            </a:r>
            <a:endParaRPr lang="pt-BR" sz="1200" b="1">
              <a:solidFill>
                <a:sysClr val="windowText" lastClr="000000"/>
              </a:solidFill>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pt-BR"/>
        </a:p>
      </c:txPr>
    </c:title>
    <c:autoTitleDeleted val="0"/>
    <c:plotArea>
      <c:layout/>
      <c:lineChart>
        <c:grouping val="standard"/>
        <c:varyColors val="0"/>
        <c:ser>
          <c:idx val="0"/>
          <c:order val="0"/>
          <c:tx>
            <c:strRef>
              <c:f>[1]PINDIC01EV!$B$10</c:f>
              <c:strCache>
                <c:ptCount val="1"/>
                <c:pt idx="0">
                  <c:v>Aferição                (dias)</c:v>
                </c:pt>
              </c:strCache>
            </c:strRef>
          </c:tx>
          <c:spPr>
            <a:ln w="38100" cap="rnd">
              <a:solidFill>
                <a:schemeClr val="accent1"/>
              </a:solidFill>
              <a:round/>
            </a:ln>
            <a:effectLst>
              <a:outerShdw blurRad="40000" dist="23000" dir="5400000" rotWithShape="0">
                <a:srgbClr val="000000">
                  <a:alpha val="35000"/>
                </a:srgbClr>
              </a:outerShdw>
            </a:effectLst>
          </c:spPr>
          <c:marker>
            <c:symbol val="square"/>
            <c:size val="8"/>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round/>
              </a:ln>
              <a:effectLst>
                <a:outerShdw blurRad="40000" dist="23000" dir="5400000" rotWithShape="0">
                  <a:srgbClr val="000000">
                    <a:alpha val="35000"/>
                  </a:srgbClr>
                </a:outerShdw>
              </a:effectLst>
              <a:scene3d>
                <a:camera prst="orthographicFront"/>
                <a:lightRig rig="threePt" dir="t"/>
              </a:scene3d>
              <a:sp3d>
                <a:bevelT w="190500" h="38100"/>
              </a:sp3d>
            </c:spPr>
          </c:marker>
          <c:dLbls>
            <c:dLbl>
              <c:idx val="0"/>
              <c:layout>
                <c:manualLayout>
                  <c:x val="-7.1103774471351619E-2"/>
                  <c:y val="-0.1003293837730638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74-46D4-83BC-24DD9754D977}"/>
                </c:ext>
              </c:extLst>
            </c:dLbl>
            <c:dLbl>
              <c:idx val="1"/>
              <c:layout>
                <c:manualLayout>
                  <c:x val="-6.2916721420248733E-2"/>
                  <c:y val="-7.85022609178325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74-46D4-83BC-24DD9754D977}"/>
                </c:ext>
              </c:extLst>
            </c:dLbl>
            <c:dLbl>
              <c:idx val="2"/>
              <c:layout>
                <c:manualLayout>
                  <c:x val="-4.4671087166735735E-2"/>
                  <c:y val="-5.34979423868312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74-46D4-83BC-24DD9754D977}"/>
                </c:ext>
              </c:extLst>
            </c:dLbl>
            <c:dLbl>
              <c:idx val="3"/>
              <c:layout>
                <c:manualLayout>
                  <c:x val="-5.4144716385777183E-2"/>
                  <c:y val="-7.85022609178326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74-46D4-83BC-24DD9754D977}"/>
                </c:ext>
              </c:extLst>
            </c:dLbl>
            <c:dLbl>
              <c:idx val="4"/>
              <c:layout>
                <c:manualLayout>
                  <c:x val="-3.5899157342174332E-2"/>
                  <c:y val="-6.17283950617284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674-46D4-83BC-24DD9754D977}"/>
                </c:ext>
              </c:extLst>
            </c:dLbl>
            <c:dLbl>
              <c:idx val="5"/>
              <c:layout>
                <c:manualLayout>
                  <c:x val="-2.8881613482525211E-2"/>
                  <c:y val="-6.1728395061728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74-46D4-83BC-24DD9754D977}"/>
                </c:ext>
              </c:extLst>
            </c:dLbl>
            <c:dLbl>
              <c:idx val="6"/>
              <c:layout>
                <c:manualLayout>
                  <c:x val="-2.3618455587788304E-2"/>
                  <c:y val="-6.5843621399177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74-46D4-83BC-24DD9754D977}"/>
                </c:ext>
              </c:extLst>
            </c:dLbl>
            <c:dLbl>
              <c:idx val="7"/>
              <c:layout>
                <c:manualLayout>
                  <c:x val="-2.8881613482525145E-2"/>
                  <c:y val="-7.81893004115227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74-46D4-83BC-24DD9754D977}"/>
                </c:ext>
              </c:extLst>
            </c:dLbl>
            <c:dLbl>
              <c:idx val="8"/>
              <c:layout>
                <c:manualLayout>
                  <c:x val="-5.0636054354515278E-2"/>
                  <c:y val="-7.40742161227551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674-46D4-83BC-24DD9754D977}"/>
                </c:ext>
              </c:extLst>
            </c:dLbl>
            <c:dLbl>
              <c:idx val="9"/>
              <c:layout>
                <c:manualLayout>
                  <c:x val="-4.5723717536958447E-2"/>
                  <c:y val="-8.67324969326202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674-46D4-83BC-24DD9754D977}"/>
                </c:ext>
              </c:extLst>
            </c:dLbl>
            <c:dLbl>
              <c:idx val="10"/>
              <c:layout>
                <c:manualLayout>
                  <c:x val="-3.4144771377262052E-2"/>
                  <c:y val="-6.5843621399176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674-46D4-83BC-24DD9754D977}"/>
                </c:ext>
              </c:extLst>
            </c:dLbl>
            <c:dLbl>
              <c:idx val="11"/>
              <c:layout>
                <c:manualLayout>
                  <c:x val="-2.8881613482525211E-2"/>
                  <c:y val="-6.99588477366255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674-46D4-83BC-24DD9754D977}"/>
                </c:ext>
              </c:extLst>
            </c:dLbl>
            <c:dLbl>
              <c:idx val="12"/>
              <c:layout>
                <c:manualLayout>
                  <c:x val="-3.063599944743749E-2"/>
                  <c:y val="-5.76131687242798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674-46D4-83BC-24DD9754D977}"/>
                </c:ext>
              </c:extLst>
            </c:dLbl>
            <c:dLbl>
              <c:idx val="13"/>
              <c:layout>
                <c:manualLayout>
                  <c:x val="-2.3618455587788238E-2"/>
                  <c:y val="-7.4074074074074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674-46D4-83BC-24DD9754D97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[1]PINDIC01EV!$A$11:$A$24</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[1]PINDIC01EV!$B$11:$B$24</c:f>
              <c:numCache>
                <c:formatCode>General</c:formatCode>
                <c:ptCount val="14"/>
                <c:pt idx="0">
                  <c:v>3.124394184168013</c:v>
                </c:pt>
                <c:pt idx="1">
                  <c:v>4.4237762237762235</c:v>
                </c:pt>
                <c:pt idx="2">
                  <c:v>4.6410256410256414</c:v>
                </c:pt>
                <c:pt idx="3">
                  <c:v>6.2249322493224932</c:v>
                </c:pt>
                <c:pt idx="4">
                  <c:v>5.9332406119610575</c:v>
                </c:pt>
                <c:pt idx="5">
                  <c:v>6.5726256983240221</c:v>
                </c:pt>
                <c:pt idx="6">
                  <c:v>6.4243697478991599</c:v>
                </c:pt>
                <c:pt idx="7">
                  <c:v>4.5506419400855922</c:v>
                </c:pt>
                <c:pt idx="8">
                  <c:v>6.3584337349397586</c:v>
                </c:pt>
                <c:pt idx="9">
                  <c:v>5.8875562218890556</c:v>
                </c:pt>
                <c:pt idx="10">
                  <c:v>6.7562408223201178</c:v>
                </c:pt>
                <c:pt idx="11">
                  <c:v>7.3020134228187921</c:v>
                </c:pt>
                <c:pt idx="12">
                  <c:v>6.6811594202898554</c:v>
                </c:pt>
                <c:pt idx="13">
                  <c:v>2.3716981132075472</c:v>
                </c:pt>
              </c:numCache>
            </c:numRef>
          </c:val>
          <c:smooth val="0"/>
          <c:extLst>
            <c:ext xmlns:c16="http://schemas.microsoft.com/office/drawing/2014/chart" uri="{C3380CC4-5D6E-409C-BE32-E72D297353CC}">
              <c16:uniqueId val="{0000000E-E674-46D4-83BC-24DD9754D977}"/>
            </c:ext>
          </c:extLst>
        </c:ser>
        <c:ser>
          <c:idx val="1"/>
          <c:order val="1"/>
          <c:tx>
            <c:strRef>
              <c:f>[1]PINDIC01EV!$D$10</c:f>
              <c:strCache>
                <c:ptCount val="1"/>
                <c:pt idx="0">
                  <c:v>Faixa de Aceitação                                    (≤ dias)</c:v>
                </c:pt>
              </c:strCache>
            </c:strRef>
          </c:tx>
          <c:spPr>
            <a:ln w="31750" cap="rnd">
              <a:solidFill>
                <a:schemeClr val="accent2"/>
              </a:solidFill>
              <a:round/>
            </a:ln>
            <a:effectLst>
              <a:outerShdw blurRad="40000" dist="23000" dir="5400000" rotWithShape="0">
                <a:srgbClr val="000000">
                  <a:alpha val="35000"/>
                </a:srgbClr>
              </a:outerShdw>
            </a:effectLst>
          </c:spPr>
          <c:marker>
            <c:symbol val="none"/>
          </c:marker>
          <c:dLbls>
            <c:dLbl>
              <c:idx val="0"/>
              <c:layout>
                <c:manualLayout>
                  <c:x val="-5.2736842105263158E-2"/>
                  <c:y val="0"/>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674-46D4-83BC-24DD9754D977}"/>
                </c:ext>
              </c:extLst>
            </c:dLbl>
            <c:dLbl>
              <c:idx val="1"/>
              <c:delete val="1"/>
              <c:extLst>
                <c:ext xmlns:c15="http://schemas.microsoft.com/office/drawing/2012/chart" uri="{CE6537A1-D6FC-4f65-9D91-7224C49458BB}"/>
                <c:ext xmlns:c16="http://schemas.microsoft.com/office/drawing/2014/chart" uri="{C3380CC4-5D6E-409C-BE32-E72D297353CC}">
                  <c16:uniqueId val="{00000010-E674-46D4-83BC-24DD9754D977}"/>
                </c:ext>
              </c:extLst>
            </c:dLbl>
            <c:dLbl>
              <c:idx val="2"/>
              <c:delete val="1"/>
              <c:extLst>
                <c:ext xmlns:c15="http://schemas.microsoft.com/office/drawing/2012/chart" uri="{CE6537A1-D6FC-4f65-9D91-7224C49458BB}"/>
                <c:ext xmlns:c16="http://schemas.microsoft.com/office/drawing/2014/chart" uri="{C3380CC4-5D6E-409C-BE32-E72D297353CC}">
                  <c16:uniqueId val="{00000011-E674-46D4-83BC-24DD9754D977}"/>
                </c:ext>
              </c:extLst>
            </c:dLbl>
            <c:dLbl>
              <c:idx val="3"/>
              <c:delete val="1"/>
              <c:extLst>
                <c:ext xmlns:c15="http://schemas.microsoft.com/office/drawing/2012/chart" uri="{CE6537A1-D6FC-4f65-9D91-7224C49458BB}"/>
                <c:ext xmlns:c16="http://schemas.microsoft.com/office/drawing/2014/chart" uri="{C3380CC4-5D6E-409C-BE32-E72D297353CC}">
                  <c16:uniqueId val="{00000012-E674-46D4-83BC-24DD9754D977}"/>
                </c:ext>
              </c:extLst>
            </c:dLbl>
            <c:dLbl>
              <c:idx val="4"/>
              <c:delete val="1"/>
              <c:extLst>
                <c:ext xmlns:c15="http://schemas.microsoft.com/office/drawing/2012/chart" uri="{CE6537A1-D6FC-4f65-9D91-7224C49458BB}"/>
                <c:ext xmlns:c16="http://schemas.microsoft.com/office/drawing/2014/chart" uri="{C3380CC4-5D6E-409C-BE32-E72D297353CC}">
                  <c16:uniqueId val="{00000013-E674-46D4-83BC-24DD9754D977}"/>
                </c:ext>
              </c:extLst>
            </c:dLbl>
            <c:dLbl>
              <c:idx val="5"/>
              <c:delete val="1"/>
              <c:extLst>
                <c:ext xmlns:c15="http://schemas.microsoft.com/office/drawing/2012/chart" uri="{CE6537A1-D6FC-4f65-9D91-7224C49458BB}"/>
                <c:ext xmlns:c16="http://schemas.microsoft.com/office/drawing/2014/chart" uri="{C3380CC4-5D6E-409C-BE32-E72D297353CC}">
                  <c16:uniqueId val="{00000014-E674-46D4-83BC-24DD9754D977}"/>
                </c:ext>
              </c:extLst>
            </c:dLbl>
            <c:dLbl>
              <c:idx val="6"/>
              <c:delete val="1"/>
              <c:extLst>
                <c:ext xmlns:c15="http://schemas.microsoft.com/office/drawing/2012/chart" uri="{CE6537A1-D6FC-4f65-9D91-7224C49458BB}"/>
                <c:ext xmlns:c16="http://schemas.microsoft.com/office/drawing/2014/chart" uri="{C3380CC4-5D6E-409C-BE32-E72D297353CC}">
                  <c16:uniqueId val="{00000015-E674-46D4-83BC-24DD9754D977}"/>
                </c:ext>
              </c:extLst>
            </c:dLbl>
            <c:dLbl>
              <c:idx val="7"/>
              <c:delete val="1"/>
              <c:extLst>
                <c:ext xmlns:c15="http://schemas.microsoft.com/office/drawing/2012/chart" uri="{CE6537A1-D6FC-4f65-9D91-7224C49458BB}"/>
                <c:ext xmlns:c16="http://schemas.microsoft.com/office/drawing/2014/chart" uri="{C3380CC4-5D6E-409C-BE32-E72D297353CC}">
                  <c16:uniqueId val="{00000016-E674-46D4-83BC-24DD9754D977}"/>
                </c:ext>
              </c:extLst>
            </c:dLbl>
            <c:dLbl>
              <c:idx val="8"/>
              <c:delete val="1"/>
              <c:extLst>
                <c:ext xmlns:c15="http://schemas.microsoft.com/office/drawing/2012/chart" uri="{CE6537A1-D6FC-4f65-9D91-7224C49458BB}"/>
                <c:ext xmlns:c16="http://schemas.microsoft.com/office/drawing/2014/chart" uri="{C3380CC4-5D6E-409C-BE32-E72D297353CC}">
                  <c16:uniqueId val="{00000017-E674-46D4-83BC-24DD9754D977}"/>
                </c:ext>
              </c:extLst>
            </c:dLbl>
            <c:dLbl>
              <c:idx val="9"/>
              <c:delete val="1"/>
              <c:extLst>
                <c:ext xmlns:c15="http://schemas.microsoft.com/office/drawing/2012/chart" uri="{CE6537A1-D6FC-4f65-9D91-7224C49458BB}"/>
                <c:ext xmlns:c16="http://schemas.microsoft.com/office/drawing/2014/chart" uri="{C3380CC4-5D6E-409C-BE32-E72D297353CC}">
                  <c16:uniqueId val="{00000018-E674-46D4-83BC-24DD9754D977}"/>
                </c:ext>
              </c:extLst>
            </c:dLbl>
            <c:dLbl>
              <c:idx val="10"/>
              <c:delete val="1"/>
              <c:extLst>
                <c:ext xmlns:c15="http://schemas.microsoft.com/office/drawing/2012/chart" uri="{CE6537A1-D6FC-4f65-9D91-7224C49458BB}"/>
                <c:ext xmlns:c16="http://schemas.microsoft.com/office/drawing/2014/chart" uri="{C3380CC4-5D6E-409C-BE32-E72D297353CC}">
                  <c16:uniqueId val="{00000019-E674-46D4-83BC-24DD9754D977}"/>
                </c:ext>
              </c:extLst>
            </c:dLbl>
            <c:dLbl>
              <c:idx val="11"/>
              <c:delete val="1"/>
              <c:extLst>
                <c:ext xmlns:c15="http://schemas.microsoft.com/office/drawing/2012/chart" uri="{CE6537A1-D6FC-4f65-9D91-7224C49458BB}"/>
                <c:ext xmlns:c16="http://schemas.microsoft.com/office/drawing/2014/chart" uri="{C3380CC4-5D6E-409C-BE32-E72D297353CC}">
                  <c16:uniqueId val="{0000001A-E674-46D4-83BC-24DD9754D977}"/>
                </c:ext>
              </c:extLst>
            </c:dLbl>
            <c:dLbl>
              <c:idx val="12"/>
              <c:delete val="1"/>
              <c:extLst>
                <c:ext xmlns:c15="http://schemas.microsoft.com/office/drawing/2012/chart" uri="{CE6537A1-D6FC-4f65-9D91-7224C49458BB}"/>
                <c:ext xmlns:c16="http://schemas.microsoft.com/office/drawing/2014/chart" uri="{C3380CC4-5D6E-409C-BE32-E72D297353CC}">
                  <c16:uniqueId val="{0000001B-E674-46D4-83BC-24DD9754D977}"/>
                </c:ext>
              </c:extLst>
            </c:dLbl>
            <c:dLbl>
              <c:idx val="13"/>
              <c:layout>
                <c:manualLayout>
                  <c:x val="-1.8596491228070175E-3"/>
                  <c:y val="0"/>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674-46D4-83BC-24DD9754D97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[1]PINDIC01EV!$A$11:$A$24</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[1]PINDIC01EV!$D$11:$D$24</c:f>
              <c:numCache>
                <c:formatCode>General</c:formatCode>
                <c:ptCount val="14"/>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numCache>
            </c:numRef>
          </c:val>
          <c:smooth val="0"/>
          <c:extLst>
            <c:ext xmlns:c16="http://schemas.microsoft.com/office/drawing/2014/chart" uri="{C3380CC4-5D6E-409C-BE32-E72D297353CC}">
              <c16:uniqueId val="{0000001D-E674-46D4-83BC-24DD9754D977}"/>
            </c:ext>
          </c:extLst>
        </c:ser>
        <c:ser>
          <c:idx val="2"/>
          <c:order val="2"/>
          <c:tx>
            <c:strRef>
              <c:f>[1]PINDIC01EV!$E$10</c:f>
              <c:strCache>
                <c:ptCount val="1"/>
                <c:pt idx="0">
                  <c:v>Meta                  (≤ dias)</c:v>
                </c:pt>
              </c:strCache>
            </c:strRef>
          </c:tx>
          <c:spPr>
            <a:ln w="31750" cap="rnd">
              <a:solidFill>
                <a:schemeClr val="accent3"/>
              </a:solidFill>
              <a:round/>
            </a:ln>
            <a:effectLst>
              <a:outerShdw blurRad="40000" dist="23000" dir="5400000" rotWithShape="0">
                <a:srgbClr val="000000">
                  <a:alpha val="35000"/>
                </a:srgbClr>
              </a:outerShdw>
            </a:effectLst>
          </c:spPr>
          <c:marker>
            <c:symbol val="none"/>
          </c:marker>
          <c:dLbls>
            <c:dLbl>
              <c:idx val="0"/>
              <c:layout>
                <c:manualLayout>
                  <c:x val="-5.2736842105263158E-2"/>
                  <c:y val="-4.11522633744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674-46D4-83BC-24DD9754D977}"/>
                </c:ext>
              </c:extLst>
            </c:dLbl>
            <c:dLbl>
              <c:idx val="1"/>
              <c:delete val="1"/>
              <c:extLst>
                <c:ext xmlns:c15="http://schemas.microsoft.com/office/drawing/2012/chart" uri="{CE6537A1-D6FC-4f65-9D91-7224C49458BB}"/>
                <c:ext xmlns:c16="http://schemas.microsoft.com/office/drawing/2014/chart" uri="{C3380CC4-5D6E-409C-BE32-E72D297353CC}">
                  <c16:uniqueId val="{0000001F-E674-46D4-83BC-24DD9754D977}"/>
                </c:ext>
              </c:extLst>
            </c:dLbl>
            <c:dLbl>
              <c:idx val="2"/>
              <c:delete val="1"/>
              <c:extLst>
                <c:ext xmlns:c15="http://schemas.microsoft.com/office/drawing/2012/chart" uri="{CE6537A1-D6FC-4f65-9D91-7224C49458BB}"/>
                <c:ext xmlns:c16="http://schemas.microsoft.com/office/drawing/2014/chart" uri="{C3380CC4-5D6E-409C-BE32-E72D297353CC}">
                  <c16:uniqueId val="{00000020-E674-46D4-83BC-24DD9754D977}"/>
                </c:ext>
              </c:extLst>
            </c:dLbl>
            <c:dLbl>
              <c:idx val="3"/>
              <c:delete val="1"/>
              <c:extLst>
                <c:ext xmlns:c15="http://schemas.microsoft.com/office/drawing/2012/chart" uri="{CE6537A1-D6FC-4f65-9D91-7224C49458BB}"/>
                <c:ext xmlns:c16="http://schemas.microsoft.com/office/drawing/2014/chart" uri="{C3380CC4-5D6E-409C-BE32-E72D297353CC}">
                  <c16:uniqueId val="{00000021-E674-46D4-83BC-24DD9754D977}"/>
                </c:ext>
              </c:extLst>
            </c:dLbl>
            <c:dLbl>
              <c:idx val="4"/>
              <c:delete val="1"/>
              <c:extLst>
                <c:ext xmlns:c15="http://schemas.microsoft.com/office/drawing/2012/chart" uri="{CE6537A1-D6FC-4f65-9D91-7224C49458BB}"/>
                <c:ext xmlns:c16="http://schemas.microsoft.com/office/drawing/2014/chart" uri="{C3380CC4-5D6E-409C-BE32-E72D297353CC}">
                  <c16:uniqueId val="{00000022-E674-46D4-83BC-24DD9754D977}"/>
                </c:ext>
              </c:extLst>
            </c:dLbl>
            <c:dLbl>
              <c:idx val="5"/>
              <c:delete val="1"/>
              <c:extLst>
                <c:ext xmlns:c15="http://schemas.microsoft.com/office/drawing/2012/chart" uri="{CE6537A1-D6FC-4f65-9D91-7224C49458BB}"/>
                <c:ext xmlns:c16="http://schemas.microsoft.com/office/drawing/2014/chart" uri="{C3380CC4-5D6E-409C-BE32-E72D297353CC}">
                  <c16:uniqueId val="{00000023-E674-46D4-83BC-24DD9754D977}"/>
                </c:ext>
              </c:extLst>
            </c:dLbl>
            <c:dLbl>
              <c:idx val="6"/>
              <c:delete val="1"/>
              <c:extLst>
                <c:ext xmlns:c15="http://schemas.microsoft.com/office/drawing/2012/chart" uri="{CE6537A1-D6FC-4f65-9D91-7224C49458BB}"/>
                <c:ext xmlns:c16="http://schemas.microsoft.com/office/drawing/2014/chart" uri="{C3380CC4-5D6E-409C-BE32-E72D297353CC}">
                  <c16:uniqueId val="{00000024-E674-46D4-83BC-24DD9754D977}"/>
                </c:ext>
              </c:extLst>
            </c:dLbl>
            <c:dLbl>
              <c:idx val="7"/>
              <c:delete val="1"/>
              <c:extLst>
                <c:ext xmlns:c15="http://schemas.microsoft.com/office/drawing/2012/chart" uri="{CE6537A1-D6FC-4f65-9D91-7224C49458BB}"/>
                <c:ext xmlns:c16="http://schemas.microsoft.com/office/drawing/2014/chart" uri="{C3380CC4-5D6E-409C-BE32-E72D297353CC}">
                  <c16:uniqueId val="{00000025-E674-46D4-83BC-24DD9754D977}"/>
                </c:ext>
              </c:extLst>
            </c:dLbl>
            <c:dLbl>
              <c:idx val="8"/>
              <c:delete val="1"/>
              <c:extLst>
                <c:ext xmlns:c15="http://schemas.microsoft.com/office/drawing/2012/chart" uri="{CE6537A1-D6FC-4f65-9D91-7224C49458BB}"/>
                <c:ext xmlns:c16="http://schemas.microsoft.com/office/drawing/2014/chart" uri="{C3380CC4-5D6E-409C-BE32-E72D297353CC}">
                  <c16:uniqueId val="{00000026-E674-46D4-83BC-24DD9754D977}"/>
                </c:ext>
              </c:extLst>
            </c:dLbl>
            <c:dLbl>
              <c:idx val="9"/>
              <c:delete val="1"/>
              <c:extLst>
                <c:ext xmlns:c15="http://schemas.microsoft.com/office/drawing/2012/chart" uri="{CE6537A1-D6FC-4f65-9D91-7224C49458BB}"/>
                <c:ext xmlns:c16="http://schemas.microsoft.com/office/drawing/2014/chart" uri="{C3380CC4-5D6E-409C-BE32-E72D297353CC}">
                  <c16:uniqueId val="{00000027-E674-46D4-83BC-24DD9754D977}"/>
                </c:ext>
              </c:extLst>
            </c:dLbl>
            <c:dLbl>
              <c:idx val="10"/>
              <c:delete val="1"/>
              <c:extLst>
                <c:ext xmlns:c15="http://schemas.microsoft.com/office/drawing/2012/chart" uri="{CE6537A1-D6FC-4f65-9D91-7224C49458BB}"/>
                <c:ext xmlns:c16="http://schemas.microsoft.com/office/drawing/2014/chart" uri="{C3380CC4-5D6E-409C-BE32-E72D297353CC}">
                  <c16:uniqueId val="{00000028-E674-46D4-83BC-24DD9754D977}"/>
                </c:ext>
              </c:extLst>
            </c:dLbl>
            <c:dLbl>
              <c:idx val="11"/>
              <c:delete val="1"/>
              <c:extLst>
                <c:ext xmlns:c15="http://schemas.microsoft.com/office/drawing/2012/chart" uri="{CE6537A1-D6FC-4f65-9D91-7224C49458BB}"/>
                <c:ext xmlns:c16="http://schemas.microsoft.com/office/drawing/2014/chart" uri="{C3380CC4-5D6E-409C-BE32-E72D297353CC}">
                  <c16:uniqueId val="{00000029-E674-46D4-83BC-24DD9754D977}"/>
                </c:ext>
              </c:extLst>
            </c:dLbl>
            <c:dLbl>
              <c:idx val="12"/>
              <c:delete val="1"/>
              <c:extLst>
                <c:ext xmlns:c15="http://schemas.microsoft.com/office/drawing/2012/chart" uri="{CE6537A1-D6FC-4f65-9D91-7224C49458BB}"/>
                <c:ext xmlns:c16="http://schemas.microsoft.com/office/drawing/2014/chart" uri="{C3380CC4-5D6E-409C-BE32-E72D297353CC}">
                  <c16:uniqueId val="{0000002A-E674-46D4-83BC-24DD9754D977}"/>
                </c:ext>
              </c:extLst>
            </c:dLbl>
            <c:dLbl>
              <c:idx val="13"/>
              <c:layout>
                <c:manualLayout>
                  <c:x val="-3.6140350877192982E-3"/>
                  <c:y val="0"/>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674-46D4-83BC-24DD9754D97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[1]PINDIC01EV!$A$11:$A$24</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[1]PINDIC01EV!$E$11:$E$24</c:f>
              <c:numCache>
                <c:formatCode>General</c:formatCode>
                <c:ptCount val="14"/>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numCache>
            </c:numRef>
          </c:val>
          <c:smooth val="0"/>
          <c:extLst>
            <c:ext xmlns:c16="http://schemas.microsoft.com/office/drawing/2014/chart" uri="{C3380CC4-5D6E-409C-BE32-E72D297353CC}">
              <c16:uniqueId val="{0000002C-E674-46D4-83BC-24DD9754D977}"/>
            </c:ext>
          </c:extLst>
        </c:ser>
        <c:dLbls>
          <c:dLblPos val="ctr"/>
          <c:showLegendKey val="0"/>
          <c:showVal val="1"/>
          <c:showCatName val="0"/>
          <c:showSerName val="0"/>
          <c:showPercent val="0"/>
          <c:showBubbleSize val="0"/>
        </c:dLbls>
        <c:marker val="1"/>
        <c:smooth val="0"/>
        <c:axId val="94870912"/>
        <c:axId val="94294784"/>
      </c:lineChart>
      <c:catAx>
        <c:axId val="94870912"/>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94294784"/>
        <c:crosses val="autoZero"/>
        <c:auto val="1"/>
        <c:lblAlgn val="ctr"/>
        <c:lblOffset val="100"/>
        <c:noMultiLvlLbl val="0"/>
      </c:catAx>
      <c:valAx>
        <c:axId val="94294784"/>
        <c:scaling>
          <c:orientation val="minMax"/>
        </c:scaling>
        <c:delete val="1"/>
        <c:axPos val="l"/>
        <c:numFmt formatCode="General" sourceLinked="1"/>
        <c:majorTickMark val="none"/>
        <c:minorTickMark val="none"/>
        <c:tickLblPos val="nextTo"/>
        <c:crossAx val="94870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legend>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pt-BR" sz="1200" b="1">
                <a:solidFill>
                  <a:sysClr val="windowText" lastClr="000000"/>
                </a:solidFill>
              </a:rPr>
              <a:t>Tempo Médio para Concessão</a:t>
            </a:r>
            <a:r>
              <a:rPr lang="pt-BR" sz="1200" b="1" baseline="0">
                <a:solidFill>
                  <a:sysClr val="windowText" lastClr="000000"/>
                </a:solidFill>
              </a:rPr>
              <a:t> de Aposentadoria</a:t>
            </a:r>
            <a:endParaRPr lang="pt-BR" sz="1200" b="1">
              <a:solidFill>
                <a:sysClr val="windowText" lastClr="000000"/>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scatterChart>
        <c:scatterStyle val="lineMarker"/>
        <c:varyColors val="0"/>
        <c:ser>
          <c:idx val="0"/>
          <c:order val="0"/>
          <c:tx>
            <c:strRef>
              <c:f>[1]PINDINC02EV!$B$10</c:f>
              <c:strCache>
                <c:ptCount val="1"/>
                <c:pt idx="0">
                  <c:v>Aferição                (dias)</c:v>
                </c:pt>
              </c:strCache>
            </c:strRef>
          </c:tx>
          <c:spPr>
            <a:ln w="38100" cap="rnd">
              <a:solidFill>
                <a:schemeClr val="accent1"/>
              </a:solidFill>
              <a:round/>
            </a:ln>
            <a:effectLst/>
          </c:spPr>
          <c:marker>
            <c:symbol val="circle"/>
            <c:size val="5"/>
            <c:spPr>
              <a:solidFill>
                <a:schemeClr val="accent1"/>
              </a:solidFill>
              <a:ln w="9525">
                <a:solidFill>
                  <a:schemeClr val="accent1"/>
                </a:solidFill>
              </a:ln>
              <a:effectLst/>
              <a:scene3d>
                <a:camera prst="orthographicFront"/>
                <a:lightRig rig="threePt" dir="t"/>
              </a:scene3d>
              <a:sp3d>
                <a:bevelT w="190500" h="38100"/>
              </a:sp3d>
            </c:spPr>
          </c:marker>
          <c:dLbls>
            <c:dLbl>
              <c:idx val="0"/>
              <c:layout>
                <c:manualLayout>
                  <c:x val="-9.495417723947297E-2"/>
                  <c:y val="-5.8368036164847342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15:layout>
                    <c:manualLayout>
                      <c:w val="5.8659934949991714E-2"/>
                      <c:h val="6.6341495383529903E-2"/>
                    </c:manualLayout>
                  </c15:layout>
                </c:ext>
                <c:ext xmlns:c16="http://schemas.microsoft.com/office/drawing/2014/chart" uri="{C3380CC4-5D6E-409C-BE32-E72D297353CC}">
                  <c16:uniqueId val="{00000000-ED05-4736-8A63-68A194C466EC}"/>
                </c:ext>
              </c:extLst>
            </c:dLbl>
            <c:dLbl>
              <c:idx val="1"/>
              <c:layout>
                <c:manualLayout>
                  <c:x val="5.3981114260874949E-3"/>
                  <c:y val="-2.8542303771661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05-4736-8A63-68A194C466EC}"/>
                </c:ext>
              </c:extLst>
            </c:dLbl>
            <c:dLbl>
              <c:idx val="2"/>
              <c:layout>
                <c:manualLayout>
                  <c:x val="-4.3325398278703534E-2"/>
                  <c:y val="0.135025214021129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05-4736-8A63-68A194C466EC}"/>
                </c:ext>
              </c:extLst>
            </c:dLbl>
            <c:dLbl>
              <c:idx val="3"/>
              <c:layout>
                <c:manualLayout>
                  <c:x val="-4.4296788482834998E-2"/>
                  <c:y val="9.5400192843861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05-4736-8A63-68A194C466EC}"/>
                </c:ext>
              </c:extLst>
            </c:dLbl>
            <c:dLbl>
              <c:idx val="4"/>
              <c:layout>
                <c:manualLayout>
                  <c:x val="-4.2081949058693245E-2"/>
                  <c:y val="9.3789326099248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05-4736-8A63-68A194C466EC}"/>
                </c:ext>
              </c:extLst>
            </c:dLbl>
            <c:dLbl>
              <c:idx val="5"/>
              <c:layout>
                <c:manualLayout>
                  <c:x val="-3.9451696444921171E-2"/>
                  <c:y val="0.103692618319051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05-4736-8A63-68A194C466EC}"/>
                </c:ext>
              </c:extLst>
            </c:dLbl>
            <c:dLbl>
              <c:idx val="6"/>
              <c:layout>
                <c:manualLayout>
                  <c:x val="-3.682126943434396E-2"/>
                  <c:y val="-0.100657035628705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05-4736-8A63-68A194C466EC}"/>
                </c:ext>
              </c:extLst>
            </c:dLbl>
            <c:dLbl>
              <c:idx val="7"/>
              <c:layout>
                <c:manualLayout>
                  <c:x val="-3.5159442279017447E-2"/>
                  <c:y val="-9.1103386201554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05-4736-8A63-68A194C466EC}"/>
                </c:ext>
              </c:extLst>
            </c:dLbl>
            <c:dLbl>
              <c:idx val="8"/>
              <c:layout>
                <c:manualLayout>
                  <c:x val="-3.5574855468647817E-2"/>
                  <c:y val="-8.18990309700548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05-4736-8A63-68A194C466EC}"/>
                </c:ext>
              </c:extLst>
            </c:dLbl>
            <c:dLbl>
              <c:idx val="9"/>
              <c:layout>
                <c:manualLayout>
                  <c:x val="-3.6127867737463133E-2"/>
                  <c:y val="-7.00164049748975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D05-4736-8A63-68A194C466EC}"/>
                </c:ext>
              </c:extLst>
            </c:dLbl>
            <c:dLbl>
              <c:idx val="10"/>
              <c:layout>
                <c:manualLayout>
                  <c:x val="-3.6958868513528829E-2"/>
                  <c:y val="-8.66762042806317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D05-4736-8A63-68A194C466EC}"/>
                </c:ext>
              </c:extLst>
            </c:dLbl>
            <c:dLbl>
              <c:idx val="11"/>
              <c:layout>
                <c:manualLayout>
                  <c:x val="-3.3082027537255601E-2"/>
                  <c:y val="-8.7375489865936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D05-4736-8A63-68A194C466EC}"/>
                </c:ext>
              </c:extLst>
            </c:dLbl>
            <c:dLbl>
              <c:idx val="12"/>
              <c:layout>
                <c:manualLayout>
                  <c:x val="-3.6265466816647919E-2"/>
                  <c:y val="-0.106014274350023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D05-4736-8A63-68A194C466EC}"/>
                </c:ext>
              </c:extLst>
            </c:dLbl>
            <c:dLbl>
              <c:idx val="13"/>
              <c:layout>
                <c:manualLayout>
                  <c:x val="-3.9589121127300946E-2"/>
                  <c:y val="-8.66762042806318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D05-4736-8A63-68A194C466EC}"/>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[1]PINDINC02EV!$A$11:$A$24</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xVal>
          <c:yVal>
            <c:numRef>
              <c:f>[1]PINDINC02EV!$B$11:$B$24</c:f>
              <c:numCache>
                <c:formatCode>General</c:formatCode>
                <c:ptCount val="14"/>
                <c:pt idx="0">
                  <c:v>36</c:v>
                </c:pt>
                <c:pt idx="1">
                  <c:v>36.25</c:v>
                </c:pt>
                <c:pt idx="2">
                  <c:v>17.75</c:v>
                </c:pt>
                <c:pt idx="3">
                  <c:v>19</c:v>
                </c:pt>
                <c:pt idx="4">
                  <c:v>13.636363636363637</c:v>
                </c:pt>
                <c:pt idx="5">
                  <c:v>10.916666666666666</c:v>
                </c:pt>
                <c:pt idx="6">
                  <c:v>8.2857142857142865</c:v>
                </c:pt>
                <c:pt idx="7">
                  <c:v>6.083333333333333</c:v>
                </c:pt>
                <c:pt idx="8">
                  <c:v>5.1538461538461542</c:v>
                </c:pt>
                <c:pt idx="9">
                  <c:v>5.8888888888888893</c:v>
                </c:pt>
                <c:pt idx="10">
                  <c:v>4.6956521739130439</c:v>
                </c:pt>
                <c:pt idx="11">
                  <c:v>5.6875</c:v>
                </c:pt>
                <c:pt idx="12">
                  <c:v>4.4666666666666668</c:v>
                </c:pt>
                <c:pt idx="13">
                  <c:v>5</c:v>
                </c:pt>
              </c:numCache>
            </c:numRef>
          </c:yVal>
          <c:smooth val="0"/>
          <c:extLst>
            <c:ext xmlns:c16="http://schemas.microsoft.com/office/drawing/2014/chart" uri="{C3380CC4-5D6E-409C-BE32-E72D297353CC}">
              <c16:uniqueId val="{0000000E-ED05-4736-8A63-68A194C466EC}"/>
            </c:ext>
          </c:extLst>
        </c:ser>
        <c:ser>
          <c:idx val="1"/>
          <c:order val="1"/>
          <c:tx>
            <c:strRef>
              <c:f>[1]PINDINC02EV!$E$10</c:f>
              <c:strCache>
                <c:ptCount val="1"/>
                <c:pt idx="0">
                  <c:v>Meta           (dias)</c:v>
                </c:pt>
              </c:strCache>
            </c:strRef>
          </c:tx>
          <c:spPr>
            <a:ln w="38100" cap="rnd">
              <a:solidFill>
                <a:schemeClr val="accent2"/>
              </a:solidFill>
              <a:round/>
            </a:ln>
            <a:effectLst/>
          </c:spPr>
          <c:marker>
            <c:symbol val="circle"/>
            <c:size val="5"/>
            <c:spPr>
              <a:solidFill>
                <a:schemeClr val="accent2"/>
              </a:solidFill>
              <a:ln w="9525">
                <a:solidFill>
                  <a:schemeClr val="accent2"/>
                </a:solidFill>
              </a:ln>
              <a:effectLst/>
              <a:scene3d>
                <a:camera prst="orthographicFront"/>
                <a:lightRig rig="threePt" dir="t"/>
              </a:scene3d>
              <a:sp3d>
                <a:bevelT w="190500" h="38100"/>
              </a:sp3d>
            </c:spPr>
          </c:marker>
          <c:dLbls>
            <c:dLbl>
              <c:idx val="0"/>
              <c:layout>
                <c:manualLayout>
                  <c:x val="-6.3888888888888884E-2"/>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D05-4736-8A63-68A194C466EC}"/>
                </c:ext>
              </c:extLst>
            </c:dLbl>
            <c:dLbl>
              <c:idx val="1"/>
              <c:delete val="1"/>
              <c:extLst>
                <c:ext xmlns:c15="http://schemas.microsoft.com/office/drawing/2012/chart" uri="{CE6537A1-D6FC-4f65-9D91-7224C49458BB}"/>
                <c:ext xmlns:c16="http://schemas.microsoft.com/office/drawing/2014/chart" uri="{C3380CC4-5D6E-409C-BE32-E72D297353CC}">
                  <c16:uniqueId val="{00000010-ED05-4736-8A63-68A194C466EC}"/>
                </c:ext>
              </c:extLst>
            </c:dLbl>
            <c:dLbl>
              <c:idx val="2"/>
              <c:delete val="1"/>
              <c:extLst>
                <c:ext xmlns:c15="http://schemas.microsoft.com/office/drawing/2012/chart" uri="{CE6537A1-D6FC-4f65-9D91-7224C49458BB}"/>
                <c:ext xmlns:c16="http://schemas.microsoft.com/office/drawing/2014/chart" uri="{C3380CC4-5D6E-409C-BE32-E72D297353CC}">
                  <c16:uniqueId val="{00000011-ED05-4736-8A63-68A194C466EC}"/>
                </c:ext>
              </c:extLst>
            </c:dLbl>
            <c:dLbl>
              <c:idx val="3"/>
              <c:delete val="1"/>
              <c:extLst>
                <c:ext xmlns:c15="http://schemas.microsoft.com/office/drawing/2012/chart" uri="{CE6537A1-D6FC-4f65-9D91-7224C49458BB}"/>
                <c:ext xmlns:c16="http://schemas.microsoft.com/office/drawing/2014/chart" uri="{C3380CC4-5D6E-409C-BE32-E72D297353CC}">
                  <c16:uniqueId val="{00000012-ED05-4736-8A63-68A194C466EC}"/>
                </c:ext>
              </c:extLst>
            </c:dLbl>
            <c:dLbl>
              <c:idx val="4"/>
              <c:delete val="1"/>
              <c:extLst>
                <c:ext xmlns:c15="http://schemas.microsoft.com/office/drawing/2012/chart" uri="{CE6537A1-D6FC-4f65-9D91-7224C49458BB}"/>
                <c:ext xmlns:c16="http://schemas.microsoft.com/office/drawing/2014/chart" uri="{C3380CC4-5D6E-409C-BE32-E72D297353CC}">
                  <c16:uniqueId val="{00000013-ED05-4736-8A63-68A194C466EC}"/>
                </c:ext>
              </c:extLst>
            </c:dLbl>
            <c:dLbl>
              <c:idx val="5"/>
              <c:delete val="1"/>
              <c:extLst>
                <c:ext xmlns:c15="http://schemas.microsoft.com/office/drawing/2012/chart" uri="{CE6537A1-D6FC-4f65-9D91-7224C49458BB}"/>
                <c:ext xmlns:c16="http://schemas.microsoft.com/office/drawing/2014/chart" uri="{C3380CC4-5D6E-409C-BE32-E72D297353CC}">
                  <c16:uniqueId val="{00000014-ED05-4736-8A63-68A194C466EC}"/>
                </c:ext>
              </c:extLst>
            </c:dLbl>
            <c:dLbl>
              <c:idx val="6"/>
              <c:delete val="1"/>
              <c:extLst>
                <c:ext xmlns:c15="http://schemas.microsoft.com/office/drawing/2012/chart" uri="{CE6537A1-D6FC-4f65-9D91-7224C49458BB}"/>
                <c:ext xmlns:c16="http://schemas.microsoft.com/office/drawing/2014/chart" uri="{C3380CC4-5D6E-409C-BE32-E72D297353CC}">
                  <c16:uniqueId val="{00000015-ED05-4736-8A63-68A194C466EC}"/>
                </c:ext>
              </c:extLst>
            </c:dLbl>
            <c:dLbl>
              <c:idx val="7"/>
              <c:delete val="1"/>
              <c:extLst>
                <c:ext xmlns:c15="http://schemas.microsoft.com/office/drawing/2012/chart" uri="{CE6537A1-D6FC-4f65-9D91-7224C49458BB}"/>
                <c:ext xmlns:c16="http://schemas.microsoft.com/office/drawing/2014/chart" uri="{C3380CC4-5D6E-409C-BE32-E72D297353CC}">
                  <c16:uniqueId val="{00000016-ED05-4736-8A63-68A194C466EC}"/>
                </c:ext>
              </c:extLst>
            </c:dLbl>
            <c:dLbl>
              <c:idx val="8"/>
              <c:delete val="1"/>
              <c:extLst>
                <c:ext xmlns:c15="http://schemas.microsoft.com/office/drawing/2012/chart" uri="{CE6537A1-D6FC-4f65-9D91-7224C49458BB}"/>
                <c:ext xmlns:c16="http://schemas.microsoft.com/office/drawing/2014/chart" uri="{C3380CC4-5D6E-409C-BE32-E72D297353CC}">
                  <c16:uniqueId val="{00000017-ED05-4736-8A63-68A194C466EC}"/>
                </c:ext>
              </c:extLst>
            </c:dLbl>
            <c:dLbl>
              <c:idx val="9"/>
              <c:delete val="1"/>
              <c:extLst>
                <c:ext xmlns:c15="http://schemas.microsoft.com/office/drawing/2012/chart" uri="{CE6537A1-D6FC-4f65-9D91-7224C49458BB}"/>
                <c:ext xmlns:c16="http://schemas.microsoft.com/office/drawing/2014/chart" uri="{C3380CC4-5D6E-409C-BE32-E72D297353CC}">
                  <c16:uniqueId val="{00000018-ED05-4736-8A63-68A194C466EC}"/>
                </c:ext>
              </c:extLst>
            </c:dLbl>
            <c:dLbl>
              <c:idx val="10"/>
              <c:delete val="1"/>
              <c:extLst>
                <c:ext xmlns:c15="http://schemas.microsoft.com/office/drawing/2012/chart" uri="{CE6537A1-D6FC-4f65-9D91-7224C49458BB}"/>
                <c:ext xmlns:c16="http://schemas.microsoft.com/office/drawing/2014/chart" uri="{C3380CC4-5D6E-409C-BE32-E72D297353CC}">
                  <c16:uniqueId val="{00000019-ED05-4736-8A63-68A194C466EC}"/>
                </c:ext>
              </c:extLst>
            </c:dLbl>
            <c:dLbl>
              <c:idx val="11"/>
              <c:delete val="1"/>
              <c:extLst>
                <c:ext xmlns:c15="http://schemas.microsoft.com/office/drawing/2012/chart" uri="{CE6537A1-D6FC-4f65-9D91-7224C49458BB}"/>
                <c:ext xmlns:c16="http://schemas.microsoft.com/office/drawing/2014/chart" uri="{C3380CC4-5D6E-409C-BE32-E72D297353CC}">
                  <c16:uniqueId val="{0000001A-ED05-4736-8A63-68A194C466EC}"/>
                </c:ext>
              </c:extLst>
            </c:dLbl>
            <c:dLbl>
              <c:idx val="12"/>
              <c:delete val="1"/>
              <c:extLst>
                <c:ext xmlns:c15="http://schemas.microsoft.com/office/drawing/2012/chart" uri="{CE6537A1-D6FC-4f65-9D91-7224C49458BB}"/>
                <c:ext xmlns:c16="http://schemas.microsoft.com/office/drawing/2014/chart" uri="{C3380CC4-5D6E-409C-BE32-E72D297353CC}">
                  <c16:uniqueId val="{0000001B-ED05-4736-8A63-68A194C466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[1]PINDINC02EV!$A$11:$A$24</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xVal>
          <c:yVal>
            <c:numRef>
              <c:f>[1]PINDINC02EV!$E$11:$E$24</c:f>
              <c:numCache>
                <c:formatCode>General</c:formatCode>
                <c:ptCount val="14"/>
                <c:pt idx="0">
                  <c:v>20</c:v>
                </c:pt>
                <c:pt idx="1">
                  <c:v>20</c:v>
                </c:pt>
                <c:pt idx="2">
                  <c:v>20</c:v>
                </c:pt>
                <c:pt idx="3">
                  <c:v>20</c:v>
                </c:pt>
                <c:pt idx="4">
                  <c:v>20</c:v>
                </c:pt>
                <c:pt idx="5">
                  <c:v>20</c:v>
                </c:pt>
                <c:pt idx="6">
                  <c:v>20</c:v>
                </c:pt>
                <c:pt idx="7">
                  <c:v>20</c:v>
                </c:pt>
                <c:pt idx="8">
                  <c:v>20</c:v>
                </c:pt>
                <c:pt idx="9">
                  <c:v>20</c:v>
                </c:pt>
                <c:pt idx="10">
                  <c:v>20</c:v>
                </c:pt>
                <c:pt idx="11">
                  <c:v>20</c:v>
                </c:pt>
                <c:pt idx="12">
                  <c:v>20</c:v>
                </c:pt>
                <c:pt idx="13">
                  <c:v>20</c:v>
                </c:pt>
              </c:numCache>
            </c:numRef>
          </c:yVal>
          <c:smooth val="0"/>
          <c:extLst>
            <c:ext xmlns:c16="http://schemas.microsoft.com/office/drawing/2014/chart" uri="{C3380CC4-5D6E-409C-BE32-E72D297353CC}">
              <c16:uniqueId val="{0000001C-ED05-4736-8A63-68A194C466EC}"/>
            </c:ext>
          </c:extLst>
        </c:ser>
        <c:dLbls>
          <c:showLegendKey val="0"/>
          <c:showVal val="0"/>
          <c:showCatName val="0"/>
          <c:showSerName val="0"/>
          <c:showPercent val="0"/>
          <c:showBubbleSize val="0"/>
        </c:dLbls>
        <c:axId val="29036928"/>
        <c:axId val="29038464"/>
      </c:scatterChart>
      <c:valAx>
        <c:axId val="29036928"/>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9038464"/>
        <c:crosses val="autoZero"/>
        <c:crossBetween val="midCat"/>
      </c:valAx>
      <c:valAx>
        <c:axId val="29038464"/>
        <c:scaling>
          <c:orientation val="minMax"/>
        </c:scaling>
        <c:delete val="1"/>
        <c:axPos val="l"/>
        <c:numFmt formatCode="General" sourceLinked="1"/>
        <c:majorTickMark val="none"/>
        <c:minorTickMark val="none"/>
        <c:tickLblPos val="nextTo"/>
        <c:crossAx val="2903692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cap="all" spc="120" normalizeH="0" baseline="0">
                <a:solidFill>
                  <a:sysClr val="windowText" lastClr="000000"/>
                </a:solidFill>
                <a:latin typeface="+mn-lt"/>
                <a:ea typeface="+mn-ea"/>
                <a:cs typeface="+mn-cs"/>
              </a:defRPr>
            </a:pPr>
            <a:r>
              <a:rPr lang="pt-BR" sz="1100" b="1">
                <a:solidFill>
                  <a:sysClr val="windowText" lastClr="000000"/>
                </a:solidFill>
              </a:rPr>
              <a:t>% de participação de servidores no padc</a:t>
            </a:r>
            <a:r>
              <a:rPr lang="pt-BR" sz="1100" b="1" baseline="0">
                <a:solidFill>
                  <a:sysClr val="windowText" lastClr="000000"/>
                </a:solidFill>
              </a:rPr>
              <a:t> </a:t>
            </a:r>
            <a:endParaRPr lang="pt-BR" sz="1100" b="1">
              <a:solidFill>
                <a:sysClr val="windowText" lastClr="000000"/>
              </a:solidFill>
            </a:endParaRPr>
          </a:p>
        </c:rich>
      </c:tx>
      <c:overlay val="0"/>
      <c:spPr>
        <a:noFill/>
        <a:ln>
          <a:noFill/>
        </a:ln>
        <a:effectLst/>
      </c:spPr>
      <c:txPr>
        <a:bodyPr rot="0" spcFirstLastPara="1" vertOverflow="ellipsis" vert="horz" wrap="square" anchor="ctr" anchorCtr="1"/>
        <a:lstStyle/>
        <a:p>
          <a:pPr>
            <a:defRPr sz="1100" b="1" i="0" u="none" strike="noStrike" kern="1200" cap="all" spc="120" normalizeH="0" baseline="0">
              <a:solidFill>
                <a:sysClr val="windowText" lastClr="000000"/>
              </a:solidFill>
              <a:latin typeface="+mn-lt"/>
              <a:ea typeface="+mn-ea"/>
              <a:cs typeface="+mn-cs"/>
            </a:defRPr>
          </a:pPr>
          <a:endParaRPr lang="pt-BR"/>
        </a:p>
      </c:txPr>
    </c:title>
    <c:autoTitleDeleted val="0"/>
    <c:plotArea>
      <c:layout>
        <c:manualLayout>
          <c:layoutTarget val="inner"/>
          <c:xMode val="edge"/>
          <c:yMode val="edge"/>
          <c:x val="2.3751321454158928E-2"/>
          <c:y val="0.33621611709016724"/>
          <c:w val="0.95249735709168215"/>
          <c:h val="0.53370101663056313"/>
        </c:manualLayout>
      </c:layout>
      <c:lineChart>
        <c:grouping val="standard"/>
        <c:varyColors val="0"/>
        <c:ser>
          <c:idx val="0"/>
          <c:order val="0"/>
          <c:tx>
            <c:strRef>
              <c:f>[1]PINDIC03EV!$B$10</c:f>
              <c:strCache>
                <c:ptCount val="1"/>
                <c:pt idx="0">
                  <c:v>Aferição</c:v>
                </c:pt>
              </c:strCache>
            </c:strRef>
          </c:tx>
          <c:spPr>
            <a:ln w="38100" cap="rnd">
              <a:solidFill>
                <a:schemeClr val="accent1"/>
              </a:solidFill>
              <a:round/>
            </a:ln>
            <a:effectLst/>
          </c:spPr>
          <c:marker>
            <c:symbol val="diamond"/>
            <c:size val="6"/>
            <c:spPr>
              <a:solidFill>
                <a:schemeClr val="accent1"/>
              </a:solidFill>
              <a:ln w="9525">
                <a:solidFill>
                  <a:schemeClr val="accent1"/>
                </a:solidFill>
                <a:round/>
              </a:ln>
              <a:effectLst/>
              <a:scene3d>
                <a:camera prst="orthographicFront"/>
                <a:lightRig rig="threePt" dir="t"/>
              </a:scene3d>
              <a:sp3d>
                <a:bevelT w="190500" h="38100"/>
              </a:sp3d>
            </c:spPr>
          </c:marker>
          <c:dLbls>
            <c:dLbl>
              <c:idx val="0"/>
              <c:layout>
                <c:manualLayout>
                  <c:x val="-4.7410493901673949E-2"/>
                  <c:y val="-0.131766782427305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8A-4084-9570-DE4E51144DCE}"/>
                </c:ext>
              </c:extLst>
            </c:dLbl>
            <c:dLbl>
              <c:idx val="1"/>
              <c:layout>
                <c:manualLayout>
                  <c:x val="-5.2405072071744302E-2"/>
                  <c:y val="0.129912778369952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8A-4084-9570-DE4E51144DCE}"/>
                </c:ext>
              </c:extLst>
            </c:dLbl>
            <c:dLbl>
              <c:idx val="2"/>
              <c:layout>
                <c:manualLayout>
                  <c:x val="-4.4398309490769651E-2"/>
                  <c:y val="0.156650506022991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8A-4084-9570-DE4E51144DCE}"/>
                </c:ext>
              </c:extLst>
            </c:dLbl>
            <c:dLbl>
              <c:idx val="3"/>
              <c:layout>
                <c:manualLayout>
                  <c:x val="-5.6492951621091449E-2"/>
                  <c:y val="-0.110331121273596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8A-4084-9570-DE4E51144DCE}"/>
                </c:ext>
              </c:extLst>
            </c:dLbl>
            <c:dLbl>
              <c:idx val="4"/>
              <c:layout>
                <c:manualLayout>
                  <c:x val="-4.8939623358787127E-2"/>
                  <c:y val="-0.112445529461655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58A-4084-9570-DE4E51144DCE}"/>
                </c:ext>
              </c:extLst>
            </c:dLbl>
            <c:dLbl>
              <c:idx val="5"/>
              <c:layout>
                <c:manualLayout>
                  <c:x val="-5.2043956776335318E-2"/>
                  <c:y val="-0.108477117216243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8A-4084-9570-DE4E51144DCE}"/>
                </c:ext>
              </c:extLst>
            </c:dLbl>
            <c:dLbl>
              <c:idx val="6"/>
              <c:layout>
                <c:manualLayout>
                  <c:x val="-4.8309541774613128E-2"/>
                  <c:y val="-0.107143004504349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58A-4084-9570-DE4E51144DCE}"/>
                </c:ext>
              </c:extLst>
            </c:dLbl>
            <c:dLbl>
              <c:idx val="7"/>
              <c:layout>
                <c:manualLayout>
                  <c:x val="-4.8939623358787168E-2"/>
                  <c:y val="-0.149493977008332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58A-4084-9570-DE4E51144DCE}"/>
                </c:ext>
              </c:extLst>
            </c:dLbl>
            <c:dLbl>
              <c:idx val="8"/>
              <c:layout>
                <c:manualLayout>
                  <c:x val="-4.7410493901674032E-2"/>
                  <c:y val="-9.52382262260885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58A-4084-9570-DE4E51144DCE}"/>
                </c:ext>
              </c:extLst>
            </c:dLbl>
            <c:dLbl>
              <c:idx val="9"/>
              <c:layout>
                <c:manualLayout>
                  <c:x val="-5.5778371778057591E-2"/>
                  <c:y val="-0.102654700913477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58A-4084-9570-DE4E51144DCE}"/>
                </c:ext>
              </c:extLst>
            </c:dLbl>
            <c:dLbl>
              <c:idx val="10"/>
              <c:layout>
                <c:manualLayout>
                  <c:x val="-3.7651710078143198E-2"/>
                  <c:y val="-8.91558642505931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58A-4084-9570-DE4E51144DCE}"/>
                </c:ext>
              </c:extLst>
            </c:dLbl>
            <c:dLbl>
              <c:idx val="11"/>
              <c:layout>
                <c:manualLayout>
                  <c:x val="-4.8716731573343976E-2"/>
                  <c:y val="0.119862004149044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58A-4084-9570-DE4E51144DCE}"/>
                </c:ext>
              </c:extLst>
            </c:dLbl>
            <c:dLbl>
              <c:idx val="12"/>
              <c:layout>
                <c:manualLayout>
                  <c:x val="-5.1682841480926348E-2"/>
                  <c:y val="-9.4978280553358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58A-4084-9570-DE4E51144DCE}"/>
                </c:ext>
              </c:extLst>
            </c:dLbl>
            <c:dLbl>
              <c:idx val="13"/>
              <c:layout>
                <c:manualLayout>
                  <c:x val="-1.3523743077696959E-16"/>
                  <c:y val="-7.1428549109939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58A-4084-9570-DE4E51144DC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[1]PINDIC03EV!$A$11:$A$24</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[1]PINDIC03EV!$B$11:$B$24</c:f>
              <c:numCache>
                <c:formatCode>General</c:formatCode>
                <c:ptCount val="14"/>
                <c:pt idx="0">
                  <c:v>0.7846153846153846</c:v>
                </c:pt>
                <c:pt idx="1">
                  <c:v>0.51876379690949226</c:v>
                </c:pt>
                <c:pt idx="2">
                  <c:v>0.54500000000000004</c:v>
                </c:pt>
                <c:pt idx="3">
                  <c:v>1</c:v>
                </c:pt>
                <c:pt idx="4">
                  <c:v>0.85847953216374273</c:v>
                </c:pt>
                <c:pt idx="5">
                  <c:v>1</c:v>
                </c:pt>
                <c:pt idx="6">
                  <c:v>0.8387404580152672</c:v>
                </c:pt>
                <c:pt idx="7">
                  <c:v>0.89674315321983711</c:v>
                </c:pt>
                <c:pt idx="8">
                  <c:v>0.87309368191721137</c:v>
                </c:pt>
                <c:pt idx="9">
                  <c:v>1</c:v>
                </c:pt>
                <c:pt idx="10">
                  <c:v>1</c:v>
                </c:pt>
                <c:pt idx="11">
                  <c:v>0.60996749729144095</c:v>
                </c:pt>
                <c:pt idx="12">
                  <c:v>1</c:v>
                </c:pt>
                <c:pt idx="13">
                  <c:v>0</c:v>
                </c:pt>
              </c:numCache>
            </c:numRef>
          </c:val>
          <c:smooth val="0"/>
          <c:extLst>
            <c:ext xmlns:c16="http://schemas.microsoft.com/office/drawing/2014/chart" uri="{C3380CC4-5D6E-409C-BE32-E72D297353CC}">
              <c16:uniqueId val="{0000000E-058A-4084-9570-DE4E51144DCE}"/>
            </c:ext>
          </c:extLst>
        </c:ser>
        <c:ser>
          <c:idx val="1"/>
          <c:order val="1"/>
          <c:tx>
            <c:strRef>
              <c:f>[1]PINDIC03EV!$C$10</c:f>
              <c:strCache>
                <c:ptCount val="1"/>
                <c:pt idx="0">
                  <c:v>Faixa de Aceitação</c:v>
                </c:pt>
              </c:strCache>
            </c:strRef>
          </c:tx>
          <c:spPr>
            <a:ln w="38100" cap="rnd">
              <a:solidFill>
                <a:schemeClr val="accent2"/>
              </a:solidFill>
              <a:round/>
            </a:ln>
            <a:effectLst/>
          </c:spPr>
          <c:marker>
            <c:symbol val="square"/>
            <c:size val="6"/>
            <c:spPr>
              <a:solidFill>
                <a:schemeClr val="accent2"/>
              </a:solidFill>
              <a:ln w="9525">
                <a:solidFill>
                  <a:schemeClr val="accent2"/>
                </a:solidFill>
                <a:round/>
              </a:ln>
              <a:effectLst/>
              <a:scene3d>
                <a:camera prst="orthographicFront"/>
                <a:lightRig rig="threePt" dir="t"/>
              </a:scene3d>
              <a:sp3d>
                <a:bevelT w="190500" h="38100"/>
              </a:sp3d>
            </c:spPr>
          </c:marker>
          <c:dLbls>
            <c:dLbl>
              <c:idx val="0"/>
              <c:delete val="1"/>
              <c:extLst>
                <c:ext xmlns:c15="http://schemas.microsoft.com/office/drawing/2012/chart" uri="{CE6537A1-D6FC-4f65-9D91-7224C49458BB}"/>
                <c:ext xmlns:c16="http://schemas.microsoft.com/office/drawing/2014/chart" uri="{C3380CC4-5D6E-409C-BE32-E72D297353CC}">
                  <c16:uniqueId val="{0000000F-058A-4084-9570-DE4E51144DCE}"/>
                </c:ext>
              </c:extLst>
            </c:dLbl>
            <c:dLbl>
              <c:idx val="1"/>
              <c:delete val="1"/>
              <c:extLst>
                <c:ext xmlns:c15="http://schemas.microsoft.com/office/drawing/2012/chart" uri="{CE6537A1-D6FC-4f65-9D91-7224C49458BB}"/>
                <c:ext xmlns:c16="http://schemas.microsoft.com/office/drawing/2014/chart" uri="{C3380CC4-5D6E-409C-BE32-E72D297353CC}">
                  <c16:uniqueId val="{00000010-058A-4084-9570-DE4E51144DCE}"/>
                </c:ext>
              </c:extLst>
            </c:dLbl>
            <c:dLbl>
              <c:idx val="2"/>
              <c:delete val="1"/>
              <c:extLst>
                <c:ext xmlns:c15="http://schemas.microsoft.com/office/drawing/2012/chart" uri="{CE6537A1-D6FC-4f65-9D91-7224C49458BB}"/>
                <c:ext xmlns:c16="http://schemas.microsoft.com/office/drawing/2014/chart" uri="{C3380CC4-5D6E-409C-BE32-E72D297353CC}">
                  <c16:uniqueId val="{00000011-058A-4084-9570-DE4E51144DCE}"/>
                </c:ext>
              </c:extLst>
            </c:dLbl>
            <c:dLbl>
              <c:idx val="3"/>
              <c:delete val="1"/>
              <c:extLst>
                <c:ext xmlns:c15="http://schemas.microsoft.com/office/drawing/2012/chart" uri="{CE6537A1-D6FC-4f65-9D91-7224C49458BB}"/>
                <c:ext xmlns:c16="http://schemas.microsoft.com/office/drawing/2014/chart" uri="{C3380CC4-5D6E-409C-BE32-E72D297353CC}">
                  <c16:uniqueId val="{00000012-058A-4084-9570-DE4E51144DCE}"/>
                </c:ext>
              </c:extLst>
            </c:dLbl>
            <c:dLbl>
              <c:idx val="4"/>
              <c:delete val="1"/>
              <c:extLst>
                <c:ext xmlns:c15="http://schemas.microsoft.com/office/drawing/2012/chart" uri="{CE6537A1-D6FC-4f65-9D91-7224C49458BB}"/>
                <c:ext xmlns:c16="http://schemas.microsoft.com/office/drawing/2014/chart" uri="{C3380CC4-5D6E-409C-BE32-E72D297353CC}">
                  <c16:uniqueId val="{00000013-058A-4084-9570-DE4E51144DCE}"/>
                </c:ext>
              </c:extLst>
            </c:dLbl>
            <c:dLbl>
              <c:idx val="5"/>
              <c:delete val="1"/>
              <c:extLst>
                <c:ext xmlns:c15="http://schemas.microsoft.com/office/drawing/2012/chart" uri="{CE6537A1-D6FC-4f65-9D91-7224C49458BB}"/>
                <c:ext xmlns:c16="http://schemas.microsoft.com/office/drawing/2014/chart" uri="{C3380CC4-5D6E-409C-BE32-E72D297353CC}">
                  <c16:uniqueId val="{00000014-058A-4084-9570-DE4E51144DCE}"/>
                </c:ext>
              </c:extLst>
            </c:dLbl>
            <c:dLbl>
              <c:idx val="6"/>
              <c:delete val="1"/>
              <c:extLst>
                <c:ext xmlns:c15="http://schemas.microsoft.com/office/drawing/2012/chart" uri="{CE6537A1-D6FC-4f65-9D91-7224C49458BB}"/>
                <c:ext xmlns:c16="http://schemas.microsoft.com/office/drawing/2014/chart" uri="{C3380CC4-5D6E-409C-BE32-E72D297353CC}">
                  <c16:uniqueId val="{00000015-058A-4084-9570-DE4E51144DCE}"/>
                </c:ext>
              </c:extLst>
            </c:dLbl>
            <c:dLbl>
              <c:idx val="7"/>
              <c:delete val="1"/>
              <c:extLst>
                <c:ext xmlns:c15="http://schemas.microsoft.com/office/drawing/2012/chart" uri="{CE6537A1-D6FC-4f65-9D91-7224C49458BB}"/>
                <c:ext xmlns:c16="http://schemas.microsoft.com/office/drawing/2014/chart" uri="{C3380CC4-5D6E-409C-BE32-E72D297353CC}">
                  <c16:uniqueId val="{00000016-058A-4084-9570-DE4E51144DCE}"/>
                </c:ext>
              </c:extLst>
            </c:dLbl>
            <c:dLbl>
              <c:idx val="8"/>
              <c:delete val="1"/>
              <c:extLst>
                <c:ext xmlns:c15="http://schemas.microsoft.com/office/drawing/2012/chart" uri="{CE6537A1-D6FC-4f65-9D91-7224C49458BB}"/>
                <c:ext xmlns:c16="http://schemas.microsoft.com/office/drawing/2014/chart" uri="{C3380CC4-5D6E-409C-BE32-E72D297353CC}">
                  <c16:uniqueId val="{00000017-058A-4084-9570-DE4E51144DCE}"/>
                </c:ext>
              </c:extLst>
            </c:dLbl>
            <c:dLbl>
              <c:idx val="9"/>
              <c:delete val="1"/>
              <c:extLst>
                <c:ext xmlns:c15="http://schemas.microsoft.com/office/drawing/2012/chart" uri="{CE6537A1-D6FC-4f65-9D91-7224C49458BB}"/>
                <c:ext xmlns:c16="http://schemas.microsoft.com/office/drawing/2014/chart" uri="{C3380CC4-5D6E-409C-BE32-E72D297353CC}">
                  <c16:uniqueId val="{00000018-058A-4084-9570-DE4E51144DCE}"/>
                </c:ext>
              </c:extLst>
            </c:dLbl>
            <c:dLbl>
              <c:idx val="10"/>
              <c:delete val="1"/>
              <c:extLst>
                <c:ext xmlns:c15="http://schemas.microsoft.com/office/drawing/2012/chart" uri="{CE6537A1-D6FC-4f65-9D91-7224C49458BB}"/>
                <c:ext xmlns:c16="http://schemas.microsoft.com/office/drawing/2014/chart" uri="{C3380CC4-5D6E-409C-BE32-E72D297353CC}">
                  <c16:uniqueId val="{00000019-058A-4084-9570-DE4E51144DCE}"/>
                </c:ext>
              </c:extLst>
            </c:dLbl>
            <c:dLbl>
              <c:idx val="11"/>
              <c:delete val="1"/>
              <c:extLst>
                <c:ext xmlns:c15="http://schemas.microsoft.com/office/drawing/2012/chart" uri="{CE6537A1-D6FC-4f65-9D91-7224C49458BB}"/>
                <c:ext xmlns:c16="http://schemas.microsoft.com/office/drawing/2014/chart" uri="{C3380CC4-5D6E-409C-BE32-E72D297353CC}">
                  <c16:uniqueId val="{0000001A-058A-4084-9570-DE4E51144DCE}"/>
                </c:ext>
              </c:extLst>
            </c:dLbl>
            <c:dLbl>
              <c:idx val="12"/>
              <c:delete val="1"/>
              <c:extLst>
                <c:ext xmlns:c15="http://schemas.microsoft.com/office/drawing/2012/chart" uri="{CE6537A1-D6FC-4f65-9D91-7224C49458BB}"/>
                <c:ext xmlns:c16="http://schemas.microsoft.com/office/drawing/2014/chart" uri="{C3380CC4-5D6E-409C-BE32-E72D297353CC}">
                  <c16:uniqueId val="{0000001B-058A-4084-9570-DE4E51144DCE}"/>
                </c:ext>
              </c:extLst>
            </c:dLbl>
            <c:dLbl>
              <c:idx val="13"/>
              <c:layout>
                <c:manualLayout>
                  <c:x val="-4.3184220825743507E-3"/>
                  <c:y val="8.1513828238719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BA9-4B94-822F-4C37A8775A5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[1]PINDIC03EV!$A$11:$A$24</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[1]PINDIC03EV!$C$11:$C$24</c:f>
              <c:numCache>
                <c:formatCode>General</c:formatCode>
                <c:ptCount val="14"/>
                <c:pt idx="0">
                  <c:v>0.7</c:v>
                </c:pt>
                <c:pt idx="1">
                  <c:v>0.7</c:v>
                </c:pt>
                <c:pt idx="2">
                  <c:v>0.7</c:v>
                </c:pt>
                <c:pt idx="3">
                  <c:v>0.7</c:v>
                </c:pt>
                <c:pt idx="4">
                  <c:v>0.7</c:v>
                </c:pt>
                <c:pt idx="5">
                  <c:v>0.7</c:v>
                </c:pt>
                <c:pt idx="6">
                  <c:v>0.7</c:v>
                </c:pt>
                <c:pt idx="7">
                  <c:v>0.7</c:v>
                </c:pt>
                <c:pt idx="8">
                  <c:v>0.7</c:v>
                </c:pt>
                <c:pt idx="9">
                  <c:v>0.7</c:v>
                </c:pt>
                <c:pt idx="10">
                  <c:v>0.7</c:v>
                </c:pt>
                <c:pt idx="11">
                  <c:v>0.7</c:v>
                </c:pt>
                <c:pt idx="12">
                  <c:v>0.7</c:v>
                </c:pt>
                <c:pt idx="13">
                  <c:v>0.7</c:v>
                </c:pt>
              </c:numCache>
            </c:numRef>
          </c:val>
          <c:smooth val="0"/>
          <c:extLst>
            <c:ext xmlns:c16="http://schemas.microsoft.com/office/drawing/2014/chart" uri="{C3380CC4-5D6E-409C-BE32-E72D297353CC}">
              <c16:uniqueId val="{0000001C-058A-4084-9570-DE4E51144DCE}"/>
            </c:ext>
          </c:extLst>
        </c:ser>
        <c:ser>
          <c:idx val="2"/>
          <c:order val="2"/>
          <c:tx>
            <c:strRef>
              <c:f>[1]PINDIC03EV!$D$10</c:f>
              <c:strCache>
                <c:ptCount val="1"/>
                <c:pt idx="0">
                  <c:v>Meta</c:v>
                </c:pt>
              </c:strCache>
            </c:strRef>
          </c:tx>
          <c:spPr>
            <a:ln w="38100" cap="rnd">
              <a:solidFill>
                <a:schemeClr val="accent3"/>
              </a:solidFill>
              <a:round/>
            </a:ln>
            <a:effectLst/>
          </c:spPr>
          <c:marker>
            <c:symbol val="triangle"/>
            <c:size val="6"/>
            <c:spPr>
              <a:solidFill>
                <a:schemeClr val="accent3"/>
              </a:solidFill>
              <a:ln w="9525">
                <a:solidFill>
                  <a:schemeClr val="accent3"/>
                </a:solidFill>
                <a:round/>
              </a:ln>
              <a:effectLst/>
              <a:scene3d>
                <a:camera prst="orthographicFront"/>
                <a:lightRig rig="threePt" dir="t"/>
              </a:scene3d>
              <a:sp3d>
                <a:bevelT w="190500" h="38100"/>
              </a:sp3d>
            </c:spPr>
          </c:marker>
          <c:dLbls>
            <c:dLbl>
              <c:idx val="0"/>
              <c:delete val="1"/>
              <c:extLst>
                <c:ext xmlns:c15="http://schemas.microsoft.com/office/drawing/2012/chart" uri="{CE6537A1-D6FC-4f65-9D91-7224C49458BB}"/>
                <c:ext xmlns:c16="http://schemas.microsoft.com/office/drawing/2014/chart" uri="{C3380CC4-5D6E-409C-BE32-E72D297353CC}">
                  <c16:uniqueId val="{0000001D-058A-4084-9570-DE4E51144DCE}"/>
                </c:ext>
              </c:extLst>
            </c:dLbl>
            <c:dLbl>
              <c:idx val="1"/>
              <c:delete val="1"/>
              <c:extLst>
                <c:ext xmlns:c15="http://schemas.microsoft.com/office/drawing/2012/chart" uri="{CE6537A1-D6FC-4f65-9D91-7224C49458BB}"/>
                <c:ext xmlns:c16="http://schemas.microsoft.com/office/drawing/2014/chart" uri="{C3380CC4-5D6E-409C-BE32-E72D297353CC}">
                  <c16:uniqueId val="{0000001E-058A-4084-9570-DE4E51144DCE}"/>
                </c:ext>
              </c:extLst>
            </c:dLbl>
            <c:dLbl>
              <c:idx val="2"/>
              <c:delete val="1"/>
              <c:extLst>
                <c:ext xmlns:c15="http://schemas.microsoft.com/office/drawing/2012/chart" uri="{CE6537A1-D6FC-4f65-9D91-7224C49458BB}"/>
                <c:ext xmlns:c16="http://schemas.microsoft.com/office/drawing/2014/chart" uri="{C3380CC4-5D6E-409C-BE32-E72D297353CC}">
                  <c16:uniqueId val="{0000001F-058A-4084-9570-DE4E51144DCE}"/>
                </c:ext>
              </c:extLst>
            </c:dLbl>
            <c:dLbl>
              <c:idx val="3"/>
              <c:delete val="1"/>
              <c:extLst>
                <c:ext xmlns:c15="http://schemas.microsoft.com/office/drawing/2012/chart" uri="{CE6537A1-D6FC-4f65-9D91-7224C49458BB}"/>
                <c:ext xmlns:c16="http://schemas.microsoft.com/office/drawing/2014/chart" uri="{C3380CC4-5D6E-409C-BE32-E72D297353CC}">
                  <c16:uniqueId val="{00000020-058A-4084-9570-DE4E51144DCE}"/>
                </c:ext>
              </c:extLst>
            </c:dLbl>
            <c:dLbl>
              <c:idx val="4"/>
              <c:delete val="1"/>
              <c:extLst>
                <c:ext xmlns:c15="http://schemas.microsoft.com/office/drawing/2012/chart" uri="{CE6537A1-D6FC-4f65-9D91-7224C49458BB}"/>
                <c:ext xmlns:c16="http://schemas.microsoft.com/office/drawing/2014/chart" uri="{C3380CC4-5D6E-409C-BE32-E72D297353CC}">
                  <c16:uniqueId val="{00000021-058A-4084-9570-DE4E51144DCE}"/>
                </c:ext>
              </c:extLst>
            </c:dLbl>
            <c:dLbl>
              <c:idx val="5"/>
              <c:delete val="1"/>
              <c:extLst>
                <c:ext xmlns:c15="http://schemas.microsoft.com/office/drawing/2012/chart" uri="{CE6537A1-D6FC-4f65-9D91-7224C49458BB}"/>
                <c:ext xmlns:c16="http://schemas.microsoft.com/office/drawing/2014/chart" uri="{C3380CC4-5D6E-409C-BE32-E72D297353CC}">
                  <c16:uniqueId val="{00000022-058A-4084-9570-DE4E51144DCE}"/>
                </c:ext>
              </c:extLst>
            </c:dLbl>
            <c:dLbl>
              <c:idx val="6"/>
              <c:delete val="1"/>
              <c:extLst>
                <c:ext xmlns:c15="http://schemas.microsoft.com/office/drawing/2012/chart" uri="{CE6537A1-D6FC-4f65-9D91-7224C49458BB}"/>
                <c:ext xmlns:c16="http://schemas.microsoft.com/office/drawing/2014/chart" uri="{C3380CC4-5D6E-409C-BE32-E72D297353CC}">
                  <c16:uniqueId val="{00000023-058A-4084-9570-DE4E51144DCE}"/>
                </c:ext>
              </c:extLst>
            </c:dLbl>
            <c:dLbl>
              <c:idx val="7"/>
              <c:delete val="1"/>
              <c:extLst>
                <c:ext xmlns:c15="http://schemas.microsoft.com/office/drawing/2012/chart" uri="{CE6537A1-D6FC-4f65-9D91-7224C49458BB}"/>
                <c:ext xmlns:c16="http://schemas.microsoft.com/office/drawing/2014/chart" uri="{C3380CC4-5D6E-409C-BE32-E72D297353CC}">
                  <c16:uniqueId val="{00000024-058A-4084-9570-DE4E51144DCE}"/>
                </c:ext>
              </c:extLst>
            </c:dLbl>
            <c:dLbl>
              <c:idx val="8"/>
              <c:delete val="1"/>
              <c:extLst>
                <c:ext xmlns:c15="http://schemas.microsoft.com/office/drawing/2012/chart" uri="{CE6537A1-D6FC-4f65-9D91-7224C49458BB}"/>
                <c:ext xmlns:c16="http://schemas.microsoft.com/office/drawing/2014/chart" uri="{C3380CC4-5D6E-409C-BE32-E72D297353CC}">
                  <c16:uniqueId val="{00000025-058A-4084-9570-DE4E51144DCE}"/>
                </c:ext>
              </c:extLst>
            </c:dLbl>
            <c:dLbl>
              <c:idx val="9"/>
              <c:delete val="1"/>
              <c:extLst>
                <c:ext xmlns:c15="http://schemas.microsoft.com/office/drawing/2012/chart" uri="{CE6537A1-D6FC-4f65-9D91-7224C49458BB}"/>
                <c:ext xmlns:c16="http://schemas.microsoft.com/office/drawing/2014/chart" uri="{C3380CC4-5D6E-409C-BE32-E72D297353CC}">
                  <c16:uniqueId val="{00000026-058A-4084-9570-DE4E51144DCE}"/>
                </c:ext>
              </c:extLst>
            </c:dLbl>
            <c:dLbl>
              <c:idx val="10"/>
              <c:delete val="1"/>
              <c:extLst>
                <c:ext xmlns:c15="http://schemas.microsoft.com/office/drawing/2012/chart" uri="{CE6537A1-D6FC-4f65-9D91-7224C49458BB}"/>
                <c:ext xmlns:c16="http://schemas.microsoft.com/office/drawing/2014/chart" uri="{C3380CC4-5D6E-409C-BE32-E72D297353CC}">
                  <c16:uniqueId val="{00000027-058A-4084-9570-DE4E51144DCE}"/>
                </c:ext>
              </c:extLst>
            </c:dLbl>
            <c:dLbl>
              <c:idx val="11"/>
              <c:delete val="1"/>
              <c:extLst>
                <c:ext xmlns:c15="http://schemas.microsoft.com/office/drawing/2012/chart" uri="{CE6537A1-D6FC-4f65-9D91-7224C49458BB}"/>
                <c:ext xmlns:c16="http://schemas.microsoft.com/office/drawing/2014/chart" uri="{C3380CC4-5D6E-409C-BE32-E72D297353CC}">
                  <c16:uniqueId val="{00000028-058A-4084-9570-DE4E51144DCE}"/>
                </c:ext>
              </c:extLst>
            </c:dLbl>
            <c:dLbl>
              <c:idx val="12"/>
              <c:delete val="1"/>
              <c:extLst>
                <c:ext xmlns:c15="http://schemas.microsoft.com/office/drawing/2012/chart" uri="{CE6537A1-D6FC-4f65-9D91-7224C49458BB}"/>
                <c:ext xmlns:c16="http://schemas.microsoft.com/office/drawing/2014/chart" uri="{C3380CC4-5D6E-409C-BE32-E72D297353CC}">
                  <c16:uniqueId val="{00000029-058A-4084-9570-DE4E51144DCE}"/>
                </c:ext>
              </c:extLst>
            </c:dLbl>
            <c:dLbl>
              <c:idx val="13"/>
              <c:layout>
                <c:manualLayout>
                  <c:x val="0"/>
                  <c:y val="-0.116448326055313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A9-4B94-822F-4C37A8775A5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[1]PINDIC03EV!$A$11:$A$24</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[1]PINDIC03EV!$D$11:$D$24</c:f>
              <c:numCache>
                <c:formatCode>General</c:formatCode>
                <c:ptCount val="14"/>
                <c:pt idx="0">
                  <c:v>0.8</c:v>
                </c:pt>
                <c:pt idx="1">
                  <c:v>0.8</c:v>
                </c:pt>
                <c:pt idx="2">
                  <c:v>0.8</c:v>
                </c:pt>
                <c:pt idx="3">
                  <c:v>0.8</c:v>
                </c:pt>
                <c:pt idx="4">
                  <c:v>0.8</c:v>
                </c:pt>
                <c:pt idx="5">
                  <c:v>0.8</c:v>
                </c:pt>
                <c:pt idx="6">
                  <c:v>0.8</c:v>
                </c:pt>
                <c:pt idx="7">
                  <c:v>0.8</c:v>
                </c:pt>
                <c:pt idx="8">
                  <c:v>0.8</c:v>
                </c:pt>
                <c:pt idx="9">
                  <c:v>0.8</c:v>
                </c:pt>
                <c:pt idx="10">
                  <c:v>0.8</c:v>
                </c:pt>
                <c:pt idx="11">
                  <c:v>0.8</c:v>
                </c:pt>
                <c:pt idx="12">
                  <c:v>0.8</c:v>
                </c:pt>
                <c:pt idx="13">
                  <c:v>0.8</c:v>
                </c:pt>
              </c:numCache>
            </c:numRef>
          </c:val>
          <c:smooth val="0"/>
          <c:extLst>
            <c:ext xmlns:c16="http://schemas.microsoft.com/office/drawing/2014/chart" uri="{C3380CC4-5D6E-409C-BE32-E72D297353CC}">
              <c16:uniqueId val="{0000002A-058A-4084-9570-DE4E51144DCE}"/>
            </c:ext>
          </c:extLst>
        </c:ser>
        <c:dLbls>
          <c:showLegendKey val="0"/>
          <c:showVal val="0"/>
          <c:showCatName val="0"/>
          <c:showSerName val="0"/>
          <c:showPercent val="0"/>
          <c:showBubbleSize val="0"/>
        </c:dLbls>
        <c:marker val="1"/>
        <c:smooth val="0"/>
        <c:axId val="94974336"/>
        <c:axId val="96021504"/>
      </c:lineChart>
      <c:catAx>
        <c:axId val="9497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pt-BR"/>
          </a:p>
        </c:txPr>
        <c:crossAx val="96021504"/>
        <c:crosses val="autoZero"/>
        <c:auto val="1"/>
        <c:lblAlgn val="ctr"/>
        <c:lblOffset val="100"/>
        <c:noMultiLvlLbl val="0"/>
      </c:catAx>
      <c:valAx>
        <c:axId val="96021504"/>
        <c:scaling>
          <c:orientation val="minMax"/>
        </c:scaling>
        <c:delete val="1"/>
        <c:axPos val="l"/>
        <c:numFmt formatCode="General" sourceLinked="1"/>
        <c:majorTickMark val="none"/>
        <c:minorTickMark val="none"/>
        <c:tickLblPos val="nextTo"/>
        <c:crossAx val="9497433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cap="all" spc="120" normalizeH="0" baseline="0">
                <a:solidFill>
                  <a:schemeClr val="tx1">
                    <a:lumMod val="65000"/>
                    <a:lumOff val="35000"/>
                  </a:schemeClr>
                </a:solidFill>
                <a:latin typeface="+mn-lt"/>
                <a:ea typeface="+mn-ea"/>
                <a:cs typeface="+mn-cs"/>
              </a:defRPr>
            </a:pPr>
            <a:r>
              <a:rPr lang="pt-BR" sz="1100" b="1">
                <a:solidFill>
                  <a:sysClr val="windowText" lastClr="000000"/>
                </a:solidFill>
              </a:rPr>
              <a:t>% de</a:t>
            </a:r>
            <a:r>
              <a:rPr lang="pt-BR" sz="1100" b="1" baseline="0">
                <a:solidFill>
                  <a:sysClr val="windowText" lastClr="000000"/>
                </a:solidFill>
              </a:rPr>
              <a:t> Servidores satisfeitos com eventos de capacitação elaborados pelo mme</a:t>
            </a:r>
            <a:endParaRPr lang="pt-BR" sz="1100" b="1">
              <a:solidFill>
                <a:sysClr val="windowText" lastClr="000000"/>
              </a:solidFill>
            </a:endParaRPr>
          </a:p>
        </c:rich>
      </c:tx>
      <c:overlay val="0"/>
      <c:spPr>
        <a:noFill/>
        <a:ln>
          <a:noFill/>
        </a:ln>
        <a:effectLst/>
      </c:spPr>
      <c:txPr>
        <a:bodyPr rot="0" spcFirstLastPara="1" vertOverflow="ellipsis" vert="horz" wrap="square" anchor="ctr" anchorCtr="1"/>
        <a:lstStyle/>
        <a:p>
          <a:pPr>
            <a:defRPr sz="1100" b="1" i="0" u="none" strike="noStrike" kern="1200" cap="all" spc="120" normalizeH="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[1]PINDIC04EV!$C$10</c:f>
              <c:strCache>
                <c:ptCount val="1"/>
                <c:pt idx="0">
                  <c:v>Aferição</c:v>
                </c:pt>
              </c:strCache>
            </c:strRef>
          </c:tx>
          <c:spPr>
            <a:ln w="38100" cap="rnd">
              <a:solidFill>
                <a:schemeClr val="accent1"/>
              </a:solidFill>
              <a:round/>
            </a:ln>
            <a:effectLst/>
          </c:spPr>
          <c:marker>
            <c:symbol val="diamond"/>
            <c:size val="6"/>
            <c:spPr>
              <a:solidFill>
                <a:schemeClr val="accent1"/>
              </a:solidFill>
              <a:ln w="9525">
                <a:solidFill>
                  <a:schemeClr val="accent1"/>
                </a:solidFill>
                <a:round/>
              </a:ln>
              <a:effectLst/>
              <a:scene3d>
                <a:camera prst="orthographicFront"/>
                <a:lightRig rig="threePt" dir="t"/>
              </a:scene3d>
              <a:sp3d>
                <a:bevelT w="190500" h="38100"/>
              </a:sp3d>
            </c:spPr>
          </c:marker>
          <c:dLbls>
            <c:dLbl>
              <c:idx val="0"/>
              <c:layout>
                <c:manualLayout>
                  <c:x val="-7.9429559941370964E-2"/>
                  <c:y val="-7.5023715266493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9E-49C1-8E13-D65DA3431FAE}"/>
                </c:ext>
              </c:extLst>
            </c:dLbl>
            <c:dLbl>
              <c:idx val="1"/>
              <c:layout>
                <c:manualLayout>
                  <c:x val="-6.2182738521321196E-2"/>
                  <c:y val="-9.99219483034441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9E-49C1-8E13-D65DA3431FAE}"/>
                </c:ext>
              </c:extLst>
            </c:dLbl>
            <c:dLbl>
              <c:idx val="2"/>
              <c:layout>
                <c:manualLayout>
                  <c:x val="-5.7922930088284419E-2"/>
                  <c:y val="-5.34669898119731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9E-49C1-8E13-D65DA3431FAE}"/>
                </c:ext>
              </c:extLst>
            </c:dLbl>
            <c:dLbl>
              <c:idx val="3"/>
              <c:layout>
                <c:manualLayout>
                  <c:x val="8.5197018104366355E-3"/>
                  <c:y val="-3.34168755221387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9E-49C1-8E13-D65DA3431FAE}"/>
                </c:ext>
              </c:extLst>
            </c:dLbl>
            <c:dLbl>
              <c:idx val="4"/>
              <c:layout>
                <c:manualLayout>
                  <c:x val="-6.6027689030883963E-2"/>
                  <c:y val="-8.68838763575605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9E-49C1-8E13-D65DA3431FAE}"/>
                </c:ext>
              </c:extLst>
            </c:dLbl>
            <c:dLbl>
              <c:idx val="5"/>
              <c:layout>
                <c:manualLayout>
                  <c:x val="-4.898828541001065E-2"/>
                  <c:y val="-6.0150375939849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9E-49C1-8E13-D65DA3431FAE}"/>
                </c:ext>
              </c:extLst>
            </c:dLbl>
            <c:dLbl>
              <c:idx val="6"/>
              <c:layout>
                <c:manualLayout>
                  <c:x val="-1.2779552715654952E-2"/>
                  <c:y val="4.67836257309940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9E-49C1-8E13-D65DA3431FAE}"/>
                </c:ext>
              </c:extLst>
            </c:dLbl>
            <c:dLbl>
              <c:idx val="7"/>
              <c:layout>
                <c:manualLayout>
                  <c:x val="-7.241746538871148E-2"/>
                  <c:y val="-7.0175438596491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B9E-49C1-8E13-D65DA3431FAE}"/>
                </c:ext>
              </c:extLst>
            </c:dLbl>
            <c:dLbl>
              <c:idx val="8"/>
              <c:layout>
                <c:manualLayout>
                  <c:x val="-6.3897763578274758E-2"/>
                  <c:y val="-8.68838763575605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B9E-49C1-8E13-D65DA3431FAE}"/>
                </c:ext>
              </c:extLst>
            </c:dLbl>
            <c:dLbl>
              <c:idx val="9"/>
              <c:layout>
                <c:manualLayout>
                  <c:x val="-5.7507987220447365E-2"/>
                  <c:y val="-5.34670008354219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B9E-49C1-8E13-D65DA3431FAE}"/>
                </c:ext>
              </c:extLst>
            </c:dLbl>
            <c:dLbl>
              <c:idx val="10"/>
              <c:layout>
                <c:manualLayout>
                  <c:x val="-4.685835995740157E-2"/>
                  <c:y val="-0.10359231411862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B9E-49C1-8E13-D65DA3431FAE}"/>
                </c:ext>
              </c:extLst>
            </c:dLbl>
            <c:dLbl>
              <c:idx val="11"/>
              <c:layout>
                <c:manualLayout>
                  <c:x val="-4.0468583599573935E-2"/>
                  <c:y val="-5.34670008354219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B9E-49C1-8E13-D65DA3431FAE}"/>
                </c:ext>
              </c:extLst>
            </c:dLbl>
            <c:dLbl>
              <c:idx val="12"/>
              <c:layout>
                <c:manualLayout>
                  <c:x val="-8.5197018104366355E-3"/>
                  <c:y val="-0.10359231411862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B9E-49C1-8E13-D65DA3431FAE}"/>
                </c:ext>
              </c:extLst>
            </c:dLbl>
            <c:dLbl>
              <c:idx val="13"/>
              <c:layout>
                <c:manualLayout>
                  <c:x val="-4.2598509052184739E-3"/>
                  <c:y val="-5.6808688387635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B9E-49C1-8E13-D65DA3431FAE}"/>
                </c:ext>
              </c:extLst>
            </c:dLbl>
            <c:dLbl>
              <c:idx val="14"/>
              <c:layout>
                <c:manualLayout>
                  <c:x val="1.2779552715654952E-2"/>
                  <c:y val="-4.3441938178780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B9E-49C1-8E13-D65DA3431FAE}"/>
                </c:ext>
              </c:extLst>
            </c:dLbl>
            <c:dLbl>
              <c:idx val="15"/>
              <c:layout>
                <c:manualLayout>
                  <c:x val="-6.4935064935066527E-3"/>
                  <c:y val="-5.4644793068343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7B9E-49C1-8E13-D65DA3431FAE}"/>
                </c:ext>
              </c:extLst>
            </c:dLbl>
            <c:dLbl>
              <c:idx val="16"/>
              <c:layout>
                <c:manualLayout>
                  <c:x val="2.1645021645020058E-3"/>
                  <c:y val="-3.27868758410063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7B9E-49C1-8E13-D65DA3431FA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[1]PINDIC04EV!$B$11:$B$28</c:f>
              <c:strCache>
                <c:ptCount val="18"/>
                <c:pt idx="0">
                  <c:v>1ª Avaliação (jan a abr/2015)</c:v>
                </c:pt>
                <c:pt idx="1">
                  <c:v>2ª Avaliação (mai a ago/2015)</c:v>
                </c:pt>
                <c:pt idx="2">
                  <c:v>3ª Avaliação (set a dez/2015)</c:v>
                </c:pt>
                <c:pt idx="3">
                  <c:v>1ª Avaliação (jan a abr/2016)</c:v>
                </c:pt>
                <c:pt idx="4">
                  <c:v>2ª Avaliação (mai a ago/2016)</c:v>
                </c:pt>
                <c:pt idx="5">
                  <c:v>3ª Avaliação (set a dez/2016)</c:v>
                </c:pt>
                <c:pt idx="6">
                  <c:v>1ª Avaliação (jan a abr/2017)</c:v>
                </c:pt>
                <c:pt idx="7">
                  <c:v>2ª Avaliação (mai a ago/2017)</c:v>
                </c:pt>
                <c:pt idx="8">
                  <c:v>3ª Avaliação (set a dez/2017)</c:v>
                </c:pt>
                <c:pt idx="9">
                  <c:v>1ª Avaliação (jan a abr/2018)</c:v>
                </c:pt>
                <c:pt idx="10">
                  <c:v>2ª Avaliação (mai a ago/2018)</c:v>
                </c:pt>
                <c:pt idx="11">
                  <c:v>3ª Avaliação (set a dez/2018)</c:v>
                </c:pt>
                <c:pt idx="12">
                  <c:v>1ª Avaliação (jan a abr/2019)</c:v>
                </c:pt>
                <c:pt idx="13">
                  <c:v>2ª Avaliação (mai a ago/2019)</c:v>
                </c:pt>
                <c:pt idx="14">
                  <c:v>3ª Avaliação (set a dez/2019)</c:v>
                </c:pt>
                <c:pt idx="15">
                  <c:v>1ª Avaliação (jan a abr/2020)</c:v>
                </c:pt>
                <c:pt idx="16">
                  <c:v>2ª Avaliação (mai a ago/2020)</c:v>
                </c:pt>
                <c:pt idx="17">
                  <c:v>3ª Avaliação (set a dez/2020)</c:v>
                </c:pt>
              </c:strCache>
            </c:strRef>
          </c:cat>
          <c:val>
            <c:numRef>
              <c:f>[1]PINDIC04EV!$C$11:$C$28</c:f>
              <c:numCache>
                <c:formatCode>General</c:formatCode>
                <c:ptCount val="18"/>
                <c:pt idx="0">
                  <c:v>1</c:v>
                </c:pt>
                <c:pt idx="1">
                  <c:v>1</c:v>
                </c:pt>
                <c:pt idx="2">
                  <c:v>1</c:v>
                </c:pt>
                <c:pt idx="3">
                  <c:v>0</c:v>
                </c:pt>
                <c:pt idx="4">
                  <c:v>0.93940000000000001</c:v>
                </c:pt>
                <c:pt idx="5">
                  <c:v>0.97250000000000003</c:v>
                </c:pt>
                <c:pt idx="6">
                  <c:v>0.57140000000000002</c:v>
                </c:pt>
                <c:pt idx="7">
                  <c:v>0.98109999999999997</c:v>
                </c:pt>
                <c:pt idx="8">
                  <c:v>1</c:v>
                </c:pt>
                <c:pt idx="9">
                  <c:v>1</c:v>
                </c:pt>
                <c:pt idx="10">
                  <c:v>1</c:v>
                </c:pt>
                <c:pt idx="11">
                  <c:v>1</c:v>
                </c:pt>
                <c:pt idx="12">
                  <c:v>1</c:v>
                </c:pt>
                <c:pt idx="13">
                  <c:v>0.97140000000000004</c:v>
                </c:pt>
                <c:pt idx="14">
                  <c:v>0.93179999999999996</c:v>
                </c:pt>
                <c:pt idx="15">
                  <c:v>0</c:v>
                </c:pt>
                <c:pt idx="16">
                  <c:v>0</c:v>
                </c:pt>
              </c:numCache>
            </c:numRef>
          </c:val>
          <c:smooth val="0"/>
          <c:extLst>
            <c:ext xmlns:c16="http://schemas.microsoft.com/office/drawing/2014/chart" uri="{C3380CC4-5D6E-409C-BE32-E72D297353CC}">
              <c16:uniqueId val="{0000000F-7B9E-49C1-8E13-D65DA3431FAE}"/>
            </c:ext>
          </c:extLst>
        </c:ser>
        <c:ser>
          <c:idx val="1"/>
          <c:order val="1"/>
          <c:tx>
            <c:strRef>
              <c:f>[1]PINDIC04EV!$D$10</c:f>
              <c:strCache>
                <c:ptCount val="1"/>
                <c:pt idx="0">
                  <c:v>Faixa de Aceitação</c:v>
                </c:pt>
              </c:strCache>
            </c:strRef>
          </c:tx>
          <c:spPr>
            <a:ln w="38100" cap="rnd">
              <a:solidFill>
                <a:schemeClr val="accent2"/>
              </a:solidFill>
              <a:round/>
            </a:ln>
            <a:effectLst/>
          </c:spPr>
          <c:marker>
            <c:symbol val="square"/>
            <c:size val="6"/>
            <c:spPr>
              <a:solidFill>
                <a:schemeClr val="accent2"/>
              </a:solidFill>
              <a:ln w="9525">
                <a:solidFill>
                  <a:schemeClr val="accent2"/>
                </a:solidFill>
                <a:round/>
              </a:ln>
              <a:effectLst/>
              <a:scene3d>
                <a:camera prst="orthographicFront"/>
                <a:lightRig rig="threePt" dir="t"/>
              </a:scene3d>
              <a:sp3d>
                <a:bevelT w="190500" h="38100"/>
              </a:sp3d>
            </c:spPr>
          </c:marker>
          <c:dLbls>
            <c:dLbl>
              <c:idx val="0"/>
              <c:delete val="1"/>
              <c:extLst>
                <c:ext xmlns:c15="http://schemas.microsoft.com/office/drawing/2012/chart" uri="{CE6537A1-D6FC-4f65-9D91-7224C49458BB}"/>
                <c:ext xmlns:c16="http://schemas.microsoft.com/office/drawing/2014/chart" uri="{C3380CC4-5D6E-409C-BE32-E72D297353CC}">
                  <c16:uniqueId val="{00000010-7B9E-49C1-8E13-D65DA3431FAE}"/>
                </c:ext>
              </c:extLst>
            </c:dLbl>
            <c:dLbl>
              <c:idx val="1"/>
              <c:delete val="1"/>
              <c:extLst>
                <c:ext xmlns:c15="http://schemas.microsoft.com/office/drawing/2012/chart" uri="{CE6537A1-D6FC-4f65-9D91-7224C49458BB}"/>
                <c:ext xmlns:c16="http://schemas.microsoft.com/office/drawing/2014/chart" uri="{C3380CC4-5D6E-409C-BE32-E72D297353CC}">
                  <c16:uniqueId val="{00000011-7B9E-49C1-8E13-D65DA3431FAE}"/>
                </c:ext>
              </c:extLst>
            </c:dLbl>
            <c:dLbl>
              <c:idx val="2"/>
              <c:delete val="1"/>
              <c:extLst>
                <c:ext xmlns:c15="http://schemas.microsoft.com/office/drawing/2012/chart" uri="{CE6537A1-D6FC-4f65-9D91-7224C49458BB}"/>
                <c:ext xmlns:c16="http://schemas.microsoft.com/office/drawing/2014/chart" uri="{C3380CC4-5D6E-409C-BE32-E72D297353CC}">
                  <c16:uniqueId val="{00000012-7B9E-49C1-8E13-D65DA3431FAE}"/>
                </c:ext>
              </c:extLst>
            </c:dLbl>
            <c:dLbl>
              <c:idx val="3"/>
              <c:delete val="1"/>
              <c:extLst>
                <c:ext xmlns:c15="http://schemas.microsoft.com/office/drawing/2012/chart" uri="{CE6537A1-D6FC-4f65-9D91-7224C49458BB}"/>
                <c:ext xmlns:c16="http://schemas.microsoft.com/office/drawing/2014/chart" uri="{C3380CC4-5D6E-409C-BE32-E72D297353CC}">
                  <c16:uniqueId val="{00000013-7B9E-49C1-8E13-D65DA3431FAE}"/>
                </c:ext>
              </c:extLst>
            </c:dLbl>
            <c:dLbl>
              <c:idx val="4"/>
              <c:delete val="1"/>
              <c:extLst>
                <c:ext xmlns:c15="http://schemas.microsoft.com/office/drawing/2012/chart" uri="{CE6537A1-D6FC-4f65-9D91-7224C49458BB}"/>
                <c:ext xmlns:c16="http://schemas.microsoft.com/office/drawing/2014/chart" uri="{C3380CC4-5D6E-409C-BE32-E72D297353CC}">
                  <c16:uniqueId val="{00000014-7B9E-49C1-8E13-D65DA3431FAE}"/>
                </c:ext>
              </c:extLst>
            </c:dLbl>
            <c:dLbl>
              <c:idx val="5"/>
              <c:delete val="1"/>
              <c:extLst>
                <c:ext xmlns:c15="http://schemas.microsoft.com/office/drawing/2012/chart" uri="{CE6537A1-D6FC-4f65-9D91-7224C49458BB}"/>
                <c:ext xmlns:c16="http://schemas.microsoft.com/office/drawing/2014/chart" uri="{C3380CC4-5D6E-409C-BE32-E72D297353CC}">
                  <c16:uniqueId val="{00000015-7B9E-49C1-8E13-D65DA3431FAE}"/>
                </c:ext>
              </c:extLst>
            </c:dLbl>
            <c:dLbl>
              <c:idx val="6"/>
              <c:delete val="1"/>
              <c:extLst>
                <c:ext xmlns:c15="http://schemas.microsoft.com/office/drawing/2012/chart" uri="{CE6537A1-D6FC-4f65-9D91-7224C49458BB}"/>
                <c:ext xmlns:c16="http://schemas.microsoft.com/office/drawing/2014/chart" uri="{C3380CC4-5D6E-409C-BE32-E72D297353CC}">
                  <c16:uniqueId val="{00000016-7B9E-49C1-8E13-D65DA3431FAE}"/>
                </c:ext>
              </c:extLst>
            </c:dLbl>
            <c:dLbl>
              <c:idx val="7"/>
              <c:delete val="1"/>
              <c:extLst>
                <c:ext xmlns:c15="http://schemas.microsoft.com/office/drawing/2012/chart" uri="{CE6537A1-D6FC-4f65-9D91-7224C49458BB}"/>
                <c:ext xmlns:c16="http://schemas.microsoft.com/office/drawing/2014/chart" uri="{C3380CC4-5D6E-409C-BE32-E72D297353CC}">
                  <c16:uniqueId val="{00000017-7B9E-49C1-8E13-D65DA3431FAE}"/>
                </c:ext>
              </c:extLst>
            </c:dLbl>
            <c:dLbl>
              <c:idx val="8"/>
              <c:delete val="1"/>
              <c:extLst>
                <c:ext xmlns:c15="http://schemas.microsoft.com/office/drawing/2012/chart" uri="{CE6537A1-D6FC-4f65-9D91-7224C49458BB}"/>
                <c:ext xmlns:c16="http://schemas.microsoft.com/office/drawing/2014/chart" uri="{C3380CC4-5D6E-409C-BE32-E72D297353CC}">
                  <c16:uniqueId val="{00000018-7B9E-49C1-8E13-D65DA3431FAE}"/>
                </c:ext>
              </c:extLst>
            </c:dLbl>
            <c:dLbl>
              <c:idx val="9"/>
              <c:delete val="1"/>
              <c:extLst>
                <c:ext xmlns:c15="http://schemas.microsoft.com/office/drawing/2012/chart" uri="{CE6537A1-D6FC-4f65-9D91-7224C49458BB}"/>
                <c:ext xmlns:c16="http://schemas.microsoft.com/office/drawing/2014/chart" uri="{C3380CC4-5D6E-409C-BE32-E72D297353CC}">
                  <c16:uniqueId val="{00000019-7B9E-49C1-8E13-D65DA3431FAE}"/>
                </c:ext>
              </c:extLst>
            </c:dLbl>
            <c:dLbl>
              <c:idx val="10"/>
              <c:delete val="1"/>
              <c:extLst>
                <c:ext xmlns:c15="http://schemas.microsoft.com/office/drawing/2012/chart" uri="{CE6537A1-D6FC-4f65-9D91-7224C49458BB}"/>
                <c:ext xmlns:c16="http://schemas.microsoft.com/office/drawing/2014/chart" uri="{C3380CC4-5D6E-409C-BE32-E72D297353CC}">
                  <c16:uniqueId val="{0000001A-7B9E-49C1-8E13-D65DA3431FAE}"/>
                </c:ext>
              </c:extLst>
            </c:dLbl>
            <c:dLbl>
              <c:idx val="11"/>
              <c:delete val="1"/>
              <c:extLst>
                <c:ext xmlns:c15="http://schemas.microsoft.com/office/drawing/2012/chart" uri="{CE6537A1-D6FC-4f65-9D91-7224C49458BB}"/>
                <c:ext xmlns:c16="http://schemas.microsoft.com/office/drawing/2014/chart" uri="{C3380CC4-5D6E-409C-BE32-E72D297353CC}">
                  <c16:uniqueId val="{0000001B-7B9E-49C1-8E13-D65DA3431FAE}"/>
                </c:ext>
              </c:extLst>
            </c:dLbl>
            <c:dLbl>
              <c:idx val="12"/>
              <c:delete val="1"/>
              <c:extLst>
                <c:ext xmlns:c15="http://schemas.microsoft.com/office/drawing/2012/chart" uri="{CE6537A1-D6FC-4f65-9D91-7224C49458BB}"/>
                <c:ext xmlns:c16="http://schemas.microsoft.com/office/drawing/2014/chart" uri="{C3380CC4-5D6E-409C-BE32-E72D297353CC}">
                  <c16:uniqueId val="{0000001C-7B9E-49C1-8E13-D65DA3431FAE}"/>
                </c:ext>
              </c:extLst>
            </c:dLbl>
            <c:dLbl>
              <c:idx val="13"/>
              <c:delete val="1"/>
              <c:extLst>
                <c:ext xmlns:c15="http://schemas.microsoft.com/office/drawing/2012/chart" uri="{CE6537A1-D6FC-4f65-9D91-7224C49458BB}"/>
                <c:ext xmlns:c16="http://schemas.microsoft.com/office/drawing/2014/chart" uri="{C3380CC4-5D6E-409C-BE32-E72D297353CC}">
                  <c16:uniqueId val="{0000001D-7B9E-49C1-8E13-D65DA3431FAE}"/>
                </c:ext>
              </c:extLst>
            </c:dLbl>
            <c:dLbl>
              <c:idx val="14"/>
              <c:delete val="1"/>
              <c:extLst>
                <c:ext xmlns:c15="http://schemas.microsoft.com/office/drawing/2012/chart" uri="{CE6537A1-D6FC-4f65-9D91-7224C49458BB}"/>
                <c:ext xmlns:c16="http://schemas.microsoft.com/office/drawing/2014/chart" uri="{C3380CC4-5D6E-409C-BE32-E72D297353CC}">
                  <c16:uniqueId val="{0000001E-7B9E-49C1-8E13-D65DA3431FAE}"/>
                </c:ext>
              </c:extLst>
            </c:dLbl>
            <c:dLbl>
              <c:idx val="15"/>
              <c:delete val="1"/>
              <c:extLst>
                <c:ext xmlns:c15="http://schemas.microsoft.com/office/drawing/2012/chart" uri="{CE6537A1-D6FC-4f65-9D91-7224C49458BB}"/>
                <c:ext xmlns:c16="http://schemas.microsoft.com/office/drawing/2014/chart" uri="{C3380CC4-5D6E-409C-BE32-E72D297353CC}">
                  <c16:uniqueId val="{0000001F-7B9E-49C1-8E13-D65DA3431FAE}"/>
                </c:ext>
              </c:extLst>
            </c:dLbl>
            <c:dLbl>
              <c:idx val="16"/>
              <c:delete val="1"/>
              <c:extLst>
                <c:ext xmlns:c15="http://schemas.microsoft.com/office/drawing/2012/chart" uri="{CE6537A1-D6FC-4f65-9D91-7224C49458BB}"/>
                <c:ext xmlns:c16="http://schemas.microsoft.com/office/drawing/2014/chart" uri="{C3380CC4-5D6E-409C-BE32-E72D297353CC}">
                  <c16:uniqueId val="{00000020-7B9E-49C1-8E13-D65DA3431FAE}"/>
                </c:ext>
              </c:extLst>
            </c:dLbl>
            <c:dLbl>
              <c:idx val="17"/>
              <c:layout>
                <c:manualLayout>
                  <c:x val="-8.3333333333333332E-3"/>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B9E-49C1-8E13-D65DA3431F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[1]PINDIC04EV!$B$11:$B$28</c:f>
              <c:strCache>
                <c:ptCount val="18"/>
                <c:pt idx="0">
                  <c:v>1ª Avaliação (jan a abr/2015)</c:v>
                </c:pt>
                <c:pt idx="1">
                  <c:v>2ª Avaliação (mai a ago/2015)</c:v>
                </c:pt>
                <c:pt idx="2">
                  <c:v>3ª Avaliação (set a dez/2015)</c:v>
                </c:pt>
                <c:pt idx="3">
                  <c:v>1ª Avaliação (jan a abr/2016)</c:v>
                </c:pt>
                <c:pt idx="4">
                  <c:v>2ª Avaliação (mai a ago/2016)</c:v>
                </c:pt>
                <c:pt idx="5">
                  <c:v>3ª Avaliação (set a dez/2016)</c:v>
                </c:pt>
                <c:pt idx="6">
                  <c:v>1ª Avaliação (jan a abr/2017)</c:v>
                </c:pt>
                <c:pt idx="7">
                  <c:v>2ª Avaliação (mai a ago/2017)</c:v>
                </c:pt>
                <c:pt idx="8">
                  <c:v>3ª Avaliação (set a dez/2017)</c:v>
                </c:pt>
                <c:pt idx="9">
                  <c:v>1ª Avaliação (jan a abr/2018)</c:v>
                </c:pt>
                <c:pt idx="10">
                  <c:v>2ª Avaliação (mai a ago/2018)</c:v>
                </c:pt>
                <c:pt idx="11">
                  <c:v>3ª Avaliação (set a dez/2018)</c:v>
                </c:pt>
                <c:pt idx="12">
                  <c:v>1ª Avaliação (jan a abr/2019)</c:v>
                </c:pt>
                <c:pt idx="13">
                  <c:v>2ª Avaliação (mai a ago/2019)</c:v>
                </c:pt>
                <c:pt idx="14">
                  <c:v>3ª Avaliação (set a dez/2019)</c:v>
                </c:pt>
                <c:pt idx="15">
                  <c:v>1ª Avaliação (jan a abr/2020)</c:v>
                </c:pt>
                <c:pt idx="16">
                  <c:v>2ª Avaliação (mai a ago/2020)</c:v>
                </c:pt>
                <c:pt idx="17">
                  <c:v>3ª Avaliação (set a dez/2020)</c:v>
                </c:pt>
              </c:strCache>
            </c:strRef>
          </c:cat>
          <c:val>
            <c:numRef>
              <c:f>[1]PINDIC04EV!$D$11:$D$28</c:f>
              <c:numCache>
                <c:formatCode>General</c:formatCode>
                <c:ptCount val="18"/>
                <c:pt idx="0">
                  <c:v>0.6</c:v>
                </c:pt>
                <c:pt idx="1">
                  <c:v>0.6</c:v>
                </c:pt>
                <c:pt idx="2">
                  <c:v>0.6</c:v>
                </c:pt>
                <c:pt idx="3">
                  <c:v>0.6</c:v>
                </c:pt>
                <c:pt idx="4">
                  <c:v>0.6</c:v>
                </c:pt>
                <c:pt idx="5">
                  <c:v>0.6</c:v>
                </c:pt>
                <c:pt idx="6">
                  <c:v>0.6</c:v>
                </c:pt>
                <c:pt idx="7">
                  <c:v>0.6</c:v>
                </c:pt>
                <c:pt idx="8">
                  <c:v>0.6</c:v>
                </c:pt>
                <c:pt idx="9">
                  <c:v>0.6</c:v>
                </c:pt>
                <c:pt idx="10">
                  <c:v>0.6</c:v>
                </c:pt>
                <c:pt idx="11">
                  <c:v>0.6</c:v>
                </c:pt>
                <c:pt idx="12">
                  <c:v>0.6</c:v>
                </c:pt>
                <c:pt idx="13">
                  <c:v>0.6</c:v>
                </c:pt>
                <c:pt idx="14">
                  <c:v>0.6</c:v>
                </c:pt>
                <c:pt idx="15">
                  <c:v>0.6</c:v>
                </c:pt>
                <c:pt idx="16">
                  <c:v>0.6</c:v>
                </c:pt>
                <c:pt idx="17">
                  <c:v>0.6</c:v>
                </c:pt>
              </c:numCache>
            </c:numRef>
          </c:val>
          <c:smooth val="0"/>
          <c:extLst>
            <c:ext xmlns:c16="http://schemas.microsoft.com/office/drawing/2014/chart" uri="{C3380CC4-5D6E-409C-BE32-E72D297353CC}">
              <c16:uniqueId val="{00000022-7B9E-49C1-8E13-D65DA3431FAE}"/>
            </c:ext>
          </c:extLst>
        </c:ser>
        <c:ser>
          <c:idx val="2"/>
          <c:order val="2"/>
          <c:tx>
            <c:strRef>
              <c:f>[1]PINDIC04EV!$E$10</c:f>
              <c:strCache>
                <c:ptCount val="1"/>
                <c:pt idx="0">
                  <c:v>Meta</c:v>
                </c:pt>
              </c:strCache>
            </c:strRef>
          </c:tx>
          <c:spPr>
            <a:ln w="38100" cap="rnd">
              <a:solidFill>
                <a:schemeClr val="accent3"/>
              </a:solidFill>
              <a:round/>
            </a:ln>
            <a:effectLst/>
          </c:spPr>
          <c:marker>
            <c:symbol val="triangle"/>
            <c:size val="6"/>
            <c:spPr>
              <a:solidFill>
                <a:schemeClr val="accent3"/>
              </a:solidFill>
              <a:ln w="9525">
                <a:solidFill>
                  <a:schemeClr val="accent3"/>
                </a:solidFill>
                <a:round/>
              </a:ln>
              <a:effectLst/>
              <a:scene3d>
                <a:camera prst="orthographicFront"/>
                <a:lightRig rig="threePt" dir="t"/>
              </a:scene3d>
              <a:sp3d>
                <a:bevelT w="190500" h="38100"/>
              </a:sp3d>
            </c:spPr>
          </c:marker>
          <c:dLbls>
            <c:dLbl>
              <c:idx val="0"/>
              <c:delete val="1"/>
              <c:extLst>
                <c:ext xmlns:c15="http://schemas.microsoft.com/office/drawing/2012/chart" uri="{CE6537A1-D6FC-4f65-9D91-7224C49458BB}"/>
                <c:ext xmlns:c16="http://schemas.microsoft.com/office/drawing/2014/chart" uri="{C3380CC4-5D6E-409C-BE32-E72D297353CC}">
                  <c16:uniqueId val="{00000023-7B9E-49C1-8E13-D65DA3431FAE}"/>
                </c:ext>
              </c:extLst>
            </c:dLbl>
            <c:dLbl>
              <c:idx val="1"/>
              <c:delete val="1"/>
              <c:extLst>
                <c:ext xmlns:c15="http://schemas.microsoft.com/office/drawing/2012/chart" uri="{CE6537A1-D6FC-4f65-9D91-7224C49458BB}"/>
                <c:ext xmlns:c16="http://schemas.microsoft.com/office/drawing/2014/chart" uri="{C3380CC4-5D6E-409C-BE32-E72D297353CC}">
                  <c16:uniqueId val="{00000024-7B9E-49C1-8E13-D65DA3431FAE}"/>
                </c:ext>
              </c:extLst>
            </c:dLbl>
            <c:dLbl>
              <c:idx val="2"/>
              <c:delete val="1"/>
              <c:extLst>
                <c:ext xmlns:c15="http://schemas.microsoft.com/office/drawing/2012/chart" uri="{CE6537A1-D6FC-4f65-9D91-7224C49458BB}"/>
                <c:ext xmlns:c16="http://schemas.microsoft.com/office/drawing/2014/chart" uri="{C3380CC4-5D6E-409C-BE32-E72D297353CC}">
                  <c16:uniqueId val="{00000025-7B9E-49C1-8E13-D65DA3431FAE}"/>
                </c:ext>
              </c:extLst>
            </c:dLbl>
            <c:dLbl>
              <c:idx val="3"/>
              <c:delete val="1"/>
              <c:extLst>
                <c:ext xmlns:c15="http://schemas.microsoft.com/office/drawing/2012/chart" uri="{CE6537A1-D6FC-4f65-9D91-7224C49458BB}"/>
                <c:ext xmlns:c16="http://schemas.microsoft.com/office/drawing/2014/chart" uri="{C3380CC4-5D6E-409C-BE32-E72D297353CC}">
                  <c16:uniqueId val="{00000026-7B9E-49C1-8E13-D65DA3431FAE}"/>
                </c:ext>
              </c:extLst>
            </c:dLbl>
            <c:dLbl>
              <c:idx val="4"/>
              <c:delete val="1"/>
              <c:extLst>
                <c:ext xmlns:c15="http://schemas.microsoft.com/office/drawing/2012/chart" uri="{CE6537A1-D6FC-4f65-9D91-7224C49458BB}"/>
                <c:ext xmlns:c16="http://schemas.microsoft.com/office/drawing/2014/chart" uri="{C3380CC4-5D6E-409C-BE32-E72D297353CC}">
                  <c16:uniqueId val="{00000027-7B9E-49C1-8E13-D65DA3431FAE}"/>
                </c:ext>
              </c:extLst>
            </c:dLbl>
            <c:dLbl>
              <c:idx val="5"/>
              <c:delete val="1"/>
              <c:extLst>
                <c:ext xmlns:c15="http://schemas.microsoft.com/office/drawing/2012/chart" uri="{CE6537A1-D6FC-4f65-9D91-7224C49458BB}"/>
                <c:ext xmlns:c16="http://schemas.microsoft.com/office/drawing/2014/chart" uri="{C3380CC4-5D6E-409C-BE32-E72D297353CC}">
                  <c16:uniqueId val="{00000028-7B9E-49C1-8E13-D65DA3431FAE}"/>
                </c:ext>
              </c:extLst>
            </c:dLbl>
            <c:dLbl>
              <c:idx val="6"/>
              <c:delete val="1"/>
              <c:extLst>
                <c:ext xmlns:c15="http://schemas.microsoft.com/office/drawing/2012/chart" uri="{CE6537A1-D6FC-4f65-9D91-7224C49458BB}"/>
                <c:ext xmlns:c16="http://schemas.microsoft.com/office/drawing/2014/chart" uri="{C3380CC4-5D6E-409C-BE32-E72D297353CC}">
                  <c16:uniqueId val="{00000029-7B9E-49C1-8E13-D65DA3431FAE}"/>
                </c:ext>
              </c:extLst>
            </c:dLbl>
            <c:dLbl>
              <c:idx val="7"/>
              <c:delete val="1"/>
              <c:extLst>
                <c:ext xmlns:c15="http://schemas.microsoft.com/office/drawing/2012/chart" uri="{CE6537A1-D6FC-4f65-9D91-7224C49458BB}"/>
                <c:ext xmlns:c16="http://schemas.microsoft.com/office/drawing/2014/chart" uri="{C3380CC4-5D6E-409C-BE32-E72D297353CC}">
                  <c16:uniqueId val="{0000002A-7B9E-49C1-8E13-D65DA3431FAE}"/>
                </c:ext>
              </c:extLst>
            </c:dLbl>
            <c:dLbl>
              <c:idx val="8"/>
              <c:delete val="1"/>
              <c:extLst>
                <c:ext xmlns:c15="http://schemas.microsoft.com/office/drawing/2012/chart" uri="{CE6537A1-D6FC-4f65-9D91-7224C49458BB}"/>
                <c:ext xmlns:c16="http://schemas.microsoft.com/office/drawing/2014/chart" uri="{C3380CC4-5D6E-409C-BE32-E72D297353CC}">
                  <c16:uniqueId val="{0000002B-7B9E-49C1-8E13-D65DA3431FAE}"/>
                </c:ext>
              </c:extLst>
            </c:dLbl>
            <c:dLbl>
              <c:idx val="9"/>
              <c:delete val="1"/>
              <c:extLst>
                <c:ext xmlns:c15="http://schemas.microsoft.com/office/drawing/2012/chart" uri="{CE6537A1-D6FC-4f65-9D91-7224C49458BB}"/>
                <c:ext xmlns:c16="http://schemas.microsoft.com/office/drawing/2014/chart" uri="{C3380CC4-5D6E-409C-BE32-E72D297353CC}">
                  <c16:uniqueId val="{0000002C-7B9E-49C1-8E13-D65DA3431FAE}"/>
                </c:ext>
              </c:extLst>
            </c:dLbl>
            <c:dLbl>
              <c:idx val="10"/>
              <c:delete val="1"/>
              <c:extLst>
                <c:ext xmlns:c15="http://schemas.microsoft.com/office/drawing/2012/chart" uri="{CE6537A1-D6FC-4f65-9D91-7224C49458BB}"/>
                <c:ext xmlns:c16="http://schemas.microsoft.com/office/drawing/2014/chart" uri="{C3380CC4-5D6E-409C-BE32-E72D297353CC}">
                  <c16:uniqueId val="{0000002D-7B9E-49C1-8E13-D65DA3431FAE}"/>
                </c:ext>
              </c:extLst>
            </c:dLbl>
            <c:dLbl>
              <c:idx val="11"/>
              <c:delete val="1"/>
              <c:extLst>
                <c:ext xmlns:c15="http://schemas.microsoft.com/office/drawing/2012/chart" uri="{CE6537A1-D6FC-4f65-9D91-7224C49458BB}"/>
                <c:ext xmlns:c16="http://schemas.microsoft.com/office/drawing/2014/chart" uri="{C3380CC4-5D6E-409C-BE32-E72D297353CC}">
                  <c16:uniqueId val="{0000002E-7B9E-49C1-8E13-D65DA3431FAE}"/>
                </c:ext>
              </c:extLst>
            </c:dLbl>
            <c:dLbl>
              <c:idx val="12"/>
              <c:delete val="1"/>
              <c:extLst>
                <c:ext xmlns:c15="http://schemas.microsoft.com/office/drawing/2012/chart" uri="{CE6537A1-D6FC-4f65-9D91-7224C49458BB}"/>
                <c:ext xmlns:c16="http://schemas.microsoft.com/office/drawing/2014/chart" uri="{C3380CC4-5D6E-409C-BE32-E72D297353CC}">
                  <c16:uniqueId val="{0000002F-7B9E-49C1-8E13-D65DA3431FAE}"/>
                </c:ext>
              </c:extLst>
            </c:dLbl>
            <c:dLbl>
              <c:idx val="13"/>
              <c:delete val="1"/>
              <c:extLst>
                <c:ext xmlns:c15="http://schemas.microsoft.com/office/drawing/2012/chart" uri="{CE6537A1-D6FC-4f65-9D91-7224C49458BB}"/>
                <c:ext xmlns:c16="http://schemas.microsoft.com/office/drawing/2014/chart" uri="{C3380CC4-5D6E-409C-BE32-E72D297353CC}">
                  <c16:uniqueId val="{00000030-7B9E-49C1-8E13-D65DA3431FAE}"/>
                </c:ext>
              </c:extLst>
            </c:dLbl>
            <c:dLbl>
              <c:idx val="14"/>
              <c:delete val="1"/>
              <c:extLst>
                <c:ext xmlns:c15="http://schemas.microsoft.com/office/drawing/2012/chart" uri="{CE6537A1-D6FC-4f65-9D91-7224C49458BB}"/>
                <c:ext xmlns:c16="http://schemas.microsoft.com/office/drawing/2014/chart" uri="{C3380CC4-5D6E-409C-BE32-E72D297353CC}">
                  <c16:uniqueId val="{00000031-7B9E-49C1-8E13-D65DA3431FAE}"/>
                </c:ext>
              </c:extLst>
            </c:dLbl>
            <c:dLbl>
              <c:idx val="15"/>
              <c:delete val="1"/>
              <c:extLst>
                <c:ext xmlns:c15="http://schemas.microsoft.com/office/drawing/2012/chart" uri="{CE6537A1-D6FC-4f65-9D91-7224C49458BB}"/>
                <c:ext xmlns:c16="http://schemas.microsoft.com/office/drawing/2014/chart" uri="{C3380CC4-5D6E-409C-BE32-E72D297353CC}">
                  <c16:uniqueId val="{00000032-7B9E-49C1-8E13-D65DA3431FAE}"/>
                </c:ext>
              </c:extLst>
            </c:dLbl>
            <c:dLbl>
              <c:idx val="16"/>
              <c:delete val="1"/>
              <c:extLst>
                <c:ext xmlns:c15="http://schemas.microsoft.com/office/drawing/2012/chart" uri="{CE6537A1-D6FC-4f65-9D91-7224C49458BB}"/>
                <c:ext xmlns:c16="http://schemas.microsoft.com/office/drawing/2014/chart" uri="{C3380CC4-5D6E-409C-BE32-E72D297353CC}">
                  <c16:uniqueId val="{00000033-7B9E-49C1-8E13-D65DA3431FAE}"/>
                </c:ext>
              </c:extLst>
            </c:dLbl>
            <c:dLbl>
              <c:idx val="17"/>
              <c:layout>
                <c:manualLayout>
                  <c:x val="-8.3333333333333332E-3"/>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7B9E-49C1-8E13-D65DA3431F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[1]PINDIC04EV!$B$11:$B$28</c:f>
              <c:strCache>
                <c:ptCount val="18"/>
                <c:pt idx="0">
                  <c:v>1ª Avaliação (jan a abr/2015)</c:v>
                </c:pt>
                <c:pt idx="1">
                  <c:v>2ª Avaliação (mai a ago/2015)</c:v>
                </c:pt>
                <c:pt idx="2">
                  <c:v>3ª Avaliação (set a dez/2015)</c:v>
                </c:pt>
                <c:pt idx="3">
                  <c:v>1ª Avaliação (jan a abr/2016)</c:v>
                </c:pt>
                <c:pt idx="4">
                  <c:v>2ª Avaliação (mai a ago/2016)</c:v>
                </c:pt>
                <c:pt idx="5">
                  <c:v>3ª Avaliação (set a dez/2016)</c:v>
                </c:pt>
                <c:pt idx="6">
                  <c:v>1ª Avaliação (jan a abr/2017)</c:v>
                </c:pt>
                <c:pt idx="7">
                  <c:v>2ª Avaliação (mai a ago/2017)</c:v>
                </c:pt>
                <c:pt idx="8">
                  <c:v>3ª Avaliação (set a dez/2017)</c:v>
                </c:pt>
                <c:pt idx="9">
                  <c:v>1ª Avaliação (jan a abr/2018)</c:v>
                </c:pt>
                <c:pt idx="10">
                  <c:v>2ª Avaliação (mai a ago/2018)</c:v>
                </c:pt>
                <c:pt idx="11">
                  <c:v>3ª Avaliação (set a dez/2018)</c:v>
                </c:pt>
                <c:pt idx="12">
                  <c:v>1ª Avaliação (jan a abr/2019)</c:v>
                </c:pt>
                <c:pt idx="13">
                  <c:v>2ª Avaliação (mai a ago/2019)</c:v>
                </c:pt>
                <c:pt idx="14">
                  <c:v>3ª Avaliação (set a dez/2019)</c:v>
                </c:pt>
                <c:pt idx="15">
                  <c:v>1ª Avaliação (jan a abr/2020)</c:v>
                </c:pt>
                <c:pt idx="16">
                  <c:v>2ª Avaliação (mai a ago/2020)</c:v>
                </c:pt>
                <c:pt idx="17">
                  <c:v>3ª Avaliação (set a dez/2020)</c:v>
                </c:pt>
              </c:strCache>
            </c:strRef>
          </c:cat>
          <c:val>
            <c:numRef>
              <c:f>[1]PINDIC04EV!$E$11:$E$28</c:f>
              <c:numCache>
                <c:formatCode>General</c:formatCode>
                <c:ptCount val="18"/>
                <c:pt idx="0">
                  <c:v>0.75</c:v>
                </c:pt>
                <c:pt idx="1">
                  <c:v>0.75</c:v>
                </c:pt>
                <c:pt idx="2">
                  <c:v>0.75</c:v>
                </c:pt>
                <c:pt idx="3">
                  <c:v>0.75</c:v>
                </c:pt>
                <c:pt idx="4">
                  <c:v>0.75</c:v>
                </c:pt>
                <c:pt idx="5">
                  <c:v>0.75</c:v>
                </c:pt>
                <c:pt idx="6">
                  <c:v>0.75</c:v>
                </c:pt>
                <c:pt idx="7">
                  <c:v>0.75</c:v>
                </c:pt>
                <c:pt idx="8">
                  <c:v>0.75</c:v>
                </c:pt>
                <c:pt idx="9">
                  <c:v>0.75</c:v>
                </c:pt>
                <c:pt idx="10">
                  <c:v>0.75</c:v>
                </c:pt>
                <c:pt idx="11">
                  <c:v>0.75</c:v>
                </c:pt>
                <c:pt idx="12">
                  <c:v>0.75</c:v>
                </c:pt>
                <c:pt idx="13">
                  <c:v>0.75</c:v>
                </c:pt>
                <c:pt idx="14">
                  <c:v>0.75</c:v>
                </c:pt>
                <c:pt idx="15">
                  <c:v>0.75</c:v>
                </c:pt>
                <c:pt idx="16">
                  <c:v>0.75</c:v>
                </c:pt>
                <c:pt idx="17">
                  <c:v>0.75</c:v>
                </c:pt>
              </c:numCache>
            </c:numRef>
          </c:val>
          <c:smooth val="0"/>
          <c:extLst>
            <c:ext xmlns:c16="http://schemas.microsoft.com/office/drawing/2014/chart" uri="{C3380CC4-5D6E-409C-BE32-E72D297353CC}">
              <c16:uniqueId val="{00000035-7B9E-49C1-8E13-D65DA3431FAE}"/>
            </c:ext>
          </c:extLst>
        </c:ser>
        <c:dLbls>
          <c:showLegendKey val="0"/>
          <c:showVal val="0"/>
          <c:showCatName val="0"/>
          <c:showSerName val="0"/>
          <c:showPercent val="0"/>
          <c:showBubbleSize val="0"/>
        </c:dLbls>
        <c:marker val="1"/>
        <c:smooth val="0"/>
        <c:axId val="96819072"/>
        <c:axId val="96820608"/>
      </c:lineChart>
      <c:catAx>
        <c:axId val="96819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cap="all" spc="120" normalizeH="0" baseline="0">
                <a:solidFill>
                  <a:schemeClr val="tx1">
                    <a:lumMod val="65000"/>
                    <a:lumOff val="35000"/>
                  </a:schemeClr>
                </a:solidFill>
                <a:latin typeface="+mn-lt"/>
                <a:ea typeface="+mn-ea"/>
                <a:cs typeface="+mn-cs"/>
              </a:defRPr>
            </a:pPr>
            <a:endParaRPr lang="pt-BR"/>
          </a:p>
        </c:txPr>
        <c:crossAx val="96820608"/>
        <c:crosses val="autoZero"/>
        <c:auto val="1"/>
        <c:lblAlgn val="ctr"/>
        <c:lblOffset val="100"/>
        <c:noMultiLvlLbl val="0"/>
      </c:catAx>
      <c:valAx>
        <c:axId val="96820608"/>
        <c:scaling>
          <c:orientation val="minMax"/>
        </c:scaling>
        <c:delete val="1"/>
        <c:axPos val="l"/>
        <c:numFmt formatCode="General" sourceLinked="1"/>
        <c:majorTickMark val="none"/>
        <c:minorTickMark val="none"/>
        <c:tickLblPos val="nextTo"/>
        <c:crossAx val="9681907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4.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5.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8.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PGERAL (3)'!A1"/><Relationship Id="rId3" Type="http://schemas.openxmlformats.org/officeDocument/2006/relationships/hyperlink" Target="#PINDICADOR!A1"/><Relationship Id="rId7" Type="http://schemas.openxmlformats.org/officeDocument/2006/relationships/hyperlink" Target="#'PGERAL (2)'!A1"/><Relationship Id="rId2" Type="http://schemas.openxmlformats.org/officeDocument/2006/relationships/hyperlink" Target="#PEVOLU&#199;&#195;O!A1"/><Relationship Id="rId1" Type="http://schemas.openxmlformats.org/officeDocument/2006/relationships/hyperlink" Target="#PCOMISS&#195;O!A1"/><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hyperlink" Target="#PQPEXMME!A1"/><Relationship Id="rId9"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chart" Target="../charts/chart70.xml"/><Relationship Id="rId13" Type="http://schemas.openxmlformats.org/officeDocument/2006/relationships/chart" Target="../charts/chart75.xml"/><Relationship Id="rId18" Type="http://schemas.openxmlformats.org/officeDocument/2006/relationships/chart" Target="../charts/chart78.xml"/><Relationship Id="rId3" Type="http://schemas.openxmlformats.org/officeDocument/2006/relationships/hyperlink" Target="#PINDICADOR!A1"/><Relationship Id="rId7" Type="http://schemas.openxmlformats.org/officeDocument/2006/relationships/chart" Target="../charts/chart69.xml"/><Relationship Id="rId12" Type="http://schemas.openxmlformats.org/officeDocument/2006/relationships/chart" Target="../charts/chart74.xml"/><Relationship Id="rId17" Type="http://schemas.openxmlformats.org/officeDocument/2006/relationships/image" Target="../media/image1.jpeg"/><Relationship Id="rId2" Type="http://schemas.openxmlformats.org/officeDocument/2006/relationships/hyperlink" Target="#PEVOLU&#199;&#195;O!A1"/><Relationship Id="rId16" Type="http://schemas.openxmlformats.org/officeDocument/2006/relationships/hyperlink" Target="#'PGERAL (3)'!A1"/><Relationship Id="rId1" Type="http://schemas.openxmlformats.org/officeDocument/2006/relationships/hyperlink" Target="#PCOMISS&#195;O!A1"/><Relationship Id="rId6" Type="http://schemas.openxmlformats.org/officeDocument/2006/relationships/hyperlink" Target="#PEVGLOBAL!A1"/><Relationship Id="rId11" Type="http://schemas.openxmlformats.org/officeDocument/2006/relationships/chart" Target="../charts/chart73.xml"/><Relationship Id="rId5" Type="http://schemas.openxmlformats.org/officeDocument/2006/relationships/hyperlink" Target="#PEVSIT!A1"/><Relationship Id="rId15" Type="http://schemas.openxmlformats.org/officeDocument/2006/relationships/chart" Target="../charts/chart77.xml"/><Relationship Id="rId10" Type="http://schemas.openxmlformats.org/officeDocument/2006/relationships/chart" Target="../charts/chart72.xml"/><Relationship Id="rId19" Type="http://schemas.openxmlformats.org/officeDocument/2006/relationships/chart" Target="../charts/chart79.xml"/><Relationship Id="rId4" Type="http://schemas.openxmlformats.org/officeDocument/2006/relationships/hyperlink" Target="#PQPEXMME!A1"/><Relationship Id="rId9" Type="http://schemas.openxmlformats.org/officeDocument/2006/relationships/chart" Target="../charts/chart71.xml"/><Relationship Id="rId14" Type="http://schemas.openxmlformats.org/officeDocument/2006/relationships/chart" Target="../charts/chart76.xml"/></Relationships>
</file>

<file path=xl/drawings/_rels/drawing11.xml.rels><?xml version="1.0" encoding="UTF-8" standalone="yes"?>
<Relationships xmlns="http://schemas.openxmlformats.org/package/2006/relationships"><Relationship Id="rId1" Type="http://schemas.openxmlformats.org/officeDocument/2006/relationships/hyperlink" Target="#PEVOLU&#199;&#195;O!A1"/></Relationships>
</file>

<file path=xl/drawings/_rels/drawing12.xml.rels><?xml version="1.0" encoding="UTF-8" standalone="yes"?>
<Relationships xmlns="http://schemas.openxmlformats.org/package/2006/relationships"><Relationship Id="rId1" Type="http://schemas.openxmlformats.org/officeDocument/2006/relationships/hyperlink" Target="#PEVOLU&#199;&#195;O!A1"/></Relationships>
</file>

<file path=xl/drawings/_rels/drawing13.xml.rels><?xml version="1.0" encoding="UTF-8" standalone="yes"?>
<Relationships xmlns="http://schemas.openxmlformats.org/package/2006/relationships"><Relationship Id="rId8" Type="http://schemas.openxmlformats.org/officeDocument/2006/relationships/chart" Target="../charts/chart80.xml"/><Relationship Id="rId13" Type="http://schemas.openxmlformats.org/officeDocument/2006/relationships/chart" Target="../charts/chart85.xml"/><Relationship Id="rId18" Type="http://schemas.openxmlformats.org/officeDocument/2006/relationships/hyperlink" Target="#'PGERAL (3)'!A1"/><Relationship Id="rId3" Type="http://schemas.openxmlformats.org/officeDocument/2006/relationships/hyperlink" Target="#PQPEXMME!A1"/><Relationship Id="rId21" Type="http://schemas.openxmlformats.org/officeDocument/2006/relationships/image" Target="../media/image1.jpeg"/><Relationship Id="rId7" Type="http://schemas.openxmlformats.org/officeDocument/2006/relationships/hyperlink" Target="#PCOMVUNITARIO!A1"/><Relationship Id="rId12" Type="http://schemas.openxmlformats.org/officeDocument/2006/relationships/chart" Target="../charts/chart84.xml"/><Relationship Id="rId17" Type="http://schemas.openxmlformats.org/officeDocument/2006/relationships/chart" Target="../charts/chart89.xml"/><Relationship Id="rId2" Type="http://schemas.openxmlformats.org/officeDocument/2006/relationships/hyperlink" Target="#PINDICADOR!A1"/><Relationship Id="rId16" Type="http://schemas.openxmlformats.org/officeDocument/2006/relationships/chart" Target="../charts/chart88.xml"/><Relationship Id="rId20" Type="http://schemas.openxmlformats.org/officeDocument/2006/relationships/hyperlink" Target="#PCOMISS&#195;O!A1"/><Relationship Id="rId1" Type="http://schemas.openxmlformats.org/officeDocument/2006/relationships/hyperlink" Target="#PEVOLU&#199;&#195;O!A1"/><Relationship Id="rId6" Type="http://schemas.openxmlformats.org/officeDocument/2006/relationships/hyperlink" Target="#PCOMID!A1"/><Relationship Id="rId11" Type="http://schemas.openxmlformats.org/officeDocument/2006/relationships/chart" Target="../charts/chart83.xml"/><Relationship Id="rId5" Type="http://schemas.openxmlformats.org/officeDocument/2006/relationships/hyperlink" Target="#PCOMCUSTOS!A1"/><Relationship Id="rId15" Type="http://schemas.openxmlformats.org/officeDocument/2006/relationships/chart" Target="../charts/chart87.xml"/><Relationship Id="rId10" Type="http://schemas.openxmlformats.org/officeDocument/2006/relationships/chart" Target="../charts/chart82.xml"/><Relationship Id="rId19" Type="http://schemas.openxmlformats.org/officeDocument/2006/relationships/hyperlink" Target="#NOMEADOSFUN&#199;&#195;O!A1"/><Relationship Id="rId4" Type="http://schemas.openxmlformats.org/officeDocument/2006/relationships/hyperlink" Target="#PCOMUNIDADES!A1"/><Relationship Id="rId9" Type="http://schemas.openxmlformats.org/officeDocument/2006/relationships/chart" Target="../charts/chart81.xml"/><Relationship Id="rId14" Type="http://schemas.openxmlformats.org/officeDocument/2006/relationships/chart" Target="../charts/chart86.xml"/></Relationships>
</file>

<file path=xl/drawings/_rels/drawing14.xml.rels><?xml version="1.0" encoding="UTF-8" standalone="yes"?>
<Relationships xmlns="http://schemas.openxmlformats.org/package/2006/relationships"><Relationship Id="rId1" Type="http://schemas.openxmlformats.org/officeDocument/2006/relationships/hyperlink" Target="#PCOMISS&#195;O!A1"/></Relationships>
</file>

<file path=xl/drawings/_rels/drawing15.xml.rels><?xml version="1.0" encoding="UTF-8" standalone="yes"?>
<Relationships xmlns="http://schemas.openxmlformats.org/package/2006/relationships"><Relationship Id="rId1" Type="http://schemas.openxmlformats.org/officeDocument/2006/relationships/hyperlink" Target="#PCOMISS&#195;O!A1"/></Relationships>
</file>

<file path=xl/drawings/_rels/drawing16.xml.rels><?xml version="1.0" encoding="UTF-8" standalone="yes"?>
<Relationships xmlns="http://schemas.openxmlformats.org/package/2006/relationships"><Relationship Id="rId1" Type="http://schemas.openxmlformats.org/officeDocument/2006/relationships/hyperlink" Target="#PCOMISS&#195;O!A1"/></Relationships>
</file>

<file path=xl/drawings/_rels/drawing17.xml.rels><?xml version="1.0" encoding="UTF-8" standalone="yes"?>
<Relationships xmlns="http://schemas.openxmlformats.org/package/2006/relationships"><Relationship Id="rId3" Type="http://schemas.openxmlformats.org/officeDocument/2006/relationships/hyperlink" Target="#PCOMISS&#195;O!A1"/><Relationship Id="rId2" Type="http://schemas.openxmlformats.org/officeDocument/2006/relationships/chart" Target="../charts/chart91.xml"/><Relationship Id="rId1" Type="http://schemas.openxmlformats.org/officeDocument/2006/relationships/chart" Target="../charts/chart9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hyperlink" Target="#PCOMISS&#195;O!A1"/></Relationships>
</file>

<file path=xl/drawings/_rels/drawing19.xml.rels><?xml version="1.0" encoding="UTF-8" standalone="yes"?>
<Relationships xmlns="http://schemas.openxmlformats.org/package/2006/relationships"><Relationship Id="rId8" Type="http://schemas.openxmlformats.org/officeDocument/2006/relationships/chart" Target="../charts/chart96.xml"/><Relationship Id="rId13" Type="http://schemas.openxmlformats.org/officeDocument/2006/relationships/chart" Target="../charts/chart101.xml"/><Relationship Id="rId3" Type="http://schemas.openxmlformats.org/officeDocument/2006/relationships/hyperlink" Target="#PINDICADOR!A1"/><Relationship Id="rId7" Type="http://schemas.openxmlformats.org/officeDocument/2006/relationships/chart" Target="../charts/chart95.xml"/><Relationship Id="rId12" Type="http://schemas.openxmlformats.org/officeDocument/2006/relationships/chart" Target="../charts/chart100.xml"/><Relationship Id="rId17" Type="http://schemas.openxmlformats.org/officeDocument/2006/relationships/image" Target="../media/image1.jpeg"/><Relationship Id="rId2" Type="http://schemas.openxmlformats.org/officeDocument/2006/relationships/hyperlink" Target="#PEVOLU&#199;&#195;O!A1"/><Relationship Id="rId16" Type="http://schemas.openxmlformats.org/officeDocument/2006/relationships/hyperlink" Target="#'PGERAL (3)'!A1"/><Relationship Id="rId1" Type="http://schemas.openxmlformats.org/officeDocument/2006/relationships/hyperlink" Target="#PCOMISS&#195;O!A1"/><Relationship Id="rId6" Type="http://schemas.openxmlformats.org/officeDocument/2006/relationships/chart" Target="../charts/chart94.xml"/><Relationship Id="rId11" Type="http://schemas.openxmlformats.org/officeDocument/2006/relationships/chart" Target="../charts/chart99.xml"/><Relationship Id="rId5" Type="http://schemas.openxmlformats.org/officeDocument/2006/relationships/hyperlink" Target="#PINDESCRI!A1"/><Relationship Id="rId15" Type="http://schemas.openxmlformats.org/officeDocument/2006/relationships/chart" Target="../charts/chart103.xml"/><Relationship Id="rId10" Type="http://schemas.openxmlformats.org/officeDocument/2006/relationships/chart" Target="../charts/chart98.xml"/><Relationship Id="rId4" Type="http://schemas.openxmlformats.org/officeDocument/2006/relationships/hyperlink" Target="#PQPEXMME!A1"/><Relationship Id="rId9" Type="http://schemas.openxmlformats.org/officeDocument/2006/relationships/chart" Target="../charts/chart97.xml"/><Relationship Id="rId14" Type="http://schemas.openxmlformats.org/officeDocument/2006/relationships/chart" Target="../charts/chart102.xml"/></Relationships>
</file>

<file path=xl/drawings/_rels/drawing2.xml.rels><?xml version="1.0" encoding="UTF-8" standalone="yes"?>
<Relationships xmlns="http://schemas.openxmlformats.org/package/2006/relationships"><Relationship Id="rId8" Type="http://schemas.openxmlformats.org/officeDocument/2006/relationships/hyperlink" Target="#'PGERAL (2)'!A1"/><Relationship Id="rId3" Type="http://schemas.openxmlformats.org/officeDocument/2006/relationships/hyperlink" Target="#PINDICADOR!A1"/><Relationship Id="rId7" Type="http://schemas.openxmlformats.org/officeDocument/2006/relationships/hyperlink" Target="#'PGERAL (3)'!A1"/><Relationship Id="rId2" Type="http://schemas.openxmlformats.org/officeDocument/2006/relationships/hyperlink" Target="#PEVOLU&#199;&#195;O!A1"/><Relationship Id="rId1" Type="http://schemas.openxmlformats.org/officeDocument/2006/relationships/hyperlink" Target="#PCOMISS&#195;O!A1"/><Relationship Id="rId6" Type="http://schemas.openxmlformats.org/officeDocument/2006/relationships/chart" Target="../charts/chart4.xml"/><Relationship Id="rId11" Type="http://schemas.openxmlformats.org/officeDocument/2006/relationships/image" Target="../media/image2.jpeg"/><Relationship Id="rId5" Type="http://schemas.openxmlformats.org/officeDocument/2006/relationships/chart" Target="../charts/chart3.xml"/><Relationship Id="rId10" Type="http://schemas.openxmlformats.org/officeDocument/2006/relationships/hyperlink" Target="#PCO!A1"/><Relationship Id="rId4" Type="http://schemas.openxmlformats.org/officeDocument/2006/relationships/hyperlink" Target="#PQPEXMME!A1"/><Relationship Id="rId9"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hyperlink" Target="#PINDICADOR!A1"/></Relationships>
</file>

<file path=xl/drawings/_rels/drawing2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1.jpeg"/><Relationship Id="rId3" Type="http://schemas.openxmlformats.org/officeDocument/2006/relationships/hyperlink" Target="#PCOICO!A1"/><Relationship Id="rId7" Type="http://schemas.openxmlformats.org/officeDocument/2006/relationships/hyperlink" Target="#PCOVD!A1"/><Relationship Id="rId12" Type="http://schemas.openxmlformats.org/officeDocument/2006/relationships/hyperlink" Target="#'PGERAL (3)'!A1"/><Relationship Id="rId2" Type="http://schemas.openxmlformats.org/officeDocument/2006/relationships/image" Target="../media/image4.jpeg"/><Relationship Id="rId1" Type="http://schemas.openxmlformats.org/officeDocument/2006/relationships/hyperlink" Target="#PCO!A1"/><Relationship Id="rId6" Type="http://schemas.openxmlformats.org/officeDocument/2006/relationships/image" Target="../media/image6.png"/><Relationship Id="rId11" Type="http://schemas.openxmlformats.org/officeDocument/2006/relationships/image" Target="../media/image10.jpeg"/><Relationship Id="rId5" Type="http://schemas.openxmlformats.org/officeDocument/2006/relationships/hyperlink" Target="#PCOVCO!A1"/><Relationship Id="rId10" Type="http://schemas.openxmlformats.org/officeDocument/2006/relationships/image" Target="../media/image9.png"/><Relationship Id="rId4" Type="http://schemas.openxmlformats.org/officeDocument/2006/relationships/image" Target="../media/image5.jpeg"/><Relationship Id="rId9" Type="http://schemas.openxmlformats.org/officeDocument/2006/relationships/image" Target="../media/image8.jpeg"/></Relationships>
</file>

<file path=xl/drawings/_rels/drawing22.xml.rels><?xml version="1.0" encoding="UTF-8" standalone="yes"?>
<Relationships xmlns="http://schemas.openxmlformats.org/package/2006/relationships"><Relationship Id="rId3" Type="http://schemas.openxmlformats.org/officeDocument/2006/relationships/hyperlink" Target="#PCO!A1"/><Relationship Id="rId2" Type="http://schemas.openxmlformats.org/officeDocument/2006/relationships/image" Target="../media/image10.jpeg"/><Relationship Id="rId1" Type="http://schemas.openxmlformats.org/officeDocument/2006/relationships/hyperlink" Target="#PCOICO!A1"/><Relationship Id="rId4" Type="http://schemas.openxmlformats.org/officeDocument/2006/relationships/image" Target="../media/image11.jpeg"/></Relationships>
</file>

<file path=xl/drawings/_rels/drawing23.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6.png"/><Relationship Id="rId18" Type="http://schemas.openxmlformats.org/officeDocument/2006/relationships/hyperlink" Target="#VDCATEGORIAFUNCIONAL!A1"/><Relationship Id="rId3" Type="http://schemas.microsoft.com/office/2007/relationships/hdphoto" Target="../media/hdphoto1.wdp"/><Relationship Id="rId21" Type="http://schemas.openxmlformats.org/officeDocument/2006/relationships/hyperlink" Target="#VDIDADE!A1"/><Relationship Id="rId7" Type="http://schemas.openxmlformats.org/officeDocument/2006/relationships/hyperlink" Target="#PCOVCO!A1"/><Relationship Id="rId12" Type="http://schemas.microsoft.com/office/2007/relationships/hdphoto" Target="../media/hdphoto4.wdp"/><Relationship Id="rId17" Type="http://schemas.openxmlformats.org/officeDocument/2006/relationships/image" Target="../media/image11.jpeg"/><Relationship Id="rId25" Type="http://schemas.openxmlformats.org/officeDocument/2006/relationships/hyperlink" Target="#VDDESLIGAMENTO!A1"/><Relationship Id="rId2" Type="http://schemas.openxmlformats.org/officeDocument/2006/relationships/image" Target="../media/image12.png"/><Relationship Id="rId16" Type="http://schemas.openxmlformats.org/officeDocument/2006/relationships/hyperlink" Target="#PCO!A1"/><Relationship Id="rId20" Type="http://schemas.openxmlformats.org/officeDocument/2006/relationships/hyperlink" Target="#VDGENERO!A1"/><Relationship Id="rId1" Type="http://schemas.openxmlformats.org/officeDocument/2006/relationships/hyperlink" Target="#PCOVD!A1"/><Relationship Id="rId6" Type="http://schemas.microsoft.com/office/2007/relationships/hdphoto" Target="../media/hdphoto2.wdp"/><Relationship Id="rId11" Type="http://schemas.openxmlformats.org/officeDocument/2006/relationships/image" Target="../media/image15.png"/><Relationship Id="rId24" Type="http://schemas.openxmlformats.org/officeDocument/2006/relationships/hyperlink" Target="#VDLOTA&#199;&#195;O!A1"/><Relationship Id="rId5" Type="http://schemas.openxmlformats.org/officeDocument/2006/relationships/image" Target="../media/image13.png"/><Relationship Id="rId15" Type="http://schemas.openxmlformats.org/officeDocument/2006/relationships/image" Target="../media/image10.jpeg"/><Relationship Id="rId23" Type="http://schemas.openxmlformats.org/officeDocument/2006/relationships/hyperlink" Target="#VDNIVELCARGO!A1"/><Relationship Id="rId10" Type="http://schemas.openxmlformats.org/officeDocument/2006/relationships/image" Target="../media/image7.png"/><Relationship Id="rId19" Type="http://schemas.openxmlformats.org/officeDocument/2006/relationships/hyperlink" Target="#VDTEMPOSERVI&#199;O!A1"/><Relationship Id="rId4" Type="http://schemas.openxmlformats.org/officeDocument/2006/relationships/hyperlink" Target="#PCOICO!A1"/><Relationship Id="rId9" Type="http://schemas.microsoft.com/office/2007/relationships/hdphoto" Target="../media/hdphoto3.wdp"/><Relationship Id="rId14" Type="http://schemas.microsoft.com/office/2007/relationships/hdphoto" Target="../media/hdphoto5.wdp"/><Relationship Id="rId22" Type="http://schemas.openxmlformats.org/officeDocument/2006/relationships/hyperlink" Target="#VDESCOLARIDADE!A1"/></Relationships>
</file>

<file path=xl/drawings/_rels/drawing24.xml.rels><?xml version="1.0" encoding="UTF-8" standalone="yes"?>
<Relationships xmlns="http://schemas.openxmlformats.org/package/2006/relationships"><Relationship Id="rId8" Type="http://schemas.openxmlformats.org/officeDocument/2006/relationships/hyperlink" Target="#PCOVD!A1"/><Relationship Id="rId13" Type="http://schemas.openxmlformats.org/officeDocument/2006/relationships/image" Target="../media/image16.png"/><Relationship Id="rId18" Type="http://schemas.openxmlformats.org/officeDocument/2006/relationships/hyperlink" Target="#VCOMOTIVA&#199;&#195;O!A1"/><Relationship Id="rId26" Type="http://schemas.openxmlformats.org/officeDocument/2006/relationships/hyperlink" Target="#VCOPLANEJAMENTOESTRATEGICO!A1"/><Relationship Id="rId3" Type="http://schemas.microsoft.com/office/2007/relationships/hdphoto" Target="../media/hdphoto1.wdp"/><Relationship Id="rId21" Type="http://schemas.openxmlformats.org/officeDocument/2006/relationships/hyperlink" Target="#VCOSALARIO!A1"/><Relationship Id="rId7" Type="http://schemas.openxmlformats.org/officeDocument/2006/relationships/image" Target="../media/image17.png"/><Relationship Id="rId12" Type="http://schemas.microsoft.com/office/2007/relationships/hdphoto" Target="../media/hdphoto4.wdp"/><Relationship Id="rId17" Type="http://schemas.openxmlformats.org/officeDocument/2006/relationships/image" Target="../media/image11.jpeg"/><Relationship Id="rId25" Type="http://schemas.openxmlformats.org/officeDocument/2006/relationships/hyperlink" Target="#VCOESTRUTURAFISICA!A1"/><Relationship Id="rId2" Type="http://schemas.openxmlformats.org/officeDocument/2006/relationships/image" Target="../media/image12.png"/><Relationship Id="rId16" Type="http://schemas.openxmlformats.org/officeDocument/2006/relationships/hyperlink" Target="#PCO!A1"/><Relationship Id="rId20" Type="http://schemas.openxmlformats.org/officeDocument/2006/relationships/hyperlink" Target="#VCOEQUIPE!A1"/><Relationship Id="rId1" Type="http://schemas.openxmlformats.org/officeDocument/2006/relationships/hyperlink" Target="#PCOVCO!A1"/><Relationship Id="rId6" Type="http://schemas.microsoft.com/office/2007/relationships/hdphoto" Target="../media/hdphoto2.wdp"/><Relationship Id="rId11" Type="http://schemas.openxmlformats.org/officeDocument/2006/relationships/image" Target="../media/image15.png"/><Relationship Id="rId24" Type="http://schemas.openxmlformats.org/officeDocument/2006/relationships/hyperlink" Target="#VCOSOCIOAMBIENTAL!A1"/><Relationship Id="rId5" Type="http://schemas.openxmlformats.org/officeDocument/2006/relationships/image" Target="../media/image13.png"/><Relationship Id="rId15" Type="http://schemas.openxmlformats.org/officeDocument/2006/relationships/image" Target="../media/image10.jpeg"/><Relationship Id="rId23" Type="http://schemas.openxmlformats.org/officeDocument/2006/relationships/hyperlink" Target="#VCOQUALIDADEVIDA!A1"/><Relationship Id="rId28" Type="http://schemas.openxmlformats.org/officeDocument/2006/relationships/hyperlink" Target="#VCOCOMINICA&#199;&#195;O!A1"/><Relationship Id="rId10" Type="http://schemas.microsoft.com/office/2007/relationships/hdphoto" Target="../media/hdphoto6.wdp"/><Relationship Id="rId19" Type="http://schemas.openxmlformats.org/officeDocument/2006/relationships/hyperlink" Target="#VCOLIDERAN&#199;A!A1"/><Relationship Id="rId4" Type="http://schemas.openxmlformats.org/officeDocument/2006/relationships/hyperlink" Target="#PCOICO!A1"/><Relationship Id="rId9" Type="http://schemas.openxmlformats.org/officeDocument/2006/relationships/image" Target="../media/image18.png"/><Relationship Id="rId14" Type="http://schemas.microsoft.com/office/2007/relationships/hdphoto" Target="../media/hdphoto5.wdp"/><Relationship Id="rId22" Type="http://schemas.openxmlformats.org/officeDocument/2006/relationships/hyperlink" Target="#VCORELACIONAMENTO!A1"/><Relationship Id="rId27" Type="http://schemas.openxmlformats.org/officeDocument/2006/relationships/hyperlink" Target="#VCOPANDEMIA!A1"/></Relationships>
</file>

<file path=xl/drawings/_rels/drawing25.xml.rels><?xml version="1.0" encoding="UTF-8" standalone="yes"?>
<Relationships xmlns="http://schemas.openxmlformats.org/package/2006/relationships"><Relationship Id="rId3" Type="http://schemas.openxmlformats.org/officeDocument/2006/relationships/chart" Target="../charts/chart104.xml"/><Relationship Id="rId2" Type="http://schemas.openxmlformats.org/officeDocument/2006/relationships/image" Target="../media/image11.jpeg"/><Relationship Id="rId1" Type="http://schemas.openxmlformats.org/officeDocument/2006/relationships/hyperlink" Target="#PCOVD!A1"/><Relationship Id="rId6" Type="http://schemas.openxmlformats.org/officeDocument/2006/relationships/image" Target="../media/image10.jpeg"/><Relationship Id="rId5" Type="http://schemas.openxmlformats.org/officeDocument/2006/relationships/hyperlink" Target="#VDCATEGORIAFUNCIONAL!A1"/><Relationship Id="rId4" Type="http://schemas.openxmlformats.org/officeDocument/2006/relationships/chart" Target="../charts/chart105.xml"/></Relationships>
</file>

<file path=xl/drawings/_rels/drawing26.xml.rels><?xml version="1.0" encoding="UTF-8" standalone="yes"?>
<Relationships xmlns="http://schemas.openxmlformats.org/package/2006/relationships"><Relationship Id="rId3" Type="http://schemas.openxmlformats.org/officeDocument/2006/relationships/hyperlink" Target="#PCOVD!A1"/><Relationship Id="rId2" Type="http://schemas.openxmlformats.org/officeDocument/2006/relationships/chart" Target="../charts/chart107.xml"/><Relationship Id="rId1" Type="http://schemas.openxmlformats.org/officeDocument/2006/relationships/chart" Target="../charts/chart106.xml"/><Relationship Id="rId6" Type="http://schemas.openxmlformats.org/officeDocument/2006/relationships/image" Target="../media/image10.jpeg"/><Relationship Id="rId5" Type="http://schemas.openxmlformats.org/officeDocument/2006/relationships/hyperlink" Target="#VDTEMPOSERVI&#199;O!A1"/><Relationship Id="rId4" Type="http://schemas.openxmlformats.org/officeDocument/2006/relationships/image" Target="../media/image11.jpeg"/></Relationships>
</file>

<file path=xl/drawings/_rels/drawing27.xml.rels><?xml version="1.0" encoding="UTF-8" standalone="yes"?>
<Relationships xmlns="http://schemas.openxmlformats.org/package/2006/relationships"><Relationship Id="rId3" Type="http://schemas.openxmlformats.org/officeDocument/2006/relationships/hyperlink" Target="#PCOVD!A1"/><Relationship Id="rId2" Type="http://schemas.openxmlformats.org/officeDocument/2006/relationships/chart" Target="../charts/chart109.xml"/><Relationship Id="rId1" Type="http://schemas.openxmlformats.org/officeDocument/2006/relationships/chart" Target="../charts/chart108.xml"/><Relationship Id="rId6" Type="http://schemas.openxmlformats.org/officeDocument/2006/relationships/image" Target="../media/image10.jpeg"/><Relationship Id="rId5" Type="http://schemas.openxmlformats.org/officeDocument/2006/relationships/hyperlink" Target="#VDGENERO!A1"/><Relationship Id="rId4" Type="http://schemas.openxmlformats.org/officeDocument/2006/relationships/image" Target="../media/image11.jpeg"/></Relationships>
</file>

<file path=xl/drawings/_rels/drawing28.xml.rels><?xml version="1.0" encoding="UTF-8" standalone="yes"?>
<Relationships xmlns="http://schemas.openxmlformats.org/package/2006/relationships"><Relationship Id="rId3" Type="http://schemas.openxmlformats.org/officeDocument/2006/relationships/hyperlink" Target="#VDIDADE!A1"/><Relationship Id="rId2" Type="http://schemas.openxmlformats.org/officeDocument/2006/relationships/image" Target="../media/image11.jpeg"/><Relationship Id="rId1" Type="http://schemas.openxmlformats.org/officeDocument/2006/relationships/hyperlink" Target="#PCOVD!A1"/><Relationship Id="rId6" Type="http://schemas.openxmlformats.org/officeDocument/2006/relationships/chart" Target="../charts/chart111.xml"/><Relationship Id="rId5" Type="http://schemas.openxmlformats.org/officeDocument/2006/relationships/chart" Target="../charts/chart110.xml"/><Relationship Id="rId4" Type="http://schemas.openxmlformats.org/officeDocument/2006/relationships/image" Target="../media/image10.jpeg"/></Relationships>
</file>

<file path=xl/drawings/_rels/drawing29.xml.rels><?xml version="1.0" encoding="UTF-8" standalone="yes"?>
<Relationships xmlns="http://schemas.openxmlformats.org/package/2006/relationships"><Relationship Id="rId3" Type="http://schemas.openxmlformats.org/officeDocument/2006/relationships/hyperlink" Target="#PCOVD!A1"/><Relationship Id="rId2" Type="http://schemas.openxmlformats.org/officeDocument/2006/relationships/chart" Target="../charts/chart113.xml"/><Relationship Id="rId1" Type="http://schemas.openxmlformats.org/officeDocument/2006/relationships/chart" Target="../charts/chart112.xml"/><Relationship Id="rId6" Type="http://schemas.openxmlformats.org/officeDocument/2006/relationships/image" Target="../media/image10.jpeg"/><Relationship Id="rId5" Type="http://schemas.openxmlformats.org/officeDocument/2006/relationships/hyperlink" Target="#VDESCOLARIDADE!A1"/><Relationship Id="rId4"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PGERAL (3)'!A1"/><Relationship Id="rId3" Type="http://schemas.openxmlformats.org/officeDocument/2006/relationships/hyperlink" Target="#PINDICADOR!A1"/><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PQPSERVIDORES!A1"/><Relationship Id="rId2" Type="http://schemas.openxmlformats.org/officeDocument/2006/relationships/hyperlink" Target="#PEVOLU&#199;&#195;O!A1"/><Relationship Id="rId16" Type="http://schemas.openxmlformats.org/officeDocument/2006/relationships/hyperlink" Target="#PQESTAGIO!A1"/><Relationship Id="rId20" Type="http://schemas.openxmlformats.org/officeDocument/2006/relationships/hyperlink" Target="#DETALHEIDADE!A1"/><Relationship Id="rId1" Type="http://schemas.openxmlformats.org/officeDocument/2006/relationships/hyperlink" Target="#PCOMISS&#195;O!A1"/><Relationship Id="rId6" Type="http://schemas.openxmlformats.org/officeDocument/2006/relationships/hyperlink" Target="#PQDEXMMEGRAF!A1"/><Relationship Id="rId11" Type="http://schemas.openxmlformats.org/officeDocument/2006/relationships/chart" Target="../charts/chart9.xml"/><Relationship Id="rId5" Type="http://schemas.openxmlformats.org/officeDocument/2006/relationships/hyperlink" Target="#PQPEXMMEDET!A1"/><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1.jpeg"/><Relationship Id="rId4" Type="http://schemas.openxmlformats.org/officeDocument/2006/relationships/hyperlink" Target="#PQPEXMME!A1"/><Relationship Id="rId9" Type="http://schemas.openxmlformats.org/officeDocument/2006/relationships/chart" Target="../charts/chart7.xml"/><Relationship Id="rId14" Type="http://schemas.openxmlformats.org/officeDocument/2006/relationships/chart" Target="../charts/chart12.xml"/></Relationships>
</file>

<file path=xl/drawings/_rels/drawing30.xml.rels><?xml version="1.0" encoding="UTF-8" standalone="yes"?>
<Relationships xmlns="http://schemas.openxmlformats.org/package/2006/relationships"><Relationship Id="rId3" Type="http://schemas.openxmlformats.org/officeDocument/2006/relationships/hyperlink" Target="#PCOVD!A1"/><Relationship Id="rId2" Type="http://schemas.openxmlformats.org/officeDocument/2006/relationships/chart" Target="../charts/chart115.xml"/><Relationship Id="rId1" Type="http://schemas.openxmlformats.org/officeDocument/2006/relationships/chart" Target="../charts/chart114.xml"/><Relationship Id="rId6" Type="http://schemas.openxmlformats.org/officeDocument/2006/relationships/image" Target="../media/image10.jpeg"/><Relationship Id="rId5" Type="http://schemas.openxmlformats.org/officeDocument/2006/relationships/hyperlink" Target="#VDNIVELCARGO!A1"/><Relationship Id="rId4" Type="http://schemas.openxmlformats.org/officeDocument/2006/relationships/image" Target="../media/image11.jpeg"/></Relationships>
</file>

<file path=xl/drawings/_rels/drawing31.xml.rels><?xml version="1.0" encoding="UTF-8" standalone="yes"?>
<Relationships xmlns="http://schemas.openxmlformats.org/package/2006/relationships"><Relationship Id="rId3" Type="http://schemas.openxmlformats.org/officeDocument/2006/relationships/hyperlink" Target="#PCOVD!A1"/><Relationship Id="rId2" Type="http://schemas.openxmlformats.org/officeDocument/2006/relationships/chart" Target="../charts/chart117.xml"/><Relationship Id="rId1" Type="http://schemas.openxmlformats.org/officeDocument/2006/relationships/chart" Target="../charts/chart116.xml"/><Relationship Id="rId6" Type="http://schemas.openxmlformats.org/officeDocument/2006/relationships/image" Target="../media/image10.jpeg"/><Relationship Id="rId5" Type="http://schemas.openxmlformats.org/officeDocument/2006/relationships/hyperlink" Target="#VDLOTA&#199;&#195;O!A1"/><Relationship Id="rId4" Type="http://schemas.openxmlformats.org/officeDocument/2006/relationships/image" Target="../media/image11.jpeg"/></Relationships>
</file>

<file path=xl/drawings/_rels/drawing32.xml.rels><?xml version="1.0" encoding="UTF-8" standalone="yes"?>
<Relationships xmlns="http://schemas.openxmlformats.org/package/2006/relationships"><Relationship Id="rId8" Type="http://schemas.openxmlformats.org/officeDocument/2006/relationships/chart" Target="../charts/chart121.xml"/><Relationship Id="rId3" Type="http://schemas.openxmlformats.org/officeDocument/2006/relationships/hyperlink" Target="#VDDESLIGAMENTO!A1"/><Relationship Id="rId7" Type="http://schemas.openxmlformats.org/officeDocument/2006/relationships/chart" Target="../charts/chart120.xml"/><Relationship Id="rId2" Type="http://schemas.openxmlformats.org/officeDocument/2006/relationships/image" Target="../media/image11.jpeg"/><Relationship Id="rId1" Type="http://schemas.openxmlformats.org/officeDocument/2006/relationships/hyperlink" Target="#PCOVD!A1"/><Relationship Id="rId6" Type="http://schemas.openxmlformats.org/officeDocument/2006/relationships/chart" Target="../charts/chart119.xml"/><Relationship Id="rId5" Type="http://schemas.openxmlformats.org/officeDocument/2006/relationships/chart" Target="../charts/chart118.xml"/><Relationship Id="rId10" Type="http://schemas.openxmlformats.org/officeDocument/2006/relationships/chart" Target="../charts/chart123.xml"/><Relationship Id="rId4" Type="http://schemas.openxmlformats.org/officeDocument/2006/relationships/image" Target="../media/image10.jpeg"/><Relationship Id="rId9" Type="http://schemas.openxmlformats.org/officeDocument/2006/relationships/chart" Target="../charts/chart122.xml"/></Relationships>
</file>

<file path=xl/drawings/_rels/drawing33.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chart" Target="../charts/chart126.xml"/><Relationship Id="rId7" Type="http://schemas.openxmlformats.org/officeDocument/2006/relationships/hyperlink" Target="#PCOVCO!A1"/><Relationship Id="rId2" Type="http://schemas.openxmlformats.org/officeDocument/2006/relationships/chart" Target="../charts/chart125.xml"/><Relationship Id="rId1" Type="http://schemas.openxmlformats.org/officeDocument/2006/relationships/chart" Target="../charts/chart124.xml"/><Relationship Id="rId6" Type="http://schemas.openxmlformats.org/officeDocument/2006/relationships/image" Target="../media/image10.jpeg"/><Relationship Id="rId5" Type="http://schemas.openxmlformats.org/officeDocument/2006/relationships/hyperlink" Target="#VCOPLANEJAMENTOESTRATEGICO!A1"/><Relationship Id="rId4" Type="http://schemas.openxmlformats.org/officeDocument/2006/relationships/chart" Target="../charts/chart127.xml"/></Relationships>
</file>

<file path=xl/drawings/_rels/drawing34.xml.rels><?xml version="1.0" encoding="UTF-8" standalone="yes"?>
<Relationships xmlns="http://schemas.openxmlformats.org/package/2006/relationships"><Relationship Id="rId8" Type="http://schemas.openxmlformats.org/officeDocument/2006/relationships/chart" Target="../charts/chart135.xml"/><Relationship Id="rId3" Type="http://schemas.openxmlformats.org/officeDocument/2006/relationships/chart" Target="../charts/chart130.xml"/><Relationship Id="rId7" Type="http://schemas.openxmlformats.org/officeDocument/2006/relationships/chart" Target="../charts/chart134.xml"/><Relationship Id="rId12" Type="http://schemas.openxmlformats.org/officeDocument/2006/relationships/image" Target="../media/image11.jpeg"/><Relationship Id="rId2" Type="http://schemas.openxmlformats.org/officeDocument/2006/relationships/chart" Target="../charts/chart129.xml"/><Relationship Id="rId1" Type="http://schemas.openxmlformats.org/officeDocument/2006/relationships/chart" Target="../charts/chart128.xml"/><Relationship Id="rId6" Type="http://schemas.openxmlformats.org/officeDocument/2006/relationships/chart" Target="../charts/chart133.xml"/><Relationship Id="rId11" Type="http://schemas.openxmlformats.org/officeDocument/2006/relationships/hyperlink" Target="#PCOVCO!A1"/><Relationship Id="rId5" Type="http://schemas.openxmlformats.org/officeDocument/2006/relationships/chart" Target="../charts/chart132.xml"/><Relationship Id="rId10" Type="http://schemas.openxmlformats.org/officeDocument/2006/relationships/image" Target="../media/image10.jpeg"/><Relationship Id="rId4" Type="http://schemas.openxmlformats.org/officeDocument/2006/relationships/chart" Target="../charts/chart131.xml"/><Relationship Id="rId9" Type="http://schemas.openxmlformats.org/officeDocument/2006/relationships/hyperlink" Target="#VCOMOTIVA&#199;&#195;O!A1"/></Relationships>
</file>

<file path=xl/drawings/_rels/drawing35.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chart" Target="../charts/chart138.xml"/><Relationship Id="rId7" Type="http://schemas.openxmlformats.org/officeDocument/2006/relationships/hyperlink" Target="#PCOVCO!A1"/><Relationship Id="rId2" Type="http://schemas.openxmlformats.org/officeDocument/2006/relationships/chart" Target="../charts/chart137.xml"/><Relationship Id="rId1" Type="http://schemas.openxmlformats.org/officeDocument/2006/relationships/chart" Target="../charts/chart136.xml"/><Relationship Id="rId6" Type="http://schemas.openxmlformats.org/officeDocument/2006/relationships/image" Target="../media/image10.jpeg"/><Relationship Id="rId5" Type="http://schemas.openxmlformats.org/officeDocument/2006/relationships/hyperlink" Target="#VCOLIDERAN&#199;A!A1"/><Relationship Id="rId4" Type="http://schemas.openxmlformats.org/officeDocument/2006/relationships/chart" Target="../charts/chart139.xml"/></Relationships>
</file>

<file path=xl/drawings/_rels/drawing36.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chart" Target="../charts/chart142.xml"/><Relationship Id="rId7" Type="http://schemas.openxmlformats.org/officeDocument/2006/relationships/hyperlink" Target="#PCOVCO!A1"/><Relationship Id="rId2" Type="http://schemas.openxmlformats.org/officeDocument/2006/relationships/chart" Target="../charts/chart141.xml"/><Relationship Id="rId1" Type="http://schemas.openxmlformats.org/officeDocument/2006/relationships/chart" Target="../charts/chart140.xml"/><Relationship Id="rId6" Type="http://schemas.openxmlformats.org/officeDocument/2006/relationships/image" Target="../media/image10.jpeg"/><Relationship Id="rId5" Type="http://schemas.openxmlformats.org/officeDocument/2006/relationships/hyperlink" Target="#VCOEQUIPE!A1"/><Relationship Id="rId4" Type="http://schemas.openxmlformats.org/officeDocument/2006/relationships/chart" Target="../charts/chart143.xml"/></Relationships>
</file>

<file path=xl/drawings/_rels/drawing37.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chart" Target="../charts/chart146.xml"/><Relationship Id="rId7" Type="http://schemas.openxmlformats.org/officeDocument/2006/relationships/hyperlink" Target="#PCOVCO!A1"/><Relationship Id="rId2" Type="http://schemas.openxmlformats.org/officeDocument/2006/relationships/chart" Target="../charts/chart145.xml"/><Relationship Id="rId1" Type="http://schemas.openxmlformats.org/officeDocument/2006/relationships/chart" Target="../charts/chart144.xml"/><Relationship Id="rId6" Type="http://schemas.openxmlformats.org/officeDocument/2006/relationships/image" Target="../media/image10.jpeg"/><Relationship Id="rId5" Type="http://schemas.openxmlformats.org/officeDocument/2006/relationships/hyperlink" Target="#VCOSALARIO!A1"/><Relationship Id="rId4" Type="http://schemas.openxmlformats.org/officeDocument/2006/relationships/chart" Target="../charts/chart147.xml"/></Relationships>
</file>

<file path=xl/drawings/_rels/drawing38.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chart" Target="../charts/chart150.xml"/><Relationship Id="rId7" Type="http://schemas.openxmlformats.org/officeDocument/2006/relationships/hyperlink" Target="#PCOVCO!A1"/><Relationship Id="rId2" Type="http://schemas.openxmlformats.org/officeDocument/2006/relationships/chart" Target="../charts/chart149.xml"/><Relationship Id="rId1" Type="http://schemas.openxmlformats.org/officeDocument/2006/relationships/chart" Target="../charts/chart148.xml"/><Relationship Id="rId6" Type="http://schemas.openxmlformats.org/officeDocument/2006/relationships/image" Target="../media/image10.jpeg"/><Relationship Id="rId5" Type="http://schemas.openxmlformats.org/officeDocument/2006/relationships/hyperlink" Target="#VCORELACIONAMENTO!A1"/><Relationship Id="rId4" Type="http://schemas.openxmlformats.org/officeDocument/2006/relationships/chart" Target="../charts/chart151.xml"/></Relationships>
</file>

<file path=xl/drawings/_rels/drawing39.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chart" Target="../charts/chart154.xml"/><Relationship Id="rId7" Type="http://schemas.openxmlformats.org/officeDocument/2006/relationships/hyperlink" Target="#VCOQUALIDADEVIDA!A1"/><Relationship Id="rId2" Type="http://schemas.openxmlformats.org/officeDocument/2006/relationships/chart" Target="../charts/chart153.xml"/><Relationship Id="rId1" Type="http://schemas.openxmlformats.org/officeDocument/2006/relationships/chart" Target="../charts/chart152.xml"/><Relationship Id="rId6" Type="http://schemas.openxmlformats.org/officeDocument/2006/relationships/chart" Target="../charts/chart157.xml"/><Relationship Id="rId5" Type="http://schemas.openxmlformats.org/officeDocument/2006/relationships/chart" Target="../charts/chart156.xml"/><Relationship Id="rId10" Type="http://schemas.openxmlformats.org/officeDocument/2006/relationships/image" Target="../media/image11.jpeg"/><Relationship Id="rId4" Type="http://schemas.openxmlformats.org/officeDocument/2006/relationships/chart" Target="../charts/chart155.xml"/><Relationship Id="rId9" Type="http://schemas.openxmlformats.org/officeDocument/2006/relationships/hyperlink" Target="#PCOVCO!A1"/></Relationships>
</file>

<file path=xl/drawings/_rels/drawing40.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chart" Target="../charts/chart160.xml"/><Relationship Id="rId7" Type="http://schemas.openxmlformats.org/officeDocument/2006/relationships/hyperlink" Target="#VCOSOCIOAMBIENTAL!A1"/><Relationship Id="rId2" Type="http://schemas.openxmlformats.org/officeDocument/2006/relationships/chart" Target="../charts/chart159.xml"/><Relationship Id="rId1" Type="http://schemas.openxmlformats.org/officeDocument/2006/relationships/chart" Target="../charts/chart158.xml"/><Relationship Id="rId6" Type="http://schemas.openxmlformats.org/officeDocument/2006/relationships/chart" Target="../charts/chart163.xml"/><Relationship Id="rId5" Type="http://schemas.openxmlformats.org/officeDocument/2006/relationships/chart" Target="../charts/chart162.xml"/><Relationship Id="rId10" Type="http://schemas.openxmlformats.org/officeDocument/2006/relationships/image" Target="../media/image11.jpeg"/><Relationship Id="rId4" Type="http://schemas.openxmlformats.org/officeDocument/2006/relationships/chart" Target="../charts/chart161.xml"/><Relationship Id="rId9" Type="http://schemas.openxmlformats.org/officeDocument/2006/relationships/hyperlink" Target="#PCOVCO!A1"/></Relationships>
</file>

<file path=xl/drawings/_rels/drawing41.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chart" Target="../charts/chart166.xml"/><Relationship Id="rId7" Type="http://schemas.openxmlformats.org/officeDocument/2006/relationships/hyperlink" Target="#VCOCOMINICA&#199;&#195;O!A1"/><Relationship Id="rId2" Type="http://schemas.openxmlformats.org/officeDocument/2006/relationships/chart" Target="../charts/chart165.xml"/><Relationship Id="rId1" Type="http://schemas.openxmlformats.org/officeDocument/2006/relationships/chart" Target="../charts/chart164.xml"/><Relationship Id="rId6" Type="http://schemas.openxmlformats.org/officeDocument/2006/relationships/chart" Target="../charts/chart169.xml"/><Relationship Id="rId5" Type="http://schemas.openxmlformats.org/officeDocument/2006/relationships/chart" Target="../charts/chart168.xml"/><Relationship Id="rId10" Type="http://schemas.openxmlformats.org/officeDocument/2006/relationships/image" Target="../media/image11.jpeg"/><Relationship Id="rId4" Type="http://schemas.openxmlformats.org/officeDocument/2006/relationships/chart" Target="../charts/chart167.xml"/><Relationship Id="rId9" Type="http://schemas.openxmlformats.org/officeDocument/2006/relationships/hyperlink" Target="#PCOVCO!A1"/></Relationships>
</file>

<file path=xl/drawings/_rels/drawing42.xml.rels><?xml version="1.0" encoding="UTF-8" standalone="yes"?>
<Relationships xmlns="http://schemas.openxmlformats.org/package/2006/relationships"><Relationship Id="rId8" Type="http://schemas.openxmlformats.org/officeDocument/2006/relationships/chart" Target="../charts/chart173.xml"/><Relationship Id="rId13" Type="http://schemas.openxmlformats.org/officeDocument/2006/relationships/chart" Target="../charts/chart178.xml"/><Relationship Id="rId18" Type="http://schemas.openxmlformats.org/officeDocument/2006/relationships/chart" Target="../charts/chart183.xml"/><Relationship Id="rId3" Type="http://schemas.openxmlformats.org/officeDocument/2006/relationships/hyperlink" Target="#PCOVCO!A1"/><Relationship Id="rId21" Type="http://schemas.openxmlformats.org/officeDocument/2006/relationships/chart" Target="../charts/chart186.xml"/><Relationship Id="rId7" Type="http://schemas.openxmlformats.org/officeDocument/2006/relationships/chart" Target="../charts/chart172.xml"/><Relationship Id="rId12" Type="http://schemas.openxmlformats.org/officeDocument/2006/relationships/chart" Target="../charts/chart177.xml"/><Relationship Id="rId17" Type="http://schemas.openxmlformats.org/officeDocument/2006/relationships/chart" Target="../charts/chart182.xml"/><Relationship Id="rId2" Type="http://schemas.openxmlformats.org/officeDocument/2006/relationships/image" Target="../media/image10.jpeg"/><Relationship Id="rId16" Type="http://schemas.openxmlformats.org/officeDocument/2006/relationships/chart" Target="../charts/chart181.xml"/><Relationship Id="rId20" Type="http://schemas.openxmlformats.org/officeDocument/2006/relationships/chart" Target="../charts/chart185.xml"/><Relationship Id="rId1" Type="http://schemas.openxmlformats.org/officeDocument/2006/relationships/hyperlink" Target="#VCOESTRUTURAFISICA!A1"/><Relationship Id="rId6" Type="http://schemas.openxmlformats.org/officeDocument/2006/relationships/chart" Target="../charts/chart171.xml"/><Relationship Id="rId11" Type="http://schemas.openxmlformats.org/officeDocument/2006/relationships/chart" Target="../charts/chart176.xml"/><Relationship Id="rId24" Type="http://schemas.openxmlformats.org/officeDocument/2006/relationships/chart" Target="../charts/chart189.xml"/><Relationship Id="rId5" Type="http://schemas.openxmlformats.org/officeDocument/2006/relationships/chart" Target="../charts/chart170.xml"/><Relationship Id="rId15" Type="http://schemas.openxmlformats.org/officeDocument/2006/relationships/chart" Target="../charts/chart180.xml"/><Relationship Id="rId23" Type="http://schemas.openxmlformats.org/officeDocument/2006/relationships/chart" Target="../charts/chart188.xml"/><Relationship Id="rId10" Type="http://schemas.openxmlformats.org/officeDocument/2006/relationships/chart" Target="../charts/chart175.xml"/><Relationship Id="rId19" Type="http://schemas.openxmlformats.org/officeDocument/2006/relationships/chart" Target="../charts/chart184.xml"/><Relationship Id="rId4" Type="http://schemas.openxmlformats.org/officeDocument/2006/relationships/image" Target="../media/image11.jpeg"/><Relationship Id="rId9" Type="http://schemas.openxmlformats.org/officeDocument/2006/relationships/chart" Target="../charts/chart174.xml"/><Relationship Id="rId14" Type="http://schemas.openxmlformats.org/officeDocument/2006/relationships/chart" Target="../charts/chart179.xml"/><Relationship Id="rId22" Type="http://schemas.openxmlformats.org/officeDocument/2006/relationships/chart" Target="../charts/chart187.xml"/></Relationships>
</file>

<file path=xl/drawings/_rels/drawing43.xml.rels><?xml version="1.0" encoding="UTF-8" standalone="yes"?>
<Relationships xmlns="http://schemas.openxmlformats.org/package/2006/relationships"><Relationship Id="rId8" Type="http://schemas.openxmlformats.org/officeDocument/2006/relationships/chart" Target="../charts/chart193.xml"/><Relationship Id="rId3" Type="http://schemas.openxmlformats.org/officeDocument/2006/relationships/hyperlink" Target="#PCOVCO!A1"/><Relationship Id="rId7" Type="http://schemas.openxmlformats.org/officeDocument/2006/relationships/chart" Target="../charts/chart192.xml"/><Relationship Id="rId2" Type="http://schemas.openxmlformats.org/officeDocument/2006/relationships/image" Target="../media/image10.jpeg"/><Relationship Id="rId1" Type="http://schemas.openxmlformats.org/officeDocument/2006/relationships/hyperlink" Target="#VCOPANDEMIA!A1"/><Relationship Id="rId6" Type="http://schemas.openxmlformats.org/officeDocument/2006/relationships/chart" Target="../charts/chart191.xml"/><Relationship Id="rId5" Type="http://schemas.openxmlformats.org/officeDocument/2006/relationships/chart" Target="../charts/chart190.xml"/><Relationship Id="rId4" Type="http://schemas.openxmlformats.org/officeDocument/2006/relationships/image" Target="../media/image11.jpeg"/></Relationships>
</file>

<file path=xl/drawings/_rels/drawing5.xml.rels><?xml version="1.0" encoding="UTF-8" standalone="yes"?>
<Relationships xmlns="http://schemas.openxmlformats.org/package/2006/relationships"><Relationship Id="rId1" Type="http://schemas.openxmlformats.org/officeDocument/2006/relationships/hyperlink" Target="#PQPEXMME!A1"/></Relationships>
</file>

<file path=xl/drawings/_rels/drawing6.xml.rels><?xml version="1.0" encoding="UTF-8" standalone="yes"?>
<Relationships xmlns="http://schemas.openxmlformats.org/package/2006/relationships"><Relationship Id="rId8" Type="http://schemas.openxmlformats.org/officeDocument/2006/relationships/chart" Target="../charts/chart21.xml"/><Relationship Id="rId3" Type="http://schemas.openxmlformats.org/officeDocument/2006/relationships/chart" Target="../charts/chart16.xml"/><Relationship Id="rId7" Type="http://schemas.openxmlformats.org/officeDocument/2006/relationships/chart" Target="../charts/chart20.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PQPEXMME!A1"/></Relationships>
</file>

<file path=xl/drawings/_rels/drawing7.xml.rels><?xml version="1.0" encoding="UTF-8" standalone="yes"?>
<Relationships xmlns="http://schemas.openxmlformats.org/package/2006/relationships"><Relationship Id="rId1" Type="http://schemas.openxmlformats.org/officeDocument/2006/relationships/hyperlink" Target="#PQPEXMME!A1"/></Relationships>
</file>

<file path=xl/drawings/_rels/drawing8.xml.rels><?xml version="1.0" encoding="UTF-8" standalone="yes"?>
<Relationships xmlns="http://schemas.openxmlformats.org/package/2006/relationships"><Relationship Id="rId13" Type="http://schemas.openxmlformats.org/officeDocument/2006/relationships/chart" Target="../charts/chart34.xml"/><Relationship Id="rId18" Type="http://schemas.openxmlformats.org/officeDocument/2006/relationships/chart" Target="../charts/chart39.xml"/><Relationship Id="rId26" Type="http://schemas.openxmlformats.org/officeDocument/2006/relationships/chart" Target="../charts/chart47.xml"/><Relationship Id="rId39" Type="http://schemas.openxmlformats.org/officeDocument/2006/relationships/chart" Target="../charts/chart60.xml"/><Relationship Id="rId21" Type="http://schemas.openxmlformats.org/officeDocument/2006/relationships/chart" Target="../charts/chart42.xml"/><Relationship Id="rId34" Type="http://schemas.openxmlformats.org/officeDocument/2006/relationships/chart" Target="../charts/chart55.xml"/><Relationship Id="rId7" Type="http://schemas.openxmlformats.org/officeDocument/2006/relationships/chart" Target="../charts/chart28.xml"/><Relationship Id="rId2" Type="http://schemas.openxmlformats.org/officeDocument/2006/relationships/chart" Target="../charts/chart23.xml"/><Relationship Id="rId16" Type="http://schemas.openxmlformats.org/officeDocument/2006/relationships/chart" Target="../charts/chart37.xml"/><Relationship Id="rId20" Type="http://schemas.openxmlformats.org/officeDocument/2006/relationships/chart" Target="../charts/chart41.xml"/><Relationship Id="rId29" Type="http://schemas.openxmlformats.org/officeDocument/2006/relationships/chart" Target="../charts/chart50.xml"/><Relationship Id="rId41" Type="http://schemas.openxmlformats.org/officeDocument/2006/relationships/hyperlink" Target="#PQPEXMME!A1"/><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chart" Target="../charts/chart32.xml"/><Relationship Id="rId24" Type="http://schemas.openxmlformats.org/officeDocument/2006/relationships/chart" Target="../charts/chart45.xml"/><Relationship Id="rId32" Type="http://schemas.openxmlformats.org/officeDocument/2006/relationships/chart" Target="../charts/chart53.xml"/><Relationship Id="rId37" Type="http://schemas.openxmlformats.org/officeDocument/2006/relationships/chart" Target="../charts/chart58.xml"/><Relationship Id="rId40" Type="http://schemas.openxmlformats.org/officeDocument/2006/relationships/chart" Target="../charts/chart61.xml"/><Relationship Id="rId5" Type="http://schemas.openxmlformats.org/officeDocument/2006/relationships/chart" Target="../charts/chart26.xml"/><Relationship Id="rId15" Type="http://schemas.openxmlformats.org/officeDocument/2006/relationships/chart" Target="../charts/chart36.xml"/><Relationship Id="rId23" Type="http://schemas.openxmlformats.org/officeDocument/2006/relationships/chart" Target="../charts/chart44.xml"/><Relationship Id="rId28" Type="http://schemas.openxmlformats.org/officeDocument/2006/relationships/chart" Target="../charts/chart49.xml"/><Relationship Id="rId36" Type="http://schemas.openxmlformats.org/officeDocument/2006/relationships/chart" Target="../charts/chart57.xml"/><Relationship Id="rId10" Type="http://schemas.openxmlformats.org/officeDocument/2006/relationships/chart" Target="../charts/chart31.xml"/><Relationship Id="rId19" Type="http://schemas.openxmlformats.org/officeDocument/2006/relationships/chart" Target="../charts/chart40.xml"/><Relationship Id="rId31" Type="http://schemas.openxmlformats.org/officeDocument/2006/relationships/chart" Target="../charts/chart52.xml"/><Relationship Id="rId4" Type="http://schemas.openxmlformats.org/officeDocument/2006/relationships/chart" Target="../charts/chart25.xml"/><Relationship Id="rId9" Type="http://schemas.openxmlformats.org/officeDocument/2006/relationships/chart" Target="../charts/chart30.xml"/><Relationship Id="rId14" Type="http://schemas.openxmlformats.org/officeDocument/2006/relationships/chart" Target="../charts/chart35.xml"/><Relationship Id="rId22" Type="http://schemas.openxmlformats.org/officeDocument/2006/relationships/chart" Target="../charts/chart43.xml"/><Relationship Id="rId27" Type="http://schemas.openxmlformats.org/officeDocument/2006/relationships/chart" Target="../charts/chart48.xml"/><Relationship Id="rId30" Type="http://schemas.openxmlformats.org/officeDocument/2006/relationships/chart" Target="../charts/chart51.xml"/><Relationship Id="rId35" Type="http://schemas.openxmlformats.org/officeDocument/2006/relationships/chart" Target="../charts/chart56.xml"/><Relationship Id="rId8" Type="http://schemas.openxmlformats.org/officeDocument/2006/relationships/chart" Target="../charts/chart29.xml"/><Relationship Id="rId3" Type="http://schemas.openxmlformats.org/officeDocument/2006/relationships/chart" Target="../charts/chart24.xml"/><Relationship Id="rId12" Type="http://schemas.openxmlformats.org/officeDocument/2006/relationships/chart" Target="../charts/chart33.xml"/><Relationship Id="rId17" Type="http://schemas.openxmlformats.org/officeDocument/2006/relationships/chart" Target="../charts/chart38.xml"/><Relationship Id="rId25" Type="http://schemas.openxmlformats.org/officeDocument/2006/relationships/chart" Target="../charts/chart46.xml"/><Relationship Id="rId33" Type="http://schemas.openxmlformats.org/officeDocument/2006/relationships/chart" Target="../charts/chart54.xml"/><Relationship Id="rId38" Type="http://schemas.openxmlformats.org/officeDocument/2006/relationships/chart" Target="../charts/chart59.xml"/></Relationships>
</file>

<file path=xl/drawings/_rels/drawing9.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64.xml"/><Relationship Id="rId7" Type="http://schemas.openxmlformats.org/officeDocument/2006/relationships/chart" Target="../charts/chart68.xml"/><Relationship Id="rId2" Type="http://schemas.openxmlformats.org/officeDocument/2006/relationships/chart" Target="../charts/chart63.xml"/><Relationship Id="rId1" Type="http://schemas.openxmlformats.org/officeDocument/2006/relationships/chart" Target="../charts/chart62.xml"/><Relationship Id="rId6" Type="http://schemas.openxmlformats.org/officeDocument/2006/relationships/chart" Target="../charts/chart67.xml"/><Relationship Id="rId5" Type="http://schemas.openxmlformats.org/officeDocument/2006/relationships/chart" Target="../charts/chart66.xml"/><Relationship Id="rId4" Type="http://schemas.openxmlformats.org/officeDocument/2006/relationships/chart" Target="../charts/chart65.xml"/><Relationship Id="rId9" Type="http://schemas.openxmlformats.org/officeDocument/2006/relationships/hyperlink" Target="#PQPEXMME!A1"/></Relationships>
</file>

<file path=xl/drawings/drawing1.xml><?xml version="1.0" encoding="utf-8"?>
<xdr:wsDr xmlns:xdr="http://schemas.openxmlformats.org/drawingml/2006/spreadsheetDrawing" xmlns:a="http://schemas.openxmlformats.org/drawingml/2006/main">
  <xdr:twoCellAnchor>
    <xdr:from>
      <xdr:col>8</xdr:col>
      <xdr:colOff>14653</xdr:colOff>
      <xdr:row>10</xdr:row>
      <xdr:rowOff>107096</xdr:rowOff>
    </xdr:from>
    <xdr:to>
      <xdr:col>10</xdr:col>
      <xdr:colOff>311515</xdr:colOff>
      <xdr:row>18</xdr:row>
      <xdr:rowOff>116621</xdr:rowOff>
    </xdr:to>
    <xdr:sp macro="" textlink="">
      <xdr:nvSpPr>
        <xdr:cNvPr id="2" name="Pentágono Regular 1">
          <a:hlinkClick xmlns:r="http://schemas.openxmlformats.org/officeDocument/2006/relationships" r:id="rId1"/>
        </xdr:cNvPr>
        <xdr:cNvSpPr/>
      </xdr:nvSpPr>
      <xdr:spPr>
        <a:xfrm rot="16200000">
          <a:off x="4869533" y="2022293"/>
          <a:ext cx="1533525" cy="1513131"/>
        </a:xfrm>
        <a:prstGeom prst="pentagon">
          <a:avLst/>
        </a:prstGeom>
        <a:solidFill>
          <a:schemeClr val="accent2">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24178</xdr:colOff>
      <xdr:row>17</xdr:row>
      <xdr:rowOff>21371</xdr:rowOff>
    </xdr:from>
    <xdr:to>
      <xdr:col>12</xdr:col>
      <xdr:colOff>340090</xdr:colOff>
      <xdr:row>25</xdr:row>
      <xdr:rowOff>11846</xdr:rowOff>
    </xdr:to>
    <xdr:sp macro="" textlink="">
      <xdr:nvSpPr>
        <xdr:cNvPr id="3" name="Pentágono Regular 2">
          <a:hlinkClick xmlns:r="http://schemas.openxmlformats.org/officeDocument/2006/relationships" r:id="rId2"/>
        </xdr:cNvPr>
        <xdr:cNvSpPr/>
      </xdr:nvSpPr>
      <xdr:spPr>
        <a:xfrm rot="10800000">
          <a:off x="6105524" y="3259871"/>
          <a:ext cx="1532181" cy="1514475"/>
        </a:xfrm>
        <a:prstGeom prst="pentagon">
          <a:avLst/>
        </a:prstGeom>
        <a:solidFill>
          <a:schemeClr val="accent2">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baseline="0"/>
        </a:p>
      </xdr:txBody>
    </xdr:sp>
    <xdr:clientData/>
  </xdr:twoCellAnchor>
  <xdr:twoCellAnchor>
    <xdr:from>
      <xdr:col>12</xdr:col>
      <xdr:colOff>63865</xdr:colOff>
      <xdr:row>10</xdr:row>
      <xdr:rowOff>116621</xdr:rowOff>
    </xdr:from>
    <xdr:to>
      <xdr:col>14</xdr:col>
      <xdr:colOff>359140</xdr:colOff>
      <xdr:row>18</xdr:row>
      <xdr:rowOff>126146</xdr:rowOff>
    </xdr:to>
    <xdr:sp macro="" textlink="">
      <xdr:nvSpPr>
        <xdr:cNvPr id="4" name="Pentágono Regular 3">
          <a:hlinkClick xmlns:r="http://schemas.openxmlformats.org/officeDocument/2006/relationships" r:id="rId3"/>
        </xdr:cNvPr>
        <xdr:cNvSpPr/>
      </xdr:nvSpPr>
      <xdr:spPr>
        <a:xfrm rot="5400000">
          <a:off x="7350490" y="2032611"/>
          <a:ext cx="1533525" cy="1511545"/>
        </a:xfrm>
        <a:prstGeom prst="pentagon">
          <a:avLst/>
        </a:prstGeom>
        <a:solidFill>
          <a:schemeClr val="accent2">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t-BR" sz="1100" baseline="0">
            <a:solidFill>
              <a:schemeClr val="lt1"/>
            </a:solidFill>
            <a:latin typeface="+mn-lt"/>
            <a:ea typeface="+mn-ea"/>
            <a:cs typeface="+mn-cs"/>
          </a:endParaRPr>
        </a:p>
      </xdr:txBody>
    </xdr:sp>
    <xdr:clientData/>
  </xdr:twoCellAnchor>
  <xdr:twoCellAnchor>
    <xdr:from>
      <xdr:col>10</xdr:col>
      <xdr:colOff>24178</xdr:colOff>
      <xdr:row>4</xdr:row>
      <xdr:rowOff>21371</xdr:rowOff>
    </xdr:from>
    <xdr:to>
      <xdr:col>12</xdr:col>
      <xdr:colOff>340090</xdr:colOff>
      <xdr:row>12</xdr:row>
      <xdr:rowOff>11846</xdr:rowOff>
    </xdr:to>
    <xdr:sp macro="" textlink="">
      <xdr:nvSpPr>
        <xdr:cNvPr id="5" name="Pentágono Regular 4">
          <a:hlinkClick xmlns:r="http://schemas.openxmlformats.org/officeDocument/2006/relationships" r:id="rId4"/>
        </xdr:cNvPr>
        <xdr:cNvSpPr/>
      </xdr:nvSpPr>
      <xdr:spPr>
        <a:xfrm>
          <a:off x="6105524" y="783371"/>
          <a:ext cx="1532181" cy="1514475"/>
        </a:xfrm>
        <a:prstGeom prst="pentagon">
          <a:avLst/>
        </a:prstGeom>
        <a:solidFill>
          <a:schemeClr val="accent2">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200" b="1"/>
            <a:t>QUADRO</a:t>
          </a:r>
        </a:p>
        <a:p>
          <a:pPr algn="ctr"/>
          <a:r>
            <a:rPr lang="pt-BR" sz="1200" b="1"/>
            <a:t>DE</a:t>
          </a:r>
        </a:p>
        <a:p>
          <a:pPr algn="ctr"/>
          <a:r>
            <a:rPr lang="pt-BR" sz="1200" b="1"/>
            <a:t>PESSOAL</a:t>
          </a:r>
        </a:p>
        <a:p>
          <a:pPr algn="ctr"/>
          <a:r>
            <a:rPr lang="pt-BR" sz="1200" b="1"/>
            <a:t>(Exercício MME)</a:t>
          </a:r>
        </a:p>
      </xdr:txBody>
    </xdr:sp>
    <xdr:clientData/>
  </xdr:twoCellAnchor>
  <xdr:twoCellAnchor>
    <xdr:from>
      <xdr:col>0</xdr:col>
      <xdr:colOff>0</xdr:colOff>
      <xdr:row>0</xdr:row>
      <xdr:rowOff>0</xdr:rowOff>
    </xdr:from>
    <xdr:to>
      <xdr:col>4</xdr:col>
      <xdr:colOff>352425</xdr:colOff>
      <xdr:row>14</xdr:row>
      <xdr:rowOff>10583</xdr:rowOff>
    </xdr:to>
    <xdr:graphicFrame macro="">
      <xdr:nvGraphicFramePr>
        <xdr:cNvPr id="10" name="Gráfico 9">
          <a:extLst>
            <a:ext uri="{FF2B5EF4-FFF2-40B4-BE49-F238E27FC236}">
              <a16:creationId xmlns:a16="http://schemas.microsoft.com/office/drawing/2014/main" id="{00000000-0008-0000-02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21166</xdr:colOff>
      <xdr:row>30</xdr:row>
      <xdr:rowOff>105833</xdr:rowOff>
    </xdr:from>
    <xdr:to>
      <xdr:col>23</xdr:col>
      <xdr:colOff>603250</xdr:colOff>
      <xdr:row>46</xdr:row>
      <xdr:rowOff>12170</xdr:rowOff>
    </xdr:to>
    <xdr:graphicFrame macro="">
      <xdr:nvGraphicFramePr>
        <xdr:cNvPr id="11" name="Gráfico 10">
          <a:extLst>
            <a:ext uri="{FF2B5EF4-FFF2-40B4-BE49-F238E27FC236}">
              <a16:creationId xmlns:a16="http://schemas.microsoft.com/office/drawing/2014/main" id="{00000000-0008-0000-02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266007</xdr:colOff>
      <xdr:row>17</xdr:row>
      <xdr:rowOff>106038</xdr:rowOff>
    </xdr:from>
    <xdr:to>
      <xdr:col>12</xdr:col>
      <xdr:colOff>117840</xdr:colOff>
      <xdr:row>22</xdr:row>
      <xdr:rowOff>158954</xdr:rowOff>
    </xdr:to>
    <xdr:sp macro="" textlink="">
      <xdr:nvSpPr>
        <xdr:cNvPr id="12" name="CaixaDeTexto 11">
          <a:hlinkClick xmlns:r="http://schemas.openxmlformats.org/officeDocument/2006/relationships" r:id="rId2"/>
        </xdr:cNvPr>
        <xdr:cNvSpPr txBox="1"/>
      </xdr:nvSpPr>
      <xdr:spPr>
        <a:xfrm>
          <a:off x="6347353" y="3344538"/>
          <a:ext cx="1068102" cy="100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chemeClr val="bg1"/>
              </a:solidFill>
              <a:latin typeface="+mn-lt"/>
            </a:rPr>
            <a:t>EVOLUÇÃO</a:t>
          </a:r>
        </a:p>
        <a:p>
          <a:pPr algn="ctr"/>
          <a:r>
            <a:rPr lang="pt-BR" sz="1200" b="1">
              <a:solidFill>
                <a:schemeClr val="bg1"/>
              </a:solidFill>
              <a:latin typeface="+mn-lt"/>
            </a:rPr>
            <a:t>QUADRO</a:t>
          </a:r>
          <a:endParaRPr lang="pt-BR" sz="1200" b="1" baseline="0">
            <a:solidFill>
              <a:schemeClr val="bg1"/>
            </a:solidFill>
            <a:latin typeface="+mn-lt"/>
          </a:endParaRPr>
        </a:p>
        <a:p>
          <a:pPr algn="ctr"/>
          <a:r>
            <a:rPr lang="pt-BR" sz="1200" b="1" baseline="0">
              <a:solidFill>
                <a:schemeClr val="bg1"/>
              </a:solidFill>
              <a:latin typeface="+mn-lt"/>
            </a:rPr>
            <a:t>DE</a:t>
          </a:r>
        </a:p>
        <a:p>
          <a:pPr algn="ctr"/>
          <a:r>
            <a:rPr lang="pt-BR" sz="1200" b="1" baseline="0">
              <a:solidFill>
                <a:schemeClr val="bg1"/>
              </a:solidFill>
              <a:latin typeface="+mn-lt"/>
            </a:rPr>
            <a:t>PESSOAL</a:t>
          </a:r>
        </a:p>
        <a:p>
          <a:pPr algn="ctr"/>
          <a:r>
            <a:rPr lang="pt-BR" sz="1200" b="1" baseline="0">
              <a:solidFill>
                <a:schemeClr val="bg1"/>
              </a:solidFill>
              <a:latin typeface="+mn-lt"/>
            </a:rPr>
            <a:t>MME</a:t>
          </a:r>
          <a:endParaRPr lang="pt-BR" sz="1200" b="1">
            <a:solidFill>
              <a:schemeClr val="bg1"/>
            </a:solidFill>
            <a:latin typeface="+mn-lt"/>
          </a:endParaRPr>
        </a:p>
      </xdr:txBody>
    </xdr:sp>
    <xdr:clientData/>
  </xdr:twoCellAnchor>
  <xdr:twoCellAnchor>
    <xdr:from>
      <xdr:col>8</xdr:col>
      <xdr:colOff>329507</xdr:colOff>
      <xdr:row>11</xdr:row>
      <xdr:rowOff>169538</xdr:rowOff>
    </xdr:from>
    <xdr:to>
      <xdr:col>10</xdr:col>
      <xdr:colOff>181340</xdr:colOff>
      <xdr:row>17</xdr:row>
      <xdr:rowOff>31954</xdr:rowOff>
    </xdr:to>
    <xdr:sp macro="" textlink="">
      <xdr:nvSpPr>
        <xdr:cNvPr id="13" name="CaixaDeTexto 12">
          <a:hlinkClick xmlns:r="http://schemas.openxmlformats.org/officeDocument/2006/relationships" r:id="rId1"/>
        </xdr:cNvPr>
        <xdr:cNvSpPr txBox="1"/>
      </xdr:nvSpPr>
      <xdr:spPr>
        <a:xfrm>
          <a:off x="5194584" y="2265038"/>
          <a:ext cx="1068102" cy="100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chemeClr val="bg1"/>
              </a:solidFill>
              <a:latin typeface="+mn-lt"/>
            </a:rPr>
            <a:t>CARGO</a:t>
          </a:r>
        </a:p>
        <a:p>
          <a:pPr algn="ctr"/>
          <a:r>
            <a:rPr lang="pt-BR" sz="1200" b="1">
              <a:solidFill>
                <a:schemeClr val="bg1"/>
              </a:solidFill>
              <a:latin typeface="+mn-lt"/>
            </a:rPr>
            <a:t>EM COMISSÃO</a:t>
          </a:r>
        </a:p>
        <a:p>
          <a:pPr algn="ctr"/>
          <a:r>
            <a:rPr lang="pt-BR" sz="1200" b="1">
              <a:solidFill>
                <a:schemeClr val="bg1"/>
              </a:solidFill>
              <a:latin typeface="+mn-lt"/>
            </a:rPr>
            <a:t>(DAS/FCPE)</a:t>
          </a:r>
        </a:p>
      </xdr:txBody>
    </xdr:sp>
    <xdr:clientData/>
  </xdr:twoCellAnchor>
  <xdr:twoCellAnchor>
    <xdr:from>
      <xdr:col>12</xdr:col>
      <xdr:colOff>202506</xdr:colOff>
      <xdr:row>12</xdr:row>
      <xdr:rowOff>10788</xdr:rowOff>
    </xdr:from>
    <xdr:to>
      <xdr:col>14</xdr:col>
      <xdr:colOff>54340</xdr:colOff>
      <xdr:row>17</xdr:row>
      <xdr:rowOff>63704</xdr:rowOff>
    </xdr:to>
    <xdr:sp macro="" textlink="">
      <xdr:nvSpPr>
        <xdr:cNvPr id="14" name="CaixaDeTexto 13">
          <a:hlinkClick xmlns:r="http://schemas.openxmlformats.org/officeDocument/2006/relationships" r:id="rId3"/>
        </xdr:cNvPr>
        <xdr:cNvSpPr txBox="1"/>
      </xdr:nvSpPr>
      <xdr:spPr>
        <a:xfrm>
          <a:off x="7500121" y="2296788"/>
          <a:ext cx="1068104" cy="100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chemeClr val="bg1"/>
              </a:solidFill>
              <a:latin typeface="+mn-lt"/>
            </a:rPr>
            <a:t>INDICADORES</a:t>
          </a:r>
        </a:p>
      </xdr:txBody>
    </xdr:sp>
    <xdr:clientData/>
  </xdr:twoCellAnchor>
  <xdr:twoCellAnchor>
    <xdr:from>
      <xdr:col>7</xdr:col>
      <xdr:colOff>65943</xdr:colOff>
      <xdr:row>3</xdr:row>
      <xdr:rowOff>181952</xdr:rowOff>
    </xdr:from>
    <xdr:to>
      <xdr:col>12</xdr:col>
      <xdr:colOff>21369</xdr:colOff>
      <xdr:row>25</xdr:row>
      <xdr:rowOff>156917</xdr:rowOff>
    </xdr:to>
    <xdr:sp macro="" textlink="">
      <xdr:nvSpPr>
        <xdr:cNvPr id="6" name="Lua 5">
          <a:hlinkClick xmlns:r="http://schemas.openxmlformats.org/officeDocument/2006/relationships" r:id="rId7"/>
        </xdr:cNvPr>
        <xdr:cNvSpPr/>
      </xdr:nvSpPr>
      <xdr:spPr>
        <a:xfrm>
          <a:off x="4322885" y="753452"/>
          <a:ext cx="2996099" cy="4165965"/>
        </a:xfrm>
        <a:prstGeom prst="moon">
          <a:avLst>
            <a:gd name="adj" fmla="val 87500"/>
          </a:avLst>
        </a:prstGeom>
        <a:gradFill flip="none" rotWithShape="1">
          <a:gsLst>
            <a:gs pos="0">
              <a:schemeClr val="accent1">
                <a:shade val="30000"/>
                <a:satMod val="115000"/>
              </a:schemeClr>
            </a:gs>
            <a:gs pos="50000">
              <a:schemeClr val="accent1">
                <a:shade val="67500"/>
                <a:satMod val="115000"/>
              </a:schemeClr>
            </a:gs>
            <a:gs pos="100000">
              <a:schemeClr val="accent1">
                <a:shade val="100000"/>
                <a:satMod val="115000"/>
              </a:schemeClr>
            </a:gs>
          </a:gsLst>
          <a:lin ang="0" scaled="1"/>
          <a:tileRect/>
        </a:gradFill>
        <a:scene3d>
          <a:camera prst="orthographicFront"/>
          <a:lightRig rig="threePt" dir="t"/>
        </a:scene3d>
        <a:sp3d>
          <a:bevelT w="1143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423130</xdr:colOff>
      <xdr:row>3</xdr:row>
      <xdr:rowOff>174013</xdr:rowOff>
    </xdr:from>
    <xdr:to>
      <xdr:col>15</xdr:col>
      <xdr:colOff>375504</xdr:colOff>
      <xdr:row>25</xdr:row>
      <xdr:rowOff>148978</xdr:rowOff>
    </xdr:to>
    <xdr:sp macro="" textlink="">
      <xdr:nvSpPr>
        <xdr:cNvPr id="20" name="Lua 19">
          <a:hlinkClick xmlns:r="http://schemas.openxmlformats.org/officeDocument/2006/relationships" r:id="rId7"/>
        </xdr:cNvPr>
        <xdr:cNvSpPr/>
      </xdr:nvSpPr>
      <xdr:spPr>
        <a:xfrm rot="10800000">
          <a:off x="6504476" y="745513"/>
          <a:ext cx="2993047" cy="4165965"/>
        </a:xfrm>
        <a:prstGeom prst="moon">
          <a:avLst>
            <a:gd name="adj" fmla="val 87500"/>
          </a:avLst>
        </a:prstGeom>
        <a:gradFill flip="none" rotWithShape="1">
          <a:gsLst>
            <a:gs pos="0">
              <a:schemeClr val="accent1">
                <a:shade val="30000"/>
                <a:satMod val="115000"/>
              </a:schemeClr>
            </a:gs>
            <a:gs pos="50000">
              <a:schemeClr val="accent1">
                <a:shade val="67500"/>
                <a:satMod val="115000"/>
              </a:schemeClr>
            </a:gs>
            <a:gs pos="100000">
              <a:schemeClr val="accent1">
                <a:shade val="100000"/>
                <a:satMod val="115000"/>
              </a:schemeClr>
            </a:gs>
          </a:gsLst>
          <a:lin ang="0" scaled="1"/>
          <a:tileRect/>
        </a:gra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329712</xdr:colOff>
      <xdr:row>12</xdr:row>
      <xdr:rowOff>21981</xdr:rowOff>
    </xdr:from>
    <xdr:to>
      <xdr:col>12</xdr:col>
      <xdr:colOff>43962</xdr:colOff>
      <xdr:row>17</xdr:row>
      <xdr:rowOff>7327</xdr:rowOff>
    </xdr:to>
    <xdr:sp macro="" textlink="">
      <xdr:nvSpPr>
        <xdr:cNvPr id="9" name="Retângulo 8">
          <a:hlinkClick xmlns:r="http://schemas.openxmlformats.org/officeDocument/2006/relationships" r:id="rId8"/>
        </xdr:cNvPr>
        <xdr:cNvSpPr/>
      </xdr:nvSpPr>
      <xdr:spPr>
        <a:xfrm>
          <a:off x="6411058" y="2307981"/>
          <a:ext cx="930519" cy="937846"/>
        </a:xfrm>
        <a:prstGeom prst="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pt-BR" sz="1600" b="1">
              <a:latin typeface="Broadway" panose="04040905080B02020502" pitchFamily="82" charset="0"/>
            </a:rPr>
            <a:t>CGRH / MME</a:t>
          </a:r>
        </a:p>
        <a:p>
          <a:pPr algn="ctr"/>
          <a:endParaRPr lang="pt-BR" sz="600" b="1">
            <a:latin typeface="Broadway" panose="04040905080B02020502" pitchFamily="82" charset="0"/>
          </a:endParaRPr>
        </a:p>
        <a:p>
          <a:pPr algn="ctr"/>
          <a:r>
            <a:rPr lang="pt-BR" sz="600" b="0">
              <a:solidFill>
                <a:srgbClr val="FF0000"/>
              </a:solidFill>
              <a:latin typeface="Broadway" panose="04040905080B02020502" pitchFamily="82" charset="0"/>
            </a:rPr>
            <a:t>(CLIQUE AQUI)</a:t>
          </a:r>
        </a:p>
      </xdr:txBody>
    </xdr:sp>
    <xdr:clientData/>
  </xdr:twoCellAnchor>
  <xdr:twoCellAnchor editAs="oneCell">
    <xdr:from>
      <xdr:col>21</xdr:col>
      <xdr:colOff>593482</xdr:colOff>
      <xdr:row>0</xdr:row>
      <xdr:rowOff>167996</xdr:rowOff>
    </xdr:from>
    <xdr:to>
      <xdr:col>22</xdr:col>
      <xdr:colOff>307731</xdr:colOff>
      <xdr:row>2</xdr:row>
      <xdr:rowOff>109903</xdr:rowOff>
    </xdr:to>
    <xdr:pic macro="[0]!sair_gravando">
      <xdr:nvPicPr>
        <xdr:cNvPr id="17" name="Imagem 16" descr="TechByte - Assistência Informática: Saiba porque não deve desligar ..."/>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364309" y="167996"/>
          <a:ext cx="322384" cy="322907"/>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571500</xdr:colOff>
      <xdr:row>9</xdr:row>
      <xdr:rowOff>85725</xdr:rowOff>
    </xdr:from>
    <xdr:to>
      <xdr:col>12</xdr:col>
      <xdr:colOff>257175</xdr:colOff>
      <xdr:row>17</xdr:row>
      <xdr:rowOff>95250</xdr:rowOff>
    </xdr:to>
    <xdr:sp macro="" textlink="">
      <xdr:nvSpPr>
        <xdr:cNvPr id="2" name="Pentágono Regular 1">
          <a:hlinkClick xmlns:r="http://schemas.openxmlformats.org/officeDocument/2006/relationships" r:id="rId1"/>
        </xdr:cNvPr>
        <xdr:cNvSpPr/>
      </xdr:nvSpPr>
      <xdr:spPr>
        <a:xfrm rot="16200000">
          <a:off x="6048375" y="1809750"/>
          <a:ext cx="1533525" cy="1514475"/>
        </a:xfrm>
        <a:prstGeom prst="pentagon">
          <a:avLst/>
        </a:prstGeom>
        <a:solidFill>
          <a:schemeClr val="accent2">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581025</xdr:colOff>
      <xdr:row>16</xdr:row>
      <xdr:rowOff>0</xdr:rowOff>
    </xdr:from>
    <xdr:to>
      <xdr:col>14</xdr:col>
      <xdr:colOff>285750</xdr:colOff>
      <xdr:row>23</xdr:row>
      <xdr:rowOff>180975</xdr:rowOff>
    </xdr:to>
    <xdr:sp macro="" textlink="">
      <xdr:nvSpPr>
        <xdr:cNvPr id="3" name="Pentágono Regular 2">
          <a:hlinkClick xmlns:r="http://schemas.openxmlformats.org/officeDocument/2006/relationships" r:id="rId2"/>
        </xdr:cNvPr>
        <xdr:cNvSpPr/>
      </xdr:nvSpPr>
      <xdr:spPr>
        <a:xfrm rot="10800000">
          <a:off x="7286625" y="3048000"/>
          <a:ext cx="1533525" cy="1514475"/>
        </a:xfrm>
        <a:prstGeom prst="pentagon">
          <a:avLst/>
        </a:prstGeom>
        <a:solidFill>
          <a:schemeClr val="accent2">
            <a:lumMod val="75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baseline="0"/>
        </a:p>
      </xdr:txBody>
    </xdr:sp>
    <xdr:clientData/>
  </xdr:twoCellAnchor>
  <xdr:twoCellAnchor>
    <xdr:from>
      <xdr:col>14</xdr:col>
      <xdr:colOff>9525</xdr:colOff>
      <xdr:row>9</xdr:row>
      <xdr:rowOff>95250</xdr:rowOff>
    </xdr:from>
    <xdr:to>
      <xdr:col>16</xdr:col>
      <xdr:colOff>304800</xdr:colOff>
      <xdr:row>17</xdr:row>
      <xdr:rowOff>104775</xdr:rowOff>
    </xdr:to>
    <xdr:sp macro="" textlink="">
      <xdr:nvSpPr>
        <xdr:cNvPr id="4" name="Pentágono Regular 3">
          <a:hlinkClick xmlns:r="http://schemas.openxmlformats.org/officeDocument/2006/relationships" r:id="rId3"/>
        </xdr:cNvPr>
        <xdr:cNvSpPr/>
      </xdr:nvSpPr>
      <xdr:spPr>
        <a:xfrm rot="5400000">
          <a:off x="8534400" y="1819275"/>
          <a:ext cx="1533525" cy="1514475"/>
        </a:xfrm>
        <a:prstGeom prst="pentagon">
          <a:avLst/>
        </a:prstGeom>
        <a:solidFill>
          <a:schemeClr val="accent2">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581025</xdr:colOff>
      <xdr:row>3</xdr:row>
      <xdr:rowOff>0</xdr:rowOff>
    </xdr:from>
    <xdr:to>
      <xdr:col>14</xdr:col>
      <xdr:colOff>285750</xdr:colOff>
      <xdr:row>10</xdr:row>
      <xdr:rowOff>180975</xdr:rowOff>
    </xdr:to>
    <xdr:sp macro="" textlink="">
      <xdr:nvSpPr>
        <xdr:cNvPr id="5" name="Pentágono Regular 4">
          <a:hlinkClick xmlns:r="http://schemas.openxmlformats.org/officeDocument/2006/relationships" r:id="rId4"/>
        </xdr:cNvPr>
        <xdr:cNvSpPr/>
      </xdr:nvSpPr>
      <xdr:spPr>
        <a:xfrm>
          <a:off x="7286625" y="571500"/>
          <a:ext cx="1533525" cy="1514475"/>
        </a:xfrm>
        <a:prstGeom prst="pentagon">
          <a:avLst/>
        </a:prstGeom>
        <a:solidFill>
          <a:schemeClr val="accent2">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200" b="1"/>
            <a:t>Quadro</a:t>
          </a:r>
        </a:p>
        <a:p>
          <a:pPr algn="ctr"/>
          <a:r>
            <a:rPr lang="pt-BR" sz="1200" b="1"/>
            <a:t>de</a:t>
          </a:r>
        </a:p>
        <a:p>
          <a:pPr algn="ctr"/>
          <a:r>
            <a:rPr lang="pt-BR" sz="1200" b="1"/>
            <a:t>Pessoal</a:t>
          </a:r>
        </a:p>
        <a:p>
          <a:pPr algn="ctr"/>
          <a:r>
            <a:rPr lang="pt-BR" sz="1200" b="1"/>
            <a:t>(Exercício MME)</a:t>
          </a:r>
        </a:p>
      </xdr:txBody>
    </xdr:sp>
    <xdr:clientData/>
  </xdr:twoCellAnchor>
  <xdr:twoCellAnchor>
    <xdr:from>
      <xdr:col>13</xdr:col>
      <xdr:colOff>472089</xdr:colOff>
      <xdr:row>15</xdr:row>
      <xdr:rowOff>121447</xdr:rowOff>
    </xdr:from>
    <xdr:to>
      <xdr:col>16</xdr:col>
      <xdr:colOff>99859</xdr:colOff>
      <xdr:row>22</xdr:row>
      <xdr:rowOff>28388</xdr:rowOff>
    </xdr:to>
    <xdr:sp macro="" textlink="">
      <xdr:nvSpPr>
        <xdr:cNvPr id="7" name="Triângulo isósceles 6">
          <a:hlinkClick xmlns:r="http://schemas.openxmlformats.org/officeDocument/2006/relationships" r:id="rId5"/>
        </xdr:cNvPr>
        <xdr:cNvSpPr/>
      </xdr:nvSpPr>
      <xdr:spPr>
        <a:xfrm rot="18777258">
          <a:off x="8504953" y="2870883"/>
          <a:ext cx="1240441" cy="1456570"/>
        </a:xfrm>
        <a:prstGeom prst="triangle">
          <a:avLst/>
        </a:prstGeom>
        <a:solidFill>
          <a:schemeClr val="accent2">
            <a:lumMod val="75000"/>
            <a:alpha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t-BR" sz="1100" baseline="0">
            <a:solidFill>
              <a:schemeClr val="lt1"/>
            </a:solidFill>
            <a:latin typeface="+mn-lt"/>
            <a:ea typeface="+mn-ea"/>
            <a:cs typeface="+mn-cs"/>
          </a:endParaRPr>
        </a:p>
      </xdr:txBody>
    </xdr:sp>
    <xdr:clientData/>
  </xdr:twoCellAnchor>
  <xdr:twoCellAnchor>
    <xdr:from>
      <xdr:col>10</xdr:col>
      <xdr:colOff>186336</xdr:colOff>
      <xdr:row>15</xdr:row>
      <xdr:rowOff>111922</xdr:rowOff>
    </xdr:from>
    <xdr:to>
      <xdr:col>12</xdr:col>
      <xdr:colOff>423706</xdr:colOff>
      <xdr:row>22</xdr:row>
      <xdr:rowOff>18863</xdr:rowOff>
    </xdr:to>
    <xdr:sp macro="" textlink="">
      <xdr:nvSpPr>
        <xdr:cNvPr id="8" name="Triângulo isósceles 7">
          <a:hlinkClick xmlns:r="http://schemas.openxmlformats.org/officeDocument/2006/relationships" r:id="rId6"/>
        </xdr:cNvPr>
        <xdr:cNvSpPr/>
      </xdr:nvSpPr>
      <xdr:spPr>
        <a:xfrm rot="2825681">
          <a:off x="6390400" y="2861358"/>
          <a:ext cx="1240441" cy="1456570"/>
        </a:xfrm>
        <a:prstGeom prst="triangle">
          <a:avLst/>
        </a:prstGeom>
        <a:solidFill>
          <a:schemeClr val="accent2">
            <a:alpha val="55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t-BR" sz="1100" baseline="0">
            <a:solidFill>
              <a:schemeClr val="lt1"/>
            </a:solidFill>
            <a:latin typeface="+mn-lt"/>
            <a:ea typeface="+mn-ea"/>
            <a:cs typeface="+mn-cs"/>
          </a:endParaRPr>
        </a:p>
      </xdr:txBody>
    </xdr:sp>
    <xdr:clientData/>
  </xdr:twoCellAnchor>
  <xdr:twoCellAnchor>
    <xdr:from>
      <xdr:col>0</xdr:col>
      <xdr:colOff>0</xdr:colOff>
      <xdr:row>0</xdr:row>
      <xdr:rowOff>0</xdr:rowOff>
    </xdr:from>
    <xdr:to>
      <xdr:col>8</xdr:col>
      <xdr:colOff>352425</xdr:colOff>
      <xdr:row>14</xdr:row>
      <xdr:rowOff>10583</xdr:rowOff>
    </xdr:to>
    <xdr:graphicFrame macro="">
      <xdr:nvGraphicFramePr>
        <xdr:cNvPr id="10" name="Gráfico 9">
          <a:extLst>
            <a:ext uri="{FF2B5EF4-FFF2-40B4-BE49-F238E27FC236}">
              <a16:creationId xmlns:a16="http://schemas.microsoft.com/office/drawing/2014/main" id="{00000000-0008-0000-02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21166</xdr:colOff>
      <xdr:row>30</xdr:row>
      <xdr:rowOff>105833</xdr:rowOff>
    </xdr:from>
    <xdr:to>
      <xdr:col>27</xdr:col>
      <xdr:colOff>603250</xdr:colOff>
      <xdr:row>46</xdr:row>
      <xdr:rowOff>12170</xdr:rowOff>
    </xdr:to>
    <xdr:graphicFrame macro="">
      <xdr:nvGraphicFramePr>
        <xdr:cNvPr id="19" name="Gráfico 18">
          <a:extLst>
            <a:ext uri="{FF2B5EF4-FFF2-40B4-BE49-F238E27FC236}">
              <a16:creationId xmlns:a16="http://schemas.microsoft.com/office/drawing/2014/main" id="{00000000-0008-0000-02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211667</xdr:colOff>
      <xdr:row>16</xdr:row>
      <xdr:rowOff>84667</xdr:rowOff>
    </xdr:from>
    <xdr:to>
      <xdr:col>14</xdr:col>
      <xdr:colOff>63500</xdr:colOff>
      <xdr:row>21</xdr:row>
      <xdr:rowOff>137583</xdr:rowOff>
    </xdr:to>
    <xdr:sp macro="" textlink="">
      <xdr:nvSpPr>
        <xdr:cNvPr id="23" name="CaixaDeTexto 22">
          <a:hlinkClick xmlns:r="http://schemas.openxmlformats.org/officeDocument/2006/relationships" r:id="rId2"/>
        </xdr:cNvPr>
        <xdr:cNvSpPr txBox="1"/>
      </xdr:nvSpPr>
      <xdr:spPr>
        <a:xfrm>
          <a:off x="7577667" y="3132667"/>
          <a:ext cx="1079500" cy="100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chemeClr val="bg1"/>
              </a:solidFill>
              <a:latin typeface="+mn-lt"/>
            </a:rPr>
            <a:t>EVOLUÇÃO</a:t>
          </a:r>
        </a:p>
        <a:p>
          <a:pPr algn="ctr"/>
          <a:r>
            <a:rPr lang="pt-BR" sz="1200" b="1">
              <a:solidFill>
                <a:schemeClr val="bg1"/>
              </a:solidFill>
              <a:latin typeface="+mn-lt"/>
            </a:rPr>
            <a:t>QUADRO</a:t>
          </a:r>
          <a:endParaRPr lang="pt-BR" sz="1200" b="1" baseline="0">
            <a:solidFill>
              <a:schemeClr val="bg1"/>
            </a:solidFill>
            <a:latin typeface="+mn-lt"/>
          </a:endParaRPr>
        </a:p>
        <a:p>
          <a:pPr algn="ctr"/>
          <a:r>
            <a:rPr lang="pt-BR" sz="1200" b="1" baseline="0">
              <a:solidFill>
                <a:schemeClr val="bg1"/>
              </a:solidFill>
              <a:latin typeface="+mn-lt"/>
            </a:rPr>
            <a:t>DE</a:t>
          </a:r>
        </a:p>
        <a:p>
          <a:pPr algn="ctr"/>
          <a:r>
            <a:rPr lang="pt-BR" sz="1200" b="1" baseline="0">
              <a:solidFill>
                <a:schemeClr val="bg1"/>
              </a:solidFill>
              <a:latin typeface="+mn-lt"/>
            </a:rPr>
            <a:t>PESSOAL</a:t>
          </a:r>
        </a:p>
        <a:p>
          <a:pPr algn="ctr"/>
          <a:r>
            <a:rPr lang="pt-BR" sz="1200" b="1" baseline="0">
              <a:solidFill>
                <a:schemeClr val="bg1"/>
              </a:solidFill>
              <a:latin typeface="+mn-lt"/>
            </a:rPr>
            <a:t>MME</a:t>
          </a:r>
          <a:endParaRPr lang="pt-BR" sz="1200" b="1">
            <a:solidFill>
              <a:schemeClr val="bg1"/>
            </a:solidFill>
            <a:latin typeface="+mn-lt"/>
          </a:endParaRPr>
        </a:p>
      </xdr:txBody>
    </xdr:sp>
    <xdr:clientData/>
  </xdr:twoCellAnchor>
  <xdr:twoCellAnchor>
    <xdr:from>
      <xdr:col>0</xdr:col>
      <xdr:colOff>0</xdr:colOff>
      <xdr:row>0</xdr:row>
      <xdr:rowOff>0</xdr:rowOff>
    </xdr:from>
    <xdr:to>
      <xdr:col>9</xdr:col>
      <xdr:colOff>21166</xdr:colOff>
      <xdr:row>13</xdr:row>
      <xdr:rowOff>10583</xdr:rowOff>
    </xdr:to>
    <xdr:graphicFrame macro="">
      <xdr:nvGraphicFramePr>
        <xdr:cNvPr id="24" name="Gráfico 23">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13</xdr:row>
      <xdr:rowOff>21168</xdr:rowOff>
    </xdr:from>
    <xdr:to>
      <xdr:col>9</xdr:col>
      <xdr:colOff>29255</xdr:colOff>
      <xdr:row>27</xdr:row>
      <xdr:rowOff>179918</xdr:rowOff>
    </xdr:to>
    <xdr:graphicFrame macro="">
      <xdr:nvGraphicFramePr>
        <xdr:cNvPr id="26" name="Gráfico 25">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201084</xdr:colOff>
      <xdr:row>24</xdr:row>
      <xdr:rowOff>95250</xdr:rowOff>
    </xdr:from>
    <xdr:to>
      <xdr:col>17</xdr:col>
      <xdr:colOff>567267</xdr:colOff>
      <xdr:row>35</xdr:row>
      <xdr:rowOff>42333</xdr:rowOff>
    </xdr:to>
    <xdr:graphicFrame macro="">
      <xdr:nvGraphicFramePr>
        <xdr:cNvPr id="29" name="Gráfico 28">
          <a:extLst>
            <a:ext uri="{FF2B5EF4-FFF2-40B4-BE49-F238E27FC236}">
              <a16:creationId xmlns:a16="http://schemas.microsoft.com/office/drawing/2014/main" id="{00000000-0008-0000-02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116417</xdr:colOff>
      <xdr:row>0</xdr:row>
      <xdr:rowOff>21167</xdr:rowOff>
    </xdr:from>
    <xdr:to>
      <xdr:col>28</xdr:col>
      <xdr:colOff>582084</xdr:colOff>
      <xdr:row>16</xdr:row>
      <xdr:rowOff>84667</xdr:rowOff>
    </xdr:to>
    <xdr:graphicFrame macro="">
      <xdr:nvGraphicFramePr>
        <xdr:cNvPr id="30" name="Gráfico 29">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27</xdr:row>
      <xdr:rowOff>169333</xdr:rowOff>
    </xdr:from>
    <xdr:to>
      <xdr:col>9</xdr:col>
      <xdr:colOff>10583</xdr:colOff>
      <xdr:row>46</xdr:row>
      <xdr:rowOff>54428</xdr:rowOff>
    </xdr:to>
    <xdr:graphicFrame macro="">
      <xdr:nvGraphicFramePr>
        <xdr:cNvPr id="31" name="Gráfico 30">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148167</xdr:colOff>
      <xdr:row>16</xdr:row>
      <xdr:rowOff>127000</xdr:rowOff>
    </xdr:from>
    <xdr:to>
      <xdr:col>28</xdr:col>
      <xdr:colOff>556684</xdr:colOff>
      <xdr:row>45</xdr:row>
      <xdr:rowOff>179917</xdr:rowOff>
    </xdr:to>
    <xdr:graphicFrame macro="">
      <xdr:nvGraphicFramePr>
        <xdr:cNvPr id="32" name="Gráfico 31">
          <a:extLst>
            <a:ext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190500</xdr:colOff>
      <xdr:row>35</xdr:row>
      <xdr:rowOff>95249</xdr:rowOff>
    </xdr:from>
    <xdr:to>
      <xdr:col>17</xdr:col>
      <xdr:colOff>582083</xdr:colOff>
      <xdr:row>46</xdr:row>
      <xdr:rowOff>21167</xdr:rowOff>
    </xdr:to>
    <xdr:graphicFrame macro="">
      <xdr:nvGraphicFramePr>
        <xdr:cNvPr id="33" name="Gráfico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247650</xdr:colOff>
      <xdr:row>10</xdr:row>
      <xdr:rowOff>106892</xdr:rowOff>
    </xdr:from>
    <xdr:to>
      <xdr:col>12</xdr:col>
      <xdr:colOff>99483</xdr:colOff>
      <xdr:row>15</xdr:row>
      <xdr:rowOff>159808</xdr:rowOff>
    </xdr:to>
    <xdr:sp macro="" textlink="">
      <xdr:nvSpPr>
        <xdr:cNvPr id="34" name="CaixaDeTexto 33">
          <a:hlinkClick xmlns:r="http://schemas.openxmlformats.org/officeDocument/2006/relationships" r:id="rId1"/>
        </xdr:cNvPr>
        <xdr:cNvSpPr txBox="1"/>
      </xdr:nvSpPr>
      <xdr:spPr>
        <a:xfrm>
          <a:off x="6385983" y="2011892"/>
          <a:ext cx="1079500" cy="100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chemeClr val="bg1"/>
              </a:solidFill>
              <a:latin typeface="+mn-lt"/>
            </a:rPr>
            <a:t>CARGO</a:t>
          </a:r>
        </a:p>
        <a:p>
          <a:pPr algn="ctr"/>
          <a:r>
            <a:rPr lang="pt-BR" sz="1200" b="1">
              <a:solidFill>
                <a:schemeClr val="bg1"/>
              </a:solidFill>
              <a:latin typeface="+mn-lt"/>
            </a:rPr>
            <a:t>EM COMISSÃO</a:t>
          </a:r>
        </a:p>
        <a:p>
          <a:pPr algn="ctr"/>
          <a:r>
            <a:rPr lang="pt-BR" sz="1200" b="1">
              <a:solidFill>
                <a:schemeClr val="bg1"/>
              </a:solidFill>
              <a:latin typeface="+mn-lt"/>
            </a:rPr>
            <a:t>(DAS/FCPE)</a:t>
          </a:r>
        </a:p>
      </xdr:txBody>
    </xdr:sp>
    <xdr:clientData/>
  </xdr:twoCellAnchor>
  <xdr:twoCellAnchor>
    <xdr:from>
      <xdr:col>14</xdr:col>
      <xdr:colOff>201083</xdr:colOff>
      <xdr:row>10</xdr:row>
      <xdr:rowOff>169333</xdr:rowOff>
    </xdr:from>
    <xdr:to>
      <xdr:col>16</xdr:col>
      <xdr:colOff>52917</xdr:colOff>
      <xdr:row>16</xdr:row>
      <xdr:rowOff>31749</xdr:rowOff>
    </xdr:to>
    <xdr:sp macro="" textlink="">
      <xdr:nvSpPr>
        <xdr:cNvPr id="25" name="CaixaDeTexto 24">
          <a:hlinkClick xmlns:r="http://schemas.openxmlformats.org/officeDocument/2006/relationships" r:id="rId3"/>
        </xdr:cNvPr>
        <xdr:cNvSpPr txBox="1"/>
      </xdr:nvSpPr>
      <xdr:spPr>
        <a:xfrm>
          <a:off x="8794750" y="2074333"/>
          <a:ext cx="1079500" cy="100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chemeClr val="bg1"/>
              </a:solidFill>
              <a:latin typeface="+mn-lt"/>
            </a:rPr>
            <a:t>INDICADORES</a:t>
          </a:r>
        </a:p>
      </xdr:txBody>
    </xdr:sp>
    <xdr:clientData/>
  </xdr:twoCellAnchor>
  <xdr:twoCellAnchor>
    <xdr:from>
      <xdr:col>10</xdr:col>
      <xdr:colOff>169333</xdr:colOff>
      <xdr:row>17</xdr:row>
      <xdr:rowOff>95249</xdr:rowOff>
    </xdr:from>
    <xdr:to>
      <xdr:col>12</xdr:col>
      <xdr:colOff>21166</xdr:colOff>
      <xdr:row>22</xdr:row>
      <xdr:rowOff>148165</xdr:rowOff>
    </xdr:to>
    <xdr:sp macro="" textlink="">
      <xdr:nvSpPr>
        <xdr:cNvPr id="27" name="CaixaDeTexto 26">
          <a:hlinkClick xmlns:r="http://schemas.openxmlformats.org/officeDocument/2006/relationships" r:id="rId6"/>
        </xdr:cNvPr>
        <xdr:cNvSpPr txBox="1"/>
      </xdr:nvSpPr>
      <xdr:spPr>
        <a:xfrm>
          <a:off x="6307666" y="3333749"/>
          <a:ext cx="1079500" cy="100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chemeClr val="bg1"/>
              </a:solidFill>
              <a:latin typeface="+mn-lt"/>
            </a:rPr>
            <a:t>Quadro Detalhado Evolução Global</a:t>
          </a:r>
        </a:p>
      </xdr:txBody>
    </xdr:sp>
    <xdr:clientData/>
  </xdr:twoCellAnchor>
  <xdr:twoCellAnchor>
    <xdr:from>
      <xdr:col>14</xdr:col>
      <xdr:colOff>264583</xdr:colOff>
      <xdr:row>17</xdr:row>
      <xdr:rowOff>74084</xdr:rowOff>
    </xdr:from>
    <xdr:to>
      <xdr:col>16</xdr:col>
      <xdr:colOff>116417</xdr:colOff>
      <xdr:row>22</xdr:row>
      <xdr:rowOff>127000</xdr:rowOff>
    </xdr:to>
    <xdr:sp macro="" textlink="">
      <xdr:nvSpPr>
        <xdr:cNvPr id="28" name="CaixaDeTexto 27">
          <a:hlinkClick xmlns:r="http://schemas.openxmlformats.org/officeDocument/2006/relationships" r:id="rId5"/>
        </xdr:cNvPr>
        <xdr:cNvSpPr txBox="1"/>
      </xdr:nvSpPr>
      <xdr:spPr>
        <a:xfrm>
          <a:off x="8858250" y="3312584"/>
          <a:ext cx="1079500" cy="100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chemeClr val="bg1"/>
              </a:solidFill>
              <a:latin typeface="+mn-lt"/>
            </a:rPr>
            <a:t>Quadro Detalhado Evolução Situação</a:t>
          </a:r>
        </a:p>
      </xdr:txBody>
    </xdr:sp>
    <xdr:clientData/>
  </xdr:twoCellAnchor>
  <xdr:twoCellAnchor>
    <xdr:from>
      <xdr:col>12</xdr:col>
      <xdr:colOff>285750</xdr:colOff>
      <xdr:row>11</xdr:row>
      <xdr:rowOff>0</xdr:rowOff>
    </xdr:from>
    <xdr:to>
      <xdr:col>13</xdr:col>
      <xdr:colOff>606669</xdr:colOff>
      <xdr:row>15</xdr:row>
      <xdr:rowOff>175846</xdr:rowOff>
    </xdr:to>
    <xdr:sp macro="" textlink="">
      <xdr:nvSpPr>
        <xdr:cNvPr id="35" name="Retângulo 34">
          <a:hlinkClick xmlns:r="http://schemas.openxmlformats.org/officeDocument/2006/relationships" r:id="rId16"/>
        </xdr:cNvPr>
        <xdr:cNvSpPr/>
      </xdr:nvSpPr>
      <xdr:spPr>
        <a:xfrm>
          <a:off x="7600950" y="2095500"/>
          <a:ext cx="930519" cy="937846"/>
        </a:xfrm>
        <a:prstGeom prst="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pt-BR" sz="1600" b="1">
              <a:latin typeface="Broadway" panose="04040905080B02020502" pitchFamily="82" charset="0"/>
            </a:rPr>
            <a:t>CGRH / MME</a:t>
          </a:r>
        </a:p>
        <a:p>
          <a:pPr marL="0" marR="0" lvl="0" indent="0" algn="ctr" defTabSz="914400" eaLnBrk="1" fontAlgn="auto" latinLnBrk="0" hangingPunct="1">
            <a:lnSpc>
              <a:spcPct val="100000"/>
            </a:lnSpc>
            <a:spcBef>
              <a:spcPts val="0"/>
            </a:spcBef>
            <a:spcAft>
              <a:spcPts val="0"/>
            </a:spcAft>
            <a:buClrTx/>
            <a:buSzTx/>
            <a:buFontTx/>
            <a:buNone/>
            <a:tabLst/>
            <a:defRPr/>
          </a:pPr>
          <a:endParaRPr lang="pt-BR" sz="800" b="1">
            <a:solidFill>
              <a:srgbClr val="FF0000"/>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pt-BR" sz="800" b="1">
              <a:solidFill>
                <a:srgbClr val="FF0000"/>
              </a:solidFill>
              <a:effectLst/>
              <a:latin typeface="+mn-lt"/>
              <a:ea typeface="+mn-ea"/>
              <a:cs typeface="+mn-cs"/>
            </a:rPr>
            <a:t>(CLIQUE AQUI PARA VOLTAR)</a:t>
          </a:r>
          <a:endParaRPr lang="pt-BR" sz="800" b="1">
            <a:solidFill>
              <a:srgbClr val="FF0000"/>
            </a:solidFill>
            <a:effectLst/>
          </a:endParaRPr>
        </a:p>
        <a:p>
          <a:pPr algn="ctr"/>
          <a:endParaRPr lang="pt-BR" sz="1600" b="1">
            <a:latin typeface="Broadway" panose="04040905080B02020502" pitchFamily="82" charset="0"/>
          </a:endParaRPr>
        </a:p>
      </xdr:txBody>
    </xdr:sp>
    <xdr:clientData/>
  </xdr:twoCellAnchor>
  <xdr:twoCellAnchor editAs="oneCell">
    <xdr:from>
      <xdr:col>28</xdr:col>
      <xdr:colOff>152400</xdr:colOff>
      <xdr:row>0</xdr:row>
      <xdr:rowOff>76200</xdr:rowOff>
    </xdr:from>
    <xdr:to>
      <xdr:col>28</xdr:col>
      <xdr:colOff>474784</xdr:colOff>
      <xdr:row>2</xdr:row>
      <xdr:rowOff>18107</xdr:rowOff>
    </xdr:to>
    <xdr:pic macro="[0]!sair_gravando">
      <xdr:nvPicPr>
        <xdr:cNvPr id="36" name="Imagem 35" descr="TechByte - Assistência Informática: Saiba porque não deve desligar ..."/>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7221200" y="76200"/>
          <a:ext cx="322384" cy="322907"/>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314326</xdr:colOff>
      <xdr:row>18</xdr:row>
      <xdr:rowOff>152400</xdr:rowOff>
    </xdr:from>
    <xdr:to>
      <xdr:col>10</xdr:col>
      <xdr:colOff>180976</xdr:colOff>
      <xdr:row>39</xdr:row>
      <xdr:rowOff>38100</xdr:rowOff>
    </xdr:to>
    <xdr:graphicFrame macro="">
      <xdr:nvGraphicFramePr>
        <xdr:cNvPr id="38" name="Gráfico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16</xdr:col>
      <xdr:colOff>95249</xdr:colOff>
      <xdr:row>31</xdr:row>
      <xdr:rowOff>9525</xdr:rowOff>
    </xdr:from>
    <xdr:to>
      <xdr:col>18</xdr:col>
      <xdr:colOff>342900</xdr:colOff>
      <xdr:row>48</xdr:row>
      <xdr:rowOff>0</xdr:rowOff>
    </xdr:to>
    <xdr:graphicFrame macro="">
      <xdr:nvGraphicFramePr>
        <xdr:cNvPr id="39" name="Gráfico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272143</xdr:colOff>
      <xdr:row>0</xdr:row>
      <xdr:rowOff>104671</xdr:rowOff>
    </xdr:from>
    <xdr:to>
      <xdr:col>1</xdr:col>
      <xdr:colOff>560405</xdr:colOff>
      <xdr:row>0</xdr:row>
      <xdr:rowOff>523771</xdr:rowOff>
    </xdr:to>
    <xdr:sp macro="" textlink="">
      <xdr:nvSpPr>
        <xdr:cNvPr id="3" name="Seta para a esquerda 42">
          <a:hlinkClick xmlns:r="http://schemas.openxmlformats.org/officeDocument/2006/relationships" r:id="rId1"/>
          <a:extLst>
            <a:ext uri="{FF2B5EF4-FFF2-40B4-BE49-F238E27FC236}">
              <a16:creationId xmlns:a16="http://schemas.microsoft.com/office/drawing/2014/main" id="{00000000-0008-0000-5200-00002B000000}"/>
            </a:ext>
          </a:extLst>
        </xdr:cNvPr>
        <xdr:cNvSpPr/>
      </xdr:nvSpPr>
      <xdr:spPr>
        <a:xfrm>
          <a:off x="272143" y="104671"/>
          <a:ext cx="895350" cy="419100"/>
        </a:xfrm>
        <a:prstGeom prst="leftArrow">
          <a:avLst/>
        </a:prstGeom>
        <a:solidFill>
          <a:srgbClr val="BD2115"/>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VOLTAR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153276</xdr:colOff>
      <xdr:row>0</xdr:row>
      <xdr:rowOff>164223</xdr:rowOff>
    </xdr:from>
    <xdr:to>
      <xdr:col>1</xdr:col>
      <xdr:colOff>394138</xdr:colOff>
      <xdr:row>0</xdr:row>
      <xdr:rowOff>602154</xdr:rowOff>
    </xdr:to>
    <xdr:sp macro="" textlink="">
      <xdr:nvSpPr>
        <xdr:cNvPr id="3" name="Seta para a esquerda 42">
          <a:hlinkClick xmlns:r="http://schemas.openxmlformats.org/officeDocument/2006/relationships" r:id="rId1"/>
          <a:extLst>
            <a:ext uri="{FF2B5EF4-FFF2-40B4-BE49-F238E27FC236}">
              <a16:creationId xmlns:a16="http://schemas.microsoft.com/office/drawing/2014/main" id="{00000000-0008-0000-5200-00002B000000}"/>
            </a:ext>
          </a:extLst>
        </xdr:cNvPr>
        <xdr:cNvSpPr/>
      </xdr:nvSpPr>
      <xdr:spPr>
        <a:xfrm>
          <a:off x="153276" y="164223"/>
          <a:ext cx="996293" cy="437931"/>
        </a:xfrm>
        <a:prstGeom prst="leftArrow">
          <a:avLst/>
        </a:prstGeom>
        <a:solidFill>
          <a:srgbClr val="BD2115"/>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VOLTAR</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581025</xdr:colOff>
      <xdr:row>16</xdr:row>
      <xdr:rowOff>0</xdr:rowOff>
    </xdr:from>
    <xdr:to>
      <xdr:col>14</xdr:col>
      <xdr:colOff>285750</xdr:colOff>
      <xdr:row>23</xdr:row>
      <xdr:rowOff>180975</xdr:rowOff>
    </xdr:to>
    <xdr:sp macro="" textlink="">
      <xdr:nvSpPr>
        <xdr:cNvPr id="3" name="Pentágono Regular 2">
          <a:hlinkClick xmlns:r="http://schemas.openxmlformats.org/officeDocument/2006/relationships" r:id="rId1"/>
        </xdr:cNvPr>
        <xdr:cNvSpPr/>
      </xdr:nvSpPr>
      <xdr:spPr>
        <a:xfrm rot="10800000">
          <a:off x="7286625" y="3048000"/>
          <a:ext cx="1533525" cy="1514475"/>
        </a:xfrm>
        <a:prstGeom prst="pentagon">
          <a:avLst/>
        </a:prstGeom>
        <a:solidFill>
          <a:schemeClr val="accent2">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baseline="0"/>
        </a:p>
      </xdr:txBody>
    </xdr:sp>
    <xdr:clientData/>
  </xdr:twoCellAnchor>
  <xdr:twoCellAnchor>
    <xdr:from>
      <xdr:col>14</xdr:col>
      <xdr:colOff>9525</xdr:colOff>
      <xdr:row>9</xdr:row>
      <xdr:rowOff>95250</xdr:rowOff>
    </xdr:from>
    <xdr:to>
      <xdr:col>16</xdr:col>
      <xdr:colOff>304800</xdr:colOff>
      <xdr:row>17</xdr:row>
      <xdr:rowOff>104775</xdr:rowOff>
    </xdr:to>
    <xdr:sp macro="" textlink="">
      <xdr:nvSpPr>
        <xdr:cNvPr id="4" name="Pentágono Regular 3">
          <a:hlinkClick xmlns:r="http://schemas.openxmlformats.org/officeDocument/2006/relationships" r:id="rId2"/>
        </xdr:cNvPr>
        <xdr:cNvSpPr/>
      </xdr:nvSpPr>
      <xdr:spPr>
        <a:xfrm rot="5400000">
          <a:off x="8534400" y="1819275"/>
          <a:ext cx="1533525" cy="1514475"/>
        </a:xfrm>
        <a:prstGeom prst="pentagon">
          <a:avLst/>
        </a:prstGeom>
        <a:solidFill>
          <a:schemeClr val="accent2">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581025</xdr:colOff>
      <xdr:row>3</xdr:row>
      <xdr:rowOff>0</xdr:rowOff>
    </xdr:from>
    <xdr:to>
      <xdr:col>14</xdr:col>
      <xdr:colOff>285750</xdr:colOff>
      <xdr:row>10</xdr:row>
      <xdr:rowOff>180975</xdr:rowOff>
    </xdr:to>
    <xdr:sp macro="" textlink="">
      <xdr:nvSpPr>
        <xdr:cNvPr id="5" name="Pentágono Regular 4">
          <a:hlinkClick xmlns:r="http://schemas.openxmlformats.org/officeDocument/2006/relationships" r:id="rId3"/>
        </xdr:cNvPr>
        <xdr:cNvSpPr/>
      </xdr:nvSpPr>
      <xdr:spPr>
        <a:xfrm>
          <a:off x="7286625" y="571500"/>
          <a:ext cx="1533525" cy="1514475"/>
        </a:xfrm>
        <a:prstGeom prst="pentagon">
          <a:avLst/>
        </a:prstGeom>
        <a:solidFill>
          <a:schemeClr val="accent2">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200" b="1"/>
            <a:t>Quadro</a:t>
          </a:r>
        </a:p>
        <a:p>
          <a:pPr algn="ctr"/>
          <a:r>
            <a:rPr lang="pt-BR" sz="1200" b="1"/>
            <a:t>de</a:t>
          </a:r>
        </a:p>
        <a:p>
          <a:pPr algn="ctr"/>
          <a:r>
            <a:rPr lang="pt-BR" sz="1200" b="1"/>
            <a:t>Pessoal</a:t>
          </a:r>
        </a:p>
        <a:p>
          <a:pPr algn="ctr"/>
          <a:r>
            <a:rPr lang="pt-BR" sz="1200" b="1"/>
            <a:t>(Exercício MME)</a:t>
          </a:r>
        </a:p>
      </xdr:txBody>
    </xdr:sp>
    <xdr:clientData/>
  </xdr:twoCellAnchor>
  <xdr:twoCellAnchor>
    <xdr:from>
      <xdr:col>10</xdr:col>
      <xdr:colOff>167288</xdr:colOff>
      <xdr:row>4</xdr:row>
      <xdr:rowOff>159547</xdr:rowOff>
    </xdr:from>
    <xdr:to>
      <xdr:col>12</xdr:col>
      <xdr:colOff>404658</xdr:colOff>
      <xdr:row>11</xdr:row>
      <xdr:rowOff>66488</xdr:rowOff>
    </xdr:to>
    <xdr:sp macro="" textlink="">
      <xdr:nvSpPr>
        <xdr:cNvPr id="6" name="Triângulo isósceles 5">
          <a:hlinkClick xmlns:r="http://schemas.openxmlformats.org/officeDocument/2006/relationships" r:id="rId4"/>
        </xdr:cNvPr>
        <xdr:cNvSpPr/>
      </xdr:nvSpPr>
      <xdr:spPr>
        <a:xfrm rot="7960249">
          <a:off x="6371352" y="813483"/>
          <a:ext cx="1240441" cy="1456570"/>
        </a:xfrm>
        <a:prstGeom prst="triangle">
          <a:avLst/>
        </a:prstGeom>
        <a:solidFill>
          <a:schemeClr val="accent2">
            <a:lumMod val="75000"/>
            <a:alpha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t-BR" sz="1100">
            <a:solidFill>
              <a:schemeClr val="lt1"/>
            </a:solidFill>
            <a:latin typeface="+mn-lt"/>
            <a:ea typeface="+mn-ea"/>
            <a:cs typeface="+mn-cs"/>
          </a:endParaRPr>
        </a:p>
      </xdr:txBody>
    </xdr:sp>
    <xdr:clientData/>
  </xdr:twoCellAnchor>
  <xdr:twoCellAnchor>
    <xdr:from>
      <xdr:col>13</xdr:col>
      <xdr:colOff>472089</xdr:colOff>
      <xdr:row>15</xdr:row>
      <xdr:rowOff>121447</xdr:rowOff>
    </xdr:from>
    <xdr:to>
      <xdr:col>16</xdr:col>
      <xdr:colOff>99859</xdr:colOff>
      <xdr:row>22</xdr:row>
      <xdr:rowOff>28388</xdr:rowOff>
    </xdr:to>
    <xdr:sp macro="" textlink="">
      <xdr:nvSpPr>
        <xdr:cNvPr id="7" name="Triângulo isósceles 6">
          <a:hlinkClick xmlns:r="http://schemas.openxmlformats.org/officeDocument/2006/relationships" r:id="rId5"/>
        </xdr:cNvPr>
        <xdr:cNvSpPr/>
      </xdr:nvSpPr>
      <xdr:spPr>
        <a:xfrm rot="18777258">
          <a:off x="8504953" y="2870883"/>
          <a:ext cx="1240441" cy="1456570"/>
        </a:xfrm>
        <a:prstGeom prst="triangle">
          <a:avLst/>
        </a:prstGeom>
        <a:solidFill>
          <a:schemeClr val="accent2">
            <a:lumMod val="75000"/>
            <a:alpha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t-BR" sz="1100">
            <a:solidFill>
              <a:schemeClr val="lt1"/>
            </a:solidFill>
            <a:latin typeface="+mn-lt"/>
            <a:ea typeface="+mn-ea"/>
            <a:cs typeface="+mn-cs"/>
          </a:endParaRPr>
        </a:p>
      </xdr:txBody>
    </xdr:sp>
    <xdr:clientData/>
  </xdr:twoCellAnchor>
  <xdr:twoCellAnchor>
    <xdr:from>
      <xdr:col>10</xdr:col>
      <xdr:colOff>186336</xdr:colOff>
      <xdr:row>15</xdr:row>
      <xdr:rowOff>111922</xdr:rowOff>
    </xdr:from>
    <xdr:to>
      <xdr:col>12</xdr:col>
      <xdr:colOff>423706</xdr:colOff>
      <xdr:row>22</xdr:row>
      <xdr:rowOff>18863</xdr:rowOff>
    </xdr:to>
    <xdr:sp macro="" textlink="">
      <xdr:nvSpPr>
        <xdr:cNvPr id="8" name="Triângulo isósceles 7">
          <a:hlinkClick xmlns:r="http://schemas.openxmlformats.org/officeDocument/2006/relationships" r:id="rId6"/>
        </xdr:cNvPr>
        <xdr:cNvSpPr/>
      </xdr:nvSpPr>
      <xdr:spPr>
        <a:xfrm rot="2825681">
          <a:off x="6390400" y="2861358"/>
          <a:ext cx="1240441" cy="1456570"/>
        </a:xfrm>
        <a:prstGeom prst="triangle">
          <a:avLst/>
        </a:prstGeom>
        <a:solidFill>
          <a:schemeClr val="accent2">
            <a:lumMod val="75000"/>
            <a:alpha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t-BR" sz="1100">
            <a:solidFill>
              <a:schemeClr val="lt1"/>
            </a:solidFill>
            <a:latin typeface="+mn-lt"/>
            <a:ea typeface="+mn-ea"/>
            <a:cs typeface="+mn-cs"/>
          </a:endParaRPr>
        </a:p>
      </xdr:txBody>
    </xdr:sp>
    <xdr:clientData/>
  </xdr:twoCellAnchor>
  <xdr:twoCellAnchor>
    <xdr:from>
      <xdr:col>13</xdr:col>
      <xdr:colOff>453039</xdr:colOff>
      <xdr:row>4</xdr:row>
      <xdr:rowOff>169073</xdr:rowOff>
    </xdr:from>
    <xdr:to>
      <xdr:col>16</xdr:col>
      <xdr:colOff>80809</xdr:colOff>
      <xdr:row>11</xdr:row>
      <xdr:rowOff>76014</xdr:rowOff>
    </xdr:to>
    <xdr:sp macro="" textlink="">
      <xdr:nvSpPr>
        <xdr:cNvPr id="9" name="Triângulo isósceles 8">
          <a:hlinkClick xmlns:r="http://schemas.openxmlformats.org/officeDocument/2006/relationships" r:id="rId7"/>
        </xdr:cNvPr>
        <xdr:cNvSpPr/>
      </xdr:nvSpPr>
      <xdr:spPr>
        <a:xfrm rot="13578956">
          <a:off x="8485903" y="823009"/>
          <a:ext cx="1240441" cy="1456570"/>
        </a:xfrm>
        <a:prstGeom prst="triangle">
          <a:avLst/>
        </a:prstGeom>
        <a:solidFill>
          <a:schemeClr val="accent2">
            <a:lumMod val="75000"/>
            <a:alpha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t-BR" sz="1100">
            <a:solidFill>
              <a:schemeClr val="lt1"/>
            </a:solidFill>
            <a:latin typeface="+mn-lt"/>
            <a:ea typeface="+mn-ea"/>
            <a:cs typeface="+mn-cs"/>
          </a:endParaRPr>
        </a:p>
      </xdr:txBody>
    </xdr:sp>
    <xdr:clientData/>
  </xdr:twoCellAnchor>
  <xdr:twoCellAnchor>
    <xdr:from>
      <xdr:col>0</xdr:col>
      <xdr:colOff>0</xdr:colOff>
      <xdr:row>0</xdr:row>
      <xdr:rowOff>0</xdr:rowOff>
    </xdr:from>
    <xdr:to>
      <xdr:col>8</xdr:col>
      <xdr:colOff>352425</xdr:colOff>
      <xdr:row>14</xdr:row>
      <xdr:rowOff>10583</xdr:rowOff>
    </xdr:to>
    <xdr:graphicFrame macro="">
      <xdr:nvGraphicFramePr>
        <xdr:cNvPr id="10" name="Gráfico 9">
          <a:extLst>
            <a:ext uri="{FF2B5EF4-FFF2-40B4-BE49-F238E27FC236}">
              <a16:creationId xmlns:a16="http://schemas.microsoft.com/office/drawing/2014/main" id="{00000000-0008-0000-02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21166</xdr:colOff>
      <xdr:row>30</xdr:row>
      <xdr:rowOff>105833</xdr:rowOff>
    </xdr:from>
    <xdr:to>
      <xdr:col>27</xdr:col>
      <xdr:colOff>603250</xdr:colOff>
      <xdr:row>46</xdr:row>
      <xdr:rowOff>12170</xdr:rowOff>
    </xdr:to>
    <xdr:graphicFrame macro="">
      <xdr:nvGraphicFramePr>
        <xdr:cNvPr id="11" name="Gráfico 10">
          <a:extLst>
            <a:ext uri="{FF2B5EF4-FFF2-40B4-BE49-F238E27FC236}">
              <a16:creationId xmlns:a16="http://schemas.microsoft.com/office/drawing/2014/main" id="{00000000-0008-0000-02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211667</xdr:colOff>
      <xdr:row>16</xdr:row>
      <xdr:rowOff>84667</xdr:rowOff>
    </xdr:from>
    <xdr:to>
      <xdr:col>14</xdr:col>
      <xdr:colOff>63500</xdr:colOff>
      <xdr:row>21</xdr:row>
      <xdr:rowOff>137583</xdr:rowOff>
    </xdr:to>
    <xdr:sp macro="" textlink="">
      <xdr:nvSpPr>
        <xdr:cNvPr id="12" name="CaixaDeTexto 11">
          <a:hlinkClick xmlns:r="http://schemas.openxmlformats.org/officeDocument/2006/relationships" r:id="rId1"/>
        </xdr:cNvPr>
        <xdr:cNvSpPr txBox="1"/>
      </xdr:nvSpPr>
      <xdr:spPr>
        <a:xfrm>
          <a:off x="7526867" y="3132667"/>
          <a:ext cx="1071033" cy="100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chemeClr val="bg1"/>
              </a:solidFill>
              <a:latin typeface="+mn-lt"/>
            </a:rPr>
            <a:t>EVOLUÇÃO</a:t>
          </a:r>
        </a:p>
        <a:p>
          <a:pPr algn="ctr"/>
          <a:r>
            <a:rPr lang="pt-BR" sz="1200" b="1">
              <a:solidFill>
                <a:schemeClr val="bg1"/>
              </a:solidFill>
              <a:latin typeface="+mn-lt"/>
            </a:rPr>
            <a:t>QUADRO</a:t>
          </a:r>
          <a:endParaRPr lang="pt-BR" sz="1200" b="1" baseline="0">
            <a:solidFill>
              <a:schemeClr val="bg1"/>
            </a:solidFill>
            <a:latin typeface="+mn-lt"/>
          </a:endParaRPr>
        </a:p>
        <a:p>
          <a:pPr algn="ctr"/>
          <a:r>
            <a:rPr lang="pt-BR" sz="1200" b="1" baseline="0">
              <a:solidFill>
                <a:schemeClr val="bg1"/>
              </a:solidFill>
              <a:latin typeface="+mn-lt"/>
            </a:rPr>
            <a:t>DE</a:t>
          </a:r>
        </a:p>
        <a:p>
          <a:pPr algn="ctr"/>
          <a:r>
            <a:rPr lang="pt-BR" sz="1200" b="1" baseline="0">
              <a:solidFill>
                <a:schemeClr val="bg1"/>
              </a:solidFill>
              <a:latin typeface="+mn-lt"/>
            </a:rPr>
            <a:t>PESSOAL</a:t>
          </a:r>
        </a:p>
        <a:p>
          <a:pPr algn="ctr"/>
          <a:r>
            <a:rPr lang="pt-BR" sz="1200" b="1" baseline="0">
              <a:solidFill>
                <a:schemeClr val="bg1"/>
              </a:solidFill>
              <a:latin typeface="+mn-lt"/>
            </a:rPr>
            <a:t>MME</a:t>
          </a:r>
          <a:endParaRPr lang="pt-BR" sz="1200" b="1">
            <a:solidFill>
              <a:schemeClr val="bg1"/>
            </a:solidFill>
            <a:latin typeface="+mn-lt"/>
          </a:endParaRPr>
        </a:p>
      </xdr:txBody>
    </xdr:sp>
    <xdr:clientData/>
  </xdr:twoCellAnchor>
  <xdr:twoCellAnchor>
    <xdr:from>
      <xdr:col>8</xdr:col>
      <xdr:colOff>497415</xdr:colOff>
      <xdr:row>24</xdr:row>
      <xdr:rowOff>148167</xdr:rowOff>
    </xdr:from>
    <xdr:to>
      <xdr:col>18</xdr:col>
      <xdr:colOff>95249</xdr:colOff>
      <xdr:row>38</xdr:row>
      <xdr:rowOff>0</xdr:rowOff>
    </xdr:to>
    <xdr:graphicFrame macro="">
      <xdr:nvGraphicFramePr>
        <xdr:cNvPr id="22" name="Gráfico 21">
          <a:extLst>
            <a:ext uri="{FF2B5EF4-FFF2-40B4-BE49-F238E27FC236}">
              <a16:creationId xmlns:a16="http://schemas.microsoft.com/office/drawing/2014/main" id="{00000000-0008-0000-02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518584</xdr:colOff>
      <xdr:row>38</xdr:row>
      <xdr:rowOff>42333</xdr:rowOff>
    </xdr:from>
    <xdr:to>
      <xdr:col>18</xdr:col>
      <xdr:colOff>63501</xdr:colOff>
      <xdr:row>46</xdr:row>
      <xdr:rowOff>21166</xdr:rowOff>
    </xdr:to>
    <xdr:graphicFrame macro="">
      <xdr:nvGraphicFramePr>
        <xdr:cNvPr id="25" name="Gráfico 24">
          <a:extLst>
            <a:ext uri="{FF2B5EF4-FFF2-40B4-BE49-F238E27FC236}">
              <a16:creationId xmlns:a16="http://schemas.microsoft.com/office/drawing/2014/main" id="{00000000-0008-0000-02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105833</xdr:colOff>
      <xdr:row>0</xdr:row>
      <xdr:rowOff>10583</xdr:rowOff>
    </xdr:from>
    <xdr:to>
      <xdr:col>28</xdr:col>
      <xdr:colOff>476250</xdr:colOff>
      <xdr:row>14</xdr:row>
      <xdr:rowOff>52916</xdr:rowOff>
    </xdr:to>
    <xdr:graphicFrame macro="">
      <xdr:nvGraphicFramePr>
        <xdr:cNvPr id="26" name="Gráfico 25">
          <a:extLst>
            <a:ext uri="{FF2B5EF4-FFF2-40B4-BE49-F238E27FC236}">
              <a16:creationId xmlns:a16="http://schemas.microsoft.com/office/drawing/2014/main" id="{00000000-0008-0000-02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137584</xdr:colOff>
      <xdr:row>14</xdr:row>
      <xdr:rowOff>116417</xdr:rowOff>
    </xdr:from>
    <xdr:to>
      <xdr:col>28</xdr:col>
      <xdr:colOff>518584</xdr:colOff>
      <xdr:row>29</xdr:row>
      <xdr:rowOff>42334</xdr:rowOff>
    </xdr:to>
    <xdr:graphicFrame macro="">
      <xdr:nvGraphicFramePr>
        <xdr:cNvPr id="27" name="Gráfico 26">
          <a:extLst>
            <a:ext uri="{FF2B5EF4-FFF2-40B4-BE49-F238E27FC236}">
              <a16:creationId xmlns:a16="http://schemas.microsoft.com/office/drawing/2014/main" id="{00000000-0008-0000-02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105831</xdr:colOff>
      <xdr:row>29</xdr:row>
      <xdr:rowOff>52916</xdr:rowOff>
    </xdr:from>
    <xdr:to>
      <xdr:col>28</xdr:col>
      <xdr:colOff>497416</xdr:colOff>
      <xdr:row>45</xdr:row>
      <xdr:rowOff>127000</xdr:rowOff>
    </xdr:to>
    <xdr:graphicFrame macro="">
      <xdr:nvGraphicFramePr>
        <xdr:cNvPr id="28" name="Gráfico 27">
          <a:extLst>
            <a:ext uri="{FF2B5EF4-FFF2-40B4-BE49-F238E27FC236}">
              <a16:creationId xmlns:a16="http://schemas.microsoft.com/office/drawing/2014/main" id="{00000000-0008-0000-02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0</xdr:row>
      <xdr:rowOff>0</xdr:rowOff>
    </xdr:from>
    <xdr:to>
      <xdr:col>9</xdr:col>
      <xdr:colOff>127000</xdr:colOff>
      <xdr:row>14</xdr:row>
      <xdr:rowOff>74082</xdr:rowOff>
    </xdr:to>
    <xdr:graphicFrame macro="">
      <xdr:nvGraphicFramePr>
        <xdr:cNvPr id="29" name="Gráfico 28">
          <a:extLst>
            <a:ext uri="{FF2B5EF4-FFF2-40B4-BE49-F238E27FC236}">
              <a16:creationId xmlns:a16="http://schemas.microsoft.com/office/drawing/2014/main" id="{00000000-0008-0000-0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14</xdr:row>
      <xdr:rowOff>116416</xdr:rowOff>
    </xdr:from>
    <xdr:to>
      <xdr:col>9</xdr:col>
      <xdr:colOff>137583</xdr:colOff>
      <xdr:row>29</xdr:row>
      <xdr:rowOff>84666</xdr:rowOff>
    </xdr:to>
    <xdr:graphicFrame macro="">
      <xdr:nvGraphicFramePr>
        <xdr:cNvPr id="30" name="Gráfico 29">
          <a:extLst>
            <a:ext uri="{FF2B5EF4-FFF2-40B4-BE49-F238E27FC236}">
              <a16:creationId xmlns:a16="http://schemas.microsoft.com/office/drawing/2014/main" id="{00000000-0008-0000-0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31750</xdr:colOff>
      <xdr:row>29</xdr:row>
      <xdr:rowOff>105833</xdr:rowOff>
    </xdr:from>
    <xdr:to>
      <xdr:col>9</xdr:col>
      <xdr:colOff>169333</xdr:colOff>
      <xdr:row>45</xdr:row>
      <xdr:rowOff>176135</xdr:rowOff>
    </xdr:to>
    <xdr:graphicFrame macro="">
      <xdr:nvGraphicFramePr>
        <xdr:cNvPr id="31" name="Gráfico 30">
          <a:extLst>
            <a:ext uri="{FF2B5EF4-FFF2-40B4-BE49-F238E27FC236}">
              <a16:creationId xmlns:a16="http://schemas.microsoft.com/office/drawing/2014/main" id="{00000000-0008-0000-0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172508</xdr:colOff>
      <xdr:row>10</xdr:row>
      <xdr:rowOff>137583</xdr:rowOff>
    </xdr:from>
    <xdr:to>
      <xdr:col>16</xdr:col>
      <xdr:colOff>24342</xdr:colOff>
      <xdr:row>15</xdr:row>
      <xdr:rowOff>190499</xdr:rowOff>
    </xdr:to>
    <xdr:sp macro="" textlink="">
      <xdr:nvSpPr>
        <xdr:cNvPr id="23" name="CaixaDeTexto 22">
          <a:hlinkClick xmlns:r="http://schemas.openxmlformats.org/officeDocument/2006/relationships" r:id="rId2"/>
        </xdr:cNvPr>
        <xdr:cNvSpPr txBox="1"/>
      </xdr:nvSpPr>
      <xdr:spPr>
        <a:xfrm>
          <a:off x="8766175" y="2042583"/>
          <a:ext cx="1079500" cy="100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chemeClr val="bg1"/>
              </a:solidFill>
              <a:latin typeface="+mn-lt"/>
            </a:rPr>
            <a:t>INDICADORES</a:t>
          </a:r>
        </a:p>
      </xdr:txBody>
    </xdr:sp>
    <xdr:clientData/>
  </xdr:twoCellAnchor>
  <xdr:twoCellAnchor>
    <xdr:from>
      <xdr:col>14</xdr:col>
      <xdr:colOff>219075</xdr:colOff>
      <xdr:row>4</xdr:row>
      <xdr:rowOff>9525</xdr:rowOff>
    </xdr:from>
    <xdr:to>
      <xdr:col>16</xdr:col>
      <xdr:colOff>70908</xdr:colOff>
      <xdr:row>9</xdr:row>
      <xdr:rowOff>62441</xdr:rowOff>
    </xdr:to>
    <xdr:sp macro="" textlink="">
      <xdr:nvSpPr>
        <xdr:cNvPr id="33" name="CaixaDeTexto 32">
          <a:hlinkClick xmlns:r="http://schemas.openxmlformats.org/officeDocument/2006/relationships" r:id="rId7"/>
        </xdr:cNvPr>
        <xdr:cNvSpPr txBox="1"/>
      </xdr:nvSpPr>
      <xdr:spPr>
        <a:xfrm>
          <a:off x="8753475" y="771525"/>
          <a:ext cx="1071033" cy="100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chemeClr val="bg1"/>
              </a:solidFill>
              <a:latin typeface="+mn-lt"/>
            </a:rPr>
            <a:t>Valor</a:t>
          </a:r>
          <a:r>
            <a:rPr lang="pt-BR" sz="1200" b="1" baseline="0">
              <a:solidFill>
                <a:schemeClr val="bg1"/>
              </a:solidFill>
              <a:latin typeface="+mn-lt"/>
            </a:rPr>
            <a:t> Unitário</a:t>
          </a:r>
        </a:p>
        <a:p>
          <a:pPr algn="ctr"/>
          <a:r>
            <a:rPr lang="pt-BR" sz="1200" b="1" baseline="0">
              <a:solidFill>
                <a:schemeClr val="bg1"/>
              </a:solidFill>
              <a:latin typeface="+mn-lt"/>
            </a:rPr>
            <a:t>de </a:t>
          </a:r>
        </a:p>
        <a:p>
          <a:pPr algn="ctr"/>
          <a:r>
            <a:rPr lang="pt-BR" sz="1200" b="1" baseline="0">
              <a:solidFill>
                <a:schemeClr val="bg1"/>
              </a:solidFill>
              <a:latin typeface="+mn-lt"/>
            </a:rPr>
            <a:t>Funções</a:t>
          </a:r>
          <a:endParaRPr lang="pt-BR" sz="1200" b="1">
            <a:solidFill>
              <a:schemeClr val="bg1"/>
            </a:solidFill>
            <a:latin typeface="+mn-lt"/>
          </a:endParaRPr>
        </a:p>
      </xdr:txBody>
    </xdr:sp>
    <xdr:clientData/>
  </xdr:twoCellAnchor>
  <xdr:twoCellAnchor>
    <xdr:from>
      <xdr:col>14</xdr:col>
      <xdr:colOff>257175</xdr:colOff>
      <xdr:row>17</xdr:row>
      <xdr:rowOff>57150</xdr:rowOff>
    </xdr:from>
    <xdr:to>
      <xdr:col>16</xdr:col>
      <xdr:colOff>109008</xdr:colOff>
      <xdr:row>22</xdr:row>
      <xdr:rowOff>110066</xdr:rowOff>
    </xdr:to>
    <xdr:sp macro="" textlink="">
      <xdr:nvSpPr>
        <xdr:cNvPr id="34" name="CaixaDeTexto 33">
          <a:hlinkClick xmlns:r="http://schemas.openxmlformats.org/officeDocument/2006/relationships" r:id="rId5"/>
        </xdr:cNvPr>
        <xdr:cNvSpPr txBox="1"/>
      </xdr:nvSpPr>
      <xdr:spPr>
        <a:xfrm>
          <a:off x="8791575" y="3295650"/>
          <a:ext cx="1071033" cy="100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chemeClr val="bg1"/>
              </a:solidFill>
              <a:latin typeface="+mn-lt"/>
            </a:rPr>
            <a:t>Valores </a:t>
          </a:r>
          <a:r>
            <a:rPr lang="pt-BR" sz="1200" b="1" baseline="0">
              <a:solidFill>
                <a:schemeClr val="bg1"/>
              </a:solidFill>
              <a:latin typeface="+mn-lt"/>
            </a:rPr>
            <a:t>e</a:t>
          </a:r>
        </a:p>
        <a:p>
          <a:pPr algn="ctr"/>
          <a:r>
            <a:rPr lang="pt-BR" sz="1200" b="1" baseline="0">
              <a:solidFill>
                <a:schemeClr val="bg1"/>
              </a:solidFill>
              <a:latin typeface="+mn-lt"/>
            </a:rPr>
            <a:t>Custos</a:t>
          </a:r>
        </a:p>
        <a:p>
          <a:pPr algn="ctr"/>
          <a:r>
            <a:rPr lang="pt-BR" sz="1200" b="1" baseline="0">
              <a:solidFill>
                <a:schemeClr val="bg1"/>
              </a:solidFill>
              <a:latin typeface="+mn-lt"/>
            </a:rPr>
            <a:t>das</a:t>
          </a:r>
        </a:p>
        <a:p>
          <a:pPr algn="ctr"/>
          <a:r>
            <a:rPr lang="pt-BR" sz="1200" b="1" baseline="0">
              <a:solidFill>
                <a:schemeClr val="bg1"/>
              </a:solidFill>
              <a:latin typeface="+mn-lt"/>
            </a:rPr>
            <a:t>Funções</a:t>
          </a:r>
          <a:endParaRPr lang="pt-BR" sz="1200" b="1">
            <a:solidFill>
              <a:schemeClr val="bg1"/>
            </a:solidFill>
            <a:latin typeface="+mn-lt"/>
          </a:endParaRPr>
        </a:p>
      </xdr:txBody>
    </xdr:sp>
    <xdr:clientData/>
  </xdr:twoCellAnchor>
  <xdr:twoCellAnchor>
    <xdr:from>
      <xdr:col>10</xdr:col>
      <xdr:colOff>76200</xdr:colOff>
      <xdr:row>4</xdr:row>
      <xdr:rowOff>114300</xdr:rowOff>
    </xdr:from>
    <xdr:to>
      <xdr:col>11</xdr:col>
      <xdr:colOff>537633</xdr:colOff>
      <xdr:row>9</xdr:row>
      <xdr:rowOff>167216</xdr:rowOff>
    </xdr:to>
    <xdr:sp macro="" textlink="">
      <xdr:nvSpPr>
        <xdr:cNvPr id="35" name="CaixaDeTexto 34">
          <a:hlinkClick xmlns:r="http://schemas.openxmlformats.org/officeDocument/2006/relationships" r:id="rId4"/>
        </xdr:cNvPr>
        <xdr:cNvSpPr txBox="1"/>
      </xdr:nvSpPr>
      <xdr:spPr>
        <a:xfrm>
          <a:off x="6172200" y="876300"/>
          <a:ext cx="1071033" cy="100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chemeClr val="bg1"/>
              </a:solidFill>
              <a:latin typeface="+mn-lt"/>
            </a:rPr>
            <a:t>Quantitativos </a:t>
          </a:r>
        </a:p>
        <a:p>
          <a:pPr algn="ctr"/>
          <a:r>
            <a:rPr lang="pt-BR" sz="1200" b="1">
              <a:solidFill>
                <a:schemeClr val="bg1"/>
              </a:solidFill>
              <a:latin typeface="+mn-lt"/>
            </a:rPr>
            <a:t>por Unidade</a:t>
          </a:r>
        </a:p>
      </xdr:txBody>
    </xdr:sp>
    <xdr:clientData/>
  </xdr:twoCellAnchor>
  <xdr:twoCellAnchor>
    <xdr:from>
      <xdr:col>10</xdr:col>
      <xdr:colOff>142875</xdr:colOff>
      <xdr:row>16</xdr:row>
      <xdr:rowOff>152400</xdr:rowOff>
    </xdr:from>
    <xdr:to>
      <xdr:col>11</xdr:col>
      <xdr:colOff>604308</xdr:colOff>
      <xdr:row>22</xdr:row>
      <xdr:rowOff>14816</xdr:rowOff>
    </xdr:to>
    <xdr:sp macro="" textlink="">
      <xdr:nvSpPr>
        <xdr:cNvPr id="36" name="CaixaDeTexto 35">
          <a:hlinkClick xmlns:r="http://schemas.openxmlformats.org/officeDocument/2006/relationships" r:id="rId6"/>
        </xdr:cNvPr>
        <xdr:cNvSpPr txBox="1"/>
      </xdr:nvSpPr>
      <xdr:spPr>
        <a:xfrm>
          <a:off x="6238875" y="3200400"/>
          <a:ext cx="1071033" cy="100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chemeClr val="bg1"/>
              </a:solidFill>
              <a:latin typeface="+mn-lt"/>
            </a:rPr>
            <a:t>Situação</a:t>
          </a:r>
          <a:r>
            <a:rPr lang="pt-BR" sz="1200" b="1" baseline="0">
              <a:solidFill>
                <a:schemeClr val="bg1"/>
              </a:solidFill>
              <a:latin typeface="+mn-lt"/>
            </a:rPr>
            <a:t> </a:t>
          </a:r>
        </a:p>
        <a:p>
          <a:pPr algn="ctr"/>
          <a:r>
            <a:rPr lang="pt-BR" sz="1200" b="1" baseline="0">
              <a:solidFill>
                <a:schemeClr val="bg1"/>
              </a:solidFill>
              <a:latin typeface="+mn-lt"/>
            </a:rPr>
            <a:t>Função e Susbstituição </a:t>
          </a:r>
          <a:endParaRPr lang="pt-BR" sz="1200" b="1">
            <a:solidFill>
              <a:schemeClr val="bg1"/>
            </a:solidFill>
            <a:latin typeface="+mn-lt"/>
          </a:endParaRPr>
        </a:p>
      </xdr:txBody>
    </xdr:sp>
    <xdr:clientData/>
  </xdr:twoCellAnchor>
  <xdr:twoCellAnchor>
    <xdr:from>
      <xdr:col>12</xdr:col>
      <xdr:colOff>285750</xdr:colOff>
      <xdr:row>10</xdr:row>
      <xdr:rowOff>180975</xdr:rowOff>
    </xdr:from>
    <xdr:to>
      <xdr:col>13</xdr:col>
      <xdr:colOff>606669</xdr:colOff>
      <xdr:row>15</xdr:row>
      <xdr:rowOff>166321</xdr:rowOff>
    </xdr:to>
    <xdr:sp macro="" textlink="">
      <xdr:nvSpPr>
        <xdr:cNvPr id="37" name="Retângulo 36">
          <a:hlinkClick xmlns:r="http://schemas.openxmlformats.org/officeDocument/2006/relationships" r:id="rId18"/>
        </xdr:cNvPr>
        <xdr:cNvSpPr/>
      </xdr:nvSpPr>
      <xdr:spPr>
        <a:xfrm>
          <a:off x="7600950" y="2085975"/>
          <a:ext cx="930519" cy="937846"/>
        </a:xfrm>
        <a:prstGeom prst="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pt-BR" sz="1600" b="1">
              <a:latin typeface="Broadway" panose="04040905080B02020502" pitchFamily="82" charset="0"/>
            </a:rPr>
            <a:t>CGRH / MME</a:t>
          </a:r>
        </a:p>
        <a:p>
          <a:pPr marL="0" marR="0" lvl="0" indent="0" algn="ctr" defTabSz="914400" eaLnBrk="1" fontAlgn="auto" latinLnBrk="0" hangingPunct="1">
            <a:lnSpc>
              <a:spcPct val="100000"/>
            </a:lnSpc>
            <a:spcBef>
              <a:spcPts val="0"/>
            </a:spcBef>
            <a:spcAft>
              <a:spcPts val="0"/>
            </a:spcAft>
            <a:buClrTx/>
            <a:buSzTx/>
            <a:buFontTx/>
            <a:buNone/>
            <a:tabLst/>
            <a:defRPr/>
          </a:pPr>
          <a:endParaRPr lang="pt-BR" sz="800" b="1">
            <a:solidFill>
              <a:srgbClr val="FF0000"/>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pt-BR" sz="800" b="1">
              <a:solidFill>
                <a:srgbClr val="FF0000"/>
              </a:solidFill>
              <a:effectLst/>
              <a:latin typeface="+mn-lt"/>
              <a:ea typeface="+mn-ea"/>
              <a:cs typeface="+mn-cs"/>
            </a:rPr>
            <a:t>(CLIQUE AQUI PARA VOLTAR)</a:t>
          </a:r>
          <a:endParaRPr lang="pt-BR" sz="800" b="1">
            <a:solidFill>
              <a:srgbClr val="FF0000"/>
            </a:solidFill>
            <a:effectLst/>
          </a:endParaRPr>
        </a:p>
        <a:p>
          <a:pPr algn="ctr"/>
          <a:endParaRPr lang="pt-BR" sz="1600" b="1">
            <a:latin typeface="Broadway" panose="04040905080B02020502" pitchFamily="82" charset="0"/>
          </a:endParaRPr>
        </a:p>
      </xdr:txBody>
    </xdr:sp>
    <xdr:clientData/>
  </xdr:twoCellAnchor>
  <xdr:twoCellAnchor>
    <xdr:from>
      <xdr:col>8</xdr:col>
      <xdr:colOff>285636</xdr:colOff>
      <xdr:row>9</xdr:row>
      <xdr:rowOff>100184</xdr:rowOff>
    </xdr:from>
    <xdr:to>
      <xdr:col>11</xdr:col>
      <xdr:colOff>181676</xdr:colOff>
      <xdr:row>17</xdr:row>
      <xdr:rowOff>109709</xdr:rowOff>
    </xdr:to>
    <xdr:sp macro="" textlink="">
      <xdr:nvSpPr>
        <xdr:cNvPr id="38" name="Pentágono Regular 37">
          <a:hlinkClick xmlns:r="http://schemas.openxmlformats.org/officeDocument/2006/relationships" r:id="rId19"/>
        </xdr:cNvPr>
        <xdr:cNvSpPr/>
      </xdr:nvSpPr>
      <xdr:spPr>
        <a:xfrm rot="16200000">
          <a:off x="5258093" y="1719027"/>
          <a:ext cx="1533525" cy="1724840"/>
        </a:xfrm>
        <a:prstGeom prst="pentagon">
          <a:avLst/>
        </a:prstGeom>
        <a:solidFill>
          <a:schemeClr val="accent2">
            <a:lumMod val="75000"/>
            <a:alpha val="49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200" b="1"/>
        </a:p>
      </xdr:txBody>
    </xdr:sp>
    <xdr:clientData/>
  </xdr:twoCellAnchor>
  <xdr:twoCellAnchor>
    <xdr:from>
      <xdr:col>9</xdr:col>
      <xdr:colOff>590550</xdr:colOff>
      <xdr:row>9</xdr:row>
      <xdr:rowOff>85725</xdr:rowOff>
    </xdr:from>
    <xdr:to>
      <xdr:col>12</xdr:col>
      <xdr:colOff>276225</xdr:colOff>
      <xdr:row>17</xdr:row>
      <xdr:rowOff>95250</xdr:rowOff>
    </xdr:to>
    <xdr:sp macro="" textlink="">
      <xdr:nvSpPr>
        <xdr:cNvPr id="40" name="Pentágono Regular 39">
          <a:hlinkClick xmlns:r="http://schemas.openxmlformats.org/officeDocument/2006/relationships" r:id="rId20"/>
        </xdr:cNvPr>
        <xdr:cNvSpPr/>
      </xdr:nvSpPr>
      <xdr:spPr>
        <a:xfrm rot="16200000">
          <a:off x="6067425" y="1809750"/>
          <a:ext cx="1533525" cy="1514475"/>
        </a:xfrm>
        <a:prstGeom prst="pentagon">
          <a:avLst/>
        </a:prstGeom>
        <a:solidFill>
          <a:schemeClr val="accent2">
            <a:lumMod val="75000"/>
            <a:alpha val="98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371476</xdr:colOff>
      <xdr:row>10</xdr:row>
      <xdr:rowOff>180975</xdr:rowOff>
    </xdr:from>
    <xdr:to>
      <xdr:col>12</xdr:col>
      <xdr:colOff>85726</xdr:colOff>
      <xdr:row>15</xdr:row>
      <xdr:rowOff>119590</xdr:rowOff>
    </xdr:to>
    <xdr:sp macro="" textlink="">
      <xdr:nvSpPr>
        <xdr:cNvPr id="42" name="CaixaDeTexto 41">
          <a:hlinkClick xmlns:r="http://schemas.openxmlformats.org/officeDocument/2006/relationships" r:id="rId20"/>
        </xdr:cNvPr>
        <xdr:cNvSpPr txBox="1"/>
      </xdr:nvSpPr>
      <xdr:spPr>
        <a:xfrm>
          <a:off x="6467476" y="2085975"/>
          <a:ext cx="933450" cy="8911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chemeClr val="bg1"/>
              </a:solidFill>
              <a:latin typeface="+mn-lt"/>
            </a:rPr>
            <a:t>CARGO</a:t>
          </a:r>
        </a:p>
        <a:p>
          <a:pPr algn="ctr"/>
          <a:r>
            <a:rPr lang="pt-BR" sz="1200" b="1">
              <a:solidFill>
                <a:schemeClr val="bg1"/>
              </a:solidFill>
              <a:latin typeface="+mn-lt"/>
            </a:rPr>
            <a:t>EM COMISSÃO</a:t>
          </a:r>
        </a:p>
        <a:p>
          <a:pPr algn="ctr"/>
          <a:r>
            <a:rPr lang="pt-BR" sz="1200" b="1">
              <a:solidFill>
                <a:schemeClr val="bg1"/>
              </a:solidFill>
              <a:latin typeface="+mn-lt"/>
            </a:rPr>
            <a:t>(DAS/FCPE)</a:t>
          </a:r>
        </a:p>
      </xdr:txBody>
    </xdr:sp>
    <xdr:clientData/>
  </xdr:twoCellAnchor>
  <xdr:twoCellAnchor>
    <xdr:from>
      <xdr:col>8</xdr:col>
      <xdr:colOff>476250</xdr:colOff>
      <xdr:row>11</xdr:row>
      <xdr:rowOff>123825</xdr:rowOff>
    </xdr:from>
    <xdr:to>
      <xdr:col>9</xdr:col>
      <xdr:colOff>590550</xdr:colOff>
      <xdr:row>12</xdr:row>
      <xdr:rowOff>180975</xdr:rowOff>
    </xdr:to>
    <xdr:sp macro="" textlink="">
      <xdr:nvSpPr>
        <xdr:cNvPr id="14" name="CaixaDeTexto 13">
          <a:hlinkClick xmlns:r="http://schemas.openxmlformats.org/officeDocument/2006/relationships" r:id="rId19"/>
        </xdr:cNvPr>
        <xdr:cNvSpPr txBox="1"/>
      </xdr:nvSpPr>
      <xdr:spPr>
        <a:xfrm>
          <a:off x="5353050" y="2219325"/>
          <a:ext cx="7239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chemeClr val="bg1"/>
              </a:solidFill>
            </a:rPr>
            <a:t>Relação</a:t>
          </a:r>
        </a:p>
      </xdr:txBody>
    </xdr:sp>
    <xdr:clientData/>
  </xdr:twoCellAnchor>
  <xdr:twoCellAnchor>
    <xdr:from>
      <xdr:col>8</xdr:col>
      <xdr:colOff>361949</xdr:colOff>
      <xdr:row>13</xdr:row>
      <xdr:rowOff>123825</xdr:rowOff>
    </xdr:from>
    <xdr:to>
      <xdr:col>9</xdr:col>
      <xdr:colOff>590550</xdr:colOff>
      <xdr:row>14</xdr:row>
      <xdr:rowOff>180975</xdr:rowOff>
    </xdr:to>
    <xdr:sp macro="" textlink="">
      <xdr:nvSpPr>
        <xdr:cNvPr id="43" name="CaixaDeTexto 42">
          <a:hlinkClick xmlns:r="http://schemas.openxmlformats.org/officeDocument/2006/relationships" r:id="rId19"/>
        </xdr:cNvPr>
        <xdr:cNvSpPr txBox="1"/>
      </xdr:nvSpPr>
      <xdr:spPr>
        <a:xfrm>
          <a:off x="5238749" y="2600325"/>
          <a:ext cx="838201"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50" b="1">
              <a:solidFill>
                <a:schemeClr val="bg1"/>
              </a:solidFill>
            </a:rPr>
            <a:t>Nomeados</a:t>
          </a:r>
        </a:p>
      </xdr:txBody>
    </xdr:sp>
    <xdr:clientData/>
  </xdr:twoCellAnchor>
  <xdr:twoCellAnchor>
    <xdr:from>
      <xdr:col>8</xdr:col>
      <xdr:colOff>590550</xdr:colOff>
      <xdr:row>12</xdr:row>
      <xdr:rowOff>152400</xdr:rowOff>
    </xdr:from>
    <xdr:to>
      <xdr:col>9</xdr:col>
      <xdr:colOff>352425</xdr:colOff>
      <xdr:row>14</xdr:row>
      <xdr:rowOff>19050</xdr:rowOff>
    </xdr:to>
    <xdr:sp macro="" textlink="">
      <xdr:nvSpPr>
        <xdr:cNvPr id="44" name="CaixaDeTexto 43">
          <a:hlinkClick xmlns:r="http://schemas.openxmlformats.org/officeDocument/2006/relationships" r:id="rId19"/>
        </xdr:cNvPr>
        <xdr:cNvSpPr txBox="1"/>
      </xdr:nvSpPr>
      <xdr:spPr>
        <a:xfrm>
          <a:off x="5467350" y="2438400"/>
          <a:ext cx="3714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chemeClr val="bg1"/>
              </a:solidFill>
            </a:rPr>
            <a:t>de</a:t>
          </a:r>
        </a:p>
      </xdr:txBody>
    </xdr:sp>
    <xdr:clientData/>
  </xdr:twoCellAnchor>
  <xdr:twoCellAnchor editAs="oneCell">
    <xdr:from>
      <xdr:col>28</xdr:col>
      <xdr:colOff>66675</xdr:colOff>
      <xdr:row>0</xdr:row>
      <xdr:rowOff>161925</xdr:rowOff>
    </xdr:from>
    <xdr:to>
      <xdr:col>28</xdr:col>
      <xdr:colOff>389059</xdr:colOff>
      <xdr:row>2</xdr:row>
      <xdr:rowOff>103832</xdr:rowOff>
    </xdr:to>
    <xdr:pic macro="[0]!sair_gravando">
      <xdr:nvPicPr>
        <xdr:cNvPr id="45" name="Imagem 44" descr="TechByte - Assistência Informática: Saiba porque não deve desligar ..."/>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7135475" y="161925"/>
          <a:ext cx="322384" cy="322907"/>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247650</xdr:colOff>
      <xdr:row>0</xdr:row>
      <xdr:rowOff>57152</xdr:rowOff>
    </xdr:from>
    <xdr:to>
      <xdr:col>0</xdr:col>
      <xdr:colOff>1243943</xdr:colOff>
      <xdr:row>0</xdr:row>
      <xdr:rowOff>447676</xdr:rowOff>
    </xdr:to>
    <xdr:sp macro="" textlink="">
      <xdr:nvSpPr>
        <xdr:cNvPr id="3" name="Seta para a esquerda 42">
          <a:hlinkClick xmlns:r="http://schemas.openxmlformats.org/officeDocument/2006/relationships" r:id="rId1"/>
          <a:extLst>
            <a:ext uri="{FF2B5EF4-FFF2-40B4-BE49-F238E27FC236}">
              <a16:creationId xmlns:a16="http://schemas.microsoft.com/office/drawing/2014/main" id="{00000000-0008-0000-5200-00002B000000}"/>
            </a:ext>
          </a:extLst>
        </xdr:cNvPr>
        <xdr:cNvSpPr/>
      </xdr:nvSpPr>
      <xdr:spPr>
        <a:xfrm>
          <a:off x="247650" y="57152"/>
          <a:ext cx="996293" cy="390524"/>
        </a:xfrm>
        <a:prstGeom prst="leftArrow">
          <a:avLst/>
        </a:prstGeom>
        <a:solidFill>
          <a:srgbClr val="BD2115"/>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VOLTAR</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161925</xdr:colOff>
      <xdr:row>0</xdr:row>
      <xdr:rowOff>57150</xdr:rowOff>
    </xdr:from>
    <xdr:to>
      <xdr:col>0</xdr:col>
      <xdr:colOff>1158218</xdr:colOff>
      <xdr:row>0</xdr:row>
      <xdr:rowOff>466725</xdr:rowOff>
    </xdr:to>
    <xdr:sp macro="" textlink="">
      <xdr:nvSpPr>
        <xdr:cNvPr id="2" name="Seta para a esquerda 42">
          <a:hlinkClick xmlns:r="http://schemas.openxmlformats.org/officeDocument/2006/relationships" r:id="rId1"/>
          <a:extLst>
            <a:ext uri="{FF2B5EF4-FFF2-40B4-BE49-F238E27FC236}">
              <a16:creationId xmlns:a16="http://schemas.microsoft.com/office/drawing/2014/main" id="{00000000-0008-0000-5200-00002B000000}"/>
            </a:ext>
          </a:extLst>
        </xdr:cNvPr>
        <xdr:cNvSpPr/>
      </xdr:nvSpPr>
      <xdr:spPr>
        <a:xfrm>
          <a:off x="161925" y="57150"/>
          <a:ext cx="996293" cy="409575"/>
        </a:xfrm>
        <a:prstGeom prst="leftArrow">
          <a:avLst/>
        </a:prstGeom>
        <a:solidFill>
          <a:srgbClr val="BD2115"/>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VOLTAR</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247650</xdr:colOff>
      <xdr:row>0</xdr:row>
      <xdr:rowOff>85725</xdr:rowOff>
    </xdr:from>
    <xdr:to>
      <xdr:col>1</xdr:col>
      <xdr:colOff>320018</xdr:colOff>
      <xdr:row>0</xdr:row>
      <xdr:rowOff>514350</xdr:rowOff>
    </xdr:to>
    <xdr:sp macro="" textlink="">
      <xdr:nvSpPr>
        <xdr:cNvPr id="2" name="Seta para a esquerda 42">
          <a:hlinkClick xmlns:r="http://schemas.openxmlformats.org/officeDocument/2006/relationships" r:id="rId1"/>
          <a:extLst>
            <a:ext uri="{FF2B5EF4-FFF2-40B4-BE49-F238E27FC236}">
              <a16:creationId xmlns:a16="http://schemas.microsoft.com/office/drawing/2014/main" id="{00000000-0008-0000-5200-00002B000000}"/>
            </a:ext>
          </a:extLst>
        </xdr:cNvPr>
        <xdr:cNvSpPr/>
      </xdr:nvSpPr>
      <xdr:spPr>
        <a:xfrm>
          <a:off x="247650" y="85725"/>
          <a:ext cx="996293" cy="428625"/>
        </a:xfrm>
        <a:prstGeom prst="leftArrow">
          <a:avLst/>
        </a:prstGeom>
        <a:solidFill>
          <a:srgbClr val="BD2115"/>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VOLTAR</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0</xdr:colOff>
      <xdr:row>19</xdr:row>
      <xdr:rowOff>47625</xdr:rowOff>
    </xdr:from>
    <xdr:to>
      <xdr:col>13</xdr:col>
      <xdr:colOff>838200</xdr:colOff>
      <xdr:row>32</xdr:row>
      <xdr:rowOff>70878</xdr:rowOff>
    </xdr:to>
    <xdr:graphicFrame macro="">
      <xdr:nvGraphicFramePr>
        <xdr:cNvPr id="2" name="Gráfico 1">
          <a:extLst>
            <a:ext uri="{FF2B5EF4-FFF2-40B4-BE49-F238E27FC236}">
              <a16:creationId xmlns:a16="http://schemas.microsoft.com/office/drawing/2014/main" id="{00000000-0008-0000-7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57150</xdr:colOff>
      <xdr:row>2</xdr:row>
      <xdr:rowOff>9525</xdr:rowOff>
    </xdr:from>
    <xdr:to>
      <xdr:col>23</xdr:col>
      <xdr:colOff>541621</xdr:colOff>
      <xdr:row>32</xdr:row>
      <xdr:rowOff>66675</xdr:rowOff>
    </xdr:to>
    <xdr:graphicFrame macro="">
      <xdr:nvGraphicFramePr>
        <xdr:cNvPr id="3" name="Gráfico 2">
          <a:extLst>
            <a:ext uri="{FF2B5EF4-FFF2-40B4-BE49-F238E27FC236}">
              <a16:creationId xmlns:a16="http://schemas.microsoft.com/office/drawing/2014/main" id="{00000000-0008-0000-7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152400</xdr:colOff>
      <xdr:row>0</xdr:row>
      <xdr:rowOff>95250</xdr:rowOff>
    </xdr:from>
    <xdr:to>
      <xdr:col>0</xdr:col>
      <xdr:colOff>1148693</xdr:colOff>
      <xdr:row>0</xdr:row>
      <xdr:rowOff>533181</xdr:rowOff>
    </xdr:to>
    <xdr:sp macro="" textlink="">
      <xdr:nvSpPr>
        <xdr:cNvPr id="4" name="Seta para a esquerda 42">
          <a:hlinkClick xmlns:r="http://schemas.openxmlformats.org/officeDocument/2006/relationships" r:id="rId3"/>
          <a:extLst>
            <a:ext uri="{FF2B5EF4-FFF2-40B4-BE49-F238E27FC236}">
              <a16:creationId xmlns:a16="http://schemas.microsoft.com/office/drawing/2014/main" id="{00000000-0008-0000-5200-00002B000000}"/>
            </a:ext>
          </a:extLst>
        </xdr:cNvPr>
        <xdr:cNvSpPr/>
      </xdr:nvSpPr>
      <xdr:spPr>
        <a:xfrm>
          <a:off x="152400" y="95250"/>
          <a:ext cx="996293" cy="437931"/>
        </a:xfrm>
        <a:prstGeom prst="leftArrow">
          <a:avLst/>
        </a:prstGeom>
        <a:solidFill>
          <a:srgbClr val="BD2115"/>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VOLTAR</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304800</xdr:colOff>
      <xdr:row>0</xdr:row>
      <xdr:rowOff>76200</xdr:rowOff>
    </xdr:from>
    <xdr:to>
      <xdr:col>0</xdr:col>
      <xdr:colOff>1301093</xdr:colOff>
      <xdr:row>0</xdr:row>
      <xdr:rowOff>514131</xdr:rowOff>
    </xdr:to>
    <xdr:sp macro="" textlink="">
      <xdr:nvSpPr>
        <xdr:cNvPr id="6" name="Seta para a esquerda 42">
          <a:hlinkClick xmlns:r="http://schemas.openxmlformats.org/officeDocument/2006/relationships" r:id="rId1"/>
          <a:extLst>
            <a:ext uri="{FF2B5EF4-FFF2-40B4-BE49-F238E27FC236}">
              <a16:creationId xmlns:a16="http://schemas.microsoft.com/office/drawing/2014/main" id="{00000000-0008-0000-5200-00002B000000}"/>
            </a:ext>
          </a:extLst>
        </xdr:cNvPr>
        <xdr:cNvSpPr/>
      </xdr:nvSpPr>
      <xdr:spPr>
        <a:xfrm>
          <a:off x="304800" y="76200"/>
          <a:ext cx="996293" cy="437931"/>
        </a:xfrm>
        <a:prstGeom prst="leftArrow">
          <a:avLst/>
        </a:prstGeom>
        <a:solidFill>
          <a:srgbClr val="BD2115"/>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VOLTAR</a:t>
          </a:r>
        </a:p>
      </xdr:txBody>
    </xdr:sp>
    <xdr:clientData/>
  </xdr:twoCellAnchor>
  <xdr:twoCellAnchor>
    <xdr:from>
      <xdr:col>10</xdr:col>
      <xdr:colOff>238125</xdr:colOff>
      <xdr:row>43</xdr:row>
      <xdr:rowOff>9526</xdr:rowOff>
    </xdr:from>
    <xdr:to>
      <xdr:col>17</xdr:col>
      <xdr:colOff>19049</xdr:colOff>
      <xdr:row>59</xdr:row>
      <xdr:rowOff>1</xdr:rowOff>
    </xdr:to>
    <xdr:graphicFrame macro="">
      <xdr:nvGraphicFramePr>
        <xdr:cNvPr id="8" name="Gráfico 7">
          <a:extLst>
            <a:ext uri="{FF2B5EF4-FFF2-40B4-BE49-F238E27FC236}">
              <a16:creationId xmlns:a16="http://schemas.microsoft.com/office/drawing/2014/main" id="{00000000-0008-0000-6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342900</xdr:colOff>
      <xdr:row>48</xdr:row>
      <xdr:rowOff>95250</xdr:rowOff>
    </xdr:from>
    <xdr:to>
      <xdr:col>17</xdr:col>
      <xdr:colOff>123824</xdr:colOff>
      <xdr:row>55</xdr:row>
      <xdr:rowOff>133350</xdr:rowOff>
    </xdr:to>
    <xdr:graphicFrame macro="">
      <xdr:nvGraphicFramePr>
        <xdr:cNvPr id="10" name="Gráfico 9">
          <a:extLst>
            <a:ext uri="{FF2B5EF4-FFF2-40B4-BE49-F238E27FC236}">
              <a16:creationId xmlns:a16="http://schemas.microsoft.com/office/drawing/2014/main" id="{00000000-0008-0000-6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171450</xdr:colOff>
      <xdr:row>45</xdr:row>
      <xdr:rowOff>38100</xdr:rowOff>
    </xdr:from>
    <xdr:to>
      <xdr:col>12</xdr:col>
      <xdr:colOff>285750</xdr:colOff>
      <xdr:row>46</xdr:row>
      <xdr:rowOff>38101</xdr:rowOff>
    </xdr:to>
    <xdr:sp macro="" textlink="">
      <xdr:nvSpPr>
        <xdr:cNvPr id="11" name="Retângulo 10">
          <a:extLst>
            <a:ext uri="{FF2B5EF4-FFF2-40B4-BE49-F238E27FC236}">
              <a16:creationId xmlns:a16="http://schemas.microsoft.com/office/drawing/2014/main" id="{00000000-0008-0000-6E00-000016000000}"/>
            </a:ext>
          </a:extLst>
        </xdr:cNvPr>
        <xdr:cNvSpPr/>
      </xdr:nvSpPr>
      <xdr:spPr>
        <a:xfrm>
          <a:off x="13373100" y="9525000"/>
          <a:ext cx="114300" cy="200026"/>
        </a:xfrm>
        <a:prstGeom prst="rect">
          <a:avLst/>
        </a:prstGeom>
        <a:solidFill>
          <a:schemeClr val="accent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600"/>
        </a:p>
      </xdr:txBody>
    </xdr:sp>
    <xdr:clientData/>
  </xdr:twoCellAnchor>
  <xdr:twoCellAnchor>
    <xdr:from>
      <xdr:col>12</xdr:col>
      <xdr:colOff>333374</xdr:colOff>
      <xdr:row>45</xdr:row>
      <xdr:rowOff>38101</xdr:rowOff>
    </xdr:from>
    <xdr:to>
      <xdr:col>13</xdr:col>
      <xdr:colOff>504824</xdr:colOff>
      <xdr:row>46</xdr:row>
      <xdr:rowOff>47626</xdr:rowOff>
    </xdr:to>
    <xdr:sp macro="" textlink="">
      <xdr:nvSpPr>
        <xdr:cNvPr id="12" name="CaixaDeTexto 11">
          <a:extLst>
            <a:ext uri="{FF2B5EF4-FFF2-40B4-BE49-F238E27FC236}">
              <a16:creationId xmlns:a16="http://schemas.microsoft.com/office/drawing/2014/main" id="{00000000-0008-0000-6E00-000018000000}"/>
            </a:ext>
          </a:extLst>
        </xdr:cNvPr>
        <xdr:cNvSpPr txBox="1"/>
      </xdr:nvSpPr>
      <xdr:spPr>
        <a:xfrm>
          <a:off x="13535024" y="9525001"/>
          <a:ext cx="885825" cy="209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a:t>Custo Relativo</a:t>
          </a:r>
        </a:p>
      </xdr:txBody>
    </xdr:sp>
    <xdr:clientData/>
  </xdr:twoCellAnchor>
  <xdr:twoCellAnchor>
    <xdr:from>
      <xdr:col>13</xdr:col>
      <xdr:colOff>771525</xdr:colOff>
      <xdr:row>45</xdr:row>
      <xdr:rowOff>47626</xdr:rowOff>
    </xdr:from>
    <xdr:to>
      <xdr:col>13</xdr:col>
      <xdr:colOff>885825</xdr:colOff>
      <xdr:row>46</xdr:row>
      <xdr:rowOff>47627</xdr:rowOff>
    </xdr:to>
    <xdr:sp macro="" textlink="">
      <xdr:nvSpPr>
        <xdr:cNvPr id="13" name="Retângulo 12">
          <a:extLst>
            <a:ext uri="{FF2B5EF4-FFF2-40B4-BE49-F238E27FC236}">
              <a16:creationId xmlns:a16="http://schemas.microsoft.com/office/drawing/2014/main" id="{00000000-0008-0000-6E00-000019000000}"/>
            </a:ext>
          </a:extLst>
        </xdr:cNvPr>
        <xdr:cNvSpPr/>
      </xdr:nvSpPr>
      <xdr:spPr>
        <a:xfrm>
          <a:off x="14687550" y="9534526"/>
          <a:ext cx="114300" cy="200026"/>
        </a:xfrm>
        <a:prstGeom prst="rect">
          <a:avLst/>
        </a:prstGeom>
        <a:solidFill>
          <a:schemeClr val="accent6">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600"/>
        </a:p>
      </xdr:txBody>
    </xdr:sp>
    <xdr:clientData/>
  </xdr:twoCellAnchor>
  <xdr:twoCellAnchor>
    <xdr:from>
      <xdr:col>13</xdr:col>
      <xdr:colOff>923925</xdr:colOff>
      <xdr:row>45</xdr:row>
      <xdr:rowOff>38101</xdr:rowOff>
    </xdr:from>
    <xdr:to>
      <xdr:col>14</xdr:col>
      <xdr:colOff>962025</xdr:colOff>
      <xdr:row>46</xdr:row>
      <xdr:rowOff>57151</xdr:rowOff>
    </xdr:to>
    <xdr:sp macro="" textlink="">
      <xdr:nvSpPr>
        <xdr:cNvPr id="14" name="CaixaDeTexto 13">
          <a:extLst>
            <a:ext uri="{FF2B5EF4-FFF2-40B4-BE49-F238E27FC236}">
              <a16:creationId xmlns:a16="http://schemas.microsoft.com/office/drawing/2014/main" id="{00000000-0008-0000-6E00-00001A000000}"/>
            </a:ext>
          </a:extLst>
        </xdr:cNvPr>
        <xdr:cNvSpPr txBox="1"/>
      </xdr:nvSpPr>
      <xdr:spPr>
        <a:xfrm>
          <a:off x="14839950" y="9525001"/>
          <a:ext cx="9906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a:t>Custo</a:t>
          </a:r>
          <a:r>
            <a:rPr lang="pt-BR" sz="900" baseline="0"/>
            <a:t> Absoluto</a:t>
          </a:r>
          <a:endParaRPr lang="pt-BR" sz="9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571500</xdr:colOff>
      <xdr:row>9</xdr:row>
      <xdr:rowOff>85725</xdr:rowOff>
    </xdr:from>
    <xdr:to>
      <xdr:col>12</xdr:col>
      <xdr:colOff>257175</xdr:colOff>
      <xdr:row>17</xdr:row>
      <xdr:rowOff>95250</xdr:rowOff>
    </xdr:to>
    <xdr:sp macro="" textlink="">
      <xdr:nvSpPr>
        <xdr:cNvPr id="2" name="Pentágono Regular 1">
          <a:hlinkClick xmlns:r="http://schemas.openxmlformats.org/officeDocument/2006/relationships" r:id="rId1"/>
        </xdr:cNvPr>
        <xdr:cNvSpPr/>
      </xdr:nvSpPr>
      <xdr:spPr>
        <a:xfrm rot="16200000">
          <a:off x="6048375" y="1809750"/>
          <a:ext cx="1533525" cy="1514475"/>
        </a:xfrm>
        <a:prstGeom prst="pentagon">
          <a:avLst/>
        </a:prstGeom>
        <a:solidFill>
          <a:schemeClr val="accent2">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581025</xdr:colOff>
      <xdr:row>16</xdr:row>
      <xdr:rowOff>0</xdr:rowOff>
    </xdr:from>
    <xdr:to>
      <xdr:col>14</xdr:col>
      <xdr:colOff>285750</xdr:colOff>
      <xdr:row>23</xdr:row>
      <xdr:rowOff>180975</xdr:rowOff>
    </xdr:to>
    <xdr:sp macro="" textlink="">
      <xdr:nvSpPr>
        <xdr:cNvPr id="3" name="Pentágono Regular 2">
          <a:hlinkClick xmlns:r="http://schemas.openxmlformats.org/officeDocument/2006/relationships" r:id="rId2"/>
        </xdr:cNvPr>
        <xdr:cNvSpPr/>
      </xdr:nvSpPr>
      <xdr:spPr>
        <a:xfrm rot="10800000">
          <a:off x="7286625" y="3048000"/>
          <a:ext cx="1533525" cy="1514475"/>
        </a:xfrm>
        <a:prstGeom prst="pentagon">
          <a:avLst/>
        </a:prstGeom>
        <a:solidFill>
          <a:schemeClr val="accent2">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baseline="0"/>
        </a:p>
      </xdr:txBody>
    </xdr:sp>
    <xdr:clientData/>
  </xdr:twoCellAnchor>
  <xdr:twoCellAnchor>
    <xdr:from>
      <xdr:col>14</xdr:col>
      <xdr:colOff>9525</xdr:colOff>
      <xdr:row>9</xdr:row>
      <xdr:rowOff>95250</xdr:rowOff>
    </xdr:from>
    <xdr:to>
      <xdr:col>16</xdr:col>
      <xdr:colOff>304800</xdr:colOff>
      <xdr:row>17</xdr:row>
      <xdr:rowOff>104775</xdr:rowOff>
    </xdr:to>
    <xdr:sp macro="" textlink="">
      <xdr:nvSpPr>
        <xdr:cNvPr id="4" name="Pentágono Regular 3">
          <a:hlinkClick xmlns:r="http://schemas.openxmlformats.org/officeDocument/2006/relationships" r:id="rId3"/>
        </xdr:cNvPr>
        <xdr:cNvSpPr/>
      </xdr:nvSpPr>
      <xdr:spPr>
        <a:xfrm rot="5400000">
          <a:off x="8534400" y="1819275"/>
          <a:ext cx="1533525" cy="1514475"/>
        </a:xfrm>
        <a:prstGeom prst="pentagon">
          <a:avLst/>
        </a:prstGeom>
        <a:solidFill>
          <a:schemeClr val="accent2">
            <a:lumMod val="75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581025</xdr:colOff>
      <xdr:row>3</xdr:row>
      <xdr:rowOff>0</xdr:rowOff>
    </xdr:from>
    <xdr:to>
      <xdr:col>14</xdr:col>
      <xdr:colOff>285750</xdr:colOff>
      <xdr:row>10</xdr:row>
      <xdr:rowOff>180975</xdr:rowOff>
    </xdr:to>
    <xdr:sp macro="" textlink="">
      <xdr:nvSpPr>
        <xdr:cNvPr id="5" name="Pentágono Regular 4">
          <a:hlinkClick xmlns:r="http://schemas.openxmlformats.org/officeDocument/2006/relationships" r:id="rId4"/>
        </xdr:cNvPr>
        <xdr:cNvSpPr/>
      </xdr:nvSpPr>
      <xdr:spPr>
        <a:xfrm>
          <a:off x="7286625" y="571500"/>
          <a:ext cx="1533525" cy="1514475"/>
        </a:xfrm>
        <a:prstGeom prst="pentagon">
          <a:avLst/>
        </a:prstGeom>
        <a:solidFill>
          <a:schemeClr val="accent2">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200" b="1"/>
            <a:t>Quadro</a:t>
          </a:r>
        </a:p>
        <a:p>
          <a:pPr algn="ctr"/>
          <a:r>
            <a:rPr lang="pt-BR" sz="1200" b="1"/>
            <a:t>de</a:t>
          </a:r>
        </a:p>
        <a:p>
          <a:pPr algn="ctr"/>
          <a:r>
            <a:rPr lang="pt-BR" sz="1200" b="1"/>
            <a:t>Pessoal</a:t>
          </a:r>
        </a:p>
        <a:p>
          <a:pPr algn="ctr"/>
          <a:r>
            <a:rPr lang="pt-BR" sz="1200" b="1"/>
            <a:t>(Exercício MME)</a:t>
          </a:r>
        </a:p>
      </xdr:txBody>
    </xdr:sp>
    <xdr:clientData/>
  </xdr:twoCellAnchor>
  <xdr:twoCellAnchor>
    <xdr:from>
      <xdr:col>13</xdr:col>
      <xdr:colOff>453039</xdr:colOff>
      <xdr:row>4</xdr:row>
      <xdr:rowOff>169073</xdr:rowOff>
    </xdr:from>
    <xdr:to>
      <xdr:col>16</xdr:col>
      <xdr:colOff>80809</xdr:colOff>
      <xdr:row>11</xdr:row>
      <xdr:rowOff>76014</xdr:rowOff>
    </xdr:to>
    <xdr:sp macro="" textlink="">
      <xdr:nvSpPr>
        <xdr:cNvPr id="9" name="Triângulo isósceles 8">
          <a:hlinkClick xmlns:r="http://schemas.openxmlformats.org/officeDocument/2006/relationships" r:id="rId5"/>
        </xdr:cNvPr>
        <xdr:cNvSpPr/>
      </xdr:nvSpPr>
      <xdr:spPr>
        <a:xfrm rot="13578956">
          <a:off x="8485903" y="823009"/>
          <a:ext cx="1240441" cy="1456570"/>
        </a:xfrm>
        <a:prstGeom prst="triangle">
          <a:avLst/>
        </a:prstGeom>
        <a:solidFill>
          <a:schemeClr val="accent2">
            <a:lumMod val="75000"/>
            <a:alpha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t-BR" sz="1100">
            <a:solidFill>
              <a:schemeClr val="lt1"/>
            </a:solidFill>
            <a:latin typeface="+mn-lt"/>
            <a:ea typeface="+mn-ea"/>
            <a:cs typeface="+mn-cs"/>
          </a:endParaRPr>
        </a:p>
      </xdr:txBody>
    </xdr:sp>
    <xdr:clientData/>
  </xdr:twoCellAnchor>
  <xdr:twoCellAnchor>
    <xdr:from>
      <xdr:col>0</xdr:col>
      <xdr:colOff>0</xdr:colOff>
      <xdr:row>0</xdr:row>
      <xdr:rowOff>0</xdr:rowOff>
    </xdr:from>
    <xdr:to>
      <xdr:col>8</xdr:col>
      <xdr:colOff>352425</xdr:colOff>
      <xdr:row>14</xdr:row>
      <xdr:rowOff>10583</xdr:rowOff>
    </xdr:to>
    <xdr:graphicFrame macro="">
      <xdr:nvGraphicFramePr>
        <xdr:cNvPr id="10" name="Gráfico 9">
          <a:extLst>
            <a:ext uri="{FF2B5EF4-FFF2-40B4-BE49-F238E27FC236}">
              <a16:creationId xmlns:a16="http://schemas.microsoft.com/office/drawing/2014/main" id="{00000000-0008-0000-02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21166</xdr:colOff>
      <xdr:row>30</xdr:row>
      <xdr:rowOff>105833</xdr:rowOff>
    </xdr:from>
    <xdr:to>
      <xdr:col>27</xdr:col>
      <xdr:colOff>603250</xdr:colOff>
      <xdr:row>46</xdr:row>
      <xdr:rowOff>12170</xdr:rowOff>
    </xdr:to>
    <xdr:graphicFrame macro="">
      <xdr:nvGraphicFramePr>
        <xdr:cNvPr id="11" name="Gráfico 10">
          <a:extLst>
            <a:ext uri="{FF2B5EF4-FFF2-40B4-BE49-F238E27FC236}">
              <a16:creationId xmlns:a16="http://schemas.microsoft.com/office/drawing/2014/main" id="{00000000-0008-0000-02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211667</xdr:colOff>
      <xdr:row>16</xdr:row>
      <xdr:rowOff>84667</xdr:rowOff>
    </xdr:from>
    <xdr:to>
      <xdr:col>14</xdr:col>
      <xdr:colOff>63500</xdr:colOff>
      <xdr:row>21</xdr:row>
      <xdr:rowOff>137583</xdr:rowOff>
    </xdr:to>
    <xdr:sp macro="" textlink="">
      <xdr:nvSpPr>
        <xdr:cNvPr id="12" name="CaixaDeTexto 11">
          <a:hlinkClick xmlns:r="http://schemas.openxmlformats.org/officeDocument/2006/relationships" r:id="rId2"/>
        </xdr:cNvPr>
        <xdr:cNvSpPr txBox="1"/>
      </xdr:nvSpPr>
      <xdr:spPr>
        <a:xfrm>
          <a:off x="7526867" y="3132667"/>
          <a:ext cx="1071033" cy="100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chemeClr val="bg1"/>
              </a:solidFill>
              <a:latin typeface="+mn-lt"/>
            </a:rPr>
            <a:t>EVOLUÇÃO</a:t>
          </a:r>
        </a:p>
        <a:p>
          <a:pPr algn="ctr"/>
          <a:r>
            <a:rPr lang="pt-BR" sz="1200" b="1">
              <a:solidFill>
                <a:schemeClr val="bg1"/>
              </a:solidFill>
              <a:latin typeface="+mn-lt"/>
            </a:rPr>
            <a:t>QUADRO</a:t>
          </a:r>
          <a:endParaRPr lang="pt-BR" sz="1200" b="1" baseline="0">
            <a:solidFill>
              <a:schemeClr val="bg1"/>
            </a:solidFill>
            <a:latin typeface="+mn-lt"/>
          </a:endParaRPr>
        </a:p>
        <a:p>
          <a:pPr algn="ctr"/>
          <a:r>
            <a:rPr lang="pt-BR" sz="1200" b="1" baseline="0">
              <a:solidFill>
                <a:schemeClr val="bg1"/>
              </a:solidFill>
              <a:latin typeface="+mn-lt"/>
            </a:rPr>
            <a:t>DE</a:t>
          </a:r>
        </a:p>
        <a:p>
          <a:pPr algn="ctr"/>
          <a:r>
            <a:rPr lang="pt-BR" sz="1200" b="1" baseline="0">
              <a:solidFill>
                <a:schemeClr val="bg1"/>
              </a:solidFill>
              <a:latin typeface="+mn-lt"/>
            </a:rPr>
            <a:t>PESSOAL</a:t>
          </a:r>
        </a:p>
        <a:p>
          <a:pPr algn="ctr"/>
          <a:r>
            <a:rPr lang="pt-BR" sz="1200" b="1" baseline="0">
              <a:solidFill>
                <a:schemeClr val="bg1"/>
              </a:solidFill>
              <a:latin typeface="+mn-lt"/>
            </a:rPr>
            <a:t>MME</a:t>
          </a:r>
          <a:endParaRPr lang="pt-BR" sz="1200" b="1">
            <a:solidFill>
              <a:schemeClr val="bg1"/>
            </a:solidFill>
            <a:latin typeface="+mn-lt"/>
          </a:endParaRPr>
        </a:p>
      </xdr:txBody>
    </xdr:sp>
    <xdr:clientData/>
  </xdr:twoCellAnchor>
  <xdr:twoCellAnchor>
    <xdr:from>
      <xdr:col>10</xdr:col>
      <xdr:colOff>275167</xdr:colOff>
      <xdr:row>10</xdr:row>
      <xdr:rowOff>148167</xdr:rowOff>
    </xdr:from>
    <xdr:to>
      <xdr:col>12</xdr:col>
      <xdr:colOff>127000</xdr:colOff>
      <xdr:row>16</xdr:row>
      <xdr:rowOff>10583</xdr:rowOff>
    </xdr:to>
    <xdr:sp macro="" textlink="">
      <xdr:nvSpPr>
        <xdr:cNvPr id="13" name="CaixaDeTexto 12">
          <a:hlinkClick xmlns:r="http://schemas.openxmlformats.org/officeDocument/2006/relationships" r:id="rId1"/>
        </xdr:cNvPr>
        <xdr:cNvSpPr txBox="1"/>
      </xdr:nvSpPr>
      <xdr:spPr>
        <a:xfrm>
          <a:off x="6371167" y="2053167"/>
          <a:ext cx="1071033" cy="100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chemeClr val="bg1"/>
              </a:solidFill>
              <a:latin typeface="+mn-lt"/>
            </a:rPr>
            <a:t>CARGO</a:t>
          </a:r>
        </a:p>
        <a:p>
          <a:pPr algn="ctr"/>
          <a:r>
            <a:rPr lang="pt-BR" sz="1200" b="1">
              <a:solidFill>
                <a:schemeClr val="bg1"/>
              </a:solidFill>
              <a:latin typeface="+mn-lt"/>
            </a:rPr>
            <a:t>EM COMISSÃO</a:t>
          </a:r>
        </a:p>
        <a:p>
          <a:pPr algn="ctr"/>
          <a:r>
            <a:rPr lang="pt-BR" sz="1200" b="1">
              <a:solidFill>
                <a:schemeClr val="bg1"/>
              </a:solidFill>
              <a:latin typeface="+mn-lt"/>
            </a:rPr>
            <a:t>(DAS/FCPE)</a:t>
          </a:r>
        </a:p>
      </xdr:txBody>
    </xdr:sp>
    <xdr:clientData/>
  </xdr:twoCellAnchor>
  <xdr:twoCellAnchor>
    <xdr:from>
      <xdr:col>14</xdr:col>
      <xdr:colOff>148166</xdr:colOff>
      <xdr:row>10</xdr:row>
      <xdr:rowOff>179917</xdr:rowOff>
    </xdr:from>
    <xdr:to>
      <xdr:col>16</xdr:col>
      <xdr:colOff>0</xdr:colOff>
      <xdr:row>16</xdr:row>
      <xdr:rowOff>42333</xdr:rowOff>
    </xdr:to>
    <xdr:sp macro="" textlink="">
      <xdr:nvSpPr>
        <xdr:cNvPr id="14" name="CaixaDeTexto 13">
          <a:hlinkClick xmlns:r="http://schemas.openxmlformats.org/officeDocument/2006/relationships" r:id="rId3"/>
        </xdr:cNvPr>
        <xdr:cNvSpPr txBox="1"/>
      </xdr:nvSpPr>
      <xdr:spPr>
        <a:xfrm>
          <a:off x="8741833" y="2084917"/>
          <a:ext cx="1079500" cy="100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chemeClr val="bg1"/>
              </a:solidFill>
              <a:latin typeface="+mn-lt"/>
            </a:rPr>
            <a:t>INDICADORES</a:t>
          </a:r>
        </a:p>
      </xdr:txBody>
    </xdr:sp>
    <xdr:clientData/>
  </xdr:twoCellAnchor>
  <xdr:twoCellAnchor>
    <xdr:from>
      <xdr:col>0</xdr:col>
      <xdr:colOff>1</xdr:colOff>
      <xdr:row>0</xdr:row>
      <xdr:rowOff>0</xdr:rowOff>
    </xdr:from>
    <xdr:to>
      <xdr:col>9</xdr:col>
      <xdr:colOff>228600</xdr:colOff>
      <xdr:row>15</xdr:row>
      <xdr:rowOff>10583</xdr:rowOff>
    </xdr:to>
    <xdr:graphicFrame macro="">
      <xdr:nvGraphicFramePr>
        <xdr:cNvPr id="16" name="Gráfico 15">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19051</xdr:colOff>
      <xdr:row>15</xdr:row>
      <xdr:rowOff>16355</xdr:rowOff>
    </xdr:from>
    <xdr:to>
      <xdr:col>9</xdr:col>
      <xdr:colOff>266701</xdr:colOff>
      <xdr:row>30</xdr:row>
      <xdr:rowOff>179897</xdr:rowOff>
    </xdr:to>
    <xdr:graphicFrame macro="">
      <xdr:nvGraphicFramePr>
        <xdr:cNvPr id="17" name="Gráfico 16">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265442</xdr:colOff>
      <xdr:row>0</xdr:row>
      <xdr:rowOff>0</xdr:rowOff>
    </xdr:from>
    <xdr:to>
      <xdr:col>27</xdr:col>
      <xdr:colOff>51220</xdr:colOff>
      <xdr:row>11</xdr:row>
      <xdr:rowOff>85725</xdr:rowOff>
    </xdr:to>
    <xdr:graphicFrame macro="">
      <xdr:nvGraphicFramePr>
        <xdr:cNvPr id="18" name="Gráfico 17">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266700</xdr:colOff>
      <xdr:row>11</xdr:row>
      <xdr:rowOff>142875</xdr:rowOff>
    </xdr:from>
    <xdr:to>
      <xdr:col>27</xdr:col>
      <xdr:colOff>38100</xdr:colOff>
      <xdr:row>30</xdr:row>
      <xdr:rowOff>161926</xdr:rowOff>
    </xdr:to>
    <xdr:graphicFrame macro="">
      <xdr:nvGraphicFramePr>
        <xdr:cNvPr id="20" name="Gráfico 19">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590550</xdr:colOff>
      <xdr:row>30</xdr:row>
      <xdr:rowOff>76200</xdr:rowOff>
    </xdr:from>
    <xdr:to>
      <xdr:col>27</xdr:col>
      <xdr:colOff>47625</xdr:colOff>
      <xdr:row>48</xdr:row>
      <xdr:rowOff>95250</xdr:rowOff>
    </xdr:to>
    <xdr:graphicFrame macro="">
      <xdr:nvGraphicFramePr>
        <xdr:cNvPr id="21" name="Gráfico 20">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314325</xdr:colOff>
      <xdr:row>4</xdr:row>
      <xdr:rowOff>85725</xdr:rowOff>
    </xdr:from>
    <xdr:to>
      <xdr:col>16</xdr:col>
      <xdr:colOff>166159</xdr:colOff>
      <xdr:row>9</xdr:row>
      <xdr:rowOff>138641</xdr:rowOff>
    </xdr:to>
    <xdr:sp macro="" textlink="">
      <xdr:nvSpPr>
        <xdr:cNvPr id="25" name="CaixaDeTexto 24">
          <a:hlinkClick xmlns:r="http://schemas.openxmlformats.org/officeDocument/2006/relationships" r:id="rId5"/>
        </xdr:cNvPr>
        <xdr:cNvSpPr txBox="1"/>
      </xdr:nvSpPr>
      <xdr:spPr>
        <a:xfrm>
          <a:off x="8848725" y="847725"/>
          <a:ext cx="1071034" cy="100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chemeClr val="bg1"/>
              </a:solidFill>
              <a:latin typeface="+mn-lt"/>
            </a:rPr>
            <a:t>Descrição</a:t>
          </a:r>
        </a:p>
        <a:p>
          <a:pPr algn="ctr"/>
          <a:r>
            <a:rPr lang="pt-BR" sz="1200" b="1">
              <a:solidFill>
                <a:schemeClr val="bg1"/>
              </a:solidFill>
              <a:latin typeface="+mn-lt"/>
            </a:rPr>
            <a:t>INDICADORES</a:t>
          </a:r>
        </a:p>
      </xdr:txBody>
    </xdr:sp>
    <xdr:clientData/>
  </xdr:twoCellAnchor>
  <xdr:twoCellAnchor>
    <xdr:from>
      <xdr:col>8</xdr:col>
      <xdr:colOff>504825</xdr:colOff>
      <xdr:row>24</xdr:row>
      <xdr:rowOff>85725</xdr:rowOff>
    </xdr:from>
    <xdr:to>
      <xdr:col>17</xdr:col>
      <xdr:colOff>261408</xdr:colOff>
      <xdr:row>35</xdr:row>
      <xdr:rowOff>32808</xdr:rowOff>
    </xdr:to>
    <xdr:graphicFrame macro="">
      <xdr:nvGraphicFramePr>
        <xdr:cNvPr id="26" name="Gráfico 25">
          <a:extLst>
            <a:ext uri="{FF2B5EF4-FFF2-40B4-BE49-F238E27FC236}">
              <a16:creationId xmlns:a16="http://schemas.microsoft.com/office/drawing/2014/main" id="{00000000-0008-0000-02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371475</xdr:colOff>
      <xdr:row>35</xdr:row>
      <xdr:rowOff>123825</xdr:rowOff>
    </xdr:from>
    <xdr:to>
      <xdr:col>17</xdr:col>
      <xdr:colOff>153458</xdr:colOff>
      <xdr:row>46</xdr:row>
      <xdr:rowOff>49743</xdr:rowOff>
    </xdr:to>
    <xdr:graphicFrame macro="">
      <xdr:nvGraphicFramePr>
        <xdr:cNvPr id="27" name="Gráfico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9525</xdr:colOff>
      <xdr:row>31</xdr:row>
      <xdr:rowOff>38101</xdr:rowOff>
    </xdr:from>
    <xdr:to>
      <xdr:col>9</xdr:col>
      <xdr:colOff>28575</xdr:colOff>
      <xdr:row>47</xdr:row>
      <xdr:rowOff>161925</xdr:rowOff>
    </xdr:to>
    <xdr:graphicFrame macro="">
      <xdr:nvGraphicFramePr>
        <xdr:cNvPr id="28" name="Gráfico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276225</xdr:colOff>
      <xdr:row>11</xdr:row>
      <xdr:rowOff>0</xdr:rowOff>
    </xdr:from>
    <xdr:to>
      <xdr:col>13</xdr:col>
      <xdr:colOff>597144</xdr:colOff>
      <xdr:row>15</xdr:row>
      <xdr:rowOff>175846</xdr:rowOff>
    </xdr:to>
    <xdr:sp macro="" textlink="">
      <xdr:nvSpPr>
        <xdr:cNvPr id="23" name="Retângulo 22">
          <a:hlinkClick xmlns:r="http://schemas.openxmlformats.org/officeDocument/2006/relationships" r:id="rId16"/>
        </xdr:cNvPr>
        <xdr:cNvSpPr/>
      </xdr:nvSpPr>
      <xdr:spPr>
        <a:xfrm>
          <a:off x="7591425" y="2095500"/>
          <a:ext cx="930519" cy="937846"/>
        </a:xfrm>
        <a:prstGeom prst="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pt-BR" sz="1600" b="1">
              <a:latin typeface="Broadway" panose="04040905080B02020502" pitchFamily="82" charset="0"/>
            </a:rPr>
            <a:t>CGRH / MME</a:t>
          </a:r>
        </a:p>
        <a:p>
          <a:pPr marL="0" marR="0" lvl="0" indent="0" algn="ctr" defTabSz="914400" eaLnBrk="1" fontAlgn="auto" latinLnBrk="0" hangingPunct="1">
            <a:lnSpc>
              <a:spcPct val="100000"/>
            </a:lnSpc>
            <a:spcBef>
              <a:spcPts val="0"/>
            </a:spcBef>
            <a:spcAft>
              <a:spcPts val="0"/>
            </a:spcAft>
            <a:buClrTx/>
            <a:buSzTx/>
            <a:buFontTx/>
            <a:buNone/>
            <a:tabLst/>
            <a:defRPr/>
          </a:pPr>
          <a:endParaRPr lang="pt-BR" sz="800" b="1">
            <a:solidFill>
              <a:srgbClr val="FF0000"/>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pt-BR" sz="800" b="1">
              <a:solidFill>
                <a:srgbClr val="FF0000"/>
              </a:solidFill>
              <a:effectLst/>
              <a:latin typeface="+mn-lt"/>
              <a:ea typeface="+mn-ea"/>
              <a:cs typeface="+mn-cs"/>
            </a:rPr>
            <a:t>(CLIQUE AQUI PARA VOLTAR)</a:t>
          </a:r>
          <a:endParaRPr lang="pt-BR" sz="800" b="1">
            <a:solidFill>
              <a:srgbClr val="FF0000"/>
            </a:solidFill>
            <a:effectLst/>
          </a:endParaRPr>
        </a:p>
        <a:p>
          <a:pPr algn="ctr"/>
          <a:endParaRPr lang="pt-BR" sz="1600" b="1">
            <a:latin typeface="Broadway" panose="04040905080B02020502" pitchFamily="82" charset="0"/>
          </a:endParaRPr>
        </a:p>
      </xdr:txBody>
    </xdr:sp>
    <xdr:clientData/>
  </xdr:twoCellAnchor>
  <xdr:twoCellAnchor editAs="oneCell">
    <xdr:from>
      <xdr:col>28</xdr:col>
      <xdr:colOff>123825</xdr:colOff>
      <xdr:row>0</xdr:row>
      <xdr:rowOff>161925</xdr:rowOff>
    </xdr:from>
    <xdr:to>
      <xdr:col>28</xdr:col>
      <xdr:colOff>446209</xdr:colOff>
      <xdr:row>2</xdr:row>
      <xdr:rowOff>103832</xdr:rowOff>
    </xdr:to>
    <xdr:pic macro="[0]!sair_gravando">
      <xdr:nvPicPr>
        <xdr:cNvPr id="24" name="Imagem 23" descr="TechByte - Assistência Informática: Saiba porque não deve desligar ..."/>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7192625" y="161925"/>
          <a:ext cx="322384" cy="322907"/>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14653</xdr:colOff>
      <xdr:row>10</xdr:row>
      <xdr:rowOff>107096</xdr:rowOff>
    </xdr:from>
    <xdr:to>
      <xdr:col>10</xdr:col>
      <xdr:colOff>311515</xdr:colOff>
      <xdr:row>18</xdr:row>
      <xdr:rowOff>116621</xdr:rowOff>
    </xdr:to>
    <xdr:sp macro="" textlink="">
      <xdr:nvSpPr>
        <xdr:cNvPr id="2" name="Pentágono Regular 1">
          <a:hlinkClick xmlns:r="http://schemas.openxmlformats.org/officeDocument/2006/relationships" r:id="rId1"/>
        </xdr:cNvPr>
        <xdr:cNvSpPr/>
      </xdr:nvSpPr>
      <xdr:spPr>
        <a:xfrm rot="16200000">
          <a:off x="4882721" y="2020828"/>
          <a:ext cx="1533525" cy="1516062"/>
        </a:xfrm>
        <a:prstGeom prst="pentagon">
          <a:avLst/>
        </a:prstGeom>
        <a:solidFill>
          <a:schemeClr val="accent2">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24178</xdr:colOff>
      <xdr:row>17</xdr:row>
      <xdr:rowOff>21371</xdr:rowOff>
    </xdr:from>
    <xdr:to>
      <xdr:col>12</xdr:col>
      <xdr:colOff>340090</xdr:colOff>
      <xdr:row>25</xdr:row>
      <xdr:rowOff>11846</xdr:rowOff>
    </xdr:to>
    <xdr:sp macro="" textlink="">
      <xdr:nvSpPr>
        <xdr:cNvPr id="3" name="Pentágono Regular 2">
          <a:hlinkClick xmlns:r="http://schemas.openxmlformats.org/officeDocument/2006/relationships" r:id="rId2"/>
        </xdr:cNvPr>
        <xdr:cNvSpPr/>
      </xdr:nvSpPr>
      <xdr:spPr>
        <a:xfrm rot="10800000">
          <a:off x="6120178" y="3259871"/>
          <a:ext cx="1535112" cy="1514475"/>
        </a:xfrm>
        <a:prstGeom prst="pentagon">
          <a:avLst/>
        </a:prstGeom>
        <a:solidFill>
          <a:schemeClr val="accent2">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baseline="0"/>
        </a:p>
      </xdr:txBody>
    </xdr:sp>
    <xdr:clientData/>
  </xdr:twoCellAnchor>
  <xdr:twoCellAnchor>
    <xdr:from>
      <xdr:col>12</xdr:col>
      <xdr:colOff>63865</xdr:colOff>
      <xdr:row>10</xdr:row>
      <xdr:rowOff>116621</xdr:rowOff>
    </xdr:from>
    <xdr:to>
      <xdr:col>14</xdr:col>
      <xdr:colOff>359140</xdr:colOff>
      <xdr:row>18</xdr:row>
      <xdr:rowOff>126146</xdr:rowOff>
    </xdr:to>
    <xdr:sp macro="" textlink="">
      <xdr:nvSpPr>
        <xdr:cNvPr id="4" name="Pentágono Regular 3">
          <a:hlinkClick xmlns:r="http://schemas.openxmlformats.org/officeDocument/2006/relationships" r:id="rId3"/>
        </xdr:cNvPr>
        <xdr:cNvSpPr/>
      </xdr:nvSpPr>
      <xdr:spPr>
        <a:xfrm rot="5400000">
          <a:off x="7369540" y="2031146"/>
          <a:ext cx="1533525" cy="1514475"/>
        </a:xfrm>
        <a:prstGeom prst="pentagon">
          <a:avLst/>
        </a:prstGeom>
        <a:solidFill>
          <a:schemeClr val="accent2">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t-BR" sz="1100" baseline="0">
            <a:solidFill>
              <a:schemeClr val="lt1"/>
            </a:solidFill>
            <a:latin typeface="+mn-lt"/>
            <a:ea typeface="+mn-ea"/>
            <a:cs typeface="+mn-cs"/>
          </a:endParaRPr>
        </a:p>
      </xdr:txBody>
    </xdr:sp>
    <xdr:clientData/>
  </xdr:twoCellAnchor>
  <xdr:twoCellAnchor>
    <xdr:from>
      <xdr:col>10</xdr:col>
      <xdr:colOff>24178</xdr:colOff>
      <xdr:row>4</xdr:row>
      <xdr:rowOff>21371</xdr:rowOff>
    </xdr:from>
    <xdr:to>
      <xdr:col>12</xdr:col>
      <xdr:colOff>340090</xdr:colOff>
      <xdr:row>12</xdr:row>
      <xdr:rowOff>11846</xdr:rowOff>
    </xdr:to>
    <xdr:sp macro="" textlink="">
      <xdr:nvSpPr>
        <xdr:cNvPr id="5" name="Pentágono Regular 4">
          <a:hlinkClick xmlns:r="http://schemas.openxmlformats.org/officeDocument/2006/relationships" r:id="rId4"/>
        </xdr:cNvPr>
        <xdr:cNvSpPr/>
      </xdr:nvSpPr>
      <xdr:spPr>
        <a:xfrm>
          <a:off x="6120178" y="783371"/>
          <a:ext cx="1535112" cy="1514475"/>
        </a:xfrm>
        <a:prstGeom prst="pentagon">
          <a:avLst/>
        </a:prstGeom>
        <a:solidFill>
          <a:schemeClr val="accent2">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200" b="1"/>
            <a:t>QUADRO</a:t>
          </a:r>
        </a:p>
        <a:p>
          <a:pPr algn="ctr"/>
          <a:r>
            <a:rPr lang="pt-BR" sz="1200" b="1"/>
            <a:t>DE</a:t>
          </a:r>
        </a:p>
        <a:p>
          <a:pPr algn="ctr"/>
          <a:r>
            <a:rPr lang="pt-BR" sz="1200" b="1"/>
            <a:t>PESSOAL</a:t>
          </a:r>
        </a:p>
        <a:p>
          <a:pPr algn="ctr"/>
          <a:r>
            <a:rPr lang="pt-BR" sz="1200" b="1"/>
            <a:t>(Exercício MME)</a:t>
          </a:r>
        </a:p>
      </xdr:txBody>
    </xdr:sp>
    <xdr:clientData/>
  </xdr:twoCellAnchor>
  <xdr:twoCellAnchor>
    <xdr:from>
      <xdr:col>0</xdr:col>
      <xdr:colOff>0</xdr:colOff>
      <xdr:row>0</xdr:row>
      <xdr:rowOff>0</xdr:rowOff>
    </xdr:from>
    <xdr:to>
      <xdr:col>4</xdr:col>
      <xdr:colOff>352425</xdr:colOff>
      <xdr:row>14</xdr:row>
      <xdr:rowOff>10583</xdr:rowOff>
    </xdr:to>
    <xdr:graphicFrame macro="">
      <xdr:nvGraphicFramePr>
        <xdr:cNvPr id="6" name="Gráfico 5">
          <a:extLst>
            <a:ext uri="{FF2B5EF4-FFF2-40B4-BE49-F238E27FC236}">
              <a16:creationId xmlns:a16="http://schemas.microsoft.com/office/drawing/2014/main" id="{00000000-0008-0000-02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21166</xdr:colOff>
      <xdr:row>30</xdr:row>
      <xdr:rowOff>105833</xdr:rowOff>
    </xdr:from>
    <xdr:to>
      <xdr:col>23</xdr:col>
      <xdr:colOff>603250</xdr:colOff>
      <xdr:row>46</xdr:row>
      <xdr:rowOff>12170</xdr:rowOff>
    </xdr:to>
    <xdr:graphicFrame macro="">
      <xdr:nvGraphicFramePr>
        <xdr:cNvPr id="7" name="Gráfico 6">
          <a:extLst>
            <a:ext uri="{FF2B5EF4-FFF2-40B4-BE49-F238E27FC236}">
              <a16:creationId xmlns:a16="http://schemas.microsoft.com/office/drawing/2014/main" id="{00000000-0008-0000-02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266007</xdr:colOff>
      <xdr:row>17</xdr:row>
      <xdr:rowOff>106038</xdr:rowOff>
    </xdr:from>
    <xdr:to>
      <xdr:col>12</xdr:col>
      <xdr:colOff>117840</xdr:colOff>
      <xdr:row>22</xdr:row>
      <xdr:rowOff>158954</xdr:rowOff>
    </xdr:to>
    <xdr:sp macro="" textlink="">
      <xdr:nvSpPr>
        <xdr:cNvPr id="8" name="CaixaDeTexto 7">
          <a:hlinkClick xmlns:r="http://schemas.openxmlformats.org/officeDocument/2006/relationships" r:id="rId2"/>
        </xdr:cNvPr>
        <xdr:cNvSpPr txBox="1"/>
      </xdr:nvSpPr>
      <xdr:spPr>
        <a:xfrm>
          <a:off x="6362007" y="3344538"/>
          <a:ext cx="1071033" cy="100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chemeClr val="bg1"/>
              </a:solidFill>
              <a:latin typeface="+mn-lt"/>
            </a:rPr>
            <a:t>EVOLUÇÃO</a:t>
          </a:r>
        </a:p>
        <a:p>
          <a:pPr algn="ctr"/>
          <a:r>
            <a:rPr lang="pt-BR" sz="1200" b="1">
              <a:solidFill>
                <a:schemeClr val="bg1"/>
              </a:solidFill>
              <a:latin typeface="+mn-lt"/>
            </a:rPr>
            <a:t>QUADRO</a:t>
          </a:r>
          <a:endParaRPr lang="pt-BR" sz="1200" b="1" baseline="0">
            <a:solidFill>
              <a:schemeClr val="bg1"/>
            </a:solidFill>
            <a:latin typeface="+mn-lt"/>
          </a:endParaRPr>
        </a:p>
        <a:p>
          <a:pPr algn="ctr"/>
          <a:r>
            <a:rPr lang="pt-BR" sz="1200" b="1" baseline="0">
              <a:solidFill>
                <a:schemeClr val="bg1"/>
              </a:solidFill>
              <a:latin typeface="+mn-lt"/>
            </a:rPr>
            <a:t>DE</a:t>
          </a:r>
        </a:p>
        <a:p>
          <a:pPr algn="ctr"/>
          <a:r>
            <a:rPr lang="pt-BR" sz="1200" b="1" baseline="0">
              <a:solidFill>
                <a:schemeClr val="bg1"/>
              </a:solidFill>
              <a:latin typeface="+mn-lt"/>
            </a:rPr>
            <a:t>PESSOAL</a:t>
          </a:r>
        </a:p>
        <a:p>
          <a:pPr algn="ctr"/>
          <a:r>
            <a:rPr lang="pt-BR" sz="1200" b="1" baseline="0">
              <a:solidFill>
                <a:schemeClr val="bg1"/>
              </a:solidFill>
              <a:latin typeface="+mn-lt"/>
            </a:rPr>
            <a:t>MME</a:t>
          </a:r>
          <a:endParaRPr lang="pt-BR" sz="1200" b="1">
            <a:solidFill>
              <a:schemeClr val="bg1"/>
            </a:solidFill>
            <a:latin typeface="+mn-lt"/>
          </a:endParaRPr>
        </a:p>
      </xdr:txBody>
    </xdr:sp>
    <xdr:clientData/>
  </xdr:twoCellAnchor>
  <xdr:twoCellAnchor>
    <xdr:from>
      <xdr:col>8</xdr:col>
      <xdr:colOff>329507</xdr:colOff>
      <xdr:row>11</xdr:row>
      <xdr:rowOff>169538</xdr:rowOff>
    </xdr:from>
    <xdr:to>
      <xdr:col>10</xdr:col>
      <xdr:colOff>181340</xdr:colOff>
      <xdr:row>17</xdr:row>
      <xdr:rowOff>31954</xdr:rowOff>
    </xdr:to>
    <xdr:sp macro="" textlink="">
      <xdr:nvSpPr>
        <xdr:cNvPr id="9" name="CaixaDeTexto 8">
          <a:hlinkClick xmlns:r="http://schemas.openxmlformats.org/officeDocument/2006/relationships" r:id="rId1"/>
        </xdr:cNvPr>
        <xdr:cNvSpPr txBox="1"/>
      </xdr:nvSpPr>
      <xdr:spPr>
        <a:xfrm>
          <a:off x="5206307" y="2265038"/>
          <a:ext cx="1071033" cy="100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chemeClr val="bg1"/>
              </a:solidFill>
              <a:latin typeface="+mn-lt"/>
            </a:rPr>
            <a:t>CARGO</a:t>
          </a:r>
        </a:p>
        <a:p>
          <a:pPr algn="ctr"/>
          <a:r>
            <a:rPr lang="pt-BR" sz="1200" b="1">
              <a:solidFill>
                <a:schemeClr val="bg1"/>
              </a:solidFill>
              <a:latin typeface="+mn-lt"/>
            </a:rPr>
            <a:t>EM COMISSÃO</a:t>
          </a:r>
        </a:p>
        <a:p>
          <a:pPr algn="ctr"/>
          <a:r>
            <a:rPr lang="pt-BR" sz="1200" b="1">
              <a:solidFill>
                <a:schemeClr val="bg1"/>
              </a:solidFill>
              <a:latin typeface="+mn-lt"/>
            </a:rPr>
            <a:t>(DAS/FCPE)</a:t>
          </a:r>
        </a:p>
      </xdr:txBody>
    </xdr:sp>
    <xdr:clientData/>
  </xdr:twoCellAnchor>
  <xdr:twoCellAnchor>
    <xdr:from>
      <xdr:col>12</xdr:col>
      <xdr:colOff>202506</xdr:colOff>
      <xdr:row>12</xdr:row>
      <xdr:rowOff>10788</xdr:rowOff>
    </xdr:from>
    <xdr:to>
      <xdr:col>14</xdr:col>
      <xdr:colOff>54340</xdr:colOff>
      <xdr:row>17</xdr:row>
      <xdr:rowOff>63704</xdr:rowOff>
    </xdr:to>
    <xdr:sp macro="" textlink="">
      <xdr:nvSpPr>
        <xdr:cNvPr id="10" name="CaixaDeTexto 9">
          <a:hlinkClick xmlns:r="http://schemas.openxmlformats.org/officeDocument/2006/relationships" r:id="rId3"/>
        </xdr:cNvPr>
        <xdr:cNvSpPr txBox="1"/>
      </xdr:nvSpPr>
      <xdr:spPr>
        <a:xfrm>
          <a:off x="7517706" y="2296788"/>
          <a:ext cx="1071034" cy="100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chemeClr val="bg1"/>
              </a:solidFill>
              <a:latin typeface="+mn-lt"/>
            </a:rPr>
            <a:t>INDICADORES</a:t>
          </a:r>
        </a:p>
      </xdr:txBody>
    </xdr:sp>
    <xdr:clientData/>
  </xdr:twoCellAnchor>
  <xdr:twoCellAnchor>
    <xdr:from>
      <xdr:col>3</xdr:col>
      <xdr:colOff>227134</xdr:colOff>
      <xdr:row>3</xdr:row>
      <xdr:rowOff>181952</xdr:rowOff>
    </xdr:from>
    <xdr:to>
      <xdr:col>8</xdr:col>
      <xdr:colOff>182560</xdr:colOff>
      <xdr:row>25</xdr:row>
      <xdr:rowOff>156917</xdr:rowOff>
    </xdr:to>
    <xdr:sp macro="" textlink="">
      <xdr:nvSpPr>
        <xdr:cNvPr id="14" name="Lua 13">
          <a:hlinkClick xmlns:r="http://schemas.openxmlformats.org/officeDocument/2006/relationships" r:id="rId7"/>
        </xdr:cNvPr>
        <xdr:cNvSpPr/>
      </xdr:nvSpPr>
      <xdr:spPr>
        <a:xfrm>
          <a:off x="2051538" y="753452"/>
          <a:ext cx="2996099" cy="4165965"/>
        </a:xfrm>
        <a:prstGeom prst="moon">
          <a:avLst>
            <a:gd name="adj" fmla="val 87500"/>
          </a:avLst>
        </a:prstGeom>
        <a:gradFill flip="none" rotWithShape="1">
          <a:gsLst>
            <a:gs pos="0">
              <a:schemeClr val="accent1">
                <a:shade val="30000"/>
                <a:satMod val="115000"/>
              </a:schemeClr>
            </a:gs>
            <a:gs pos="50000">
              <a:schemeClr val="accent1">
                <a:shade val="67500"/>
                <a:satMod val="115000"/>
              </a:schemeClr>
            </a:gs>
            <a:gs pos="100000">
              <a:schemeClr val="accent1">
                <a:shade val="100000"/>
                <a:satMod val="115000"/>
              </a:schemeClr>
            </a:gs>
          </a:gsLst>
          <a:lin ang="0" scaled="1"/>
          <a:tileRect/>
        </a:gradFill>
        <a:scene3d>
          <a:camera prst="orthographicFront"/>
          <a:lightRig rig="threePt" dir="t"/>
        </a:scene3d>
        <a:sp3d>
          <a:bevelT w="1143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14</xdr:col>
      <xdr:colOff>217975</xdr:colOff>
      <xdr:row>3</xdr:row>
      <xdr:rowOff>174013</xdr:rowOff>
    </xdr:from>
    <xdr:to>
      <xdr:col>19</xdr:col>
      <xdr:colOff>170349</xdr:colOff>
      <xdr:row>25</xdr:row>
      <xdr:rowOff>148978</xdr:rowOff>
    </xdr:to>
    <xdr:sp macro="" textlink="">
      <xdr:nvSpPr>
        <xdr:cNvPr id="15" name="Lua 14">
          <a:hlinkClick xmlns:r="http://schemas.openxmlformats.org/officeDocument/2006/relationships" r:id="rId7"/>
        </xdr:cNvPr>
        <xdr:cNvSpPr/>
      </xdr:nvSpPr>
      <xdr:spPr>
        <a:xfrm rot="10800000">
          <a:off x="8731860" y="745513"/>
          <a:ext cx="2993047" cy="4165965"/>
        </a:xfrm>
        <a:prstGeom prst="moon">
          <a:avLst>
            <a:gd name="adj" fmla="val 87500"/>
          </a:avLst>
        </a:prstGeom>
        <a:gradFill flip="none" rotWithShape="1">
          <a:gsLst>
            <a:gs pos="0">
              <a:schemeClr val="accent1">
                <a:shade val="30000"/>
                <a:satMod val="115000"/>
              </a:schemeClr>
            </a:gs>
            <a:gs pos="50000">
              <a:schemeClr val="accent1">
                <a:shade val="67500"/>
                <a:satMod val="115000"/>
              </a:schemeClr>
            </a:gs>
            <a:gs pos="100000">
              <a:schemeClr val="accent1">
                <a:shade val="100000"/>
                <a:satMod val="115000"/>
              </a:schemeClr>
            </a:gs>
          </a:gsLst>
          <a:lin ang="0" scaled="1"/>
          <a:tileRect/>
        </a:gra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329712</xdr:colOff>
      <xdr:row>12</xdr:row>
      <xdr:rowOff>21981</xdr:rowOff>
    </xdr:from>
    <xdr:to>
      <xdr:col>12</xdr:col>
      <xdr:colOff>43962</xdr:colOff>
      <xdr:row>17</xdr:row>
      <xdr:rowOff>7327</xdr:rowOff>
    </xdr:to>
    <xdr:sp macro="" textlink="">
      <xdr:nvSpPr>
        <xdr:cNvPr id="16" name="Retângulo 15">
          <a:hlinkClick xmlns:r="http://schemas.openxmlformats.org/officeDocument/2006/relationships" r:id="rId8"/>
        </xdr:cNvPr>
        <xdr:cNvSpPr/>
      </xdr:nvSpPr>
      <xdr:spPr>
        <a:xfrm>
          <a:off x="6425712" y="2307981"/>
          <a:ext cx="933450" cy="937846"/>
        </a:xfrm>
        <a:prstGeom prst="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pt-BR" sz="1600" b="1">
              <a:latin typeface="Broadway" panose="04040905080B02020502" pitchFamily="82" charset="0"/>
            </a:rPr>
            <a:t>CGRH / MME</a:t>
          </a:r>
        </a:p>
        <a:p>
          <a:pPr algn="ctr"/>
          <a:endParaRPr lang="pt-BR" sz="600" b="1">
            <a:latin typeface="Broadway" panose="04040905080B02020502" pitchFamily="82" charset="0"/>
          </a:endParaRPr>
        </a:p>
        <a:p>
          <a:pPr algn="ctr"/>
          <a:r>
            <a:rPr lang="pt-BR" sz="600" b="0">
              <a:solidFill>
                <a:srgbClr val="FF0000"/>
              </a:solidFill>
              <a:latin typeface="Broadway" panose="04040905080B02020502" pitchFamily="82" charset="0"/>
            </a:rPr>
            <a:t>(CLIQUE AQUI PARA VOLTAR)</a:t>
          </a:r>
        </a:p>
      </xdr:txBody>
    </xdr:sp>
    <xdr:clientData/>
  </xdr:twoCellAnchor>
  <xdr:twoCellAnchor editAs="oneCell">
    <xdr:from>
      <xdr:col>22</xdr:col>
      <xdr:colOff>146538</xdr:colOff>
      <xdr:row>0</xdr:row>
      <xdr:rowOff>80596</xdr:rowOff>
    </xdr:from>
    <xdr:to>
      <xdr:col>22</xdr:col>
      <xdr:colOff>468922</xdr:colOff>
      <xdr:row>2</xdr:row>
      <xdr:rowOff>22503</xdr:rowOff>
    </xdr:to>
    <xdr:pic macro="[0]!sair_gravando">
      <xdr:nvPicPr>
        <xdr:cNvPr id="17" name="Imagem 16" descr="TechByte - Assistência Informática: Saiba porque não deve desligar ..."/>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525500" y="80596"/>
          <a:ext cx="322384" cy="322907"/>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593481</xdr:colOff>
      <xdr:row>4</xdr:row>
      <xdr:rowOff>131885</xdr:rowOff>
    </xdr:from>
    <xdr:to>
      <xdr:col>14</xdr:col>
      <xdr:colOff>58616</xdr:colOff>
      <xdr:row>7</xdr:row>
      <xdr:rowOff>58616</xdr:rowOff>
    </xdr:to>
    <xdr:pic>
      <xdr:nvPicPr>
        <xdr:cNvPr id="31" name="Imagem 30" descr="Trabalho · em · equipe · círculo · quebra-cabeça · quatro · laranja ·  desenho · animado - foto stock © limbi007 (#7107480) | Stockfresh">
          <a:hlinkClick xmlns:r="http://schemas.openxmlformats.org/officeDocument/2006/relationships" r:id="rId10"/>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891096" y="893885"/>
          <a:ext cx="681405" cy="498231"/>
        </a:xfrm>
        <a:prstGeom prst="rect">
          <a:avLst/>
        </a:prstGeom>
        <a:noFill/>
        <a:ln>
          <a:noFill/>
        </a:ln>
      </xdr:spPr>
    </xdr:pic>
    <xdr:clientData/>
  </xdr:twoCellAnchor>
  <xdr:twoCellAnchor>
    <xdr:from>
      <xdr:col>12</xdr:col>
      <xdr:colOff>586155</xdr:colOff>
      <xdr:row>7</xdr:row>
      <xdr:rowOff>43961</xdr:rowOff>
    </xdr:from>
    <xdr:to>
      <xdr:col>14</xdr:col>
      <xdr:colOff>51289</xdr:colOff>
      <xdr:row>9</xdr:row>
      <xdr:rowOff>36634</xdr:rowOff>
    </xdr:to>
    <xdr:sp macro="" textlink="">
      <xdr:nvSpPr>
        <xdr:cNvPr id="11" name="CaixaDeTexto 10">
          <a:hlinkClick xmlns:r="http://schemas.openxmlformats.org/officeDocument/2006/relationships" r:id="rId10"/>
        </xdr:cNvPr>
        <xdr:cNvSpPr txBox="1"/>
      </xdr:nvSpPr>
      <xdr:spPr>
        <a:xfrm>
          <a:off x="7883770" y="1377461"/>
          <a:ext cx="681404" cy="3736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600"/>
            <a:t>Dados Pesquisa Clima Organizacional</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211666</xdr:colOff>
      <xdr:row>0</xdr:row>
      <xdr:rowOff>105833</xdr:rowOff>
    </xdr:from>
    <xdr:to>
      <xdr:col>1</xdr:col>
      <xdr:colOff>181376</xdr:colOff>
      <xdr:row>0</xdr:row>
      <xdr:rowOff>543764</xdr:rowOff>
    </xdr:to>
    <xdr:sp macro="" textlink="">
      <xdr:nvSpPr>
        <xdr:cNvPr id="2" name="Seta para a esquerda 42">
          <a:hlinkClick xmlns:r="http://schemas.openxmlformats.org/officeDocument/2006/relationships" r:id="rId1"/>
          <a:extLst>
            <a:ext uri="{FF2B5EF4-FFF2-40B4-BE49-F238E27FC236}">
              <a16:creationId xmlns:a16="http://schemas.microsoft.com/office/drawing/2014/main" id="{00000000-0008-0000-5200-00002B000000}"/>
            </a:ext>
          </a:extLst>
        </xdr:cNvPr>
        <xdr:cNvSpPr/>
      </xdr:nvSpPr>
      <xdr:spPr>
        <a:xfrm>
          <a:off x="211666" y="105833"/>
          <a:ext cx="996293" cy="437931"/>
        </a:xfrm>
        <a:prstGeom prst="leftArrow">
          <a:avLst/>
        </a:prstGeom>
        <a:solidFill>
          <a:srgbClr val="BD2115"/>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VOLTAR</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14</xdr:col>
      <xdr:colOff>381000</xdr:colOff>
      <xdr:row>12</xdr:row>
      <xdr:rowOff>79181</xdr:rowOff>
    </xdr:from>
    <xdr:to>
      <xdr:col>17</xdr:col>
      <xdr:colOff>266701</xdr:colOff>
      <xdr:row>21</xdr:row>
      <xdr:rowOff>38100</xdr:rowOff>
    </xdr:to>
    <xdr:pic>
      <xdr:nvPicPr>
        <xdr:cNvPr id="2" name="Imagem 1" descr="Imagens de clipart Peça de quebra-cabeça de brinquedo azul">
          <a:hlinkClick xmlns:r="http://schemas.openxmlformats.org/officeDocument/2006/relationships" r:id="rId1"/>
          <a:extLst>
            <a:ext uri="{FF2B5EF4-FFF2-40B4-BE49-F238E27FC236}">
              <a16:creationId xmlns:a16="http://schemas.microsoft.com/office/drawing/2014/main" id="{8B64B50F-643B-4DDA-8B67-0CBF1AFEF5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15400" y="3127181"/>
          <a:ext cx="1714501" cy="1673419"/>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523876</xdr:colOff>
      <xdr:row>12</xdr:row>
      <xdr:rowOff>9524</xdr:rowOff>
    </xdr:from>
    <xdr:to>
      <xdr:col>5</xdr:col>
      <xdr:colOff>352425</xdr:colOff>
      <xdr:row>20</xdr:row>
      <xdr:rowOff>190499</xdr:rowOff>
    </xdr:to>
    <xdr:pic>
      <xdr:nvPicPr>
        <xdr:cNvPr id="3" name="Imagem 2" descr="Imagens de clipart Clipart de peça de quebra-cabeça">
          <a:hlinkClick xmlns:r="http://schemas.openxmlformats.org/officeDocument/2006/relationships" r:id="rId3"/>
          <a:extLst>
            <a:ext uri="{FF2B5EF4-FFF2-40B4-BE49-F238E27FC236}">
              <a16:creationId xmlns:a16="http://schemas.microsoft.com/office/drawing/2014/main" id="{45428BCF-00BE-45B5-A72B-CC4EF556533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43076" y="3057524"/>
          <a:ext cx="1657349" cy="1704975"/>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361950</xdr:colOff>
      <xdr:row>12</xdr:row>
      <xdr:rowOff>28575</xdr:rowOff>
    </xdr:from>
    <xdr:to>
      <xdr:col>13</xdr:col>
      <xdr:colOff>238125</xdr:colOff>
      <xdr:row>21</xdr:row>
      <xdr:rowOff>19050</xdr:rowOff>
    </xdr:to>
    <xdr:pic>
      <xdr:nvPicPr>
        <xdr:cNvPr id="4" name="Imagem 3" descr="Orange Puzzle Piece Clip Art at Clker.com - vector clip art online ...">
          <a:hlinkClick xmlns:r="http://schemas.openxmlformats.org/officeDocument/2006/relationships" r:id="rId5"/>
          <a:extLst>
            <a:ext uri="{FF2B5EF4-FFF2-40B4-BE49-F238E27FC236}">
              <a16:creationId xmlns:a16="http://schemas.microsoft.com/office/drawing/2014/main" id="{A698CD0E-331C-415D-95E0-0EB5B104E49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457950" y="3076575"/>
          <a:ext cx="1704975" cy="1704975"/>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380999</xdr:colOff>
      <xdr:row>12</xdr:row>
      <xdr:rowOff>28575</xdr:rowOff>
    </xdr:from>
    <xdr:to>
      <xdr:col>9</xdr:col>
      <xdr:colOff>266700</xdr:colOff>
      <xdr:row>21</xdr:row>
      <xdr:rowOff>9525</xdr:rowOff>
    </xdr:to>
    <xdr:pic>
      <xdr:nvPicPr>
        <xdr:cNvPr id="5" name="Imagem 4" descr="Yellow Puzzle Piece Clip Art at Clker.com - vector clip art online ...">
          <a:hlinkClick xmlns:r="http://schemas.openxmlformats.org/officeDocument/2006/relationships" r:id="rId7"/>
          <a:extLst>
            <a:ext uri="{FF2B5EF4-FFF2-40B4-BE49-F238E27FC236}">
              <a16:creationId xmlns:a16="http://schemas.microsoft.com/office/drawing/2014/main" id="{EE9BEBD8-D25B-4FE2-9AA8-1B703F1AC0D8}"/>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038599" y="3076575"/>
          <a:ext cx="1714501" cy="1695450"/>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495299</xdr:colOff>
      <xdr:row>12</xdr:row>
      <xdr:rowOff>38100</xdr:rowOff>
    </xdr:from>
    <xdr:to>
      <xdr:col>21</xdr:col>
      <xdr:colOff>371474</xdr:colOff>
      <xdr:row>21</xdr:row>
      <xdr:rowOff>19050</xdr:rowOff>
    </xdr:to>
    <xdr:pic>
      <xdr:nvPicPr>
        <xdr:cNvPr id="6" name="Imagem 5" descr="Vetor puzzle piece font grátis | AI, SVG e EPS">
          <a:hlinkClick xmlns:r="http://schemas.openxmlformats.org/officeDocument/2006/relationships" r:id="rId1"/>
          <a:extLst>
            <a:ext uri="{FF2B5EF4-FFF2-40B4-BE49-F238E27FC236}">
              <a16:creationId xmlns:a16="http://schemas.microsoft.com/office/drawing/2014/main" id="{F77B5857-68AD-407F-9D97-B22743DFE68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68099" y="3086100"/>
          <a:ext cx="1704975" cy="1695450"/>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514350</xdr:colOff>
      <xdr:row>12</xdr:row>
      <xdr:rowOff>28575</xdr:rowOff>
    </xdr:from>
    <xdr:to>
      <xdr:col>25</xdr:col>
      <xdr:colOff>390525</xdr:colOff>
      <xdr:row>20</xdr:row>
      <xdr:rowOff>171450</xdr:rowOff>
    </xdr:to>
    <xdr:pic>
      <xdr:nvPicPr>
        <xdr:cNvPr id="7" name="Imagem 6" descr="Pink Jigsaw Piece Clip Art at Clker.com - vector clip art online ...">
          <a:hlinkClick xmlns:r="http://schemas.openxmlformats.org/officeDocument/2006/relationships" r:id="rId1"/>
          <a:extLst>
            <a:ext uri="{FF2B5EF4-FFF2-40B4-BE49-F238E27FC236}">
              <a16:creationId xmlns:a16="http://schemas.microsoft.com/office/drawing/2014/main" id="{ED3B0ECE-DF91-4C9A-9D4A-F0BCABD0B69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925550" y="3076575"/>
          <a:ext cx="1704975" cy="1666875"/>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495300</xdr:colOff>
      <xdr:row>21</xdr:row>
      <xdr:rowOff>0</xdr:rowOff>
    </xdr:from>
    <xdr:to>
      <xdr:col>5</xdr:col>
      <xdr:colOff>361950</xdr:colOff>
      <xdr:row>24</xdr:row>
      <xdr:rowOff>85725</xdr:rowOff>
    </xdr:to>
    <xdr:sp macro="" textlink="">
      <xdr:nvSpPr>
        <xdr:cNvPr id="8" name="Retângulo: Cantos Arredondados 10">
          <a:hlinkClick xmlns:r="http://schemas.openxmlformats.org/officeDocument/2006/relationships" r:id="rId3"/>
          <a:extLst>
            <a:ext uri="{FF2B5EF4-FFF2-40B4-BE49-F238E27FC236}">
              <a16:creationId xmlns:a16="http://schemas.microsoft.com/office/drawing/2014/main" id="{61049D9E-0305-4272-BFD1-DA07F1E666D7}"/>
            </a:ext>
          </a:extLst>
        </xdr:cNvPr>
        <xdr:cNvSpPr/>
      </xdr:nvSpPr>
      <xdr:spPr>
        <a:xfrm>
          <a:off x="1714500" y="4762500"/>
          <a:ext cx="1695450" cy="6572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400" b="1"/>
            <a:t>ÍNDICE CLIMA ORGANIZACIONAL</a:t>
          </a:r>
        </a:p>
      </xdr:txBody>
    </xdr:sp>
    <xdr:clientData/>
  </xdr:twoCellAnchor>
  <xdr:twoCellAnchor>
    <xdr:from>
      <xdr:col>6</xdr:col>
      <xdr:colOff>400050</xdr:colOff>
      <xdr:row>21</xdr:row>
      <xdr:rowOff>9525</xdr:rowOff>
    </xdr:from>
    <xdr:to>
      <xdr:col>9</xdr:col>
      <xdr:colOff>266700</xdr:colOff>
      <xdr:row>24</xdr:row>
      <xdr:rowOff>95250</xdr:rowOff>
    </xdr:to>
    <xdr:sp macro="" textlink="">
      <xdr:nvSpPr>
        <xdr:cNvPr id="9" name="Retângulo: Cantos Arredondados 11">
          <a:hlinkClick xmlns:r="http://schemas.openxmlformats.org/officeDocument/2006/relationships" r:id="rId7"/>
          <a:extLst>
            <a:ext uri="{FF2B5EF4-FFF2-40B4-BE49-F238E27FC236}">
              <a16:creationId xmlns:a16="http://schemas.microsoft.com/office/drawing/2014/main" id="{A0B9343C-259D-4B9F-B86F-0C33C0C8B588}"/>
            </a:ext>
          </a:extLst>
        </xdr:cNvPr>
        <xdr:cNvSpPr/>
      </xdr:nvSpPr>
      <xdr:spPr>
        <a:xfrm>
          <a:off x="4057650" y="4772025"/>
          <a:ext cx="1695450" cy="6572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400" b="1"/>
            <a:t>VARIÁRVEL DEMOGRÁFICA</a:t>
          </a:r>
        </a:p>
      </xdr:txBody>
    </xdr:sp>
    <xdr:clientData/>
  </xdr:twoCellAnchor>
  <xdr:twoCellAnchor>
    <xdr:from>
      <xdr:col>10</xdr:col>
      <xdr:colOff>361950</xdr:colOff>
      <xdr:row>21</xdr:row>
      <xdr:rowOff>19050</xdr:rowOff>
    </xdr:from>
    <xdr:to>
      <xdr:col>13</xdr:col>
      <xdr:colOff>228600</xdr:colOff>
      <xdr:row>24</xdr:row>
      <xdr:rowOff>104775</xdr:rowOff>
    </xdr:to>
    <xdr:sp macro="" textlink="">
      <xdr:nvSpPr>
        <xdr:cNvPr id="10" name="Retângulo: Cantos Arredondados 12">
          <a:hlinkClick xmlns:r="http://schemas.openxmlformats.org/officeDocument/2006/relationships" r:id="rId5"/>
          <a:extLst>
            <a:ext uri="{FF2B5EF4-FFF2-40B4-BE49-F238E27FC236}">
              <a16:creationId xmlns:a16="http://schemas.microsoft.com/office/drawing/2014/main" id="{4AA1B5AF-E07E-44A6-818B-8323B8D9B2E3}"/>
            </a:ext>
          </a:extLst>
        </xdr:cNvPr>
        <xdr:cNvSpPr/>
      </xdr:nvSpPr>
      <xdr:spPr>
        <a:xfrm>
          <a:off x="6457950" y="4781550"/>
          <a:ext cx="1695450" cy="6572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400" b="1"/>
            <a:t>VARIÁVEL CLIMA ORGANIZACIONAL</a:t>
          </a:r>
        </a:p>
      </xdr:txBody>
    </xdr:sp>
    <xdr:clientData/>
  </xdr:twoCellAnchor>
  <xdr:twoCellAnchor>
    <xdr:from>
      <xdr:col>14</xdr:col>
      <xdr:colOff>400050</xdr:colOff>
      <xdr:row>21</xdr:row>
      <xdr:rowOff>38100</xdr:rowOff>
    </xdr:from>
    <xdr:to>
      <xdr:col>17</xdr:col>
      <xdr:colOff>266700</xdr:colOff>
      <xdr:row>24</xdr:row>
      <xdr:rowOff>123825</xdr:rowOff>
    </xdr:to>
    <xdr:sp macro="" textlink="">
      <xdr:nvSpPr>
        <xdr:cNvPr id="11" name="Retângulo: Cantos Arredondados 13">
          <a:hlinkClick xmlns:r="http://schemas.openxmlformats.org/officeDocument/2006/relationships" r:id="rId1"/>
          <a:extLst>
            <a:ext uri="{FF2B5EF4-FFF2-40B4-BE49-F238E27FC236}">
              <a16:creationId xmlns:a16="http://schemas.microsoft.com/office/drawing/2014/main" id="{E04F6A02-4258-48D4-9A6B-23EB29BE9856}"/>
            </a:ext>
          </a:extLst>
        </xdr:cNvPr>
        <xdr:cNvSpPr/>
      </xdr:nvSpPr>
      <xdr:spPr>
        <a:xfrm>
          <a:off x="8934450" y="4800600"/>
          <a:ext cx="1695450" cy="6572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600" b="1"/>
            <a:t>**********</a:t>
          </a:r>
        </a:p>
      </xdr:txBody>
    </xdr:sp>
    <xdr:clientData/>
  </xdr:twoCellAnchor>
  <xdr:twoCellAnchor>
    <xdr:from>
      <xdr:col>18</xdr:col>
      <xdr:colOff>523875</xdr:colOff>
      <xdr:row>21</xdr:row>
      <xdr:rowOff>28575</xdr:rowOff>
    </xdr:from>
    <xdr:to>
      <xdr:col>21</xdr:col>
      <xdr:colOff>390525</xdr:colOff>
      <xdr:row>24</xdr:row>
      <xdr:rowOff>114300</xdr:rowOff>
    </xdr:to>
    <xdr:sp macro="" textlink="">
      <xdr:nvSpPr>
        <xdr:cNvPr id="12" name="Retângulo: Cantos Arredondados 14">
          <a:hlinkClick xmlns:r="http://schemas.openxmlformats.org/officeDocument/2006/relationships" r:id="rId1"/>
          <a:extLst>
            <a:ext uri="{FF2B5EF4-FFF2-40B4-BE49-F238E27FC236}">
              <a16:creationId xmlns:a16="http://schemas.microsoft.com/office/drawing/2014/main" id="{8FC9F51B-D65A-4313-8A3C-7930EAB85F4D}"/>
            </a:ext>
          </a:extLst>
        </xdr:cNvPr>
        <xdr:cNvSpPr/>
      </xdr:nvSpPr>
      <xdr:spPr>
        <a:xfrm>
          <a:off x="11496675" y="4791075"/>
          <a:ext cx="1695450" cy="6572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200" b="1"/>
            <a:t>**********</a:t>
          </a:r>
          <a:endParaRPr lang="pt-BR" sz="1100" b="1"/>
        </a:p>
      </xdr:txBody>
    </xdr:sp>
    <xdr:clientData/>
  </xdr:twoCellAnchor>
  <xdr:twoCellAnchor>
    <xdr:from>
      <xdr:col>22</xdr:col>
      <xdr:colOff>533400</xdr:colOff>
      <xdr:row>20</xdr:row>
      <xdr:rowOff>171450</xdr:rowOff>
    </xdr:from>
    <xdr:to>
      <xdr:col>25</xdr:col>
      <xdr:colOff>400050</xdr:colOff>
      <xdr:row>24</xdr:row>
      <xdr:rowOff>66675</xdr:rowOff>
    </xdr:to>
    <xdr:sp macro="" textlink="">
      <xdr:nvSpPr>
        <xdr:cNvPr id="13" name="Retângulo: Cantos Arredondados 15">
          <a:hlinkClick xmlns:r="http://schemas.openxmlformats.org/officeDocument/2006/relationships" r:id="rId1"/>
          <a:extLst>
            <a:ext uri="{FF2B5EF4-FFF2-40B4-BE49-F238E27FC236}">
              <a16:creationId xmlns:a16="http://schemas.microsoft.com/office/drawing/2014/main" id="{36FA0D34-4A20-4C48-A31A-7ED6096E3D75}"/>
            </a:ext>
          </a:extLst>
        </xdr:cNvPr>
        <xdr:cNvSpPr/>
      </xdr:nvSpPr>
      <xdr:spPr>
        <a:xfrm>
          <a:off x="13944600" y="4743450"/>
          <a:ext cx="1695450" cy="6572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600" b="1"/>
            <a:t>**********</a:t>
          </a:r>
        </a:p>
      </xdr:txBody>
    </xdr:sp>
    <xdr:clientData/>
  </xdr:twoCellAnchor>
  <xdr:twoCellAnchor editAs="oneCell">
    <xdr:from>
      <xdr:col>0</xdr:col>
      <xdr:colOff>0</xdr:colOff>
      <xdr:row>0</xdr:row>
      <xdr:rowOff>0</xdr:rowOff>
    </xdr:from>
    <xdr:to>
      <xdr:col>2</xdr:col>
      <xdr:colOff>409575</xdr:colOff>
      <xdr:row>6</xdr:row>
      <xdr:rowOff>9525</xdr:rowOff>
    </xdr:to>
    <xdr:pic>
      <xdr:nvPicPr>
        <xdr:cNvPr id="14" name="Imagem 13" descr="Trabalho · em · equipe · círculo · quebra-cabeça · quatro · laranja ·  desenho · animado - foto stock © limbi007 (#7107480) | Stockfresh">
          <a:hlinkClick xmlns:r="http://schemas.openxmlformats.org/officeDocument/2006/relationships" r:id="rId1"/>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0"/>
          <a:ext cx="1628775" cy="1152525"/>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pic>
    <xdr:clientData/>
  </xdr:twoCellAnchor>
  <xdr:twoCellAnchor>
    <xdr:from>
      <xdr:col>2</xdr:col>
      <xdr:colOff>419100</xdr:colOff>
      <xdr:row>0</xdr:row>
      <xdr:rowOff>104775</xdr:rowOff>
    </xdr:from>
    <xdr:to>
      <xdr:col>10</xdr:col>
      <xdr:colOff>438150</xdr:colOff>
      <xdr:row>5</xdr:row>
      <xdr:rowOff>114300</xdr:rowOff>
    </xdr:to>
    <xdr:sp macro="" textlink="">
      <xdr:nvSpPr>
        <xdr:cNvPr id="15" name="Retângulo: Cantos Arredondados 21">
          <a:hlinkClick xmlns:r="http://schemas.openxmlformats.org/officeDocument/2006/relationships" r:id="rId1"/>
          <a:extLst>
            <a:ext uri="{FF2B5EF4-FFF2-40B4-BE49-F238E27FC236}">
              <a16:creationId xmlns:a16="http://schemas.microsoft.com/office/drawing/2014/main" id="{65DFE5B4-C03F-4CCE-9D69-50C4B29A8A89}"/>
            </a:ext>
          </a:extLst>
        </xdr:cNvPr>
        <xdr:cNvSpPr/>
      </xdr:nvSpPr>
      <xdr:spPr>
        <a:xfrm>
          <a:off x="1638300" y="104775"/>
          <a:ext cx="4895850" cy="9620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pt-BR" sz="1200" b="1"/>
            <a:t>COORDENAÇÃO GERAL DE RECURSOS HUMANOS - CGRH</a:t>
          </a:r>
        </a:p>
        <a:p>
          <a:pPr algn="ctr"/>
          <a:endParaRPr lang="pt-BR" sz="1200" b="1"/>
        </a:p>
        <a:p>
          <a:pPr algn="ctr"/>
          <a:r>
            <a:rPr lang="pt-BR" sz="1200" b="1"/>
            <a:t>DADOS</a:t>
          </a:r>
          <a:r>
            <a:rPr lang="pt-BR" sz="1200" b="1" baseline="0"/>
            <a:t> DA PESQUISA DE CLIMA ORGANIZACIONAL</a:t>
          </a:r>
          <a:endParaRPr lang="pt-BR" sz="1200" b="1"/>
        </a:p>
      </xdr:txBody>
    </xdr:sp>
    <xdr:clientData/>
  </xdr:twoCellAnchor>
  <xdr:twoCellAnchor editAs="oneCell">
    <xdr:from>
      <xdr:col>27</xdr:col>
      <xdr:colOff>228600</xdr:colOff>
      <xdr:row>0</xdr:row>
      <xdr:rowOff>180975</xdr:rowOff>
    </xdr:from>
    <xdr:to>
      <xdr:col>28</xdr:col>
      <xdr:colOff>388359</xdr:colOff>
      <xdr:row>4</xdr:row>
      <xdr:rowOff>185329</xdr:rowOff>
    </xdr:to>
    <xdr:pic>
      <xdr:nvPicPr>
        <xdr:cNvPr id="16" name="Imagem 15" descr="Transmagnabosco">
          <a:hlinkClick xmlns:r="http://schemas.openxmlformats.org/officeDocument/2006/relationships" r:id="rId12"/>
          <a:extLst>
            <a:ext uri="{FF2B5EF4-FFF2-40B4-BE49-F238E27FC236}">
              <a16:creationId xmlns:a16="http://schemas.microsoft.com/office/drawing/2014/main" id="{CEE31449-152B-43E8-B43F-2D40BAF5156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6687800" y="180975"/>
          <a:ext cx="769359" cy="766354"/>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xdr:from>
      <xdr:col>27</xdr:col>
      <xdr:colOff>304800</xdr:colOff>
      <xdr:row>1</xdr:row>
      <xdr:rowOff>38100</xdr:rowOff>
    </xdr:from>
    <xdr:to>
      <xdr:col>28</xdr:col>
      <xdr:colOff>367689</xdr:colOff>
      <xdr:row>2</xdr:row>
      <xdr:rowOff>114300</xdr:rowOff>
    </xdr:to>
    <xdr:sp macro="" textlink="">
      <xdr:nvSpPr>
        <xdr:cNvPr id="17" name="Retângulo: Cantos Arredondados 7">
          <a:hlinkClick xmlns:r="http://schemas.openxmlformats.org/officeDocument/2006/relationships" r:id="rId12"/>
          <a:extLst>
            <a:ext uri="{FF2B5EF4-FFF2-40B4-BE49-F238E27FC236}">
              <a16:creationId xmlns:a16="http://schemas.microsoft.com/office/drawing/2014/main" id="{7915A315-C282-40F9-A9D9-0FDC5321EED5}"/>
            </a:ext>
          </a:extLst>
        </xdr:cNvPr>
        <xdr:cNvSpPr/>
      </xdr:nvSpPr>
      <xdr:spPr>
        <a:xfrm rot="473335">
          <a:off x="16764000" y="228600"/>
          <a:ext cx="672489" cy="266700"/>
        </a:xfrm>
        <a:prstGeom prst="roundRect">
          <a:avLst>
            <a:gd name="adj" fmla="val 0"/>
          </a:avLst>
        </a:prstGeom>
        <a:solidFill>
          <a:schemeClr val="accent4">
            <a:lumMod val="60000"/>
            <a:lumOff val="40000"/>
            <a:alpha val="96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rgbClr val="FF0000"/>
              </a:solidFill>
            </a:rPr>
            <a:t>VOLTAR</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1628775</xdr:colOff>
      <xdr:row>6</xdr:row>
      <xdr:rowOff>9525</xdr:rowOff>
    </xdr:to>
    <xdr:pic>
      <xdr:nvPicPr>
        <xdr:cNvPr id="14" name="Imagem 13" descr="Trabalho · em · equipe · círculo · quebra-cabeça · quatro · laranja ·  desenho · animado - foto stock © limbi007 (#7107480) | Stockfresh">
          <a:hlinkClick xmlns:r="http://schemas.openxmlformats.org/officeDocument/2006/relationships" r:id="rId1"/>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628775" cy="1152525"/>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pic>
    <xdr:clientData/>
  </xdr:twoCellAnchor>
  <xdr:twoCellAnchor>
    <xdr:from>
      <xdr:col>0</xdr:col>
      <xdr:colOff>1647825</xdr:colOff>
      <xdr:row>0</xdr:row>
      <xdr:rowOff>104775</xdr:rowOff>
    </xdr:from>
    <xdr:to>
      <xdr:col>6</xdr:col>
      <xdr:colOff>723900</xdr:colOff>
      <xdr:row>5</xdr:row>
      <xdr:rowOff>114300</xdr:rowOff>
    </xdr:to>
    <xdr:sp macro="" textlink="">
      <xdr:nvSpPr>
        <xdr:cNvPr id="15" name="Retângulo: Cantos Arredondados 21">
          <a:hlinkClick xmlns:r="http://schemas.openxmlformats.org/officeDocument/2006/relationships" r:id="rId1"/>
          <a:extLst>
            <a:ext uri="{FF2B5EF4-FFF2-40B4-BE49-F238E27FC236}">
              <a16:creationId xmlns:a16="http://schemas.microsoft.com/office/drawing/2014/main" id="{65DFE5B4-C03F-4CCE-9D69-50C4B29A8A89}"/>
            </a:ext>
          </a:extLst>
        </xdr:cNvPr>
        <xdr:cNvSpPr/>
      </xdr:nvSpPr>
      <xdr:spPr>
        <a:xfrm>
          <a:off x="1647825" y="104775"/>
          <a:ext cx="6067425" cy="9620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pt-BR" sz="1200" b="1"/>
            <a:t>COORDENAÇÃO GERAL DE RECURSOS HUMANOS - CGRH</a:t>
          </a:r>
        </a:p>
        <a:p>
          <a:pPr algn="ctr"/>
          <a:endParaRPr lang="pt-BR" sz="1200" b="1"/>
        </a:p>
        <a:p>
          <a:pPr algn="ctr"/>
          <a:r>
            <a:rPr lang="pt-BR" sz="1200" b="1"/>
            <a:t>DADOS</a:t>
          </a:r>
          <a:r>
            <a:rPr lang="pt-BR" sz="1200" b="1" baseline="0"/>
            <a:t> DA PESQUISA DE CLIMA ORGANIZACIONAL</a:t>
          </a:r>
          <a:endParaRPr lang="pt-BR" sz="1200" b="1"/>
        </a:p>
      </xdr:txBody>
    </xdr:sp>
    <xdr:clientData/>
  </xdr:twoCellAnchor>
  <xdr:twoCellAnchor editAs="oneCell">
    <xdr:from>
      <xdr:col>12</xdr:col>
      <xdr:colOff>723900</xdr:colOff>
      <xdr:row>0</xdr:row>
      <xdr:rowOff>104775</xdr:rowOff>
    </xdr:from>
    <xdr:to>
      <xdr:col>13</xdr:col>
      <xdr:colOff>435984</xdr:colOff>
      <xdr:row>4</xdr:row>
      <xdr:rowOff>109129</xdr:rowOff>
    </xdr:to>
    <xdr:pic>
      <xdr:nvPicPr>
        <xdr:cNvPr id="16" name="Imagem 15" descr="Transmagnabosco">
          <a:hlinkClick xmlns:r="http://schemas.openxmlformats.org/officeDocument/2006/relationships" r:id="rId3"/>
          <a:extLst>
            <a:ext uri="{FF2B5EF4-FFF2-40B4-BE49-F238E27FC236}">
              <a16:creationId xmlns:a16="http://schemas.microsoft.com/office/drawing/2014/main" id="{CEE31449-152B-43E8-B43F-2D40BAF5156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296775" y="104775"/>
          <a:ext cx="769359" cy="766354"/>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833816</xdr:colOff>
      <xdr:row>0</xdr:row>
      <xdr:rowOff>157454</xdr:rowOff>
    </xdr:from>
    <xdr:to>
      <xdr:col>13</xdr:col>
      <xdr:colOff>386624</xdr:colOff>
      <xdr:row>2</xdr:row>
      <xdr:rowOff>43154</xdr:rowOff>
    </xdr:to>
    <xdr:sp macro="" textlink="">
      <xdr:nvSpPr>
        <xdr:cNvPr id="17" name="Retângulo: Cantos Arredondados 7">
          <a:hlinkClick xmlns:r="http://schemas.openxmlformats.org/officeDocument/2006/relationships" r:id="rId3"/>
          <a:extLst>
            <a:ext uri="{FF2B5EF4-FFF2-40B4-BE49-F238E27FC236}">
              <a16:creationId xmlns:a16="http://schemas.microsoft.com/office/drawing/2014/main" id="{7915A315-C282-40F9-A9D9-0FDC5321EED5}"/>
            </a:ext>
          </a:extLst>
        </xdr:cNvPr>
        <xdr:cNvSpPr/>
      </xdr:nvSpPr>
      <xdr:spPr>
        <a:xfrm rot="473335">
          <a:off x="12406691" y="157454"/>
          <a:ext cx="610083" cy="266700"/>
        </a:xfrm>
        <a:prstGeom prst="roundRect">
          <a:avLst>
            <a:gd name="adj" fmla="val 0"/>
          </a:avLst>
        </a:prstGeom>
        <a:solidFill>
          <a:schemeClr val="accent4">
            <a:lumMod val="60000"/>
            <a:lumOff val="40000"/>
            <a:alpha val="96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rgbClr val="FF0000"/>
              </a:solidFill>
            </a:rPr>
            <a:t>VOLTAR</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14</xdr:col>
      <xdr:colOff>381000</xdr:colOff>
      <xdr:row>12</xdr:row>
      <xdr:rowOff>79181</xdr:rowOff>
    </xdr:from>
    <xdr:to>
      <xdr:col>17</xdr:col>
      <xdr:colOff>266701</xdr:colOff>
      <xdr:row>21</xdr:row>
      <xdr:rowOff>38100</xdr:rowOff>
    </xdr:to>
    <xdr:pic>
      <xdr:nvPicPr>
        <xdr:cNvPr id="2" name="Imagem 1" descr="Imagens de clipart Peça de quebra-cabeça de brinquedo azul">
          <a:hlinkClick xmlns:r="http://schemas.openxmlformats.org/officeDocument/2006/relationships" r:id="rId1"/>
          <a:extLst>
            <a:ext uri="{FF2B5EF4-FFF2-40B4-BE49-F238E27FC236}">
              <a16:creationId xmlns:a16="http://schemas.microsoft.com/office/drawing/2014/main" id="{8B64B50F-643B-4DDA-8B67-0CBF1AFEF51D}"/>
            </a:ext>
          </a:extLst>
        </xdr:cNvPr>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8915400" y="3127181"/>
          <a:ext cx="1714501" cy="1673419"/>
        </a:xfrm>
        <a:prstGeom prst="rect">
          <a:avLst/>
        </a:prstGeom>
        <a:noFill/>
        <a:ln w="34925">
          <a:solidFill>
            <a:srgbClr val="FFFFFF"/>
          </a:solidFill>
        </a:ln>
        <a:effectLst>
          <a:outerShdw blurRad="317500" dir="2700000" algn="ctr">
            <a:srgbClr val="000000">
              <a:alpha val="43000"/>
            </a:srgbClr>
          </a:outerShdw>
        </a:effectLst>
        <a:scene3d>
          <a:camera prst="perspectiveFront" fov="2700000">
            <a:rot lat="19086000" lon="19067999" rev="3108000"/>
          </a:camera>
          <a:lightRig rig="threePt" dir="t">
            <a:rot lat="0" lon="0" rev="0"/>
          </a:lightRig>
        </a:scene3d>
        <a:sp3d extrusionH="38100" prstMaterial="clear">
          <a:bevelT w="260350" h="50800" prst="softRound"/>
          <a:bevelB prst="softRound"/>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523876</xdr:colOff>
      <xdr:row>12</xdr:row>
      <xdr:rowOff>38100</xdr:rowOff>
    </xdr:from>
    <xdr:to>
      <xdr:col>5</xdr:col>
      <xdr:colOff>324647</xdr:colOff>
      <xdr:row>20</xdr:row>
      <xdr:rowOff>190499</xdr:rowOff>
    </xdr:to>
    <xdr:pic>
      <xdr:nvPicPr>
        <xdr:cNvPr id="3" name="Imagem 2" descr="Imagens de clipart Clipart de peça de quebra-cabeça">
          <a:hlinkClick xmlns:r="http://schemas.openxmlformats.org/officeDocument/2006/relationships" r:id="rId4"/>
          <a:extLst>
            <a:ext uri="{FF2B5EF4-FFF2-40B4-BE49-F238E27FC236}">
              <a16:creationId xmlns:a16="http://schemas.microsoft.com/office/drawing/2014/main" id="{45428BCF-00BE-45B5-A72B-CC4EF5565334}"/>
            </a:ext>
          </a:extLst>
        </xdr:cNvPr>
        <xdr:cNvPicPr>
          <a:picLocks noChangeAspect="1" noChangeArrowheads="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1743076" y="2324100"/>
          <a:ext cx="1629571" cy="1676399"/>
        </a:xfrm>
        <a:prstGeom prst="rect">
          <a:avLst/>
        </a:prstGeom>
        <a:solidFill>
          <a:schemeClr val="bg1">
            <a:lumMod val="75000"/>
          </a:schemeClr>
        </a:solidFill>
        <a:ln w="34925">
          <a:solidFill>
            <a:srgbClr val="FFFFFF"/>
          </a:solidFill>
        </a:ln>
        <a:effectLst>
          <a:outerShdw blurRad="317500" dir="2700000" algn="ctr">
            <a:srgbClr val="000000">
              <a:alpha val="43000"/>
            </a:srgbClr>
          </a:outerShdw>
        </a:effectLst>
        <a:scene3d>
          <a:camera prst="perspectiveFront" fov="2700000">
            <a:rot lat="19086000" lon="19067999" rev="3108000"/>
          </a:camera>
          <a:lightRig rig="threePt" dir="t">
            <a:rot lat="0" lon="0" rev="0"/>
          </a:lightRig>
        </a:scene3d>
        <a:sp3d extrusionH="38100" prstMaterial="clear">
          <a:bevelT w="260350" h="50800" prst="softRound"/>
          <a:bevelB prst="softRound"/>
        </a:sp3d>
        <a:extLst/>
      </xdr:spPr>
    </xdr:pic>
    <xdr:clientData/>
  </xdr:twoCellAnchor>
  <xdr:twoCellAnchor editAs="oneCell">
    <xdr:from>
      <xdr:col>10</xdr:col>
      <xdr:colOff>361950</xdr:colOff>
      <xdr:row>12</xdr:row>
      <xdr:rowOff>28575</xdr:rowOff>
    </xdr:from>
    <xdr:to>
      <xdr:col>13</xdr:col>
      <xdr:colOff>238125</xdr:colOff>
      <xdr:row>21</xdr:row>
      <xdr:rowOff>19050</xdr:rowOff>
    </xdr:to>
    <xdr:pic>
      <xdr:nvPicPr>
        <xdr:cNvPr id="4" name="Imagem 3" descr="Orange Puzzle Piece Clip Art at Clker.com - vector clip art online ...">
          <a:hlinkClick xmlns:r="http://schemas.openxmlformats.org/officeDocument/2006/relationships" r:id="rId7"/>
          <a:extLst>
            <a:ext uri="{FF2B5EF4-FFF2-40B4-BE49-F238E27FC236}">
              <a16:creationId xmlns:a16="http://schemas.microsoft.com/office/drawing/2014/main" id="{A698CD0E-331C-415D-95E0-0EB5B104E494}"/>
            </a:ext>
          </a:extLst>
        </xdr:cNvPr>
        <xdr:cNvPicPr>
          <a:picLocks noChangeAspect="1" noChangeArrowheads="1"/>
        </xdr:cNvPicPr>
      </xdr:nvPicPr>
      <xdr:blipFill>
        <a:blip xmlns:r="http://schemas.openxmlformats.org/officeDocument/2006/relationships" r:embed="rId8">
          <a:extLst>
            <a:ext uri="{BEBA8EAE-BF5A-486C-A8C5-ECC9F3942E4B}">
              <a14:imgProps xmlns:a14="http://schemas.microsoft.com/office/drawing/2010/main">
                <a14:imgLayer r:embed="rId9">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6457950" y="3076575"/>
          <a:ext cx="1704975" cy="1704975"/>
        </a:xfrm>
        <a:prstGeom prst="rect">
          <a:avLst/>
        </a:prstGeom>
        <a:noFill/>
        <a:ln w="34925">
          <a:solidFill>
            <a:srgbClr val="FFFFFF"/>
          </a:solidFill>
        </a:ln>
        <a:effectLst>
          <a:outerShdw blurRad="317500" dir="2700000" algn="ctr">
            <a:srgbClr val="000000">
              <a:alpha val="43000"/>
            </a:srgbClr>
          </a:outerShdw>
        </a:effectLst>
        <a:scene3d>
          <a:camera prst="perspectiveFront" fov="2700000">
            <a:rot lat="19086000" lon="19067999" rev="3108000"/>
          </a:camera>
          <a:lightRig rig="threePt" dir="t">
            <a:rot lat="0" lon="0" rev="0"/>
          </a:lightRig>
        </a:scene3d>
        <a:sp3d extrusionH="38100" prstMaterial="clear">
          <a:bevelT w="260350" h="50800" prst="softRound"/>
          <a:bevelB prst="softRound"/>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380999</xdr:colOff>
      <xdr:row>12</xdr:row>
      <xdr:rowOff>28575</xdr:rowOff>
    </xdr:from>
    <xdr:to>
      <xdr:col>9</xdr:col>
      <xdr:colOff>266700</xdr:colOff>
      <xdr:row>21</xdr:row>
      <xdr:rowOff>9525</xdr:rowOff>
    </xdr:to>
    <xdr:pic>
      <xdr:nvPicPr>
        <xdr:cNvPr id="5" name="Imagem 4" descr="Yellow Puzzle Piece Clip Art at Clker.com - vector clip art online ...">
          <a:hlinkClick xmlns:r="http://schemas.openxmlformats.org/officeDocument/2006/relationships" r:id="rId1"/>
          <a:extLst>
            <a:ext uri="{FF2B5EF4-FFF2-40B4-BE49-F238E27FC236}">
              <a16:creationId xmlns:a16="http://schemas.microsoft.com/office/drawing/2014/main" id="{EE9BEBD8-D25B-4FE2-9AA8-1B703F1AC0D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038599" y="3076575"/>
          <a:ext cx="1714501" cy="1695450"/>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495299</xdr:colOff>
      <xdr:row>12</xdr:row>
      <xdr:rowOff>38100</xdr:rowOff>
    </xdr:from>
    <xdr:to>
      <xdr:col>21</xdr:col>
      <xdr:colOff>371474</xdr:colOff>
      <xdr:row>21</xdr:row>
      <xdr:rowOff>19050</xdr:rowOff>
    </xdr:to>
    <xdr:pic>
      <xdr:nvPicPr>
        <xdr:cNvPr id="6" name="Imagem 5" descr="Vetor puzzle piece font grátis | AI, SVG e EPS">
          <a:hlinkClick xmlns:r="http://schemas.openxmlformats.org/officeDocument/2006/relationships" r:id="rId1"/>
          <a:extLst>
            <a:ext uri="{FF2B5EF4-FFF2-40B4-BE49-F238E27FC236}">
              <a16:creationId xmlns:a16="http://schemas.microsoft.com/office/drawing/2014/main" id="{F77B5857-68AD-407F-9D97-B22743DFE688}"/>
            </a:ext>
          </a:extLst>
        </xdr:cNvPr>
        <xdr:cNvPicPr>
          <a:picLocks noChangeAspect="1" noChangeArrowheads="1"/>
        </xdr:cNvPicPr>
      </xdr:nvPicPr>
      <xdr:blipFill>
        <a:blip xmlns:r="http://schemas.openxmlformats.org/officeDocument/2006/relationships" r:embed="rId11">
          <a:extLst>
            <a:ext uri="{BEBA8EAE-BF5A-486C-A8C5-ECC9F3942E4B}">
              <a14:imgProps xmlns:a14="http://schemas.microsoft.com/office/drawing/2010/main">
                <a14:imgLayer r:embed="rId1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11468099" y="3086100"/>
          <a:ext cx="1704975" cy="1695450"/>
        </a:xfrm>
        <a:prstGeom prst="rect">
          <a:avLst/>
        </a:prstGeom>
        <a:noFill/>
        <a:ln w="34925">
          <a:solidFill>
            <a:srgbClr val="FFFFFF"/>
          </a:solidFill>
        </a:ln>
        <a:effectLst>
          <a:outerShdw blurRad="317500" dir="2700000" algn="ctr">
            <a:srgbClr val="000000">
              <a:alpha val="43000"/>
            </a:srgbClr>
          </a:outerShdw>
        </a:effectLst>
        <a:scene3d>
          <a:camera prst="perspectiveFront" fov="2700000">
            <a:rot lat="19086000" lon="19067999" rev="3108000"/>
          </a:camera>
          <a:lightRig rig="threePt" dir="t">
            <a:rot lat="0" lon="0" rev="0"/>
          </a:lightRig>
        </a:scene3d>
        <a:sp3d extrusionH="38100" prstMaterial="clear">
          <a:bevelT w="260350" h="50800" prst="softRound"/>
          <a:bevelB prst="softRound"/>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514350</xdr:colOff>
      <xdr:row>12</xdr:row>
      <xdr:rowOff>28575</xdr:rowOff>
    </xdr:from>
    <xdr:to>
      <xdr:col>25</xdr:col>
      <xdr:colOff>390525</xdr:colOff>
      <xdr:row>20</xdr:row>
      <xdr:rowOff>171450</xdr:rowOff>
    </xdr:to>
    <xdr:pic>
      <xdr:nvPicPr>
        <xdr:cNvPr id="7" name="Imagem 6" descr="Pink Jigsaw Piece Clip Art at Clker.com - vector clip art online ...">
          <a:hlinkClick xmlns:r="http://schemas.openxmlformats.org/officeDocument/2006/relationships" r:id="rId1"/>
          <a:extLst>
            <a:ext uri="{FF2B5EF4-FFF2-40B4-BE49-F238E27FC236}">
              <a16:creationId xmlns:a16="http://schemas.microsoft.com/office/drawing/2014/main" id="{ED3B0ECE-DF91-4C9A-9D4A-F0BCABD0B690}"/>
            </a:ext>
          </a:extLst>
        </xdr:cNvPr>
        <xdr:cNvPicPr>
          <a:picLocks noChangeAspect="1" noChangeArrowheads="1"/>
        </xdr:cNvPicPr>
      </xdr:nvPicPr>
      <xdr:blipFill>
        <a:blip xmlns:r="http://schemas.openxmlformats.org/officeDocument/2006/relationships" r:embed="rId13">
          <a:extLst>
            <a:ext uri="{BEBA8EAE-BF5A-486C-A8C5-ECC9F3942E4B}">
              <a14:imgProps xmlns:a14="http://schemas.microsoft.com/office/drawing/2010/main">
                <a14:imgLayer r:embed="rId14">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13925550" y="3076575"/>
          <a:ext cx="1704975" cy="1666875"/>
        </a:xfrm>
        <a:prstGeom prst="rect">
          <a:avLst/>
        </a:prstGeom>
        <a:noFill/>
        <a:ln w="34925">
          <a:solidFill>
            <a:srgbClr val="FFFFFF"/>
          </a:solidFill>
        </a:ln>
        <a:effectLst>
          <a:outerShdw blurRad="317500" dir="2700000" algn="ctr">
            <a:srgbClr val="000000">
              <a:alpha val="43000"/>
            </a:srgbClr>
          </a:outerShdw>
        </a:effectLst>
        <a:scene3d>
          <a:camera prst="perspectiveFront" fov="2700000">
            <a:rot lat="19086000" lon="19067999" rev="3108000"/>
          </a:camera>
          <a:lightRig rig="threePt" dir="t">
            <a:rot lat="0" lon="0" rev="0"/>
          </a:lightRig>
        </a:scene3d>
        <a:sp3d extrusionH="38100" prstMaterial="clear">
          <a:bevelT w="260350" h="50800" prst="softRound"/>
          <a:bevelB prst="softRound"/>
        </a:sp3d>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495300</xdr:colOff>
      <xdr:row>21</xdr:row>
      <xdr:rowOff>0</xdr:rowOff>
    </xdr:from>
    <xdr:to>
      <xdr:col>5</xdr:col>
      <xdr:colOff>361950</xdr:colOff>
      <xdr:row>24</xdr:row>
      <xdr:rowOff>85725</xdr:rowOff>
    </xdr:to>
    <xdr:sp macro="" textlink="">
      <xdr:nvSpPr>
        <xdr:cNvPr id="8" name="Retângulo: Cantos Arredondados 10">
          <a:hlinkClick xmlns:r="http://schemas.openxmlformats.org/officeDocument/2006/relationships" r:id="rId4"/>
          <a:extLst>
            <a:ext uri="{FF2B5EF4-FFF2-40B4-BE49-F238E27FC236}">
              <a16:creationId xmlns:a16="http://schemas.microsoft.com/office/drawing/2014/main" id="{61049D9E-0305-4272-BFD1-DA07F1E666D7}"/>
            </a:ext>
          </a:extLst>
        </xdr:cNvPr>
        <xdr:cNvSpPr/>
      </xdr:nvSpPr>
      <xdr:spPr>
        <a:xfrm>
          <a:off x="1714500" y="4762500"/>
          <a:ext cx="1695450" cy="6572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400" b="1"/>
            <a:t>ÍNDICE CLIMA ORGANIZACIONAL</a:t>
          </a:r>
        </a:p>
      </xdr:txBody>
    </xdr:sp>
    <xdr:clientData/>
  </xdr:twoCellAnchor>
  <xdr:twoCellAnchor>
    <xdr:from>
      <xdr:col>6</xdr:col>
      <xdr:colOff>400050</xdr:colOff>
      <xdr:row>21</xdr:row>
      <xdr:rowOff>9525</xdr:rowOff>
    </xdr:from>
    <xdr:to>
      <xdr:col>9</xdr:col>
      <xdr:colOff>266700</xdr:colOff>
      <xdr:row>24</xdr:row>
      <xdr:rowOff>95250</xdr:rowOff>
    </xdr:to>
    <xdr:sp macro="" textlink="">
      <xdr:nvSpPr>
        <xdr:cNvPr id="9" name="Retângulo: Cantos Arredondados 11">
          <a:hlinkClick xmlns:r="http://schemas.openxmlformats.org/officeDocument/2006/relationships" r:id="rId1"/>
          <a:extLst>
            <a:ext uri="{FF2B5EF4-FFF2-40B4-BE49-F238E27FC236}">
              <a16:creationId xmlns:a16="http://schemas.microsoft.com/office/drawing/2014/main" id="{A0B9343C-259D-4B9F-B86F-0C33C0C8B588}"/>
            </a:ext>
          </a:extLst>
        </xdr:cNvPr>
        <xdr:cNvSpPr/>
      </xdr:nvSpPr>
      <xdr:spPr>
        <a:xfrm>
          <a:off x="4057650" y="4772025"/>
          <a:ext cx="1695450" cy="6572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400" b="1"/>
            <a:t>VARIÁRVEL DEMOGRÁFICA</a:t>
          </a:r>
        </a:p>
      </xdr:txBody>
    </xdr:sp>
    <xdr:clientData/>
  </xdr:twoCellAnchor>
  <xdr:twoCellAnchor>
    <xdr:from>
      <xdr:col>10</xdr:col>
      <xdr:colOff>361950</xdr:colOff>
      <xdr:row>21</xdr:row>
      <xdr:rowOff>19050</xdr:rowOff>
    </xdr:from>
    <xdr:to>
      <xdr:col>13</xdr:col>
      <xdr:colOff>228600</xdr:colOff>
      <xdr:row>24</xdr:row>
      <xdr:rowOff>104775</xdr:rowOff>
    </xdr:to>
    <xdr:sp macro="" textlink="">
      <xdr:nvSpPr>
        <xdr:cNvPr id="10" name="Retângulo: Cantos Arredondados 12">
          <a:hlinkClick xmlns:r="http://schemas.openxmlformats.org/officeDocument/2006/relationships" r:id="rId7"/>
          <a:extLst>
            <a:ext uri="{FF2B5EF4-FFF2-40B4-BE49-F238E27FC236}">
              <a16:creationId xmlns:a16="http://schemas.microsoft.com/office/drawing/2014/main" id="{4AA1B5AF-E07E-44A6-818B-8323B8D9B2E3}"/>
            </a:ext>
          </a:extLst>
        </xdr:cNvPr>
        <xdr:cNvSpPr/>
      </xdr:nvSpPr>
      <xdr:spPr>
        <a:xfrm>
          <a:off x="6457950" y="4781550"/>
          <a:ext cx="1695450" cy="6572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400" b="1"/>
            <a:t>VARIÁVEL CLIMA ORGANIZACIONAL</a:t>
          </a:r>
        </a:p>
      </xdr:txBody>
    </xdr:sp>
    <xdr:clientData/>
  </xdr:twoCellAnchor>
  <xdr:twoCellAnchor>
    <xdr:from>
      <xdr:col>14</xdr:col>
      <xdr:colOff>400050</xdr:colOff>
      <xdr:row>21</xdr:row>
      <xdr:rowOff>38100</xdr:rowOff>
    </xdr:from>
    <xdr:to>
      <xdr:col>17</xdr:col>
      <xdr:colOff>266700</xdr:colOff>
      <xdr:row>24</xdr:row>
      <xdr:rowOff>123825</xdr:rowOff>
    </xdr:to>
    <xdr:sp macro="" textlink="">
      <xdr:nvSpPr>
        <xdr:cNvPr id="11" name="Retângulo: Cantos Arredondados 13">
          <a:hlinkClick xmlns:r="http://schemas.openxmlformats.org/officeDocument/2006/relationships" r:id="rId1"/>
          <a:extLst>
            <a:ext uri="{FF2B5EF4-FFF2-40B4-BE49-F238E27FC236}">
              <a16:creationId xmlns:a16="http://schemas.microsoft.com/office/drawing/2014/main" id="{E04F6A02-4258-48D4-9A6B-23EB29BE9856}"/>
            </a:ext>
          </a:extLst>
        </xdr:cNvPr>
        <xdr:cNvSpPr/>
      </xdr:nvSpPr>
      <xdr:spPr>
        <a:xfrm>
          <a:off x="8934450" y="4800600"/>
          <a:ext cx="1695450" cy="6572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600" b="1"/>
            <a:t>**********</a:t>
          </a:r>
        </a:p>
      </xdr:txBody>
    </xdr:sp>
    <xdr:clientData/>
  </xdr:twoCellAnchor>
  <xdr:twoCellAnchor>
    <xdr:from>
      <xdr:col>18</xdr:col>
      <xdr:colOff>523875</xdr:colOff>
      <xdr:row>21</xdr:row>
      <xdr:rowOff>28575</xdr:rowOff>
    </xdr:from>
    <xdr:to>
      <xdr:col>21</xdr:col>
      <xdr:colOff>390525</xdr:colOff>
      <xdr:row>24</xdr:row>
      <xdr:rowOff>114300</xdr:rowOff>
    </xdr:to>
    <xdr:sp macro="" textlink="">
      <xdr:nvSpPr>
        <xdr:cNvPr id="12" name="Retângulo: Cantos Arredondados 14">
          <a:hlinkClick xmlns:r="http://schemas.openxmlformats.org/officeDocument/2006/relationships" r:id="rId1"/>
          <a:extLst>
            <a:ext uri="{FF2B5EF4-FFF2-40B4-BE49-F238E27FC236}">
              <a16:creationId xmlns:a16="http://schemas.microsoft.com/office/drawing/2014/main" id="{8FC9F51B-D65A-4313-8A3C-7930EAB85F4D}"/>
            </a:ext>
          </a:extLst>
        </xdr:cNvPr>
        <xdr:cNvSpPr/>
      </xdr:nvSpPr>
      <xdr:spPr>
        <a:xfrm>
          <a:off x="11496675" y="4791075"/>
          <a:ext cx="1695450" cy="6572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200" b="1"/>
            <a:t>**********</a:t>
          </a:r>
          <a:endParaRPr lang="pt-BR" sz="1100" b="1"/>
        </a:p>
      </xdr:txBody>
    </xdr:sp>
    <xdr:clientData/>
  </xdr:twoCellAnchor>
  <xdr:twoCellAnchor>
    <xdr:from>
      <xdr:col>22</xdr:col>
      <xdr:colOff>533400</xdr:colOff>
      <xdr:row>20</xdr:row>
      <xdr:rowOff>171450</xdr:rowOff>
    </xdr:from>
    <xdr:to>
      <xdr:col>25</xdr:col>
      <xdr:colOff>400050</xdr:colOff>
      <xdr:row>24</xdr:row>
      <xdr:rowOff>66675</xdr:rowOff>
    </xdr:to>
    <xdr:sp macro="" textlink="">
      <xdr:nvSpPr>
        <xdr:cNvPr id="13" name="Retângulo: Cantos Arredondados 15">
          <a:hlinkClick xmlns:r="http://schemas.openxmlformats.org/officeDocument/2006/relationships" r:id="rId1"/>
          <a:extLst>
            <a:ext uri="{FF2B5EF4-FFF2-40B4-BE49-F238E27FC236}">
              <a16:creationId xmlns:a16="http://schemas.microsoft.com/office/drawing/2014/main" id="{36FA0D34-4A20-4C48-A31A-7ED6096E3D75}"/>
            </a:ext>
          </a:extLst>
        </xdr:cNvPr>
        <xdr:cNvSpPr/>
      </xdr:nvSpPr>
      <xdr:spPr>
        <a:xfrm>
          <a:off x="13944600" y="4743450"/>
          <a:ext cx="1695450" cy="6572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600" b="1"/>
            <a:t>**********</a:t>
          </a:r>
        </a:p>
      </xdr:txBody>
    </xdr:sp>
    <xdr:clientData/>
  </xdr:twoCellAnchor>
  <xdr:twoCellAnchor editAs="oneCell">
    <xdr:from>
      <xdr:col>0</xdr:col>
      <xdr:colOff>0</xdr:colOff>
      <xdr:row>0</xdr:row>
      <xdr:rowOff>0</xdr:rowOff>
    </xdr:from>
    <xdr:to>
      <xdr:col>2</xdr:col>
      <xdr:colOff>409575</xdr:colOff>
      <xdr:row>6</xdr:row>
      <xdr:rowOff>9525</xdr:rowOff>
    </xdr:to>
    <xdr:pic>
      <xdr:nvPicPr>
        <xdr:cNvPr id="14" name="Imagem 13" descr="Trabalho · em · equipe · círculo · quebra-cabeça · quatro · laranja ·  desenho · animado - foto stock © limbi007 (#7107480) | Stockfresh">
          <a:hlinkClick xmlns:r="http://schemas.openxmlformats.org/officeDocument/2006/relationships" r:id="rId1"/>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0" y="0"/>
          <a:ext cx="1628775" cy="1152525"/>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pic>
    <xdr:clientData/>
  </xdr:twoCellAnchor>
  <xdr:twoCellAnchor>
    <xdr:from>
      <xdr:col>2</xdr:col>
      <xdr:colOff>419100</xdr:colOff>
      <xdr:row>0</xdr:row>
      <xdr:rowOff>104775</xdr:rowOff>
    </xdr:from>
    <xdr:to>
      <xdr:col>10</xdr:col>
      <xdr:colOff>438150</xdr:colOff>
      <xdr:row>5</xdr:row>
      <xdr:rowOff>114300</xdr:rowOff>
    </xdr:to>
    <xdr:sp macro="" textlink="">
      <xdr:nvSpPr>
        <xdr:cNvPr id="15" name="Retângulo: Cantos Arredondados 21">
          <a:hlinkClick xmlns:r="http://schemas.openxmlformats.org/officeDocument/2006/relationships" r:id="rId1"/>
          <a:extLst>
            <a:ext uri="{FF2B5EF4-FFF2-40B4-BE49-F238E27FC236}">
              <a16:creationId xmlns:a16="http://schemas.microsoft.com/office/drawing/2014/main" id="{65DFE5B4-C03F-4CCE-9D69-50C4B29A8A89}"/>
            </a:ext>
          </a:extLst>
        </xdr:cNvPr>
        <xdr:cNvSpPr/>
      </xdr:nvSpPr>
      <xdr:spPr>
        <a:xfrm>
          <a:off x="1638300" y="104775"/>
          <a:ext cx="4895850" cy="9620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pt-BR" sz="1200" b="1"/>
            <a:t>COORDENAÇÃO GERAL DE RECURSOS HUMANOS - CGRH</a:t>
          </a:r>
        </a:p>
        <a:p>
          <a:pPr algn="ctr"/>
          <a:endParaRPr lang="pt-BR" sz="1200" b="1"/>
        </a:p>
        <a:p>
          <a:pPr algn="ctr"/>
          <a:r>
            <a:rPr lang="pt-BR" sz="1200" b="1"/>
            <a:t>DADOS</a:t>
          </a:r>
          <a:r>
            <a:rPr lang="pt-BR" sz="1200" b="1" baseline="0"/>
            <a:t> DA PESQUISA DE CLIMA ORGANIZACIONAL</a:t>
          </a:r>
          <a:endParaRPr lang="pt-BR" sz="1200" b="1"/>
        </a:p>
      </xdr:txBody>
    </xdr:sp>
    <xdr:clientData/>
  </xdr:twoCellAnchor>
  <xdr:twoCellAnchor editAs="oneCell">
    <xdr:from>
      <xdr:col>27</xdr:col>
      <xdr:colOff>228600</xdr:colOff>
      <xdr:row>0</xdr:row>
      <xdr:rowOff>180975</xdr:rowOff>
    </xdr:from>
    <xdr:to>
      <xdr:col>28</xdr:col>
      <xdr:colOff>388359</xdr:colOff>
      <xdr:row>4</xdr:row>
      <xdr:rowOff>185329</xdr:rowOff>
    </xdr:to>
    <xdr:pic>
      <xdr:nvPicPr>
        <xdr:cNvPr id="16" name="Imagem 15" descr="Transmagnabosco">
          <a:hlinkClick xmlns:r="http://schemas.openxmlformats.org/officeDocument/2006/relationships" r:id="rId16"/>
          <a:extLst>
            <a:ext uri="{FF2B5EF4-FFF2-40B4-BE49-F238E27FC236}">
              <a16:creationId xmlns:a16="http://schemas.microsoft.com/office/drawing/2014/main" id="{CEE31449-152B-43E8-B43F-2D40BAF51563}"/>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6687800" y="180975"/>
          <a:ext cx="769359" cy="766354"/>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xdr:from>
      <xdr:col>27</xdr:col>
      <xdr:colOff>304800</xdr:colOff>
      <xdr:row>1</xdr:row>
      <xdr:rowOff>38100</xdr:rowOff>
    </xdr:from>
    <xdr:to>
      <xdr:col>28</xdr:col>
      <xdr:colOff>367689</xdr:colOff>
      <xdr:row>2</xdr:row>
      <xdr:rowOff>114300</xdr:rowOff>
    </xdr:to>
    <xdr:sp macro="" textlink="">
      <xdr:nvSpPr>
        <xdr:cNvPr id="17" name="Retângulo: Cantos Arredondados 7">
          <a:hlinkClick xmlns:r="http://schemas.openxmlformats.org/officeDocument/2006/relationships" r:id="rId16"/>
          <a:extLst>
            <a:ext uri="{FF2B5EF4-FFF2-40B4-BE49-F238E27FC236}">
              <a16:creationId xmlns:a16="http://schemas.microsoft.com/office/drawing/2014/main" id="{7915A315-C282-40F9-A9D9-0FDC5321EED5}"/>
            </a:ext>
          </a:extLst>
        </xdr:cNvPr>
        <xdr:cNvSpPr/>
      </xdr:nvSpPr>
      <xdr:spPr>
        <a:xfrm rot="473335">
          <a:off x="16764000" y="228600"/>
          <a:ext cx="672489" cy="266700"/>
        </a:xfrm>
        <a:prstGeom prst="roundRect">
          <a:avLst>
            <a:gd name="adj" fmla="val 0"/>
          </a:avLst>
        </a:prstGeom>
        <a:solidFill>
          <a:schemeClr val="accent4">
            <a:lumMod val="60000"/>
            <a:lumOff val="40000"/>
            <a:alpha val="96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rgbClr val="FF0000"/>
              </a:solidFill>
            </a:rPr>
            <a:t>VOLTAR</a:t>
          </a:r>
        </a:p>
      </xdr:txBody>
    </xdr:sp>
    <xdr:clientData/>
  </xdr:twoCellAnchor>
  <xdr:twoCellAnchor editAs="oneCell">
    <xdr:from>
      <xdr:col>3</xdr:col>
      <xdr:colOff>504825</xdr:colOff>
      <xdr:row>26</xdr:row>
      <xdr:rowOff>156316</xdr:rowOff>
    </xdr:from>
    <xdr:to>
      <xdr:col>5</xdr:col>
      <xdr:colOff>495300</xdr:colOff>
      <xdr:row>33</xdr:row>
      <xdr:rowOff>19049</xdr:rowOff>
    </xdr:to>
    <xdr:pic>
      <xdr:nvPicPr>
        <xdr:cNvPr id="18" name="Imagem 17" descr="Yellow Puzzle Piece Clip Art at Clker.com - vector clip art online ...">
          <a:hlinkClick xmlns:r="http://schemas.openxmlformats.org/officeDocument/2006/relationships" r:id="rId18"/>
          <a:extLst>
            <a:ext uri="{FF2B5EF4-FFF2-40B4-BE49-F238E27FC236}">
              <a16:creationId xmlns:a16="http://schemas.microsoft.com/office/drawing/2014/main" id="{EE9BEBD8-D25B-4FE2-9AA8-1B703F1AC0D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33625" y="5109316"/>
          <a:ext cx="1209675" cy="1196233"/>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561975</xdr:colOff>
      <xdr:row>26</xdr:row>
      <xdr:rowOff>146791</xdr:rowOff>
    </xdr:from>
    <xdr:to>
      <xdr:col>8</xdr:col>
      <xdr:colOff>552450</xdr:colOff>
      <xdr:row>33</xdr:row>
      <xdr:rowOff>9524</xdr:rowOff>
    </xdr:to>
    <xdr:pic>
      <xdr:nvPicPr>
        <xdr:cNvPr id="19" name="Imagem 18" descr="Yellow Puzzle Piece Clip Art at Clker.com - vector clip art online ...">
          <a:hlinkClick xmlns:r="http://schemas.openxmlformats.org/officeDocument/2006/relationships" r:id="rId19"/>
          <a:extLst>
            <a:ext uri="{FF2B5EF4-FFF2-40B4-BE49-F238E27FC236}">
              <a16:creationId xmlns:a16="http://schemas.microsoft.com/office/drawing/2014/main" id="{EE9BEBD8-D25B-4FE2-9AA8-1B703F1AC0D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219575" y="5099791"/>
          <a:ext cx="1209675" cy="1196233"/>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19050</xdr:colOff>
      <xdr:row>26</xdr:row>
      <xdr:rowOff>146791</xdr:rowOff>
    </xdr:from>
    <xdr:to>
      <xdr:col>12</xdr:col>
      <xdr:colOff>9525</xdr:colOff>
      <xdr:row>33</xdr:row>
      <xdr:rowOff>9524</xdr:rowOff>
    </xdr:to>
    <xdr:pic>
      <xdr:nvPicPr>
        <xdr:cNvPr id="20" name="Imagem 19" descr="Yellow Puzzle Piece Clip Art at Clker.com - vector clip art online ...">
          <a:hlinkClick xmlns:r="http://schemas.openxmlformats.org/officeDocument/2006/relationships" r:id="rId20"/>
          <a:extLst>
            <a:ext uri="{FF2B5EF4-FFF2-40B4-BE49-F238E27FC236}">
              <a16:creationId xmlns:a16="http://schemas.microsoft.com/office/drawing/2014/main" id="{EE9BEBD8-D25B-4FE2-9AA8-1B703F1AC0D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15050" y="5099791"/>
          <a:ext cx="1209675" cy="1196233"/>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95250</xdr:colOff>
      <xdr:row>26</xdr:row>
      <xdr:rowOff>137266</xdr:rowOff>
    </xdr:from>
    <xdr:to>
      <xdr:col>15</xdr:col>
      <xdr:colOff>85725</xdr:colOff>
      <xdr:row>32</xdr:row>
      <xdr:rowOff>190499</xdr:rowOff>
    </xdr:to>
    <xdr:pic>
      <xdr:nvPicPr>
        <xdr:cNvPr id="21" name="Imagem 20" descr="Yellow Puzzle Piece Clip Art at Clker.com - vector clip art online ...">
          <a:hlinkClick xmlns:r="http://schemas.openxmlformats.org/officeDocument/2006/relationships" r:id="rId21"/>
          <a:extLst>
            <a:ext uri="{FF2B5EF4-FFF2-40B4-BE49-F238E27FC236}">
              <a16:creationId xmlns:a16="http://schemas.microsoft.com/office/drawing/2014/main" id="{EE9BEBD8-D25B-4FE2-9AA8-1B703F1AC0D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020050" y="5090266"/>
          <a:ext cx="1209675" cy="1196233"/>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171450</xdr:colOff>
      <xdr:row>26</xdr:row>
      <xdr:rowOff>137266</xdr:rowOff>
    </xdr:from>
    <xdr:to>
      <xdr:col>18</xdr:col>
      <xdr:colOff>161925</xdr:colOff>
      <xdr:row>32</xdr:row>
      <xdr:rowOff>190499</xdr:rowOff>
    </xdr:to>
    <xdr:pic>
      <xdr:nvPicPr>
        <xdr:cNvPr id="22" name="Imagem 21" descr="Yellow Puzzle Piece Clip Art at Clker.com - vector clip art online ...">
          <a:hlinkClick xmlns:r="http://schemas.openxmlformats.org/officeDocument/2006/relationships" r:id="rId22"/>
          <a:extLst>
            <a:ext uri="{FF2B5EF4-FFF2-40B4-BE49-F238E27FC236}">
              <a16:creationId xmlns:a16="http://schemas.microsoft.com/office/drawing/2014/main" id="{EE9BEBD8-D25B-4FE2-9AA8-1B703F1AC0D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25050" y="5090266"/>
          <a:ext cx="1209675" cy="1196233"/>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257175</xdr:colOff>
      <xdr:row>26</xdr:row>
      <xdr:rowOff>118216</xdr:rowOff>
    </xdr:from>
    <xdr:to>
      <xdr:col>21</xdr:col>
      <xdr:colOff>247650</xdr:colOff>
      <xdr:row>32</xdr:row>
      <xdr:rowOff>171449</xdr:rowOff>
    </xdr:to>
    <xdr:pic>
      <xdr:nvPicPr>
        <xdr:cNvPr id="23" name="Imagem 22" descr="Yellow Puzzle Piece Clip Art at Clker.com - vector clip art online ...">
          <a:hlinkClick xmlns:r="http://schemas.openxmlformats.org/officeDocument/2006/relationships" r:id="rId23"/>
          <a:extLst>
            <a:ext uri="{FF2B5EF4-FFF2-40B4-BE49-F238E27FC236}">
              <a16:creationId xmlns:a16="http://schemas.microsoft.com/office/drawing/2014/main" id="{EE9BEBD8-D25B-4FE2-9AA8-1B703F1AC0D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839575" y="5071216"/>
          <a:ext cx="1209675" cy="1196233"/>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323850</xdr:colOff>
      <xdr:row>26</xdr:row>
      <xdr:rowOff>108691</xdr:rowOff>
    </xdr:from>
    <xdr:to>
      <xdr:col>24</xdr:col>
      <xdr:colOff>314325</xdr:colOff>
      <xdr:row>32</xdr:row>
      <xdr:rowOff>161924</xdr:rowOff>
    </xdr:to>
    <xdr:pic>
      <xdr:nvPicPr>
        <xdr:cNvPr id="24" name="Imagem 23" descr="Yellow Puzzle Piece Clip Art at Clker.com - vector clip art online ...">
          <a:hlinkClick xmlns:r="http://schemas.openxmlformats.org/officeDocument/2006/relationships" r:id="rId24"/>
          <a:extLst>
            <a:ext uri="{FF2B5EF4-FFF2-40B4-BE49-F238E27FC236}">
              <a16:creationId xmlns:a16="http://schemas.microsoft.com/office/drawing/2014/main" id="{EE9BEBD8-D25B-4FE2-9AA8-1B703F1AC0D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735050" y="5061691"/>
          <a:ext cx="1209675" cy="1196233"/>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476249</xdr:colOff>
      <xdr:row>33</xdr:row>
      <xdr:rowOff>57150</xdr:rowOff>
    </xdr:from>
    <xdr:to>
      <xdr:col>5</xdr:col>
      <xdr:colOff>485774</xdr:colOff>
      <xdr:row>35</xdr:row>
      <xdr:rowOff>180975</xdr:rowOff>
    </xdr:to>
    <xdr:sp macro="" textlink="">
      <xdr:nvSpPr>
        <xdr:cNvPr id="32" name="Retângulo: Cantos Arredondados 10">
          <a:hlinkClick xmlns:r="http://schemas.openxmlformats.org/officeDocument/2006/relationships" r:id="rId18"/>
          <a:extLst>
            <a:ext uri="{FF2B5EF4-FFF2-40B4-BE49-F238E27FC236}">
              <a16:creationId xmlns:a16="http://schemas.microsoft.com/office/drawing/2014/main" id="{61049D9E-0305-4272-BFD1-DA07F1E666D7}"/>
            </a:ext>
          </a:extLst>
        </xdr:cNvPr>
        <xdr:cNvSpPr/>
      </xdr:nvSpPr>
      <xdr:spPr>
        <a:xfrm>
          <a:off x="2305049" y="6343650"/>
          <a:ext cx="1228725" cy="5048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100" b="1"/>
            <a:t>Categoria</a:t>
          </a:r>
          <a:r>
            <a:rPr lang="pt-BR" sz="1100" b="1" baseline="0"/>
            <a:t> Funcional</a:t>
          </a:r>
          <a:endParaRPr lang="pt-BR" sz="1100" b="1"/>
        </a:p>
      </xdr:txBody>
    </xdr:sp>
    <xdr:clientData/>
  </xdr:twoCellAnchor>
  <xdr:twoCellAnchor>
    <xdr:from>
      <xdr:col>6</xdr:col>
      <xdr:colOff>542925</xdr:colOff>
      <xdr:row>33</xdr:row>
      <xdr:rowOff>38100</xdr:rowOff>
    </xdr:from>
    <xdr:to>
      <xdr:col>8</xdr:col>
      <xdr:colOff>552450</xdr:colOff>
      <xdr:row>35</xdr:row>
      <xdr:rowOff>161925</xdr:rowOff>
    </xdr:to>
    <xdr:sp macro="" textlink="">
      <xdr:nvSpPr>
        <xdr:cNvPr id="35" name="Retângulo: Cantos Arredondados 10">
          <a:hlinkClick xmlns:r="http://schemas.openxmlformats.org/officeDocument/2006/relationships" r:id="rId19"/>
          <a:extLst>
            <a:ext uri="{FF2B5EF4-FFF2-40B4-BE49-F238E27FC236}">
              <a16:creationId xmlns:a16="http://schemas.microsoft.com/office/drawing/2014/main" id="{61049D9E-0305-4272-BFD1-DA07F1E666D7}"/>
            </a:ext>
          </a:extLst>
        </xdr:cNvPr>
        <xdr:cNvSpPr/>
      </xdr:nvSpPr>
      <xdr:spPr>
        <a:xfrm>
          <a:off x="4200525" y="6324600"/>
          <a:ext cx="1228725" cy="5048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100" b="1"/>
            <a:t>Tempo de Serviço</a:t>
          </a:r>
        </a:p>
      </xdr:txBody>
    </xdr:sp>
    <xdr:clientData/>
  </xdr:twoCellAnchor>
  <xdr:twoCellAnchor>
    <xdr:from>
      <xdr:col>10</xdr:col>
      <xdr:colOff>19050</xdr:colOff>
      <xdr:row>33</xdr:row>
      <xdr:rowOff>47625</xdr:rowOff>
    </xdr:from>
    <xdr:to>
      <xdr:col>12</xdr:col>
      <xdr:colOff>28575</xdr:colOff>
      <xdr:row>35</xdr:row>
      <xdr:rowOff>171450</xdr:rowOff>
    </xdr:to>
    <xdr:sp macro="" textlink="">
      <xdr:nvSpPr>
        <xdr:cNvPr id="36" name="Retângulo: Cantos Arredondados 10">
          <a:hlinkClick xmlns:r="http://schemas.openxmlformats.org/officeDocument/2006/relationships" r:id="rId20"/>
          <a:extLst>
            <a:ext uri="{FF2B5EF4-FFF2-40B4-BE49-F238E27FC236}">
              <a16:creationId xmlns:a16="http://schemas.microsoft.com/office/drawing/2014/main" id="{61049D9E-0305-4272-BFD1-DA07F1E666D7}"/>
            </a:ext>
          </a:extLst>
        </xdr:cNvPr>
        <xdr:cNvSpPr/>
      </xdr:nvSpPr>
      <xdr:spPr>
        <a:xfrm>
          <a:off x="6115050" y="6334125"/>
          <a:ext cx="1228725" cy="5048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100" b="1"/>
            <a:t>Gênero</a:t>
          </a:r>
        </a:p>
      </xdr:txBody>
    </xdr:sp>
    <xdr:clientData/>
  </xdr:twoCellAnchor>
  <xdr:twoCellAnchor>
    <xdr:from>
      <xdr:col>13</xdr:col>
      <xdr:colOff>95250</xdr:colOff>
      <xdr:row>33</xdr:row>
      <xdr:rowOff>38100</xdr:rowOff>
    </xdr:from>
    <xdr:to>
      <xdr:col>15</xdr:col>
      <xdr:colOff>104775</xdr:colOff>
      <xdr:row>35</xdr:row>
      <xdr:rowOff>161925</xdr:rowOff>
    </xdr:to>
    <xdr:sp macro="" textlink="">
      <xdr:nvSpPr>
        <xdr:cNvPr id="37" name="Retângulo: Cantos Arredondados 10">
          <a:hlinkClick xmlns:r="http://schemas.openxmlformats.org/officeDocument/2006/relationships" r:id="rId21"/>
          <a:extLst>
            <a:ext uri="{FF2B5EF4-FFF2-40B4-BE49-F238E27FC236}">
              <a16:creationId xmlns:a16="http://schemas.microsoft.com/office/drawing/2014/main" id="{61049D9E-0305-4272-BFD1-DA07F1E666D7}"/>
            </a:ext>
          </a:extLst>
        </xdr:cNvPr>
        <xdr:cNvSpPr/>
      </xdr:nvSpPr>
      <xdr:spPr>
        <a:xfrm>
          <a:off x="8020050" y="6324600"/>
          <a:ext cx="1228725" cy="5048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100" b="1"/>
            <a:t>Idade</a:t>
          </a:r>
        </a:p>
      </xdr:txBody>
    </xdr:sp>
    <xdr:clientData/>
  </xdr:twoCellAnchor>
  <xdr:twoCellAnchor>
    <xdr:from>
      <xdr:col>16</xdr:col>
      <xdr:colOff>161925</xdr:colOff>
      <xdr:row>33</xdr:row>
      <xdr:rowOff>47625</xdr:rowOff>
    </xdr:from>
    <xdr:to>
      <xdr:col>18</xdr:col>
      <xdr:colOff>171450</xdr:colOff>
      <xdr:row>35</xdr:row>
      <xdr:rowOff>171450</xdr:rowOff>
    </xdr:to>
    <xdr:sp macro="" textlink="">
      <xdr:nvSpPr>
        <xdr:cNvPr id="38" name="Retângulo: Cantos Arredondados 10">
          <a:hlinkClick xmlns:r="http://schemas.openxmlformats.org/officeDocument/2006/relationships" r:id="rId22"/>
          <a:extLst>
            <a:ext uri="{FF2B5EF4-FFF2-40B4-BE49-F238E27FC236}">
              <a16:creationId xmlns:a16="http://schemas.microsoft.com/office/drawing/2014/main" id="{61049D9E-0305-4272-BFD1-DA07F1E666D7}"/>
            </a:ext>
          </a:extLst>
        </xdr:cNvPr>
        <xdr:cNvSpPr/>
      </xdr:nvSpPr>
      <xdr:spPr>
        <a:xfrm>
          <a:off x="9915525" y="6334125"/>
          <a:ext cx="1228725" cy="5048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100" b="1"/>
            <a:t>Escolaridade</a:t>
          </a:r>
        </a:p>
      </xdr:txBody>
    </xdr:sp>
    <xdr:clientData/>
  </xdr:twoCellAnchor>
  <xdr:twoCellAnchor>
    <xdr:from>
      <xdr:col>19</xdr:col>
      <xdr:colOff>247650</xdr:colOff>
      <xdr:row>33</xdr:row>
      <xdr:rowOff>28575</xdr:rowOff>
    </xdr:from>
    <xdr:to>
      <xdr:col>21</xdr:col>
      <xdr:colOff>257175</xdr:colOff>
      <xdr:row>35</xdr:row>
      <xdr:rowOff>152400</xdr:rowOff>
    </xdr:to>
    <xdr:sp macro="" textlink="">
      <xdr:nvSpPr>
        <xdr:cNvPr id="39" name="Retângulo: Cantos Arredondados 10">
          <a:hlinkClick xmlns:r="http://schemas.openxmlformats.org/officeDocument/2006/relationships" r:id="rId23"/>
          <a:extLst>
            <a:ext uri="{FF2B5EF4-FFF2-40B4-BE49-F238E27FC236}">
              <a16:creationId xmlns:a16="http://schemas.microsoft.com/office/drawing/2014/main" id="{61049D9E-0305-4272-BFD1-DA07F1E666D7}"/>
            </a:ext>
          </a:extLst>
        </xdr:cNvPr>
        <xdr:cNvSpPr/>
      </xdr:nvSpPr>
      <xdr:spPr>
        <a:xfrm>
          <a:off x="11830050" y="6315075"/>
          <a:ext cx="1228725" cy="5048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100" b="1"/>
            <a:t>Nível</a:t>
          </a:r>
          <a:r>
            <a:rPr lang="pt-BR" sz="1100" b="1" baseline="0"/>
            <a:t> Cargo</a:t>
          </a:r>
          <a:endParaRPr lang="pt-BR" sz="1100" b="1"/>
        </a:p>
      </xdr:txBody>
    </xdr:sp>
    <xdr:clientData/>
  </xdr:twoCellAnchor>
  <xdr:twoCellAnchor>
    <xdr:from>
      <xdr:col>22</xdr:col>
      <xdr:colOff>304800</xdr:colOff>
      <xdr:row>33</xdr:row>
      <xdr:rowOff>19050</xdr:rowOff>
    </xdr:from>
    <xdr:to>
      <xdr:col>24</xdr:col>
      <xdr:colOff>314325</xdr:colOff>
      <xdr:row>35</xdr:row>
      <xdr:rowOff>142875</xdr:rowOff>
    </xdr:to>
    <xdr:sp macro="" textlink="">
      <xdr:nvSpPr>
        <xdr:cNvPr id="40" name="Retângulo: Cantos Arredondados 10">
          <a:hlinkClick xmlns:r="http://schemas.openxmlformats.org/officeDocument/2006/relationships" r:id="rId24"/>
          <a:extLst>
            <a:ext uri="{FF2B5EF4-FFF2-40B4-BE49-F238E27FC236}">
              <a16:creationId xmlns:a16="http://schemas.microsoft.com/office/drawing/2014/main" id="{61049D9E-0305-4272-BFD1-DA07F1E666D7}"/>
            </a:ext>
          </a:extLst>
        </xdr:cNvPr>
        <xdr:cNvSpPr/>
      </xdr:nvSpPr>
      <xdr:spPr>
        <a:xfrm>
          <a:off x="13716000" y="6305550"/>
          <a:ext cx="1228725" cy="5048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100" b="1"/>
            <a:t>Lotação</a:t>
          </a:r>
        </a:p>
      </xdr:txBody>
    </xdr:sp>
    <xdr:clientData/>
  </xdr:twoCellAnchor>
  <xdr:twoCellAnchor editAs="oneCell">
    <xdr:from>
      <xdr:col>25</xdr:col>
      <xdr:colOff>304800</xdr:colOff>
      <xdr:row>26</xdr:row>
      <xdr:rowOff>142875</xdr:rowOff>
    </xdr:from>
    <xdr:to>
      <xdr:col>27</xdr:col>
      <xdr:colOff>295275</xdr:colOff>
      <xdr:row>33</xdr:row>
      <xdr:rowOff>5608</xdr:rowOff>
    </xdr:to>
    <xdr:pic>
      <xdr:nvPicPr>
        <xdr:cNvPr id="41" name="Imagem 40" descr="Yellow Puzzle Piece Clip Art at Clker.com - vector clip art online ...">
          <a:hlinkClick xmlns:r="http://schemas.openxmlformats.org/officeDocument/2006/relationships" r:id="rId25"/>
          <a:extLst>
            <a:ext uri="{FF2B5EF4-FFF2-40B4-BE49-F238E27FC236}">
              <a16:creationId xmlns:a16="http://schemas.microsoft.com/office/drawing/2014/main" id="{EE9BEBD8-D25B-4FE2-9AA8-1B703F1AC0D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544800" y="5095875"/>
          <a:ext cx="1209675" cy="1196233"/>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285750</xdr:colOff>
      <xdr:row>33</xdr:row>
      <xdr:rowOff>53234</xdr:rowOff>
    </xdr:from>
    <xdr:to>
      <xdr:col>27</xdr:col>
      <xdr:colOff>295275</xdr:colOff>
      <xdr:row>35</xdr:row>
      <xdr:rowOff>177059</xdr:rowOff>
    </xdr:to>
    <xdr:sp macro="" textlink="">
      <xdr:nvSpPr>
        <xdr:cNvPr id="42" name="Retângulo: Cantos Arredondados 10">
          <a:hlinkClick xmlns:r="http://schemas.openxmlformats.org/officeDocument/2006/relationships" r:id="rId25"/>
          <a:extLst>
            <a:ext uri="{FF2B5EF4-FFF2-40B4-BE49-F238E27FC236}">
              <a16:creationId xmlns:a16="http://schemas.microsoft.com/office/drawing/2014/main" id="{61049D9E-0305-4272-BFD1-DA07F1E666D7}"/>
            </a:ext>
          </a:extLst>
        </xdr:cNvPr>
        <xdr:cNvSpPr/>
      </xdr:nvSpPr>
      <xdr:spPr>
        <a:xfrm>
          <a:off x="15525750" y="6339734"/>
          <a:ext cx="1228725" cy="5048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100" b="1"/>
            <a:t>Desligamento</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14</xdr:col>
      <xdr:colOff>381000</xdr:colOff>
      <xdr:row>12</xdr:row>
      <xdr:rowOff>79181</xdr:rowOff>
    </xdr:from>
    <xdr:to>
      <xdr:col>17</xdr:col>
      <xdr:colOff>266701</xdr:colOff>
      <xdr:row>21</xdr:row>
      <xdr:rowOff>38100</xdr:rowOff>
    </xdr:to>
    <xdr:pic>
      <xdr:nvPicPr>
        <xdr:cNvPr id="2" name="Imagem 1" descr="Imagens de clipart Peça de quebra-cabeça de brinquedo azul">
          <a:hlinkClick xmlns:r="http://schemas.openxmlformats.org/officeDocument/2006/relationships" r:id="rId1"/>
          <a:extLst>
            <a:ext uri="{FF2B5EF4-FFF2-40B4-BE49-F238E27FC236}">
              <a16:creationId xmlns:a16="http://schemas.microsoft.com/office/drawing/2014/main" id="{8B64B50F-643B-4DDA-8B67-0CBF1AFEF51D}"/>
            </a:ext>
          </a:extLst>
        </xdr:cNvPr>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8915400" y="2365181"/>
          <a:ext cx="1714501" cy="1673419"/>
        </a:xfrm>
        <a:prstGeom prst="rect">
          <a:avLst/>
        </a:prstGeom>
        <a:noFill/>
        <a:ln w="34925">
          <a:solidFill>
            <a:srgbClr val="FFFFFF"/>
          </a:solidFill>
        </a:ln>
        <a:effectLst>
          <a:outerShdw blurRad="317500" dir="2700000" algn="ctr">
            <a:srgbClr val="000000">
              <a:alpha val="43000"/>
            </a:srgbClr>
          </a:outerShdw>
        </a:effectLst>
        <a:scene3d>
          <a:camera prst="perspectiveFront" fov="2700000">
            <a:rot lat="19086000" lon="19067999" rev="3108000"/>
          </a:camera>
          <a:lightRig rig="threePt" dir="t">
            <a:rot lat="0" lon="0" rev="0"/>
          </a:lightRig>
        </a:scene3d>
        <a:sp3d extrusionH="38100" prstMaterial="clear">
          <a:bevelT w="260350" h="50800" prst="softRound"/>
          <a:bevelB prst="softRound"/>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523877</xdr:colOff>
      <xdr:row>12</xdr:row>
      <xdr:rowOff>58518</xdr:rowOff>
    </xdr:from>
    <xdr:to>
      <xdr:col>5</xdr:col>
      <xdr:colOff>304801</xdr:colOff>
      <xdr:row>20</xdr:row>
      <xdr:rowOff>190499</xdr:rowOff>
    </xdr:to>
    <xdr:pic>
      <xdr:nvPicPr>
        <xdr:cNvPr id="3" name="Imagem 2" descr="Imagens de clipart Clipart de peça de quebra-cabeça">
          <a:hlinkClick xmlns:r="http://schemas.openxmlformats.org/officeDocument/2006/relationships" r:id="rId4"/>
          <a:extLst>
            <a:ext uri="{FF2B5EF4-FFF2-40B4-BE49-F238E27FC236}">
              <a16:creationId xmlns:a16="http://schemas.microsoft.com/office/drawing/2014/main" id="{45428BCF-00BE-45B5-A72B-CC4EF5565334}"/>
            </a:ext>
          </a:extLst>
        </xdr:cNvPr>
        <xdr:cNvPicPr>
          <a:picLocks noChangeAspect="1" noChangeArrowheads="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1743077" y="2344518"/>
          <a:ext cx="1609724" cy="1655981"/>
        </a:xfrm>
        <a:prstGeom prst="rect">
          <a:avLst/>
        </a:prstGeom>
        <a:solidFill>
          <a:schemeClr val="bg1">
            <a:lumMod val="75000"/>
          </a:schemeClr>
        </a:solidFill>
        <a:ln w="34925">
          <a:solidFill>
            <a:srgbClr val="FFFFFF"/>
          </a:solidFill>
        </a:ln>
        <a:effectLst>
          <a:outerShdw blurRad="317500" dir="2700000" algn="ctr">
            <a:srgbClr val="000000">
              <a:alpha val="43000"/>
            </a:srgbClr>
          </a:outerShdw>
        </a:effectLst>
        <a:scene3d>
          <a:camera prst="perspectiveFront" fov="2700000">
            <a:rot lat="19086000" lon="19067999" rev="3108000"/>
          </a:camera>
          <a:lightRig rig="threePt" dir="t">
            <a:rot lat="0" lon="0" rev="0"/>
          </a:lightRig>
        </a:scene3d>
        <a:sp3d extrusionH="38100" prstMaterial="clear">
          <a:bevelT w="260350" h="50800" prst="softRound"/>
          <a:bevelB prst="softRound"/>
        </a:sp3d>
        <a:extLst/>
      </xdr:spPr>
    </xdr:pic>
    <xdr:clientData/>
  </xdr:twoCellAnchor>
  <xdr:twoCellAnchor editAs="oneCell">
    <xdr:from>
      <xdr:col>10</xdr:col>
      <xdr:colOff>361950</xdr:colOff>
      <xdr:row>12</xdr:row>
      <xdr:rowOff>28575</xdr:rowOff>
    </xdr:from>
    <xdr:to>
      <xdr:col>13</xdr:col>
      <xdr:colOff>238125</xdr:colOff>
      <xdr:row>21</xdr:row>
      <xdr:rowOff>19050</xdr:rowOff>
    </xdr:to>
    <xdr:pic>
      <xdr:nvPicPr>
        <xdr:cNvPr id="4" name="Imagem 3" descr="Orange Puzzle Piece Clip Art at Clker.com - vector clip art online ...">
          <a:hlinkClick xmlns:r="http://schemas.openxmlformats.org/officeDocument/2006/relationships" r:id="rId1"/>
          <a:extLst>
            <a:ext uri="{FF2B5EF4-FFF2-40B4-BE49-F238E27FC236}">
              <a16:creationId xmlns:a16="http://schemas.microsoft.com/office/drawing/2014/main" id="{A698CD0E-331C-415D-95E0-0EB5B104E49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457950" y="2314575"/>
          <a:ext cx="1704975" cy="1704975"/>
        </a:xfrm>
        <a:prstGeom prst="rect">
          <a:avLst/>
        </a:prstGeom>
        <a:noFill/>
        <a:ln w="34925">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380999</xdr:colOff>
      <xdr:row>12</xdr:row>
      <xdr:rowOff>28575</xdr:rowOff>
    </xdr:from>
    <xdr:to>
      <xdr:col>9</xdr:col>
      <xdr:colOff>266700</xdr:colOff>
      <xdr:row>21</xdr:row>
      <xdr:rowOff>9525</xdr:rowOff>
    </xdr:to>
    <xdr:pic>
      <xdr:nvPicPr>
        <xdr:cNvPr id="5" name="Imagem 4" descr="Yellow Puzzle Piece Clip Art at Clker.com - vector clip art online ...">
          <a:hlinkClick xmlns:r="http://schemas.openxmlformats.org/officeDocument/2006/relationships" r:id="rId8"/>
          <a:extLst>
            <a:ext uri="{FF2B5EF4-FFF2-40B4-BE49-F238E27FC236}">
              <a16:creationId xmlns:a16="http://schemas.microsoft.com/office/drawing/2014/main" id="{EE9BEBD8-D25B-4FE2-9AA8-1B703F1AC0D8}"/>
            </a:ext>
          </a:extLst>
        </xdr:cNvPr>
        <xdr:cNvPicPr>
          <a:picLocks noChangeAspect="1" noChangeArrowheads="1"/>
        </xdr:cNvPicPr>
      </xdr:nvPicPr>
      <xdr:blipFill>
        <a:blip xmlns:r="http://schemas.openxmlformats.org/officeDocument/2006/relationships" r:embed="rId9">
          <a:extLst>
            <a:ext uri="{BEBA8EAE-BF5A-486C-A8C5-ECC9F3942E4B}">
              <a14:imgProps xmlns:a14="http://schemas.microsoft.com/office/drawing/2010/main">
                <a14:imgLayer r:embed="rId10">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4038599" y="2314575"/>
          <a:ext cx="1714501" cy="1695450"/>
        </a:xfrm>
        <a:prstGeom prst="rect">
          <a:avLst/>
        </a:prstGeom>
        <a:noFill/>
        <a:ln w="34925">
          <a:solidFill>
            <a:srgbClr val="FFFFFF"/>
          </a:solidFill>
        </a:ln>
        <a:effectLst>
          <a:outerShdw blurRad="317500" dir="2700000" algn="ctr">
            <a:srgbClr val="000000">
              <a:alpha val="43000"/>
            </a:srgbClr>
          </a:outerShdw>
        </a:effectLst>
        <a:scene3d>
          <a:camera prst="perspectiveFront" fov="2700000">
            <a:rot lat="19086000" lon="19067999" rev="3108000"/>
          </a:camera>
          <a:lightRig rig="threePt" dir="t">
            <a:rot lat="0" lon="0" rev="0"/>
          </a:lightRig>
        </a:scene3d>
        <a:sp3d extrusionH="38100" prstMaterial="clear">
          <a:bevelT w="260350" h="50800" prst="softRound"/>
          <a:bevelB prst="softRound"/>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495299</xdr:colOff>
      <xdr:row>12</xdr:row>
      <xdr:rowOff>38100</xdr:rowOff>
    </xdr:from>
    <xdr:to>
      <xdr:col>21</xdr:col>
      <xdr:colOff>371474</xdr:colOff>
      <xdr:row>21</xdr:row>
      <xdr:rowOff>19050</xdr:rowOff>
    </xdr:to>
    <xdr:pic>
      <xdr:nvPicPr>
        <xdr:cNvPr id="6" name="Imagem 5" descr="Vetor puzzle piece font grátis | AI, SVG e EPS">
          <a:hlinkClick xmlns:r="http://schemas.openxmlformats.org/officeDocument/2006/relationships" r:id="rId1"/>
          <a:extLst>
            <a:ext uri="{FF2B5EF4-FFF2-40B4-BE49-F238E27FC236}">
              <a16:creationId xmlns:a16="http://schemas.microsoft.com/office/drawing/2014/main" id="{F77B5857-68AD-407F-9D97-B22743DFE688}"/>
            </a:ext>
          </a:extLst>
        </xdr:cNvPr>
        <xdr:cNvPicPr>
          <a:picLocks noChangeAspect="1" noChangeArrowheads="1"/>
        </xdr:cNvPicPr>
      </xdr:nvPicPr>
      <xdr:blipFill>
        <a:blip xmlns:r="http://schemas.openxmlformats.org/officeDocument/2006/relationships" r:embed="rId11">
          <a:extLst>
            <a:ext uri="{BEBA8EAE-BF5A-486C-A8C5-ECC9F3942E4B}">
              <a14:imgProps xmlns:a14="http://schemas.microsoft.com/office/drawing/2010/main">
                <a14:imgLayer r:embed="rId1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11468099" y="2324100"/>
          <a:ext cx="1704975" cy="1695450"/>
        </a:xfrm>
        <a:prstGeom prst="rect">
          <a:avLst/>
        </a:prstGeom>
        <a:noFill/>
        <a:ln w="34925">
          <a:solidFill>
            <a:srgbClr val="FFFFFF"/>
          </a:solidFill>
        </a:ln>
        <a:effectLst>
          <a:outerShdw blurRad="317500" dir="2700000" algn="ctr">
            <a:srgbClr val="000000">
              <a:alpha val="43000"/>
            </a:srgbClr>
          </a:outerShdw>
        </a:effectLst>
        <a:scene3d>
          <a:camera prst="perspectiveFront" fov="2700000">
            <a:rot lat="19086000" lon="19067999" rev="3108000"/>
          </a:camera>
          <a:lightRig rig="threePt" dir="t">
            <a:rot lat="0" lon="0" rev="0"/>
          </a:lightRig>
        </a:scene3d>
        <a:sp3d extrusionH="38100" prstMaterial="clear">
          <a:bevelT w="260350" h="50800" prst="softRound"/>
          <a:bevelB prst="softRound"/>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514350</xdr:colOff>
      <xdr:row>12</xdr:row>
      <xdr:rowOff>28575</xdr:rowOff>
    </xdr:from>
    <xdr:to>
      <xdr:col>25</xdr:col>
      <xdr:colOff>390525</xdr:colOff>
      <xdr:row>20</xdr:row>
      <xdr:rowOff>171450</xdr:rowOff>
    </xdr:to>
    <xdr:pic>
      <xdr:nvPicPr>
        <xdr:cNvPr id="7" name="Imagem 6" descr="Pink Jigsaw Piece Clip Art at Clker.com - vector clip art online ...">
          <a:hlinkClick xmlns:r="http://schemas.openxmlformats.org/officeDocument/2006/relationships" r:id="rId1"/>
          <a:extLst>
            <a:ext uri="{FF2B5EF4-FFF2-40B4-BE49-F238E27FC236}">
              <a16:creationId xmlns:a16="http://schemas.microsoft.com/office/drawing/2014/main" id="{ED3B0ECE-DF91-4C9A-9D4A-F0BCABD0B690}"/>
            </a:ext>
          </a:extLst>
        </xdr:cNvPr>
        <xdr:cNvPicPr>
          <a:picLocks noChangeAspect="1" noChangeArrowheads="1"/>
        </xdr:cNvPicPr>
      </xdr:nvPicPr>
      <xdr:blipFill>
        <a:blip xmlns:r="http://schemas.openxmlformats.org/officeDocument/2006/relationships" r:embed="rId13">
          <a:extLst>
            <a:ext uri="{BEBA8EAE-BF5A-486C-A8C5-ECC9F3942E4B}">
              <a14:imgProps xmlns:a14="http://schemas.microsoft.com/office/drawing/2010/main">
                <a14:imgLayer r:embed="rId14">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13925550" y="2314575"/>
          <a:ext cx="1704975" cy="1666875"/>
        </a:xfrm>
        <a:prstGeom prst="rect">
          <a:avLst/>
        </a:prstGeom>
        <a:noFill/>
        <a:ln w="34925">
          <a:solidFill>
            <a:srgbClr val="FFFFFF"/>
          </a:solidFill>
        </a:ln>
        <a:effectLst>
          <a:outerShdw blurRad="317500" dir="2700000" algn="ctr">
            <a:srgbClr val="000000">
              <a:alpha val="43000"/>
            </a:srgbClr>
          </a:outerShdw>
        </a:effectLst>
        <a:scene3d>
          <a:camera prst="perspectiveFront" fov="2700000">
            <a:rot lat="19086000" lon="19067999" rev="3108000"/>
          </a:camera>
          <a:lightRig rig="threePt" dir="t">
            <a:rot lat="0" lon="0" rev="0"/>
          </a:lightRig>
        </a:scene3d>
        <a:sp3d extrusionH="38100" prstMaterial="clear">
          <a:bevelT w="260350" h="50800" prst="softRound"/>
          <a:bevelB prst="softRound"/>
        </a:sp3d>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495300</xdr:colOff>
      <xdr:row>21</xdr:row>
      <xdr:rowOff>0</xdr:rowOff>
    </xdr:from>
    <xdr:to>
      <xdr:col>5</xdr:col>
      <xdr:colOff>361950</xdr:colOff>
      <xdr:row>24</xdr:row>
      <xdr:rowOff>85725</xdr:rowOff>
    </xdr:to>
    <xdr:sp macro="" textlink="">
      <xdr:nvSpPr>
        <xdr:cNvPr id="8" name="Retângulo: Cantos Arredondados 10">
          <a:hlinkClick xmlns:r="http://schemas.openxmlformats.org/officeDocument/2006/relationships" r:id="rId4"/>
          <a:extLst>
            <a:ext uri="{FF2B5EF4-FFF2-40B4-BE49-F238E27FC236}">
              <a16:creationId xmlns:a16="http://schemas.microsoft.com/office/drawing/2014/main" id="{61049D9E-0305-4272-BFD1-DA07F1E666D7}"/>
            </a:ext>
          </a:extLst>
        </xdr:cNvPr>
        <xdr:cNvSpPr/>
      </xdr:nvSpPr>
      <xdr:spPr>
        <a:xfrm>
          <a:off x="1714500" y="4000500"/>
          <a:ext cx="1695450" cy="6572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400" b="1"/>
            <a:t>ÍNDICE CLIMA ORGANIZACIONAL</a:t>
          </a:r>
        </a:p>
      </xdr:txBody>
    </xdr:sp>
    <xdr:clientData/>
  </xdr:twoCellAnchor>
  <xdr:twoCellAnchor>
    <xdr:from>
      <xdr:col>6</xdr:col>
      <xdr:colOff>400050</xdr:colOff>
      <xdr:row>21</xdr:row>
      <xdr:rowOff>9525</xdr:rowOff>
    </xdr:from>
    <xdr:to>
      <xdr:col>9</xdr:col>
      <xdr:colOff>266700</xdr:colOff>
      <xdr:row>24</xdr:row>
      <xdr:rowOff>95250</xdr:rowOff>
    </xdr:to>
    <xdr:sp macro="" textlink="">
      <xdr:nvSpPr>
        <xdr:cNvPr id="9" name="Retângulo: Cantos Arredondados 11">
          <a:hlinkClick xmlns:r="http://schemas.openxmlformats.org/officeDocument/2006/relationships" r:id="rId8"/>
          <a:extLst>
            <a:ext uri="{FF2B5EF4-FFF2-40B4-BE49-F238E27FC236}">
              <a16:creationId xmlns:a16="http://schemas.microsoft.com/office/drawing/2014/main" id="{A0B9343C-259D-4B9F-B86F-0C33C0C8B588}"/>
            </a:ext>
          </a:extLst>
        </xdr:cNvPr>
        <xdr:cNvSpPr/>
      </xdr:nvSpPr>
      <xdr:spPr>
        <a:xfrm>
          <a:off x="4057650" y="4010025"/>
          <a:ext cx="1695450" cy="6572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400" b="1"/>
            <a:t>VARIÁRVEL DEMOGRÁFICA</a:t>
          </a:r>
        </a:p>
      </xdr:txBody>
    </xdr:sp>
    <xdr:clientData/>
  </xdr:twoCellAnchor>
  <xdr:twoCellAnchor>
    <xdr:from>
      <xdr:col>10</xdr:col>
      <xdr:colOff>361950</xdr:colOff>
      <xdr:row>21</xdr:row>
      <xdr:rowOff>19050</xdr:rowOff>
    </xdr:from>
    <xdr:to>
      <xdr:col>13</xdr:col>
      <xdr:colOff>228600</xdr:colOff>
      <xdr:row>24</xdr:row>
      <xdr:rowOff>104775</xdr:rowOff>
    </xdr:to>
    <xdr:sp macro="" textlink="">
      <xdr:nvSpPr>
        <xdr:cNvPr id="10" name="Retângulo: Cantos Arredondados 12">
          <a:hlinkClick xmlns:r="http://schemas.openxmlformats.org/officeDocument/2006/relationships" r:id="rId1"/>
          <a:extLst>
            <a:ext uri="{FF2B5EF4-FFF2-40B4-BE49-F238E27FC236}">
              <a16:creationId xmlns:a16="http://schemas.microsoft.com/office/drawing/2014/main" id="{4AA1B5AF-E07E-44A6-818B-8323B8D9B2E3}"/>
            </a:ext>
          </a:extLst>
        </xdr:cNvPr>
        <xdr:cNvSpPr/>
      </xdr:nvSpPr>
      <xdr:spPr>
        <a:xfrm>
          <a:off x="6457950" y="4019550"/>
          <a:ext cx="1695450" cy="6572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400" b="1"/>
            <a:t>VARIÁVEL CLIMA ORGANIZACIONAL</a:t>
          </a:r>
        </a:p>
      </xdr:txBody>
    </xdr:sp>
    <xdr:clientData/>
  </xdr:twoCellAnchor>
  <xdr:twoCellAnchor>
    <xdr:from>
      <xdr:col>14</xdr:col>
      <xdr:colOff>400050</xdr:colOff>
      <xdr:row>21</xdr:row>
      <xdr:rowOff>38100</xdr:rowOff>
    </xdr:from>
    <xdr:to>
      <xdr:col>17</xdr:col>
      <xdr:colOff>266700</xdr:colOff>
      <xdr:row>24</xdr:row>
      <xdr:rowOff>123825</xdr:rowOff>
    </xdr:to>
    <xdr:sp macro="" textlink="">
      <xdr:nvSpPr>
        <xdr:cNvPr id="11" name="Retângulo: Cantos Arredondados 13">
          <a:hlinkClick xmlns:r="http://schemas.openxmlformats.org/officeDocument/2006/relationships" r:id="rId1"/>
          <a:extLst>
            <a:ext uri="{FF2B5EF4-FFF2-40B4-BE49-F238E27FC236}">
              <a16:creationId xmlns:a16="http://schemas.microsoft.com/office/drawing/2014/main" id="{E04F6A02-4258-48D4-9A6B-23EB29BE9856}"/>
            </a:ext>
          </a:extLst>
        </xdr:cNvPr>
        <xdr:cNvSpPr/>
      </xdr:nvSpPr>
      <xdr:spPr>
        <a:xfrm>
          <a:off x="8934450" y="4038600"/>
          <a:ext cx="1695450" cy="6572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600" b="1"/>
            <a:t>**********</a:t>
          </a:r>
        </a:p>
      </xdr:txBody>
    </xdr:sp>
    <xdr:clientData/>
  </xdr:twoCellAnchor>
  <xdr:twoCellAnchor>
    <xdr:from>
      <xdr:col>18</xdr:col>
      <xdr:colOff>523875</xdr:colOff>
      <xdr:row>21</xdr:row>
      <xdr:rowOff>28575</xdr:rowOff>
    </xdr:from>
    <xdr:to>
      <xdr:col>21</xdr:col>
      <xdr:colOff>390525</xdr:colOff>
      <xdr:row>24</xdr:row>
      <xdr:rowOff>114300</xdr:rowOff>
    </xdr:to>
    <xdr:sp macro="" textlink="">
      <xdr:nvSpPr>
        <xdr:cNvPr id="12" name="Retângulo: Cantos Arredondados 14">
          <a:hlinkClick xmlns:r="http://schemas.openxmlformats.org/officeDocument/2006/relationships" r:id="rId1"/>
          <a:extLst>
            <a:ext uri="{FF2B5EF4-FFF2-40B4-BE49-F238E27FC236}">
              <a16:creationId xmlns:a16="http://schemas.microsoft.com/office/drawing/2014/main" id="{8FC9F51B-D65A-4313-8A3C-7930EAB85F4D}"/>
            </a:ext>
          </a:extLst>
        </xdr:cNvPr>
        <xdr:cNvSpPr/>
      </xdr:nvSpPr>
      <xdr:spPr>
        <a:xfrm>
          <a:off x="11496675" y="4029075"/>
          <a:ext cx="1695450" cy="6572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200" b="1"/>
            <a:t>**********</a:t>
          </a:r>
          <a:endParaRPr lang="pt-BR" sz="1100" b="1"/>
        </a:p>
      </xdr:txBody>
    </xdr:sp>
    <xdr:clientData/>
  </xdr:twoCellAnchor>
  <xdr:twoCellAnchor>
    <xdr:from>
      <xdr:col>22</xdr:col>
      <xdr:colOff>533400</xdr:colOff>
      <xdr:row>20</xdr:row>
      <xdr:rowOff>171450</xdr:rowOff>
    </xdr:from>
    <xdr:to>
      <xdr:col>25</xdr:col>
      <xdr:colOff>400050</xdr:colOff>
      <xdr:row>24</xdr:row>
      <xdr:rowOff>66675</xdr:rowOff>
    </xdr:to>
    <xdr:sp macro="" textlink="">
      <xdr:nvSpPr>
        <xdr:cNvPr id="13" name="Retângulo: Cantos Arredondados 15">
          <a:hlinkClick xmlns:r="http://schemas.openxmlformats.org/officeDocument/2006/relationships" r:id="rId1"/>
          <a:extLst>
            <a:ext uri="{FF2B5EF4-FFF2-40B4-BE49-F238E27FC236}">
              <a16:creationId xmlns:a16="http://schemas.microsoft.com/office/drawing/2014/main" id="{36FA0D34-4A20-4C48-A31A-7ED6096E3D75}"/>
            </a:ext>
          </a:extLst>
        </xdr:cNvPr>
        <xdr:cNvSpPr/>
      </xdr:nvSpPr>
      <xdr:spPr>
        <a:xfrm>
          <a:off x="13944600" y="3981450"/>
          <a:ext cx="1695450" cy="6572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600" b="1"/>
            <a:t>**********</a:t>
          </a:r>
        </a:p>
      </xdr:txBody>
    </xdr:sp>
    <xdr:clientData/>
  </xdr:twoCellAnchor>
  <xdr:twoCellAnchor editAs="oneCell">
    <xdr:from>
      <xdr:col>0</xdr:col>
      <xdr:colOff>0</xdr:colOff>
      <xdr:row>0</xdr:row>
      <xdr:rowOff>0</xdr:rowOff>
    </xdr:from>
    <xdr:to>
      <xdr:col>2</xdr:col>
      <xdr:colOff>409575</xdr:colOff>
      <xdr:row>6</xdr:row>
      <xdr:rowOff>9525</xdr:rowOff>
    </xdr:to>
    <xdr:pic>
      <xdr:nvPicPr>
        <xdr:cNvPr id="14" name="Imagem 13" descr="Trabalho · em · equipe · círculo · quebra-cabeça · quatro · laranja ·  desenho · animado - foto stock © limbi007 (#7107480) | Stockfresh">
          <a:hlinkClick xmlns:r="http://schemas.openxmlformats.org/officeDocument/2006/relationships" r:id="rId1"/>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0" y="0"/>
          <a:ext cx="1628775" cy="1152525"/>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pic>
    <xdr:clientData/>
  </xdr:twoCellAnchor>
  <xdr:twoCellAnchor>
    <xdr:from>
      <xdr:col>2</xdr:col>
      <xdr:colOff>419100</xdr:colOff>
      <xdr:row>0</xdr:row>
      <xdr:rowOff>104775</xdr:rowOff>
    </xdr:from>
    <xdr:to>
      <xdr:col>10</xdr:col>
      <xdr:colOff>438150</xdr:colOff>
      <xdr:row>5</xdr:row>
      <xdr:rowOff>114300</xdr:rowOff>
    </xdr:to>
    <xdr:sp macro="" textlink="">
      <xdr:nvSpPr>
        <xdr:cNvPr id="15" name="Retângulo: Cantos Arredondados 21">
          <a:hlinkClick xmlns:r="http://schemas.openxmlformats.org/officeDocument/2006/relationships" r:id="rId1"/>
          <a:extLst>
            <a:ext uri="{FF2B5EF4-FFF2-40B4-BE49-F238E27FC236}">
              <a16:creationId xmlns:a16="http://schemas.microsoft.com/office/drawing/2014/main" id="{65DFE5B4-C03F-4CCE-9D69-50C4B29A8A89}"/>
            </a:ext>
          </a:extLst>
        </xdr:cNvPr>
        <xdr:cNvSpPr/>
      </xdr:nvSpPr>
      <xdr:spPr>
        <a:xfrm>
          <a:off x="1638300" y="104775"/>
          <a:ext cx="4895850" cy="9620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pt-BR" sz="1200" b="1"/>
            <a:t>COORDENAÇÃO GERAL DE RECURSOS HUMANOS - CGRH</a:t>
          </a:r>
        </a:p>
        <a:p>
          <a:pPr algn="ctr"/>
          <a:endParaRPr lang="pt-BR" sz="1200" b="1"/>
        </a:p>
        <a:p>
          <a:pPr algn="ctr"/>
          <a:r>
            <a:rPr lang="pt-BR" sz="1200" b="1"/>
            <a:t>DADOS</a:t>
          </a:r>
          <a:r>
            <a:rPr lang="pt-BR" sz="1200" b="1" baseline="0"/>
            <a:t> DA PESQUISA DE CLIMA ORGANIZACIONAL</a:t>
          </a:r>
          <a:endParaRPr lang="pt-BR" sz="1200" b="1"/>
        </a:p>
      </xdr:txBody>
    </xdr:sp>
    <xdr:clientData/>
  </xdr:twoCellAnchor>
  <xdr:twoCellAnchor editAs="oneCell">
    <xdr:from>
      <xdr:col>27</xdr:col>
      <xdr:colOff>228600</xdr:colOff>
      <xdr:row>0</xdr:row>
      <xdr:rowOff>180975</xdr:rowOff>
    </xdr:from>
    <xdr:to>
      <xdr:col>28</xdr:col>
      <xdr:colOff>388359</xdr:colOff>
      <xdr:row>4</xdr:row>
      <xdr:rowOff>185329</xdr:rowOff>
    </xdr:to>
    <xdr:pic>
      <xdr:nvPicPr>
        <xdr:cNvPr id="16" name="Imagem 15" descr="Transmagnabosco">
          <a:hlinkClick xmlns:r="http://schemas.openxmlformats.org/officeDocument/2006/relationships" r:id="rId16"/>
          <a:extLst>
            <a:ext uri="{FF2B5EF4-FFF2-40B4-BE49-F238E27FC236}">
              <a16:creationId xmlns:a16="http://schemas.microsoft.com/office/drawing/2014/main" id="{CEE31449-152B-43E8-B43F-2D40BAF51563}"/>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6687800" y="180975"/>
          <a:ext cx="769359" cy="766354"/>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xdr:from>
      <xdr:col>27</xdr:col>
      <xdr:colOff>304800</xdr:colOff>
      <xdr:row>1</xdr:row>
      <xdr:rowOff>38100</xdr:rowOff>
    </xdr:from>
    <xdr:to>
      <xdr:col>28</xdr:col>
      <xdr:colOff>367689</xdr:colOff>
      <xdr:row>2</xdr:row>
      <xdr:rowOff>114300</xdr:rowOff>
    </xdr:to>
    <xdr:sp macro="" textlink="">
      <xdr:nvSpPr>
        <xdr:cNvPr id="17" name="Retângulo: Cantos Arredondados 7">
          <a:hlinkClick xmlns:r="http://schemas.openxmlformats.org/officeDocument/2006/relationships" r:id="rId16"/>
          <a:extLst>
            <a:ext uri="{FF2B5EF4-FFF2-40B4-BE49-F238E27FC236}">
              <a16:creationId xmlns:a16="http://schemas.microsoft.com/office/drawing/2014/main" id="{7915A315-C282-40F9-A9D9-0FDC5321EED5}"/>
            </a:ext>
          </a:extLst>
        </xdr:cNvPr>
        <xdr:cNvSpPr/>
      </xdr:nvSpPr>
      <xdr:spPr>
        <a:xfrm rot="473335">
          <a:off x="16764000" y="228600"/>
          <a:ext cx="672489" cy="266700"/>
        </a:xfrm>
        <a:prstGeom prst="roundRect">
          <a:avLst>
            <a:gd name="adj" fmla="val 0"/>
          </a:avLst>
        </a:prstGeom>
        <a:solidFill>
          <a:schemeClr val="accent4">
            <a:lumMod val="60000"/>
            <a:lumOff val="40000"/>
            <a:alpha val="96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rgbClr val="FF0000"/>
              </a:solidFill>
            </a:rPr>
            <a:t>VOLTAR</a:t>
          </a:r>
        </a:p>
      </xdr:txBody>
    </xdr:sp>
    <xdr:clientData/>
  </xdr:twoCellAnchor>
  <xdr:twoCellAnchor>
    <xdr:from>
      <xdr:col>2</xdr:col>
      <xdr:colOff>600074</xdr:colOff>
      <xdr:row>33</xdr:row>
      <xdr:rowOff>47625</xdr:rowOff>
    </xdr:from>
    <xdr:to>
      <xdr:col>4</xdr:col>
      <xdr:colOff>609599</xdr:colOff>
      <xdr:row>35</xdr:row>
      <xdr:rowOff>171450</xdr:rowOff>
    </xdr:to>
    <xdr:sp macro="" textlink="">
      <xdr:nvSpPr>
        <xdr:cNvPr id="25" name="Retângulo: Cantos Arredondados 10">
          <a:hlinkClick xmlns:r="http://schemas.openxmlformats.org/officeDocument/2006/relationships" r:id="rId18"/>
          <a:extLst>
            <a:ext uri="{FF2B5EF4-FFF2-40B4-BE49-F238E27FC236}">
              <a16:creationId xmlns:a16="http://schemas.microsoft.com/office/drawing/2014/main" id="{61049D9E-0305-4272-BFD1-DA07F1E666D7}"/>
            </a:ext>
          </a:extLst>
        </xdr:cNvPr>
        <xdr:cNvSpPr/>
      </xdr:nvSpPr>
      <xdr:spPr>
        <a:xfrm>
          <a:off x="1819274" y="6334125"/>
          <a:ext cx="1228725" cy="5048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100" b="1"/>
            <a:t>Motivação</a:t>
          </a:r>
        </a:p>
      </xdr:txBody>
    </xdr:sp>
    <xdr:clientData/>
  </xdr:twoCellAnchor>
  <xdr:twoCellAnchor>
    <xdr:from>
      <xdr:col>5</xdr:col>
      <xdr:colOff>542925</xdr:colOff>
      <xdr:row>33</xdr:row>
      <xdr:rowOff>47625</xdr:rowOff>
    </xdr:from>
    <xdr:to>
      <xdr:col>7</xdr:col>
      <xdr:colOff>552450</xdr:colOff>
      <xdr:row>35</xdr:row>
      <xdr:rowOff>171450</xdr:rowOff>
    </xdr:to>
    <xdr:sp macro="" textlink="">
      <xdr:nvSpPr>
        <xdr:cNvPr id="26" name="Retângulo: Cantos Arredondados 10">
          <a:hlinkClick xmlns:r="http://schemas.openxmlformats.org/officeDocument/2006/relationships" r:id="rId19"/>
          <a:extLst>
            <a:ext uri="{FF2B5EF4-FFF2-40B4-BE49-F238E27FC236}">
              <a16:creationId xmlns:a16="http://schemas.microsoft.com/office/drawing/2014/main" id="{61049D9E-0305-4272-BFD1-DA07F1E666D7}"/>
            </a:ext>
          </a:extLst>
        </xdr:cNvPr>
        <xdr:cNvSpPr/>
      </xdr:nvSpPr>
      <xdr:spPr>
        <a:xfrm>
          <a:off x="3590925" y="6334125"/>
          <a:ext cx="1228725" cy="5048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100" b="1"/>
            <a:t>Liderança</a:t>
          </a:r>
        </a:p>
      </xdr:txBody>
    </xdr:sp>
    <xdr:clientData/>
  </xdr:twoCellAnchor>
  <xdr:twoCellAnchor>
    <xdr:from>
      <xdr:col>8</xdr:col>
      <xdr:colOff>476250</xdr:colOff>
      <xdr:row>33</xdr:row>
      <xdr:rowOff>66675</xdr:rowOff>
    </xdr:from>
    <xdr:to>
      <xdr:col>10</xdr:col>
      <xdr:colOff>485775</xdr:colOff>
      <xdr:row>36</xdr:row>
      <xdr:rowOff>0</xdr:rowOff>
    </xdr:to>
    <xdr:sp macro="" textlink="">
      <xdr:nvSpPr>
        <xdr:cNvPr id="27" name="Retângulo: Cantos Arredondados 10">
          <a:hlinkClick xmlns:r="http://schemas.openxmlformats.org/officeDocument/2006/relationships" r:id="rId20"/>
          <a:extLst>
            <a:ext uri="{FF2B5EF4-FFF2-40B4-BE49-F238E27FC236}">
              <a16:creationId xmlns:a16="http://schemas.microsoft.com/office/drawing/2014/main" id="{61049D9E-0305-4272-BFD1-DA07F1E666D7}"/>
            </a:ext>
          </a:extLst>
        </xdr:cNvPr>
        <xdr:cNvSpPr/>
      </xdr:nvSpPr>
      <xdr:spPr>
        <a:xfrm>
          <a:off x="5353050" y="6353175"/>
          <a:ext cx="1228725" cy="5048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100" b="1"/>
            <a:t>Equipe</a:t>
          </a:r>
        </a:p>
      </xdr:txBody>
    </xdr:sp>
    <xdr:clientData/>
  </xdr:twoCellAnchor>
  <xdr:twoCellAnchor>
    <xdr:from>
      <xdr:col>11</xdr:col>
      <xdr:colOff>352425</xdr:colOff>
      <xdr:row>33</xdr:row>
      <xdr:rowOff>76200</xdr:rowOff>
    </xdr:from>
    <xdr:to>
      <xdr:col>13</xdr:col>
      <xdr:colOff>361950</xdr:colOff>
      <xdr:row>36</xdr:row>
      <xdr:rowOff>9525</xdr:rowOff>
    </xdr:to>
    <xdr:sp macro="" textlink="">
      <xdr:nvSpPr>
        <xdr:cNvPr id="28" name="Retângulo: Cantos Arredondados 10">
          <a:hlinkClick xmlns:r="http://schemas.openxmlformats.org/officeDocument/2006/relationships" r:id="rId21"/>
          <a:extLst>
            <a:ext uri="{FF2B5EF4-FFF2-40B4-BE49-F238E27FC236}">
              <a16:creationId xmlns:a16="http://schemas.microsoft.com/office/drawing/2014/main" id="{61049D9E-0305-4272-BFD1-DA07F1E666D7}"/>
            </a:ext>
          </a:extLst>
        </xdr:cNvPr>
        <xdr:cNvSpPr/>
      </xdr:nvSpPr>
      <xdr:spPr>
        <a:xfrm>
          <a:off x="7058025" y="6362700"/>
          <a:ext cx="1228725" cy="5048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100" b="1"/>
            <a:t>Salário</a:t>
          </a:r>
        </a:p>
      </xdr:txBody>
    </xdr:sp>
    <xdr:clientData/>
  </xdr:twoCellAnchor>
  <xdr:twoCellAnchor>
    <xdr:from>
      <xdr:col>14</xdr:col>
      <xdr:colOff>161925</xdr:colOff>
      <xdr:row>33</xdr:row>
      <xdr:rowOff>76200</xdr:rowOff>
    </xdr:from>
    <xdr:to>
      <xdr:col>16</xdr:col>
      <xdr:colOff>171450</xdr:colOff>
      <xdr:row>36</xdr:row>
      <xdr:rowOff>9525</xdr:rowOff>
    </xdr:to>
    <xdr:sp macro="" textlink="">
      <xdr:nvSpPr>
        <xdr:cNvPr id="29" name="Retângulo: Cantos Arredondados 10">
          <a:hlinkClick xmlns:r="http://schemas.openxmlformats.org/officeDocument/2006/relationships" r:id="rId22"/>
          <a:extLst>
            <a:ext uri="{FF2B5EF4-FFF2-40B4-BE49-F238E27FC236}">
              <a16:creationId xmlns:a16="http://schemas.microsoft.com/office/drawing/2014/main" id="{61049D9E-0305-4272-BFD1-DA07F1E666D7}"/>
            </a:ext>
          </a:extLst>
        </xdr:cNvPr>
        <xdr:cNvSpPr/>
      </xdr:nvSpPr>
      <xdr:spPr>
        <a:xfrm>
          <a:off x="8696325" y="6362700"/>
          <a:ext cx="1228725" cy="5048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100" b="1"/>
            <a:t>Relacionamento</a:t>
          </a:r>
        </a:p>
      </xdr:txBody>
    </xdr:sp>
    <xdr:clientData/>
  </xdr:twoCellAnchor>
  <xdr:twoCellAnchor>
    <xdr:from>
      <xdr:col>16</xdr:col>
      <xdr:colOff>523875</xdr:colOff>
      <xdr:row>33</xdr:row>
      <xdr:rowOff>76200</xdr:rowOff>
    </xdr:from>
    <xdr:to>
      <xdr:col>18</xdr:col>
      <xdr:colOff>533400</xdr:colOff>
      <xdr:row>36</xdr:row>
      <xdr:rowOff>9525</xdr:rowOff>
    </xdr:to>
    <xdr:sp macro="" textlink="">
      <xdr:nvSpPr>
        <xdr:cNvPr id="30" name="Retângulo: Cantos Arredondados 10">
          <a:hlinkClick xmlns:r="http://schemas.openxmlformats.org/officeDocument/2006/relationships" r:id="rId23"/>
          <a:extLst>
            <a:ext uri="{FF2B5EF4-FFF2-40B4-BE49-F238E27FC236}">
              <a16:creationId xmlns:a16="http://schemas.microsoft.com/office/drawing/2014/main" id="{61049D9E-0305-4272-BFD1-DA07F1E666D7}"/>
            </a:ext>
          </a:extLst>
        </xdr:cNvPr>
        <xdr:cNvSpPr/>
      </xdr:nvSpPr>
      <xdr:spPr>
        <a:xfrm>
          <a:off x="10277475" y="6362700"/>
          <a:ext cx="1228725" cy="5048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100" b="1"/>
            <a:t>Qualidade de Vida</a:t>
          </a:r>
        </a:p>
      </xdr:txBody>
    </xdr:sp>
    <xdr:clientData/>
  </xdr:twoCellAnchor>
  <xdr:twoCellAnchor>
    <xdr:from>
      <xdr:col>19</xdr:col>
      <xdr:colOff>228600</xdr:colOff>
      <xdr:row>33</xdr:row>
      <xdr:rowOff>38100</xdr:rowOff>
    </xdr:from>
    <xdr:to>
      <xdr:col>21</xdr:col>
      <xdr:colOff>238125</xdr:colOff>
      <xdr:row>35</xdr:row>
      <xdr:rowOff>161925</xdr:rowOff>
    </xdr:to>
    <xdr:sp macro="" textlink="">
      <xdr:nvSpPr>
        <xdr:cNvPr id="31" name="Retângulo: Cantos Arredondados 10">
          <a:hlinkClick xmlns:r="http://schemas.openxmlformats.org/officeDocument/2006/relationships" r:id="rId24"/>
          <a:extLst>
            <a:ext uri="{FF2B5EF4-FFF2-40B4-BE49-F238E27FC236}">
              <a16:creationId xmlns:a16="http://schemas.microsoft.com/office/drawing/2014/main" id="{61049D9E-0305-4272-BFD1-DA07F1E666D7}"/>
            </a:ext>
          </a:extLst>
        </xdr:cNvPr>
        <xdr:cNvSpPr/>
      </xdr:nvSpPr>
      <xdr:spPr>
        <a:xfrm>
          <a:off x="11811000" y="6324600"/>
          <a:ext cx="1228725" cy="5048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100" b="1"/>
            <a:t>Sócio</a:t>
          </a:r>
          <a:r>
            <a:rPr lang="pt-BR" sz="1100" b="1" baseline="0"/>
            <a:t>/Ambiental</a:t>
          </a:r>
          <a:endParaRPr lang="pt-BR" sz="1100" b="1"/>
        </a:p>
      </xdr:txBody>
    </xdr:sp>
    <xdr:clientData/>
  </xdr:twoCellAnchor>
  <xdr:twoCellAnchor>
    <xdr:from>
      <xdr:col>24</xdr:col>
      <xdr:colOff>123825</xdr:colOff>
      <xdr:row>33</xdr:row>
      <xdr:rowOff>15134</xdr:rowOff>
    </xdr:from>
    <xdr:to>
      <xdr:col>26</xdr:col>
      <xdr:colOff>133350</xdr:colOff>
      <xdr:row>35</xdr:row>
      <xdr:rowOff>138959</xdr:rowOff>
    </xdr:to>
    <xdr:sp macro="" textlink="">
      <xdr:nvSpPr>
        <xdr:cNvPr id="33" name="Retângulo: Cantos Arredondados 10">
          <a:hlinkClick xmlns:r="http://schemas.openxmlformats.org/officeDocument/2006/relationships" r:id="rId25"/>
          <a:extLst>
            <a:ext uri="{FF2B5EF4-FFF2-40B4-BE49-F238E27FC236}">
              <a16:creationId xmlns:a16="http://schemas.microsoft.com/office/drawing/2014/main" id="{61049D9E-0305-4272-BFD1-DA07F1E666D7}"/>
            </a:ext>
          </a:extLst>
        </xdr:cNvPr>
        <xdr:cNvSpPr/>
      </xdr:nvSpPr>
      <xdr:spPr>
        <a:xfrm>
          <a:off x="14754225" y="6301634"/>
          <a:ext cx="1228725" cy="5048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100" b="1"/>
            <a:t>Estrutura</a:t>
          </a:r>
          <a:r>
            <a:rPr lang="pt-BR" sz="1100" b="1" baseline="0"/>
            <a:t> Física</a:t>
          </a:r>
          <a:endParaRPr lang="pt-BR" sz="1100" b="1"/>
        </a:p>
      </xdr:txBody>
    </xdr:sp>
    <xdr:clientData/>
  </xdr:twoCellAnchor>
  <xdr:twoCellAnchor>
    <xdr:from>
      <xdr:col>0</xdr:col>
      <xdr:colOff>114300</xdr:colOff>
      <xdr:row>33</xdr:row>
      <xdr:rowOff>53234</xdr:rowOff>
    </xdr:from>
    <xdr:to>
      <xdr:col>2</xdr:col>
      <xdr:colOff>123825</xdr:colOff>
      <xdr:row>35</xdr:row>
      <xdr:rowOff>177059</xdr:rowOff>
    </xdr:to>
    <xdr:sp macro="" textlink="">
      <xdr:nvSpPr>
        <xdr:cNvPr id="35" name="Retângulo: Cantos Arredondados 10">
          <a:hlinkClick xmlns:r="http://schemas.openxmlformats.org/officeDocument/2006/relationships" r:id="rId26"/>
          <a:extLst>
            <a:ext uri="{FF2B5EF4-FFF2-40B4-BE49-F238E27FC236}">
              <a16:creationId xmlns:a16="http://schemas.microsoft.com/office/drawing/2014/main" id="{61049D9E-0305-4272-BFD1-DA07F1E666D7}"/>
            </a:ext>
          </a:extLst>
        </xdr:cNvPr>
        <xdr:cNvSpPr/>
      </xdr:nvSpPr>
      <xdr:spPr>
        <a:xfrm>
          <a:off x="114300" y="6339734"/>
          <a:ext cx="1228725" cy="5048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100" b="1"/>
            <a:t>Planejamento Estratégico</a:t>
          </a:r>
        </a:p>
      </xdr:txBody>
    </xdr:sp>
    <xdr:clientData/>
  </xdr:twoCellAnchor>
  <xdr:twoCellAnchor editAs="oneCell">
    <xdr:from>
      <xdr:col>0</xdr:col>
      <xdr:colOff>133351</xdr:colOff>
      <xdr:row>26</xdr:row>
      <xdr:rowOff>161925</xdr:rowOff>
    </xdr:from>
    <xdr:to>
      <xdr:col>2</xdr:col>
      <xdr:colOff>114301</xdr:colOff>
      <xdr:row>33</xdr:row>
      <xdr:rowOff>19050</xdr:rowOff>
    </xdr:to>
    <xdr:pic>
      <xdr:nvPicPr>
        <xdr:cNvPr id="36" name="Imagem 35" descr="Orange Puzzle Piece Clip Art at Clker.com - vector clip art online ...">
          <a:hlinkClick xmlns:r="http://schemas.openxmlformats.org/officeDocument/2006/relationships" r:id="rId26"/>
          <a:extLst>
            <a:ext uri="{FF2B5EF4-FFF2-40B4-BE49-F238E27FC236}">
              <a16:creationId xmlns:a16="http://schemas.microsoft.com/office/drawing/2014/main" id="{A698CD0E-331C-415D-95E0-0EB5B104E49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3351" y="5114925"/>
          <a:ext cx="1200150" cy="1190625"/>
        </a:xfrm>
        <a:prstGeom prst="rect">
          <a:avLst/>
        </a:prstGeom>
        <a:noFill/>
        <a:ln w="34925">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561975</xdr:colOff>
      <xdr:row>26</xdr:row>
      <xdr:rowOff>152400</xdr:rowOff>
    </xdr:from>
    <xdr:to>
      <xdr:col>7</xdr:col>
      <xdr:colOff>542925</xdr:colOff>
      <xdr:row>33</xdr:row>
      <xdr:rowOff>9525</xdr:rowOff>
    </xdr:to>
    <xdr:pic>
      <xdr:nvPicPr>
        <xdr:cNvPr id="37" name="Imagem 36" descr="Orange Puzzle Piece Clip Art at Clker.com - vector clip art online ...">
          <a:hlinkClick xmlns:r="http://schemas.openxmlformats.org/officeDocument/2006/relationships" r:id="rId19"/>
          <a:extLst>
            <a:ext uri="{FF2B5EF4-FFF2-40B4-BE49-F238E27FC236}">
              <a16:creationId xmlns:a16="http://schemas.microsoft.com/office/drawing/2014/main" id="{A698CD0E-331C-415D-95E0-0EB5B104E49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609975" y="5105400"/>
          <a:ext cx="1200150" cy="1190625"/>
        </a:xfrm>
        <a:prstGeom prst="rect">
          <a:avLst/>
        </a:prstGeom>
        <a:noFill/>
        <a:ln w="34925">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466725</xdr:colOff>
      <xdr:row>26</xdr:row>
      <xdr:rowOff>171450</xdr:rowOff>
    </xdr:from>
    <xdr:to>
      <xdr:col>10</xdr:col>
      <xdr:colOff>447675</xdr:colOff>
      <xdr:row>33</xdr:row>
      <xdr:rowOff>28575</xdr:rowOff>
    </xdr:to>
    <xdr:pic>
      <xdr:nvPicPr>
        <xdr:cNvPr id="38" name="Imagem 37" descr="Orange Puzzle Piece Clip Art at Clker.com - vector clip art online ...">
          <a:hlinkClick xmlns:r="http://schemas.openxmlformats.org/officeDocument/2006/relationships" r:id="rId20"/>
          <a:extLst>
            <a:ext uri="{FF2B5EF4-FFF2-40B4-BE49-F238E27FC236}">
              <a16:creationId xmlns:a16="http://schemas.microsoft.com/office/drawing/2014/main" id="{A698CD0E-331C-415D-95E0-0EB5B104E49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43525" y="5124450"/>
          <a:ext cx="1200150" cy="1190625"/>
        </a:xfrm>
        <a:prstGeom prst="rect">
          <a:avLst/>
        </a:prstGeom>
        <a:noFill/>
        <a:ln w="34925">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352425</xdr:colOff>
      <xdr:row>26</xdr:row>
      <xdr:rowOff>171450</xdr:rowOff>
    </xdr:from>
    <xdr:to>
      <xdr:col>13</xdr:col>
      <xdr:colOff>333375</xdr:colOff>
      <xdr:row>33</xdr:row>
      <xdr:rowOff>28575</xdr:rowOff>
    </xdr:to>
    <xdr:pic>
      <xdr:nvPicPr>
        <xdr:cNvPr id="39" name="Imagem 38" descr="Orange Puzzle Piece Clip Art at Clker.com - vector clip art online ...">
          <a:hlinkClick xmlns:r="http://schemas.openxmlformats.org/officeDocument/2006/relationships" r:id="rId21"/>
          <a:extLst>
            <a:ext uri="{FF2B5EF4-FFF2-40B4-BE49-F238E27FC236}">
              <a16:creationId xmlns:a16="http://schemas.microsoft.com/office/drawing/2014/main" id="{A698CD0E-331C-415D-95E0-0EB5B104E49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058025" y="5124450"/>
          <a:ext cx="1200150" cy="1190625"/>
        </a:xfrm>
        <a:prstGeom prst="rect">
          <a:avLst/>
        </a:prstGeom>
        <a:noFill/>
        <a:ln w="34925">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152400</xdr:colOff>
      <xdr:row>26</xdr:row>
      <xdr:rowOff>180975</xdr:rowOff>
    </xdr:from>
    <xdr:to>
      <xdr:col>16</xdr:col>
      <xdr:colOff>133350</xdr:colOff>
      <xdr:row>33</xdr:row>
      <xdr:rowOff>38100</xdr:rowOff>
    </xdr:to>
    <xdr:pic>
      <xdr:nvPicPr>
        <xdr:cNvPr id="40" name="Imagem 39" descr="Orange Puzzle Piece Clip Art at Clker.com - vector clip art online ...">
          <a:hlinkClick xmlns:r="http://schemas.openxmlformats.org/officeDocument/2006/relationships" r:id="rId22"/>
          <a:extLst>
            <a:ext uri="{FF2B5EF4-FFF2-40B4-BE49-F238E27FC236}">
              <a16:creationId xmlns:a16="http://schemas.microsoft.com/office/drawing/2014/main" id="{A698CD0E-331C-415D-95E0-0EB5B104E49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86800" y="5133975"/>
          <a:ext cx="1200150" cy="1190625"/>
        </a:xfrm>
        <a:prstGeom prst="rect">
          <a:avLst/>
        </a:prstGeom>
        <a:noFill/>
        <a:ln w="34925">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523875</xdr:colOff>
      <xdr:row>26</xdr:row>
      <xdr:rowOff>180975</xdr:rowOff>
    </xdr:from>
    <xdr:to>
      <xdr:col>18</xdr:col>
      <xdr:colOff>504825</xdr:colOff>
      <xdr:row>33</xdr:row>
      <xdr:rowOff>38100</xdr:rowOff>
    </xdr:to>
    <xdr:pic>
      <xdr:nvPicPr>
        <xdr:cNvPr id="41" name="Imagem 40" descr="Orange Puzzle Piece Clip Art at Clker.com - vector clip art online ...">
          <a:hlinkClick xmlns:r="http://schemas.openxmlformats.org/officeDocument/2006/relationships" r:id="rId23"/>
          <a:extLst>
            <a:ext uri="{FF2B5EF4-FFF2-40B4-BE49-F238E27FC236}">
              <a16:creationId xmlns:a16="http://schemas.microsoft.com/office/drawing/2014/main" id="{A698CD0E-331C-415D-95E0-0EB5B104E49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277475" y="5133975"/>
          <a:ext cx="1200150" cy="1190625"/>
        </a:xfrm>
        <a:prstGeom prst="rect">
          <a:avLst/>
        </a:prstGeom>
        <a:noFill/>
        <a:ln w="34925">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228600</xdr:colOff>
      <xdr:row>26</xdr:row>
      <xdr:rowOff>152400</xdr:rowOff>
    </xdr:from>
    <xdr:to>
      <xdr:col>21</xdr:col>
      <xdr:colOff>209550</xdr:colOff>
      <xdr:row>33</xdr:row>
      <xdr:rowOff>9525</xdr:rowOff>
    </xdr:to>
    <xdr:pic>
      <xdr:nvPicPr>
        <xdr:cNvPr id="42" name="Imagem 41" descr="Orange Puzzle Piece Clip Art at Clker.com - vector clip art online ...">
          <a:hlinkClick xmlns:r="http://schemas.openxmlformats.org/officeDocument/2006/relationships" r:id="rId24"/>
          <a:extLst>
            <a:ext uri="{FF2B5EF4-FFF2-40B4-BE49-F238E27FC236}">
              <a16:creationId xmlns:a16="http://schemas.microsoft.com/office/drawing/2014/main" id="{A698CD0E-331C-415D-95E0-0EB5B104E49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811000" y="5105400"/>
          <a:ext cx="1200150" cy="1190625"/>
        </a:xfrm>
        <a:prstGeom prst="rect">
          <a:avLst/>
        </a:prstGeom>
        <a:noFill/>
        <a:ln w="34925">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xdr:colOff>
      <xdr:row>26</xdr:row>
      <xdr:rowOff>152400</xdr:rowOff>
    </xdr:from>
    <xdr:to>
      <xdr:col>5</xdr:col>
      <xdr:colOff>0</xdr:colOff>
      <xdr:row>33</xdr:row>
      <xdr:rowOff>9525</xdr:rowOff>
    </xdr:to>
    <xdr:pic>
      <xdr:nvPicPr>
        <xdr:cNvPr id="43" name="Imagem 42" descr="Orange Puzzle Piece Clip Art at Clker.com - vector clip art online ...">
          <a:hlinkClick xmlns:r="http://schemas.openxmlformats.org/officeDocument/2006/relationships" r:id="rId18"/>
          <a:extLst>
            <a:ext uri="{FF2B5EF4-FFF2-40B4-BE49-F238E27FC236}">
              <a16:creationId xmlns:a16="http://schemas.microsoft.com/office/drawing/2014/main" id="{A698CD0E-331C-415D-95E0-0EB5B104E49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47850" y="5105400"/>
          <a:ext cx="1200150" cy="1190625"/>
        </a:xfrm>
        <a:prstGeom prst="rect">
          <a:avLst/>
        </a:prstGeom>
        <a:noFill/>
        <a:ln w="34925">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123825</xdr:colOff>
      <xdr:row>26</xdr:row>
      <xdr:rowOff>114300</xdr:rowOff>
    </xdr:from>
    <xdr:to>
      <xdr:col>26</xdr:col>
      <xdr:colOff>104775</xdr:colOff>
      <xdr:row>32</xdr:row>
      <xdr:rowOff>161925</xdr:rowOff>
    </xdr:to>
    <xdr:pic>
      <xdr:nvPicPr>
        <xdr:cNvPr id="44" name="Imagem 43" descr="Orange Puzzle Piece Clip Art at Clker.com - vector clip art online ...">
          <a:hlinkClick xmlns:r="http://schemas.openxmlformats.org/officeDocument/2006/relationships" r:id="rId25"/>
          <a:extLst>
            <a:ext uri="{FF2B5EF4-FFF2-40B4-BE49-F238E27FC236}">
              <a16:creationId xmlns:a16="http://schemas.microsoft.com/office/drawing/2014/main" id="{A698CD0E-331C-415D-95E0-0EB5B104E49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754225" y="5067300"/>
          <a:ext cx="1200150" cy="1190625"/>
        </a:xfrm>
        <a:prstGeom prst="rect">
          <a:avLst/>
        </a:prstGeom>
        <a:noFill/>
        <a:ln w="34925">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xdr:from>
      <xdr:col>26</xdr:col>
      <xdr:colOff>523875</xdr:colOff>
      <xdr:row>33</xdr:row>
      <xdr:rowOff>24659</xdr:rowOff>
    </xdr:from>
    <xdr:to>
      <xdr:col>28</xdr:col>
      <xdr:colOff>533400</xdr:colOff>
      <xdr:row>35</xdr:row>
      <xdr:rowOff>148484</xdr:rowOff>
    </xdr:to>
    <xdr:sp macro="" textlink="">
      <xdr:nvSpPr>
        <xdr:cNvPr id="45" name="Retângulo: Cantos Arredondados 10">
          <a:hlinkClick xmlns:r="http://schemas.openxmlformats.org/officeDocument/2006/relationships" r:id="rId27"/>
          <a:extLst>
            <a:ext uri="{FF2B5EF4-FFF2-40B4-BE49-F238E27FC236}">
              <a16:creationId xmlns:a16="http://schemas.microsoft.com/office/drawing/2014/main" id="{61049D9E-0305-4272-BFD1-DA07F1E666D7}"/>
            </a:ext>
          </a:extLst>
        </xdr:cNvPr>
        <xdr:cNvSpPr/>
      </xdr:nvSpPr>
      <xdr:spPr>
        <a:xfrm>
          <a:off x="16373475" y="6311159"/>
          <a:ext cx="1228725" cy="5048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100" b="1"/>
            <a:t>Pandemia</a:t>
          </a:r>
        </a:p>
      </xdr:txBody>
    </xdr:sp>
    <xdr:clientData/>
  </xdr:twoCellAnchor>
  <xdr:twoCellAnchor editAs="oneCell">
    <xdr:from>
      <xdr:col>26</xdr:col>
      <xdr:colOff>523875</xdr:colOff>
      <xdr:row>26</xdr:row>
      <xdr:rowOff>123825</xdr:rowOff>
    </xdr:from>
    <xdr:to>
      <xdr:col>28</xdr:col>
      <xdr:colOff>504825</xdr:colOff>
      <xdr:row>32</xdr:row>
      <xdr:rowOff>171450</xdr:rowOff>
    </xdr:to>
    <xdr:pic>
      <xdr:nvPicPr>
        <xdr:cNvPr id="46" name="Imagem 45" descr="Orange Puzzle Piece Clip Art at Clker.com - vector clip art online ...">
          <a:hlinkClick xmlns:r="http://schemas.openxmlformats.org/officeDocument/2006/relationships" r:id="rId27"/>
          <a:extLst>
            <a:ext uri="{FF2B5EF4-FFF2-40B4-BE49-F238E27FC236}">
              <a16:creationId xmlns:a16="http://schemas.microsoft.com/office/drawing/2014/main" id="{A698CD0E-331C-415D-95E0-0EB5B104E49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6373475" y="5076825"/>
          <a:ext cx="1200150" cy="1190625"/>
        </a:xfrm>
        <a:prstGeom prst="rect">
          <a:avLst/>
        </a:prstGeom>
        <a:noFill/>
        <a:ln w="34925">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504825</xdr:colOff>
      <xdr:row>33</xdr:row>
      <xdr:rowOff>38100</xdr:rowOff>
    </xdr:from>
    <xdr:to>
      <xdr:col>23</xdr:col>
      <xdr:colOff>514350</xdr:colOff>
      <xdr:row>35</xdr:row>
      <xdr:rowOff>161925</xdr:rowOff>
    </xdr:to>
    <xdr:sp macro="" textlink="">
      <xdr:nvSpPr>
        <xdr:cNvPr id="47" name="Retângulo: Cantos Arredondados 10">
          <a:hlinkClick xmlns:r="http://schemas.openxmlformats.org/officeDocument/2006/relationships" r:id="rId28"/>
          <a:extLst>
            <a:ext uri="{FF2B5EF4-FFF2-40B4-BE49-F238E27FC236}">
              <a16:creationId xmlns:a16="http://schemas.microsoft.com/office/drawing/2014/main" id="{61049D9E-0305-4272-BFD1-DA07F1E666D7}"/>
            </a:ext>
          </a:extLst>
        </xdr:cNvPr>
        <xdr:cNvSpPr/>
      </xdr:nvSpPr>
      <xdr:spPr>
        <a:xfrm>
          <a:off x="13306425" y="6324600"/>
          <a:ext cx="1228725" cy="5048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100" b="1"/>
            <a:t>Comunicação</a:t>
          </a:r>
        </a:p>
      </xdr:txBody>
    </xdr:sp>
    <xdr:clientData/>
  </xdr:twoCellAnchor>
  <xdr:twoCellAnchor editAs="oneCell">
    <xdr:from>
      <xdr:col>21</xdr:col>
      <xdr:colOff>504825</xdr:colOff>
      <xdr:row>26</xdr:row>
      <xdr:rowOff>152400</xdr:rowOff>
    </xdr:from>
    <xdr:to>
      <xdr:col>23</xdr:col>
      <xdr:colOff>485775</xdr:colOff>
      <xdr:row>33</xdr:row>
      <xdr:rowOff>9525</xdr:rowOff>
    </xdr:to>
    <xdr:pic>
      <xdr:nvPicPr>
        <xdr:cNvPr id="48" name="Imagem 47" descr="Orange Puzzle Piece Clip Art at Clker.com - vector clip art online ...">
          <a:hlinkClick xmlns:r="http://schemas.openxmlformats.org/officeDocument/2006/relationships" r:id="rId28"/>
          <a:extLst>
            <a:ext uri="{FF2B5EF4-FFF2-40B4-BE49-F238E27FC236}">
              <a16:creationId xmlns:a16="http://schemas.microsoft.com/office/drawing/2014/main" id="{A698CD0E-331C-415D-95E0-0EB5B104E49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306425" y="5105400"/>
          <a:ext cx="1200150" cy="1190625"/>
        </a:xfrm>
        <a:prstGeom prst="rect">
          <a:avLst/>
        </a:prstGeom>
        <a:noFill/>
        <a:ln w="34925">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4</xdr:col>
      <xdr:colOff>571500</xdr:colOff>
      <xdr:row>0</xdr:row>
      <xdr:rowOff>66675</xdr:rowOff>
    </xdr:from>
    <xdr:to>
      <xdr:col>5</xdr:col>
      <xdr:colOff>426459</xdr:colOff>
      <xdr:row>4</xdr:row>
      <xdr:rowOff>71029</xdr:rowOff>
    </xdr:to>
    <xdr:pic>
      <xdr:nvPicPr>
        <xdr:cNvPr id="4" name="Imagem 3" descr="Transmagnabosco">
          <a:hlinkClick xmlns:r="http://schemas.openxmlformats.org/officeDocument/2006/relationships" r:id="rId1"/>
          <a:extLst>
            <a:ext uri="{FF2B5EF4-FFF2-40B4-BE49-F238E27FC236}">
              <a16:creationId xmlns:a16="http://schemas.microsoft.com/office/drawing/2014/main" id="{CEE31449-152B-43E8-B43F-2D40BAF5156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66675"/>
          <a:ext cx="769359" cy="766354"/>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622838</xdr:colOff>
      <xdr:row>0</xdr:row>
      <xdr:rowOff>130531</xdr:rowOff>
    </xdr:from>
    <xdr:to>
      <xdr:col>5</xdr:col>
      <xdr:colOff>401091</xdr:colOff>
      <xdr:row>2</xdr:row>
      <xdr:rowOff>16231</xdr:rowOff>
    </xdr:to>
    <xdr:sp macro="" textlink="">
      <xdr:nvSpPr>
        <xdr:cNvPr id="5" name="Retângulo: Cantos Arredondados 7">
          <a:hlinkClick xmlns:r="http://schemas.openxmlformats.org/officeDocument/2006/relationships" r:id="rId1"/>
          <a:extLst>
            <a:ext uri="{FF2B5EF4-FFF2-40B4-BE49-F238E27FC236}">
              <a16:creationId xmlns:a16="http://schemas.microsoft.com/office/drawing/2014/main" id="{7915A315-C282-40F9-A9D9-0FDC5321EED5}"/>
            </a:ext>
          </a:extLst>
        </xdr:cNvPr>
        <xdr:cNvSpPr/>
      </xdr:nvSpPr>
      <xdr:spPr>
        <a:xfrm rot="473335">
          <a:off x="7528463" y="130531"/>
          <a:ext cx="692653" cy="266700"/>
        </a:xfrm>
        <a:prstGeom prst="roundRect">
          <a:avLst>
            <a:gd name="adj" fmla="val 0"/>
          </a:avLst>
        </a:prstGeom>
        <a:solidFill>
          <a:schemeClr val="accent4">
            <a:lumMod val="60000"/>
            <a:lumOff val="40000"/>
            <a:alpha val="96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rgbClr val="FF0000"/>
              </a:solidFill>
            </a:rPr>
            <a:t>VOLTAR</a:t>
          </a:r>
        </a:p>
      </xdr:txBody>
    </xdr:sp>
    <xdr:clientData/>
  </xdr:twoCellAnchor>
  <xdr:twoCellAnchor>
    <xdr:from>
      <xdr:col>0</xdr:col>
      <xdr:colOff>0</xdr:colOff>
      <xdr:row>23</xdr:row>
      <xdr:rowOff>9525</xdr:rowOff>
    </xdr:from>
    <xdr:to>
      <xdr:col>4</xdr:col>
      <xdr:colOff>904875</xdr:colOff>
      <xdr:row>37</xdr:row>
      <xdr:rowOff>85725</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0</xdr:rowOff>
    </xdr:from>
    <xdr:to>
      <xdr:col>5</xdr:col>
      <xdr:colOff>0</xdr:colOff>
      <xdr:row>52</xdr:row>
      <xdr:rowOff>66675</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9525</xdr:rowOff>
    </xdr:from>
    <xdr:to>
      <xdr:col>0</xdr:col>
      <xdr:colOff>1628775</xdr:colOff>
      <xdr:row>6</xdr:row>
      <xdr:rowOff>19050</xdr:rowOff>
    </xdr:to>
    <xdr:pic>
      <xdr:nvPicPr>
        <xdr:cNvPr id="8" name="Imagem 7" descr="Trabalho · em · equipe · círculo · quebra-cabeça · quatro · laranja ·  desenho · animado - foto stock © limbi007 (#7107480) | Stockfresh">
          <a:hlinkClick xmlns:r="http://schemas.openxmlformats.org/officeDocument/2006/relationships" r:id="rId5"/>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9525"/>
          <a:ext cx="1628775" cy="1152525"/>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pic>
    <xdr:clientData/>
  </xdr:twoCellAnchor>
  <xdr:twoCellAnchor>
    <xdr:from>
      <xdr:col>0</xdr:col>
      <xdr:colOff>1647825</xdr:colOff>
      <xdr:row>0</xdr:row>
      <xdr:rowOff>95250</xdr:rowOff>
    </xdr:from>
    <xdr:to>
      <xdr:col>2</xdr:col>
      <xdr:colOff>723900</xdr:colOff>
      <xdr:row>5</xdr:row>
      <xdr:rowOff>104775</xdr:rowOff>
    </xdr:to>
    <xdr:sp macro="" textlink="">
      <xdr:nvSpPr>
        <xdr:cNvPr id="9" name="Retângulo: Cantos Arredondados 21">
          <a:hlinkClick xmlns:r="http://schemas.openxmlformats.org/officeDocument/2006/relationships" r:id="rId5"/>
          <a:extLst>
            <a:ext uri="{FF2B5EF4-FFF2-40B4-BE49-F238E27FC236}">
              <a16:creationId xmlns:a16="http://schemas.microsoft.com/office/drawing/2014/main" id="{65DFE5B4-C03F-4CCE-9D69-50C4B29A8A89}"/>
            </a:ext>
          </a:extLst>
        </xdr:cNvPr>
        <xdr:cNvSpPr/>
      </xdr:nvSpPr>
      <xdr:spPr>
        <a:xfrm>
          <a:off x="1647825" y="95250"/>
          <a:ext cx="4152900" cy="9620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pt-BR" sz="1200" b="1"/>
            <a:t>COORDENAÇÃO GERAL DE RECURSOS HUMANOS - CGRH</a:t>
          </a:r>
        </a:p>
        <a:p>
          <a:pPr algn="ctr"/>
          <a:endParaRPr lang="pt-BR" sz="1200" b="1"/>
        </a:p>
        <a:p>
          <a:pPr algn="ctr"/>
          <a:r>
            <a:rPr lang="pt-BR" sz="1200" b="1"/>
            <a:t>DADOS</a:t>
          </a:r>
          <a:r>
            <a:rPr lang="pt-BR" sz="1200" b="1" baseline="0"/>
            <a:t> DA PESQUISA DE CLIMA ORGANIZACIONAL</a:t>
          </a:r>
          <a:endParaRPr lang="pt-BR" sz="1200" b="1"/>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9524</xdr:colOff>
      <xdr:row>19</xdr:row>
      <xdr:rowOff>180975</xdr:rowOff>
    </xdr:from>
    <xdr:to>
      <xdr:col>4</xdr:col>
      <xdr:colOff>904874</xdr:colOff>
      <xdr:row>34</xdr:row>
      <xdr:rowOff>66675</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0</xdr:rowOff>
    </xdr:from>
    <xdr:to>
      <xdr:col>4</xdr:col>
      <xdr:colOff>904875</xdr:colOff>
      <xdr:row>49</xdr:row>
      <xdr:rowOff>38100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571500</xdr:colOff>
      <xdr:row>0</xdr:row>
      <xdr:rowOff>66675</xdr:rowOff>
    </xdr:from>
    <xdr:to>
      <xdr:col>5</xdr:col>
      <xdr:colOff>426459</xdr:colOff>
      <xdr:row>4</xdr:row>
      <xdr:rowOff>71029</xdr:rowOff>
    </xdr:to>
    <xdr:pic>
      <xdr:nvPicPr>
        <xdr:cNvPr id="8" name="Imagem 7" descr="Transmagnabosco">
          <a:hlinkClick xmlns:r="http://schemas.openxmlformats.org/officeDocument/2006/relationships" r:id="rId3"/>
          <a:extLst>
            <a:ext uri="{FF2B5EF4-FFF2-40B4-BE49-F238E27FC236}">
              <a16:creationId xmlns:a16="http://schemas.microsoft.com/office/drawing/2014/main" id="{CEE31449-152B-43E8-B43F-2D40BAF5156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477125" y="66675"/>
          <a:ext cx="769359" cy="766354"/>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622838</xdr:colOff>
      <xdr:row>0</xdr:row>
      <xdr:rowOff>130531</xdr:rowOff>
    </xdr:from>
    <xdr:to>
      <xdr:col>5</xdr:col>
      <xdr:colOff>401091</xdr:colOff>
      <xdr:row>2</xdr:row>
      <xdr:rowOff>16231</xdr:rowOff>
    </xdr:to>
    <xdr:sp macro="" textlink="">
      <xdr:nvSpPr>
        <xdr:cNvPr id="9" name="Retângulo: Cantos Arredondados 7">
          <a:hlinkClick xmlns:r="http://schemas.openxmlformats.org/officeDocument/2006/relationships" r:id="rId3"/>
          <a:extLst>
            <a:ext uri="{FF2B5EF4-FFF2-40B4-BE49-F238E27FC236}">
              <a16:creationId xmlns:a16="http://schemas.microsoft.com/office/drawing/2014/main" id="{7915A315-C282-40F9-A9D9-0FDC5321EED5}"/>
            </a:ext>
          </a:extLst>
        </xdr:cNvPr>
        <xdr:cNvSpPr/>
      </xdr:nvSpPr>
      <xdr:spPr>
        <a:xfrm rot="473335">
          <a:off x="7528463" y="130531"/>
          <a:ext cx="692653" cy="266700"/>
        </a:xfrm>
        <a:prstGeom prst="roundRect">
          <a:avLst>
            <a:gd name="adj" fmla="val 0"/>
          </a:avLst>
        </a:prstGeom>
        <a:solidFill>
          <a:schemeClr val="accent4">
            <a:lumMod val="60000"/>
            <a:lumOff val="40000"/>
            <a:alpha val="96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rgbClr val="FF0000"/>
              </a:solidFill>
            </a:rPr>
            <a:t>VOLTAR</a:t>
          </a:r>
        </a:p>
      </xdr:txBody>
    </xdr:sp>
    <xdr:clientData/>
  </xdr:twoCellAnchor>
  <xdr:twoCellAnchor editAs="oneCell">
    <xdr:from>
      <xdr:col>0</xdr:col>
      <xdr:colOff>0</xdr:colOff>
      <xdr:row>0</xdr:row>
      <xdr:rowOff>9525</xdr:rowOff>
    </xdr:from>
    <xdr:to>
      <xdr:col>0</xdr:col>
      <xdr:colOff>1628775</xdr:colOff>
      <xdr:row>6</xdr:row>
      <xdr:rowOff>19050</xdr:rowOff>
    </xdr:to>
    <xdr:pic>
      <xdr:nvPicPr>
        <xdr:cNvPr id="10" name="Imagem 9" descr="Trabalho · em · equipe · círculo · quebra-cabeça · quatro · laranja ·  desenho · animado - foto stock © limbi007 (#7107480) | Stockfresh">
          <a:hlinkClick xmlns:r="http://schemas.openxmlformats.org/officeDocument/2006/relationships" r:id="rId5"/>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9525"/>
          <a:ext cx="1628775" cy="1152525"/>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pic>
    <xdr:clientData/>
  </xdr:twoCellAnchor>
  <xdr:twoCellAnchor>
    <xdr:from>
      <xdr:col>0</xdr:col>
      <xdr:colOff>1647825</xdr:colOff>
      <xdr:row>0</xdr:row>
      <xdr:rowOff>95250</xdr:rowOff>
    </xdr:from>
    <xdr:to>
      <xdr:col>2</xdr:col>
      <xdr:colOff>723900</xdr:colOff>
      <xdr:row>5</xdr:row>
      <xdr:rowOff>104775</xdr:rowOff>
    </xdr:to>
    <xdr:sp macro="" textlink="">
      <xdr:nvSpPr>
        <xdr:cNvPr id="11" name="Retângulo: Cantos Arredondados 21">
          <a:hlinkClick xmlns:r="http://schemas.openxmlformats.org/officeDocument/2006/relationships" r:id="rId5"/>
          <a:extLst>
            <a:ext uri="{FF2B5EF4-FFF2-40B4-BE49-F238E27FC236}">
              <a16:creationId xmlns:a16="http://schemas.microsoft.com/office/drawing/2014/main" id="{65DFE5B4-C03F-4CCE-9D69-50C4B29A8A89}"/>
            </a:ext>
          </a:extLst>
        </xdr:cNvPr>
        <xdr:cNvSpPr/>
      </xdr:nvSpPr>
      <xdr:spPr>
        <a:xfrm>
          <a:off x="1647825" y="95250"/>
          <a:ext cx="4152900" cy="9620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pt-BR" sz="1200" b="1"/>
            <a:t>COORDENAÇÃO GERAL DE RECURSOS HUMANOS - CGRH</a:t>
          </a:r>
        </a:p>
        <a:p>
          <a:pPr algn="ctr"/>
          <a:endParaRPr lang="pt-BR" sz="1200" b="1"/>
        </a:p>
        <a:p>
          <a:pPr algn="ctr"/>
          <a:r>
            <a:rPr lang="pt-BR" sz="1200" b="1"/>
            <a:t>DADOS</a:t>
          </a:r>
          <a:r>
            <a:rPr lang="pt-BR" sz="1200" b="1" baseline="0"/>
            <a:t> DA PESQUISA DE CLIMA ORGANIZACIONAL</a:t>
          </a:r>
          <a:endParaRPr lang="pt-BR" sz="1200" b="1"/>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17</xdr:row>
      <xdr:rowOff>0</xdr:rowOff>
    </xdr:from>
    <xdr:to>
      <xdr:col>4</xdr:col>
      <xdr:colOff>914399</xdr:colOff>
      <xdr:row>31</xdr:row>
      <xdr:rowOff>76200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32</xdr:row>
      <xdr:rowOff>0</xdr:rowOff>
    </xdr:from>
    <xdr:to>
      <xdr:col>4</xdr:col>
      <xdr:colOff>914399</xdr:colOff>
      <xdr:row>46</xdr:row>
      <xdr:rowOff>66675</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571500</xdr:colOff>
      <xdr:row>0</xdr:row>
      <xdr:rowOff>66675</xdr:rowOff>
    </xdr:from>
    <xdr:to>
      <xdr:col>5</xdr:col>
      <xdr:colOff>426459</xdr:colOff>
      <xdr:row>4</xdr:row>
      <xdr:rowOff>71029</xdr:rowOff>
    </xdr:to>
    <xdr:pic>
      <xdr:nvPicPr>
        <xdr:cNvPr id="11" name="Imagem 10" descr="Transmagnabosco">
          <a:hlinkClick xmlns:r="http://schemas.openxmlformats.org/officeDocument/2006/relationships" r:id="rId3"/>
          <a:extLst>
            <a:ext uri="{FF2B5EF4-FFF2-40B4-BE49-F238E27FC236}">
              <a16:creationId xmlns:a16="http://schemas.microsoft.com/office/drawing/2014/main" id="{CEE31449-152B-43E8-B43F-2D40BAF5156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477125" y="66675"/>
          <a:ext cx="769359" cy="766354"/>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622838</xdr:colOff>
      <xdr:row>0</xdr:row>
      <xdr:rowOff>130531</xdr:rowOff>
    </xdr:from>
    <xdr:to>
      <xdr:col>5</xdr:col>
      <xdr:colOff>401091</xdr:colOff>
      <xdr:row>2</xdr:row>
      <xdr:rowOff>16231</xdr:rowOff>
    </xdr:to>
    <xdr:sp macro="" textlink="">
      <xdr:nvSpPr>
        <xdr:cNvPr id="12" name="Retângulo: Cantos Arredondados 7">
          <a:hlinkClick xmlns:r="http://schemas.openxmlformats.org/officeDocument/2006/relationships" r:id="rId3"/>
          <a:extLst>
            <a:ext uri="{FF2B5EF4-FFF2-40B4-BE49-F238E27FC236}">
              <a16:creationId xmlns:a16="http://schemas.microsoft.com/office/drawing/2014/main" id="{7915A315-C282-40F9-A9D9-0FDC5321EED5}"/>
            </a:ext>
          </a:extLst>
        </xdr:cNvPr>
        <xdr:cNvSpPr/>
      </xdr:nvSpPr>
      <xdr:spPr>
        <a:xfrm rot="473335">
          <a:off x="7528463" y="130531"/>
          <a:ext cx="692653" cy="266700"/>
        </a:xfrm>
        <a:prstGeom prst="roundRect">
          <a:avLst>
            <a:gd name="adj" fmla="val 0"/>
          </a:avLst>
        </a:prstGeom>
        <a:solidFill>
          <a:schemeClr val="accent4">
            <a:lumMod val="60000"/>
            <a:lumOff val="40000"/>
            <a:alpha val="96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rgbClr val="FF0000"/>
              </a:solidFill>
            </a:rPr>
            <a:t>VOLTAR</a:t>
          </a:r>
        </a:p>
      </xdr:txBody>
    </xdr:sp>
    <xdr:clientData/>
  </xdr:twoCellAnchor>
  <xdr:twoCellAnchor editAs="oneCell">
    <xdr:from>
      <xdr:col>0</xdr:col>
      <xdr:colOff>0</xdr:colOff>
      <xdr:row>0</xdr:row>
      <xdr:rowOff>9525</xdr:rowOff>
    </xdr:from>
    <xdr:to>
      <xdr:col>0</xdr:col>
      <xdr:colOff>1628775</xdr:colOff>
      <xdr:row>6</xdr:row>
      <xdr:rowOff>19050</xdr:rowOff>
    </xdr:to>
    <xdr:pic>
      <xdr:nvPicPr>
        <xdr:cNvPr id="13" name="Imagem 12" descr="Trabalho · em · equipe · círculo · quebra-cabeça · quatro · laranja ·  desenho · animado - foto stock © limbi007 (#7107480) | Stockfresh">
          <a:hlinkClick xmlns:r="http://schemas.openxmlformats.org/officeDocument/2006/relationships" r:id="rId5"/>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9525"/>
          <a:ext cx="1628775" cy="1152525"/>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pic>
    <xdr:clientData/>
  </xdr:twoCellAnchor>
  <xdr:twoCellAnchor>
    <xdr:from>
      <xdr:col>0</xdr:col>
      <xdr:colOff>1647825</xdr:colOff>
      <xdr:row>0</xdr:row>
      <xdr:rowOff>95250</xdr:rowOff>
    </xdr:from>
    <xdr:to>
      <xdr:col>2</xdr:col>
      <xdr:colOff>723900</xdr:colOff>
      <xdr:row>5</xdr:row>
      <xdr:rowOff>104775</xdr:rowOff>
    </xdr:to>
    <xdr:sp macro="" textlink="">
      <xdr:nvSpPr>
        <xdr:cNvPr id="14" name="Retângulo: Cantos Arredondados 21">
          <a:hlinkClick xmlns:r="http://schemas.openxmlformats.org/officeDocument/2006/relationships" r:id="rId5"/>
          <a:extLst>
            <a:ext uri="{FF2B5EF4-FFF2-40B4-BE49-F238E27FC236}">
              <a16:creationId xmlns:a16="http://schemas.microsoft.com/office/drawing/2014/main" id="{65DFE5B4-C03F-4CCE-9D69-50C4B29A8A89}"/>
            </a:ext>
          </a:extLst>
        </xdr:cNvPr>
        <xdr:cNvSpPr/>
      </xdr:nvSpPr>
      <xdr:spPr>
        <a:xfrm>
          <a:off x="1647825" y="95250"/>
          <a:ext cx="4152900" cy="9620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pt-BR" sz="1200" b="1"/>
            <a:t>COORDENAÇÃO GERAL DE RECURSOS HUMANOS - CGRH</a:t>
          </a:r>
        </a:p>
        <a:p>
          <a:pPr algn="ctr"/>
          <a:endParaRPr lang="pt-BR" sz="1200" b="1"/>
        </a:p>
        <a:p>
          <a:pPr algn="ctr"/>
          <a:r>
            <a:rPr lang="pt-BR" sz="1200" b="1"/>
            <a:t>DADOS</a:t>
          </a:r>
          <a:r>
            <a:rPr lang="pt-BR" sz="1200" b="1" baseline="0"/>
            <a:t> DA PESQUISA DE CLIMA ORGANIZACIONAL</a:t>
          </a:r>
          <a:endParaRPr lang="pt-BR" sz="1200" b="1"/>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4</xdr:col>
      <xdr:colOff>571500</xdr:colOff>
      <xdr:row>0</xdr:row>
      <xdr:rowOff>66675</xdr:rowOff>
    </xdr:from>
    <xdr:to>
      <xdr:col>5</xdr:col>
      <xdr:colOff>426459</xdr:colOff>
      <xdr:row>4</xdr:row>
      <xdr:rowOff>71029</xdr:rowOff>
    </xdr:to>
    <xdr:pic>
      <xdr:nvPicPr>
        <xdr:cNvPr id="6" name="Imagem 5" descr="Transmagnabosco">
          <a:hlinkClick xmlns:r="http://schemas.openxmlformats.org/officeDocument/2006/relationships" r:id="rId1"/>
          <a:extLst>
            <a:ext uri="{FF2B5EF4-FFF2-40B4-BE49-F238E27FC236}">
              <a16:creationId xmlns:a16="http://schemas.microsoft.com/office/drawing/2014/main" id="{CEE31449-152B-43E8-B43F-2D40BAF5156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66675"/>
          <a:ext cx="769359" cy="766354"/>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622838</xdr:colOff>
      <xdr:row>0</xdr:row>
      <xdr:rowOff>130531</xdr:rowOff>
    </xdr:from>
    <xdr:to>
      <xdr:col>5</xdr:col>
      <xdr:colOff>401091</xdr:colOff>
      <xdr:row>2</xdr:row>
      <xdr:rowOff>16231</xdr:rowOff>
    </xdr:to>
    <xdr:sp macro="" textlink="">
      <xdr:nvSpPr>
        <xdr:cNvPr id="7" name="Retângulo: Cantos Arredondados 7">
          <a:hlinkClick xmlns:r="http://schemas.openxmlformats.org/officeDocument/2006/relationships" r:id="rId1"/>
          <a:extLst>
            <a:ext uri="{FF2B5EF4-FFF2-40B4-BE49-F238E27FC236}">
              <a16:creationId xmlns:a16="http://schemas.microsoft.com/office/drawing/2014/main" id="{7915A315-C282-40F9-A9D9-0FDC5321EED5}"/>
            </a:ext>
          </a:extLst>
        </xdr:cNvPr>
        <xdr:cNvSpPr/>
      </xdr:nvSpPr>
      <xdr:spPr>
        <a:xfrm rot="473335">
          <a:off x="7528463" y="130531"/>
          <a:ext cx="692653" cy="266700"/>
        </a:xfrm>
        <a:prstGeom prst="roundRect">
          <a:avLst>
            <a:gd name="adj" fmla="val 0"/>
          </a:avLst>
        </a:prstGeom>
        <a:solidFill>
          <a:schemeClr val="accent4">
            <a:lumMod val="60000"/>
            <a:lumOff val="40000"/>
            <a:alpha val="96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rgbClr val="FF0000"/>
              </a:solidFill>
            </a:rPr>
            <a:t>VOLTAR</a:t>
          </a:r>
        </a:p>
      </xdr:txBody>
    </xdr:sp>
    <xdr:clientData/>
  </xdr:twoCellAnchor>
  <xdr:twoCellAnchor editAs="oneCell">
    <xdr:from>
      <xdr:col>0</xdr:col>
      <xdr:colOff>0</xdr:colOff>
      <xdr:row>0</xdr:row>
      <xdr:rowOff>9525</xdr:rowOff>
    </xdr:from>
    <xdr:to>
      <xdr:col>0</xdr:col>
      <xdr:colOff>1628775</xdr:colOff>
      <xdr:row>6</xdr:row>
      <xdr:rowOff>19050</xdr:rowOff>
    </xdr:to>
    <xdr:pic>
      <xdr:nvPicPr>
        <xdr:cNvPr id="8" name="Imagem 7" descr="Trabalho · em · equipe · círculo · quebra-cabeça · quatro · laranja ·  desenho · animado - foto stock © limbi007 (#7107480) | Stockfresh">
          <a:hlinkClick xmlns:r="http://schemas.openxmlformats.org/officeDocument/2006/relationships" r:id="rId3"/>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9525"/>
          <a:ext cx="1628775" cy="1152525"/>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pic>
    <xdr:clientData/>
  </xdr:twoCellAnchor>
  <xdr:twoCellAnchor>
    <xdr:from>
      <xdr:col>0</xdr:col>
      <xdr:colOff>1647825</xdr:colOff>
      <xdr:row>0</xdr:row>
      <xdr:rowOff>95250</xdr:rowOff>
    </xdr:from>
    <xdr:to>
      <xdr:col>2</xdr:col>
      <xdr:colOff>723900</xdr:colOff>
      <xdr:row>5</xdr:row>
      <xdr:rowOff>104775</xdr:rowOff>
    </xdr:to>
    <xdr:sp macro="" textlink="">
      <xdr:nvSpPr>
        <xdr:cNvPr id="9" name="Retângulo: Cantos Arredondados 21">
          <a:hlinkClick xmlns:r="http://schemas.openxmlformats.org/officeDocument/2006/relationships" r:id="rId3"/>
          <a:extLst>
            <a:ext uri="{FF2B5EF4-FFF2-40B4-BE49-F238E27FC236}">
              <a16:creationId xmlns:a16="http://schemas.microsoft.com/office/drawing/2014/main" id="{65DFE5B4-C03F-4CCE-9D69-50C4B29A8A89}"/>
            </a:ext>
          </a:extLst>
        </xdr:cNvPr>
        <xdr:cNvSpPr/>
      </xdr:nvSpPr>
      <xdr:spPr>
        <a:xfrm>
          <a:off x="1647825" y="95250"/>
          <a:ext cx="4152900" cy="9620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pt-BR" sz="1200" b="1"/>
            <a:t>COORDENAÇÃO GERAL DE RECURSOS HUMANOS - CGRH</a:t>
          </a:r>
        </a:p>
        <a:p>
          <a:pPr algn="ctr"/>
          <a:endParaRPr lang="pt-BR" sz="1200" b="1"/>
        </a:p>
        <a:p>
          <a:pPr algn="ctr"/>
          <a:r>
            <a:rPr lang="pt-BR" sz="1200" b="1"/>
            <a:t>DADOS</a:t>
          </a:r>
          <a:r>
            <a:rPr lang="pt-BR" sz="1200" b="1" baseline="0"/>
            <a:t> DA PESQUISA DE CLIMA ORGANIZACIONAL</a:t>
          </a:r>
          <a:endParaRPr lang="pt-BR" sz="1200" b="1"/>
        </a:p>
      </xdr:txBody>
    </xdr:sp>
    <xdr:clientData/>
  </xdr:twoCellAnchor>
  <xdr:twoCellAnchor>
    <xdr:from>
      <xdr:col>0</xdr:col>
      <xdr:colOff>0</xdr:colOff>
      <xdr:row>20</xdr:row>
      <xdr:rowOff>0</xdr:rowOff>
    </xdr:from>
    <xdr:to>
      <xdr:col>4</xdr:col>
      <xdr:colOff>914399</xdr:colOff>
      <xdr:row>34</xdr:row>
      <xdr:rowOff>76200</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35</xdr:row>
      <xdr:rowOff>0</xdr:rowOff>
    </xdr:from>
    <xdr:to>
      <xdr:col>5</xdr:col>
      <xdr:colOff>0</xdr:colOff>
      <xdr:row>49</xdr:row>
      <xdr:rowOff>76200</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20</xdr:row>
      <xdr:rowOff>0</xdr:rowOff>
    </xdr:from>
    <xdr:to>
      <xdr:col>5</xdr:col>
      <xdr:colOff>0</xdr:colOff>
      <xdr:row>34</xdr:row>
      <xdr:rowOff>76200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0</xdr:rowOff>
    </xdr:from>
    <xdr:to>
      <xdr:col>5</xdr:col>
      <xdr:colOff>0</xdr:colOff>
      <xdr:row>49</xdr:row>
      <xdr:rowOff>47625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571500</xdr:colOff>
      <xdr:row>0</xdr:row>
      <xdr:rowOff>66675</xdr:rowOff>
    </xdr:from>
    <xdr:to>
      <xdr:col>5</xdr:col>
      <xdr:colOff>426459</xdr:colOff>
      <xdr:row>4</xdr:row>
      <xdr:rowOff>71029</xdr:rowOff>
    </xdr:to>
    <xdr:pic>
      <xdr:nvPicPr>
        <xdr:cNvPr id="4" name="Imagem 3" descr="Transmagnabosco">
          <a:hlinkClick xmlns:r="http://schemas.openxmlformats.org/officeDocument/2006/relationships" r:id="rId3"/>
          <a:extLst>
            <a:ext uri="{FF2B5EF4-FFF2-40B4-BE49-F238E27FC236}">
              <a16:creationId xmlns:a16="http://schemas.microsoft.com/office/drawing/2014/main" id="{CEE31449-152B-43E8-B43F-2D40BAF5156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477125" y="66675"/>
          <a:ext cx="769359" cy="766354"/>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622838</xdr:colOff>
      <xdr:row>0</xdr:row>
      <xdr:rowOff>130531</xdr:rowOff>
    </xdr:from>
    <xdr:to>
      <xdr:col>5</xdr:col>
      <xdr:colOff>401091</xdr:colOff>
      <xdr:row>2</xdr:row>
      <xdr:rowOff>16231</xdr:rowOff>
    </xdr:to>
    <xdr:sp macro="" textlink="">
      <xdr:nvSpPr>
        <xdr:cNvPr id="5" name="Retângulo: Cantos Arredondados 7">
          <a:hlinkClick xmlns:r="http://schemas.openxmlformats.org/officeDocument/2006/relationships" r:id="rId3"/>
          <a:extLst>
            <a:ext uri="{FF2B5EF4-FFF2-40B4-BE49-F238E27FC236}">
              <a16:creationId xmlns:a16="http://schemas.microsoft.com/office/drawing/2014/main" id="{7915A315-C282-40F9-A9D9-0FDC5321EED5}"/>
            </a:ext>
          </a:extLst>
        </xdr:cNvPr>
        <xdr:cNvSpPr/>
      </xdr:nvSpPr>
      <xdr:spPr>
        <a:xfrm rot="473335">
          <a:off x="7528463" y="130531"/>
          <a:ext cx="692653" cy="266700"/>
        </a:xfrm>
        <a:prstGeom prst="roundRect">
          <a:avLst>
            <a:gd name="adj" fmla="val 0"/>
          </a:avLst>
        </a:prstGeom>
        <a:solidFill>
          <a:schemeClr val="accent4">
            <a:lumMod val="60000"/>
            <a:lumOff val="40000"/>
            <a:alpha val="96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rgbClr val="FF0000"/>
              </a:solidFill>
            </a:rPr>
            <a:t>VOLTAR</a:t>
          </a:r>
        </a:p>
      </xdr:txBody>
    </xdr:sp>
    <xdr:clientData/>
  </xdr:twoCellAnchor>
  <xdr:twoCellAnchor editAs="oneCell">
    <xdr:from>
      <xdr:col>0</xdr:col>
      <xdr:colOff>0</xdr:colOff>
      <xdr:row>0</xdr:row>
      <xdr:rowOff>9525</xdr:rowOff>
    </xdr:from>
    <xdr:to>
      <xdr:col>0</xdr:col>
      <xdr:colOff>1628775</xdr:colOff>
      <xdr:row>6</xdr:row>
      <xdr:rowOff>19050</xdr:rowOff>
    </xdr:to>
    <xdr:pic>
      <xdr:nvPicPr>
        <xdr:cNvPr id="6" name="Imagem 5" descr="Trabalho · em · equipe · círculo · quebra-cabeça · quatro · laranja ·  desenho · animado - foto stock © limbi007 (#7107480) | Stockfresh">
          <a:hlinkClick xmlns:r="http://schemas.openxmlformats.org/officeDocument/2006/relationships" r:id="rId5"/>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9525"/>
          <a:ext cx="1628775" cy="1152525"/>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pic>
    <xdr:clientData/>
  </xdr:twoCellAnchor>
  <xdr:twoCellAnchor>
    <xdr:from>
      <xdr:col>0</xdr:col>
      <xdr:colOff>1647825</xdr:colOff>
      <xdr:row>0</xdr:row>
      <xdr:rowOff>95250</xdr:rowOff>
    </xdr:from>
    <xdr:to>
      <xdr:col>2</xdr:col>
      <xdr:colOff>723900</xdr:colOff>
      <xdr:row>5</xdr:row>
      <xdr:rowOff>104775</xdr:rowOff>
    </xdr:to>
    <xdr:sp macro="" textlink="">
      <xdr:nvSpPr>
        <xdr:cNvPr id="7" name="Retângulo: Cantos Arredondados 21">
          <a:hlinkClick xmlns:r="http://schemas.openxmlformats.org/officeDocument/2006/relationships" r:id="rId5"/>
          <a:extLst>
            <a:ext uri="{FF2B5EF4-FFF2-40B4-BE49-F238E27FC236}">
              <a16:creationId xmlns:a16="http://schemas.microsoft.com/office/drawing/2014/main" id="{65DFE5B4-C03F-4CCE-9D69-50C4B29A8A89}"/>
            </a:ext>
          </a:extLst>
        </xdr:cNvPr>
        <xdr:cNvSpPr/>
      </xdr:nvSpPr>
      <xdr:spPr>
        <a:xfrm>
          <a:off x="1647825" y="95250"/>
          <a:ext cx="4152900" cy="9620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pt-BR" sz="1200" b="1"/>
            <a:t>COORDENAÇÃO GERAL DE RECURSOS HUMANOS - CGRH</a:t>
          </a:r>
        </a:p>
        <a:p>
          <a:pPr algn="ctr"/>
          <a:endParaRPr lang="pt-BR" sz="1200" b="1"/>
        </a:p>
        <a:p>
          <a:pPr algn="ctr"/>
          <a:r>
            <a:rPr lang="pt-BR" sz="1200" b="1"/>
            <a:t>DADOS</a:t>
          </a:r>
          <a:r>
            <a:rPr lang="pt-BR" sz="1200" b="1" baseline="0"/>
            <a:t> DA PESQUISA DE CLIMA ORGANIZACIONAL</a:t>
          </a:r>
          <a:endParaRPr lang="pt-BR" sz="12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571500</xdr:colOff>
      <xdr:row>9</xdr:row>
      <xdr:rowOff>85725</xdr:rowOff>
    </xdr:from>
    <xdr:to>
      <xdr:col>12</xdr:col>
      <xdr:colOff>257175</xdr:colOff>
      <xdr:row>17</xdr:row>
      <xdr:rowOff>95250</xdr:rowOff>
    </xdr:to>
    <xdr:sp macro="" textlink="">
      <xdr:nvSpPr>
        <xdr:cNvPr id="5" name="Pentágono Regular 4">
          <a:hlinkClick xmlns:r="http://schemas.openxmlformats.org/officeDocument/2006/relationships" r:id="rId1"/>
        </xdr:cNvPr>
        <xdr:cNvSpPr/>
      </xdr:nvSpPr>
      <xdr:spPr>
        <a:xfrm rot="16200000">
          <a:off x="6048375" y="1809750"/>
          <a:ext cx="1533525" cy="1514475"/>
        </a:xfrm>
        <a:prstGeom prst="pentagon">
          <a:avLst/>
        </a:prstGeom>
        <a:solidFill>
          <a:schemeClr val="accent2">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581025</xdr:colOff>
      <xdr:row>16</xdr:row>
      <xdr:rowOff>0</xdr:rowOff>
    </xdr:from>
    <xdr:to>
      <xdr:col>14</xdr:col>
      <xdr:colOff>285750</xdr:colOff>
      <xdr:row>23</xdr:row>
      <xdr:rowOff>180975</xdr:rowOff>
    </xdr:to>
    <xdr:sp macro="" textlink="">
      <xdr:nvSpPr>
        <xdr:cNvPr id="6" name="Pentágono Regular 5">
          <a:hlinkClick xmlns:r="http://schemas.openxmlformats.org/officeDocument/2006/relationships" r:id="rId2"/>
        </xdr:cNvPr>
        <xdr:cNvSpPr/>
      </xdr:nvSpPr>
      <xdr:spPr>
        <a:xfrm rot="10800000">
          <a:off x="7286625" y="3048000"/>
          <a:ext cx="1533525" cy="1514475"/>
        </a:xfrm>
        <a:prstGeom prst="pentagon">
          <a:avLst/>
        </a:prstGeom>
        <a:solidFill>
          <a:schemeClr val="accent2">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14</xdr:col>
      <xdr:colOff>9525</xdr:colOff>
      <xdr:row>9</xdr:row>
      <xdr:rowOff>95250</xdr:rowOff>
    </xdr:from>
    <xdr:to>
      <xdr:col>16</xdr:col>
      <xdr:colOff>304800</xdr:colOff>
      <xdr:row>17</xdr:row>
      <xdr:rowOff>104775</xdr:rowOff>
    </xdr:to>
    <xdr:sp macro="" textlink="">
      <xdr:nvSpPr>
        <xdr:cNvPr id="7" name="Pentágono Regular 6">
          <a:hlinkClick xmlns:r="http://schemas.openxmlformats.org/officeDocument/2006/relationships" r:id="rId3"/>
        </xdr:cNvPr>
        <xdr:cNvSpPr/>
      </xdr:nvSpPr>
      <xdr:spPr>
        <a:xfrm rot="5400000">
          <a:off x="8534400" y="1819275"/>
          <a:ext cx="1533525" cy="1514475"/>
        </a:xfrm>
        <a:prstGeom prst="pentagon">
          <a:avLst/>
        </a:prstGeom>
        <a:solidFill>
          <a:schemeClr val="accent2">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581025</xdr:colOff>
      <xdr:row>3</xdr:row>
      <xdr:rowOff>0</xdr:rowOff>
    </xdr:from>
    <xdr:to>
      <xdr:col>14</xdr:col>
      <xdr:colOff>285750</xdr:colOff>
      <xdr:row>10</xdr:row>
      <xdr:rowOff>180975</xdr:rowOff>
    </xdr:to>
    <xdr:sp macro="" textlink="">
      <xdr:nvSpPr>
        <xdr:cNvPr id="8" name="Pentágono Regular 7">
          <a:hlinkClick xmlns:r="http://schemas.openxmlformats.org/officeDocument/2006/relationships" r:id="rId4"/>
        </xdr:cNvPr>
        <xdr:cNvSpPr/>
      </xdr:nvSpPr>
      <xdr:spPr>
        <a:xfrm>
          <a:off x="7286625" y="571500"/>
          <a:ext cx="1533525" cy="1514475"/>
        </a:xfrm>
        <a:prstGeom prst="pentagon">
          <a:avLst/>
        </a:prstGeom>
        <a:solidFill>
          <a:schemeClr val="accent2">
            <a:lumMod val="75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200" b="1"/>
            <a:t>QUADRO</a:t>
          </a:r>
        </a:p>
        <a:p>
          <a:pPr algn="ctr"/>
          <a:r>
            <a:rPr lang="pt-BR" sz="1200" b="1"/>
            <a:t>DE</a:t>
          </a:r>
        </a:p>
        <a:p>
          <a:pPr algn="ctr"/>
          <a:r>
            <a:rPr lang="pt-BR" sz="1200" b="1"/>
            <a:t>PESSOAL</a:t>
          </a:r>
        </a:p>
        <a:p>
          <a:pPr algn="ctr"/>
          <a:r>
            <a:rPr lang="pt-BR" sz="1200" b="1"/>
            <a:t>(Exercício MME)</a:t>
          </a:r>
        </a:p>
      </xdr:txBody>
    </xdr:sp>
    <xdr:clientData/>
  </xdr:twoCellAnchor>
  <xdr:twoCellAnchor>
    <xdr:from>
      <xdr:col>10</xdr:col>
      <xdr:colOff>167288</xdr:colOff>
      <xdr:row>4</xdr:row>
      <xdr:rowOff>159547</xdr:rowOff>
    </xdr:from>
    <xdr:to>
      <xdr:col>12</xdr:col>
      <xdr:colOff>404658</xdr:colOff>
      <xdr:row>11</xdr:row>
      <xdr:rowOff>66488</xdr:rowOff>
    </xdr:to>
    <xdr:sp macro="" textlink="">
      <xdr:nvSpPr>
        <xdr:cNvPr id="9" name="Triângulo isósceles 8">
          <a:hlinkClick xmlns:r="http://schemas.openxmlformats.org/officeDocument/2006/relationships" r:id="rId5"/>
        </xdr:cNvPr>
        <xdr:cNvSpPr/>
      </xdr:nvSpPr>
      <xdr:spPr>
        <a:xfrm rot="7960249">
          <a:off x="6371352" y="813483"/>
          <a:ext cx="1240441" cy="1456570"/>
        </a:xfrm>
        <a:prstGeom prst="triangle">
          <a:avLst/>
        </a:prstGeom>
        <a:solidFill>
          <a:schemeClr val="accent2">
            <a:lumMod val="75000"/>
            <a:alpha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pt-BR" sz="1200" b="1">
            <a:solidFill>
              <a:schemeClr val="lt1"/>
            </a:solidFill>
            <a:latin typeface="+mn-lt"/>
            <a:ea typeface="+mn-ea"/>
            <a:cs typeface="+mn-cs"/>
          </a:endParaRPr>
        </a:p>
      </xdr:txBody>
    </xdr:sp>
    <xdr:clientData/>
  </xdr:twoCellAnchor>
  <xdr:twoCellAnchor>
    <xdr:from>
      <xdr:col>13</xdr:col>
      <xdr:colOff>453039</xdr:colOff>
      <xdr:row>4</xdr:row>
      <xdr:rowOff>169073</xdr:rowOff>
    </xdr:from>
    <xdr:to>
      <xdr:col>16</xdr:col>
      <xdr:colOff>80809</xdr:colOff>
      <xdr:row>11</xdr:row>
      <xdr:rowOff>76014</xdr:rowOff>
    </xdr:to>
    <xdr:sp macro="" textlink="">
      <xdr:nvSpPr>
        <xdr:cNvPr id="12" name="Triângulo isósceles 11">
          <a:hlinkClick xmlns:r="http://schemas.openxmlformats.org/officeDocument/2006/relationships" r:id="rId6"/>
        </xdr:cNvPr>
        <xdr:cNvSpPr/>
      </xdr:nvSpPr>
      <xdr:spPr>
        <a:xfrm rot="13578956">
          <a:off x="8485903" y="823009"/>
          <a:ext cx="1240441" cy="1456570"/>
        </a:xfrm>
        <a:prstGeom prst="triangle">
          <a:avLst/>
        </a:prstGeom>
        <a:solidFill>
          <a:schemeClr val="accent2">
            <a:lumMod val="75000"/>
            <a:alpha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pt-BR" sz="1200" b="1">
            <a:solidFill>
              <a:schemeClr val="lt1"/>
            </a:solidFill>
            <a:latin typeface="+mn-lt"/>
            <a:ea typeface="+mn-ea"/>
            <a:cs typeface="+mn-cs"/>
          </a:endParaRPr>
        </a:p>
      </xdr:txBody>
    </xdr:sp>
    <xdr:clientData/>
  </xdr:twoCellAnchor>
  <xdr:twoCellAnchor>
    <xdr:from>
      <xdr:col>0</xdr:col>
      <xdr:colOff>0</xdr:colOff>
      <xdr:row>0</xdr:row>
      <xdr:rowOff>0</xdr:rowOff>
    </xdr:from>
    <xdr:to>
      <xdr:col>8</xdr:col>
      <xdr:colOff>352425</xdr:colOff>
      <xdr:row>14</xdr:row>
      <xdr:rowOff>10583</xdr:rowOff>
    </xdr:to>
    <xdr:graphicFrame macro="">
      <xdr:nvGraphicFramePr>
        <xdr:cNvPr id="19" name="Gráfico 18">
          <a:extLst>
            <a:ext uri="{FF2B5EF4-FFF2-40B4-BE49-F238E27FC236}">
              <a16:creationId xmlns:a16="http://schemas.microsoft.com/office/drawing/2014/main" id="{00000000-0008-0000-02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14</xdr:row>
      <xdr:rowOff>51858</xdr:rowOff>
    </xdr:from>
    <xdr:to>
      <xdr:col>8</xdr:col>
      <xdr:colOff>352425</xdr:colOff>
      <xdr:row>32</xdr:row>
      <xdr:rowOff>63500</xdr:rowOff>
    </xdr:to>
    <xdr:graphicFrame macro="">
      <xdr:nvGraphicFramePr>
        <xdr:cNvPr id="21" name="Gráfico 20">
          <a:extLst>
            <a:ext uri="{FF2B5EF4-FFF2-40B4-BE49-F238E27FC236}">
              <a16:creationId xmlns:a16="http://schemas.microsoft.com/office/drawing/2014/main" id="{00000000-0008-0000-02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457200</xdr:colOff>
      <xdr:row>5</xdr:row>
      <xdr:rowOff>180975</xdr:rowOff>
    </xdr:from>
    <xdr:to>
      <xdr:col>28</xdr:col>
      <xdr:colOff>361950</xdr:colOff>
      <xdr:row>14</xdr:row>
      <xdr:rowOff>157161</xdr:rowOff>
    </xdr:to>
    <xdr:graphicFrame macro="">
      <xdr:nvGraphicFramePr>
        <xdr:cNvPr id="24" name="Gráfico 23">
          <a:extLst>
            <a:ext uri="{FF2B5EF4-FFF2-40B4-BE49-F238E27FC236}">
              <a16:creationId xmlns:a16="http://schemas.microsoft.com/office/drawing/2014/main" id="{00000000-0008-0000-02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124884</xdr:colOff>
      <xdr:row>0</xdr:row>
      <xdr:rowOff>104775</xdr:rowOff>
    </xdr:from>
    <xdr:to>
      <xdr:col>27</xdr:col>
      <xdr:colOff>439209</xdr:colOff>
      <xdr:row>14</xdr:row>
      <xdr:rowOff>180975</xdr:rowOff>
    </xdr:to>
    <xdr:graphicFrame macro="">
      <xdr:nvGraphicFramePr>
        <xdr:cNvPr id="25" name="Gráfico 24">
          <a:extLst>
            <a:ext uri="{FF2B5EF4-FFF2-40B4-BE49-F238E27FC236}">
              <a16:creationId xmlns:a16="http://schemas.microsoft.com/office/drawing/2014/main" id="{00000000-0008-0000-02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504825</xdr:colOff>
      <xdr:row>4</xdr:row>
      <xdr:rowOff>57150</xdr:rowOff>
    </xdr:from>
    <xdr:to>
      <xdr:col>20</xdr:col>
      <xdr:colOff>352425</xdr:colOff>
      <xdr:row>5</xdr:row>
      <xdr:rowOff>123824</xdr:rowOff>
    </xdr:to>
    <xdr:sp macro="" textlink="">
      <xdr:nvSpPr>
        <xdr:cNvPr id="28" name="Retângulo: Cantos Arredondados 48">
          <a:extLst>
            <a:ext uri="{FF2B5EF4-FFF2-40B4-BE49-F238E27FC236}">
              <a16:creationId xmlns:a16="http://schemas.microsoft.com/office/drawing/2014/main" id="{00000000-0008-0000-0200-000031000000}"/>
            </a:ext>
          </a:extLst>
        </xdr:cNvPr>
        <xdr:cNvSpPr/>
      </xdr:nvSpPr>
      <xdr:spPr>
        <a:xfrm>
          <a:off x="11477625" y="819150"/>
          <a:ext cx="1066800" cy="257174"/>
        </a:xfrm>
        <a:prstGeom prst="roundRect">
          <a:avLst/>
        </a:prstGeom>
        <a:solidFill>
          <a:srgbClr val="9BBB59"/>
        </a:solidFill>
        <a:ln w="25400"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Calibri" panose="020F0502020204030204"/>
              <a:ea typeface="+mn-ea"/>
              <a:cs typeface="+mn-cs"/>
            </a:rPr>
            <a:t>Exercício MME</a:t>
          </a:r>
        </a:p>
      </xdr:txBody>
    </xdr:sp>
    <xdr:clientData/>
  </xdr:twoCellAnchor>
  <xdr:twoCellAnchor>
    <xdr:from>
      <xdr:col>22</xdr:col>
      <xdr:colOff>171450</xdr:colOff>
      <xdr:row>1</xdr:row>
      <xdr:rowOff>85725</xdr:rowOff>
    </xdr:from>
    <xdr:to>
      <xdr:col>23</xdr:col>
      <xdr:colOff>533400</xdr:colOff>
      <xdr:row>3</xdr:row>
      <xdr:rowOff>190499</xdr:rowOff>
    </xdr:to>
    <xdr:sp macro="" textlink="">
      <xdr:nvSpPr>
        <xdr:cNvPr id="30" name="Retângulo: Cantos Arredondados 49">
          <a:extLst>
            <a:ext uri="{FF2B5EF4-FFF2-40B4-BE49-F238E27FC236}">
              <a16:creationId xmlns:a16="http://schemas.microsoft.com/office/drawing/2014/main" id="{00000000-0008-0000-0200-000032000000}"/>
            </a:ext>
          </a:extLst>
        </xdr:cNvPr>
        <xdr:cNvSpPr/>
      </xdr:nvSpPr>
      <xdr:spPr>
        <a:xfrm>
          <a:off x="13582650" y="276225"/>
          <a:ext cx="971550" cy="485774"/>
        </a:xfrm>
        <a:prstGeom prst="roundRect">
          <a:avLst/>
        </a:prstGeom>
        <a:noFill/>
        <a:ln w="25400"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Text" lastClr="000000"/>
              </a:solidFill>
              <a:effectLst/>
              <a:uLnTx/>
              <a:uFillTx/>
              <a:latin typeface="Calibri" panose="020F0502020204030204"/>
              <a:ea typeface="+mn-ea"/>
              <a:cs typeface="+mn-cs"/>
            </a:rPr>
            <a:t>Idade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Text" lastClr="000000"/>
              </a:solidFill>
              <a:effectLst/>
              <a:uLnTx/>
              <a:uFillTx/>
              <a:latin typeface="Calibri" panose="020F0502020204030204"/>
              <a:ea typeface="+mn-ea"/>
              <a:cs typeface="+mn-cs"/>
            </a:rPr>
            <a:t>(%)</a:t>
          </a:r>
        </a:p>
      </xdr:txBody>
    </xdr:sp>
    <xdr:clientData/>
  </xdr:twoCellAnchor>
  <xdr:twoCellAnchor>
    <xdr:from>
      <xdr:col>19</xdr:col>
      <xdr:colOff>42333</xdr:colOff>
      <xdr:row>13</xdr:row>
      <xdr:rowOff>148167</xdr:rowOff>
    </xdr:from>
    <xdr:to>
      <xdr:col>28</xdr:col>
      <xdr:colOff>37571</xdr:colOff>
      <xdr:row>28</xdr:row>
      <xdr:rowOff>33867</xdr:rowOff>
    </xdr:to>
    <xdr:graphicFrame macro="">
      <xdr:nvGraphicFramePr>
        <xdr:cNvPr id="31" name="Gráfico 30">
          <a:extLst>
            <a:ext uri="{FF2B5EF4-FFF2-40B4-BE49-F238E27FC236}">
              <a16:creationId xmlns:a16="http://schemas.microsoft.com/office/drawing/2014/main" id="{00000000-0008-0000-02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137584</xdr:colOff>
      <xdr:row>14</xdr:row>
      <xdr:rowOff>84666</xdr:rowOff>
    </xdr:from>
    <xdr:to>
      <xdr:col>28</xdr:col>
      <xdr:colOff>409048</xdr:colOff>
      <xdr:row>27</xdr:row>
      <xdr:rowOff>89428</xdr:rowOff>
    </xdr:to>
    <xdr:graphicFrame macro="">
      <xdr:nvGraphicFramePr>
        <xdr:cNvPr id="32" name="Gráfico 31">
          <a:extLst>
            <a:ext uri="{FF2B5EF4-FFF2-40B4-BE49-F238E27FC236}">
              <a16:creationId xmlns:a16="http://schemas.microsoft.com/office/drawing/2014/main" id="{00000000-0008-0000-02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296334</xdr:colOff>
      <xdr:row>19</xdr:row>
      <xdr:rowOff>0</xdr:rowOff>
    </xdr:from>
    <xdr:to>
      <xdr:col>23</xdr:col>
      <xdr:colOff>396875</xdr:colOff>
      <xdr:row>21</xdr:row>
      <xdr:rowOff>104774</xdr:rowOff>
    </xdr:to>
    <xdr:sp macro="" textlink="">
      <xdr:nvSpPr>
        <xdr:cNvPr id="33" name="Retângulo: Cantos Arredondados 57">
          <a:extLst>
            <a:ext uri="{FF2B5EF4-FFF2-40B4-BE49-F238E27FC236}">
              <a16:creationId xmlns:a16="http://schemas.microsoft.com/office/drawing/2014/main" id="{00000000-0008-0000-0200-00003A000000}"/>
            </a:ext>
          </a:extLst>
        </xdr:cNvPr>
        <xdr:cNvSpPr/>
      </xdr:nvSpPr>
      <xdr:spPr>
        <a:xfrm>
          <a:off x="13800667" y="3619500"/>
          <a:ext cx="714375" cy="485774"/>
        </a:xfrm>
        <a:prstGeom prst="roundRect">
          <a:avLst/>
        </a:prstGeom>
        <a:noFill/>
        <a:ln w="25400"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Text" lastClr="000000"/>
              </a:solidFill>
              <a:effectLst/>
              <a:uLnTx/>
              <a:uFillTx/>
              <a:latin typeface="Calibri" panose="020F0502020204030204"/>
              <a:ea typeface="+mn-ea"/>
              <a:cs typeface="+mn-cs"/>
            </a:rPr>
            <a:t>Cor</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Text" lastClr="000000"/>
              </a:solidFill>
              <a:effectLst/>
              <a:uLnTx/>
              <a:uFillTx/>
              <a:latin typeface="Calibri" panose="020F0502020204030204"/>
              <a:ea typeface="+mn-ea"/>
              <a:cs typeface="+mn-cs"/>
            </a:rPr>
            <a:t>(%)</a:t>
          </a:r>
        </a:p>
      </xdr:txBody>
    </xdr:sp>
    <xdr:clientData/>
  </xdr:twoCellAnchor>
  <xdr:twoCellAnchor>
    <xdr:from>
      <xdr:col>19</xdr:col>
      <xdr:colOff>21166</xdr:colOff>
      <xdr:row>30</xdr:row>
      <xdr:rowOff>105833</xdr:rowOff>
    </xdr:from>
    <xdr:to>
      <xdr:col>27</xdr:col>
      <xdr:colOff>603250</xdr:colOff>
      <xdr:row>46</xdr:row>
      <xdr:rowOff>12170</xdr:rowOff>
    </xdr:to>
    <xdr:graphicFrame macro="">
      <xdr:nvGraphicFramePr>
        <xdr:cNvPr id="37" name="Gráfico 36">
          <a:extLst>
            <a:ext uri="{FF2B5EF4-FFF2-40B4-BE49-F238E27FC236}">
              <a16:creationId xmlns:a16="http://schemas.microsoft.com/office/drawing/2014/main" id="{00000000-0008-0000-02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349250</xdr:colOff>
      <xdr:row>37</xdr:row>
      <xdr:rowOff>169332</xdr:rowOff>
    </xdr:from>
    <xdr:to>
      <xdr:col>27</xdr:col>
      <xdr:colOff>415925</xdr:colOff>
      <xdr:row>44</xdr:row>
      <xdr:rowOff>174093</xdr:rowOff>
    </xdr:to>
    <xdr:graphicFrame macro="">
      <xdr:nvGraphicFramePr>
        <xdr:cNvPr id="39" name="Gráfico 38">
          <a:extLst>
            <a:ext uri="{FF2B5EF4-FFF2-40B4-BE49-F238E27FC236}">
              <a16:creationId xmlns:a16="http://schemas.microsoft.com/office/drawing/2014/main" id="{00000000-0008-0000-02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412751</xdr:colOff>
      <xdr:row>30</xdr:row>
      <xdr:rowOff>105834</xdr:rowOff>
    </xdr:from>
    <xdr:to>
      <xdr:col>24</xdr:col>
      <xdr:colOff>238126</xdr:colOff>
      <xdr:row>34</xdr:row>
      <xdr:rowOff>83608</xdr:rowOff>
    </xdr:to>
    <xdr:sp macro="" textlink="">
      <xdr:nvSpPr>
        <xdr:cNvPr id="41" name="Retângulo: Cantos Arredondados 67">
          <a:extLst>
            <a:ext uri="{FF2B5EF4-FFF2-40B4-BE49-F238E27FC236}">
              <a16:creationId xmlns:a16="http://schemas.microsoft.com/office/drawing/2014/main" id="{00000000-0008-0000-0200-000044000000}"/>
            </a:ext>
          </a:extLst>
        </xdr:cNvPr>
        <xdr:cNvSpPr/>
      </xdr:nvSpPr>
      <xdr:spPr>
        <a:xfrm>
          <a:off x="13303251" y="5672667"/>
          <a:ext cx="1666875" cy="485774"/>
        </a:xfrm>
        <a:prstGeom prst="roundRect">
          <a:avLst/>
        </a:prstGeom>
        <a:noFill/>
        <a:ln w="25400"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Text" lastClr="000000"/>
              </a:solidFill>
              <a:effectLst/>
              <a:uLnTx/>
              <a:uFillTx/>
              <a:latin typeface="Calibri" panose="020F0502020204030204"/>
              <a:ea typeface="+mn-ea"/>
              <a:cs typeface="+mn-cs"/>
            </a:rPr>
            <a:t>Salário / Remuneração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Text" lastClr="000000"/>
              </a:solidFill>
              <a:effectLst/>
              <a:uLnTx/>
              <a:uFillTx/>
              <a:latin typeface="Calibri" panose="020F0502020204030204"/>
              <a:ea typeface="+mn-ea"/>
              <a:cs typeface="+mn-cs"/>
            </a:rPr>
            <a:t>(%)</a:t>
          </a:r>
        </a:p>
      </xdr:txBody>
    </xdr:sp>
    <xdr:clientData/>
  </xdr:twoCellAnchor>
  <xdr:twoCellAnchor>
    <xdr:from>
      <xdr:col>0</xdr:col>
      <xdr:colOff>0</xdr:colOff>
      <xdr:row>32</xdr:row>
      <xdr:rowOff>63500</xdr:rowOff>
    </xdr:from>
    <xdr:to>
      <xdr:col>8</xdr:col>
      <xdr:colOff>285750</xdr:colOff>
      <xdr:row>48</xdr:row>
      <xdr:rowOff>39158</xdr:rowOff>
    </xdr:to>
    <xdr:graphicFrame macro="">
      <xdr:nvGraphicFramePr>
        <xdr:cNvPr id="42" name="Gráfico 41">
          <a:extLst>
            <a:ext uri="{FF2B5EF4-FFF2-40B4-BE49-F238E27FC236}">
              <a16:creationId xmlns:a16="http://schemas.microsoft.com/office/drawing/2014/main" id="{00000000-0008-0000-02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190499</xdr:colOff>
      <xdr:row>16</xdr:row>
      <xdr:rowOff>148166</xdr:rowOff>
    </xdr:from>
    <xdr:to>
      <xdr:col>14</xdr:col>
      <xdr:colOff>42332</xdr:colOff>
      <xdr:row>22</xdr:row>
      <xdr:rowOff>10582</xdr:rowOff>
    </xdr:to>
    <xdr:sp macro="" textlink="">
      <xdr:nvSpPr>
        <xdr:cNvPr id="43" name="CaixaDeTexto 42">
          <a:hlinkClick xmlns:r="http://schemas.openxmlformats.org/officeDocument/2006/relationships" r:id="rId2"/>
        </xdr:cNvPr>
        <xdr:cNvSpPr txBox="1"/>
      </xdr:nvSpPr>
      <xdr:spPr>
        <a:xfrm>
          <a:off x="7556499" y="3196166"/>
          <a:ext cx="1079500" cy="100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chemeClr val="bg1"/>
              </a:solidFill>
              <a:latin typeface="+mn-lt"/>
            </a:rPr>
            <a:t>EVOLUÇÃO</a:t>
          </a:r>
        </a:p>
        <a:p>
          <a:pPr algn="ctr"/>
          <a:r>
            <a:rPr lang="pt-BR" sz="1200" b="1">
              <a:solidFill>
                <a:schemeClr val="bg1"/>
              </a:solidFill>
              <a:latin typeface="+mn-lt"/>
            </a:rPr>
            <a:t>QUADRO</a:t>
          </a:r>
          <a:endParaRPr lang="pt-BR" sz="1200" b="1" baseline="0">
            <a:solidFill>
              <a:schemeClr val="bg1"/>
            </a:solidFill>
            <a:latin typeface="+mn-lt"/>
          </a:endParaRPr>
        </a:p>
        <a:p>
          <a:pPr algn="ctr"/>
          <a:r>
            <a:rPr lang="pt-BR" sz="1200" b="1" baseline="0">
              <a:solidFill>
                <a:schemeClr val="bg1"/>
              </a:solidFill>
              <a:latin typeface="+mn-lt"/>
            </a:rPr>
            <a:t>DE</a:t>
          </a:r>
        </a:p>
        <a:p>
          <a:pPr algn="ctr"/>
          <a:r>
            <a:rPr lang="pt-BR" sz="1200" b="1" baseline="0">
              <a:solidFill>
                <a:schemeClr val="bg1"/>
              </a:solidFill>
              <a:latin typeface="+mn-lt"/>
            </a:rPr>
            <a:t>PESSOAL</a:t>
          </a:r>
        </a:p>
        <a:p>
          <a:pPr algn="ctr"/>
          <a:r>
            <a:rPr lang="pt-BR" sz="1200" b="1" baseline="0">
              <a:solidFill>
                <a:schemeClr val="bg1"/>
              </a:solidFill>
              <a:latin typeface="+mn-lt"/>
            </a:rPr>
            <a:t>MME</a:t>
          </a:r>
          <a:endParaRPr lang="pt-BR" sz="1200" b="1">
            <a:solidFill>
              <a:schemeClr val="bg1"/>
            </a:solidFill>
            <a:latin typeface="+mn-lt"/>
          </a:endParaRPr>
        </a:p>
      </xdr:txBody>
    </xdr:sp>
    <xdr:clientData/>
  </xdr:twoCellAnchor>
  <xdr:twoCellAnchor>
    <xdr:from>
      <xdr:col>10</xdr:col>
      <xdr:colOff>258234</xdr:colOff>
      <xdr:row>10</xdr:row>
      <xdr:rowOff>117475</xdr:rowOff>
    </xdr:from>
    <xdr:to>
      <xdr:col>12</xdr:col>
      <xdr:colOff>110067</xdr:colOff>
      <xdr:row>15</xdr:row>
      <xdr:rowOff>170391</xdr:rowOff>
    </xdr:to>
    <xdr:sp macro="" textlink="">
      <xdr:nvSpPr>
        <xdr:cNvPr id="44" name="CaixaDeTexto 43">
          <a:hlinkClick xmlns:r="http://schemas.openxmlformats.org/officeDocument/2006/relationships" r:id="rId1"/>
        </xdr:cNvPr>
        <xdr:cNvSpPr txBox="1"/>
      </xdr:nvSpPr>
      <xdr:spPr>
        <a:xfrm>
          <a:off x="6396567" y="2022475"/>
          <a:ext cx="1079500" cy="100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chemeClr val="bg1"/>
              </a:solidFill>
              <a:latin typeface="+mn-lt"/>
            </a:rPr>
            <a:t>CARGO</a:t>
          </a:r>
        </a:p>
        <a:p>
          <a:pPr algn="ctr"/>
          <a:r>
            <a:rPr lang="pt-BR" sz="1200" b="1">
              <a:solidFill>
                <a:schemeClr val="bg1"/>
              </a:solidFill>
              <a:latin typeface="+mn-lt"/>
            </a:rPr>
            <a:t>EM COMISSÃO</a:t>
          </a:r>
        </a:p>
        <a:p>
          <a:pPr algn="ctr"/>
          <a:r>
            <a:rPr lang="pt-BR" sz="1200" b="1">
              <a:solidFill>
                <a:schemeClr val="bg1"/>
              </a:solidFill>
              <a:latin typeface="+mn-lt"/>
            </a:rPr>
            <a:t>(DAS/FCPE)</a:t>
          </a:r>
        </a:p>
      </xdr:txBody>
    </xdr:sp>
    <xdr:clientData/>
  </xdr:twoCellAnchor>
  <xdr:twoCellAnchor>
    <xdr:from>
      <xdr:col>14</xdr:col>
      <xdr:colOff>204258</xdr:colOff>
      <xdr:row>10</xdr:row>
      <xdr:rowOff>158750</xdr:rowOff>
    </xdr:from>
    <xdr:to>
      <xdr:col>16</xdr:col>
      <xdr:colOff>56092</xdr:colOff>
      <xdr:row>16</xdr:row>
      <xdr:rowOff>21166</xdr:rowOff>
    </xdr:to>
    <xdr:sp macro="" textlink="">
      <xdr:nvSpPr>
        <xdr:cNvPr id="26" name="CaixaDeTexto 25">
          <a:hlinkClick xmlns:r="http://schemas.openxmlformats.org/officeDocument/2006/relationships" r:id="rId3"/>
        </xdr:cNvPr>
        <xdr:cNvSpPr txBox="1"/>
      </xdr:nvSpPr>
      <xdr:spPr>
        <a:xfrm>
          <a:off x="8797925" y="2063750"/>
          <a:ext cx="1079500" cy="100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chemeClr val="bg1"/>
              </a:solidFill>
              <a:latin typeface="+mn-lt"/>
            </a:rPr>
            <a:t>INDICADORES</a:t>
          </a:r>
        </a:p>
      </xdr:txBody>
    </xdr:sp>
    <xdr:clientData/>
  </xdr:twoCellAnchor>
  <xdr:twoCellAnchor>
    <xdr:from>
      <xdr:col>10</xdr:col>
      <xdr:colOff>124955</xdr:colOff>
      <xdr:row>4</xdr:row>
      <xdr:rowOff>159547</xdr:rowOff>
    </xdr:from>
    <xdr:to>
      <xdr:col>11</xdr:col>
      <xdr:colOff>590621</xdr:colOff>
      <xdr:row>10</xdr:row>
      <xdr:rowOff>21963</xdr:rowOff>
    </xdr:to>
    <xdr:sp macro="" textlink="">
      <xdr:nvSpPr>
        <xdr:cNvPr id="29" name="CaixaDeTexto 28">
          <a:hlinkClick xmlns:r="http://schemas.openxmlformats.org/officeDocument/2006/relationships" r:id="rId5"/>
        </xdr:cNvPr>
        <xdr:cNvSpPr txBox="1"/>
      </xdr:nvSpPr>
      <xdr:spPr>
        <a:xfrm>
          <a:off x="6263288" y="921547"/>
          <a:ext cx="1079500" cy="100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chemeClr val="bg1"/>
              </a:solidFill>
              <a:latin typeface="+mn-lt"/>
            </a:rPr>
            <a:t>Quadros Detalhados</a:t>
          </a:r>
        </a:p>
      </xdr:txBody>
    </xdr:sp>
    <xdr:clientData/>
  </xdr:twoCellAnchor>
  <xdr:twoCellAnchor>
    <xdr:from>
      <xdr:col>14</xdr:col>
      <xdr:colOff>232833</xdr:colOff>
      <xdr:row>4</xdr:row>
      <xdr:rowOff>42334</xdr:rowOff>
    </xdr:from>
    <xdr:to>
      <xdr:col>16</xdr:col>
      <xdr:colOff>84667</xdr:colOff>
      <xdr:row>9</xdr:row>
      <xdr:rowOff>95250</xdr:rowOff>
    </xdr:to>
    <xdr:sp macro="" textlink="">
      <xdr:nvSpPr>
        <xdr:cNvPr id="34" name="CaixaDeTexto 33">
          <a:hlinkClick xmlns:r="http://schemas.openxmlformats.org/officeDocument/2006/relationships" r:id="rId6"/>
        </xdr:cNvPr>
        <xdr:cNvSpPr txBox="1"/>
      </xdr:nvSpPr>
      <xdr:spPr>
        <a:xfrm>
          <a:off x="8826500" y="804334"/>
          <a:ext cx="1079500" cy="100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chemeClr val="bg1"/>
              </a:solidFill>
              <a:latin typeface="+mn-lt"/>
            </a:rPr>
            <a:t>Gráficos</a:t>
          </a:r>
          <a:r>
            <a:rPr lang="pt-BR" sz="1200" b="1" baseline="0">
              <a:solidFill>
                <a:schemeClr val="bg1"/>
              </a:solidFill>
              <a:latin typeface="+mn-lt"/>
            </a:rPr>
            <a:t> </a:t>
          </a:r>
          <a:r>
            <a:rPr lang="pt-BR" sz="1200" b="1">
              <a:solidFill>
                <a:schemeClr val="bg1"/>
              </a:solidFill>
              <a:latin typeface="+mn-lt"/>
            </a:rPr>
            <a:t>Quadros Detalhados</a:t>
          </a:r>
        </a:p>
      </xdr:txBody>
    </xdr:sp>
    <xdr:clientData/>
  </xdr:twoCellAnchor>
  <xdr:twoCellAnchor>
    <xdr:from>
      <xdr:col>10</xdr:col>
      <xdr:colOff>171450</xdr:colOff>
      <xdr:row>15</xdr:row>
      <xdr:rowOff>95251</xdr:rowOff>
    </xdr:from>
    <xdr:to>
      <xdr:col>12</xdr:col>
      <xdr:colOff>408820</xdr:colOff>
      <xdr:row>22</xdr:row>
      <xdr:rowOff>2192</xdr:rowOff>
    </xdr:to>
    <xdr:sp macro="" textlink="">
      <xdr:nvSpPr>
        <xdr:cNvPr id="27" name="Triângulo isósceles 26">
          <a:hlinkClick xmlns:r="http://schemas.openxmlformats.org/officeDocument/2006/relationships" r:id="rId16"/>
        </xdr:cNvPr>
        <xdr:cNvSpPr/>
      </xdr:nvSpPr>
      <xdr:spPr>
        <a:xfrm rot="2912270">
          <a:off x="6375514" y="2844687"/>
          <a:ext cx="1240441" cy="1456570"/>
        </a:xfrm>
        <a:prstGeom prst="triangle">
          <a:avLst/>
        </a:prstGeom>
        <a:solidFill>
          <a:schemeClr val="accent2">
            <a:lumMod val="75000"/>
            <a:alpha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pt-BR" sz="1200" b="1">
            <a:solidFill>
              <a:schemeClr val="lt1"/>
            </a:solidFill>
            <a:latin typeface="+mn-lt"/>
            <a:ea typeface="+mn-ea"/>
            <a:cs typeface="+mn-cs"/>
          </a:endParaRPr>
        </a:p>
      </xdr:txBody>
    </xdr:sp>
    <xdr:clientData/>
  </xdr:twoCellAnchor>
  <xdr:twoCellAnchor>
    <xdr:from>
      <xdr:col>10</xdr:col>
      <xdr:colOff>180975</xdr:colOff>
      <xdr:row>16</xdr:row>
      <xdr:rowOff>142875</xdr:rowOff>
    </xdr:from>
    <xdr:to>
      <xdr:col>12</xdr:col>
      <xdr:colOff>37041</xdr:colOff>
      <xdr:row>22</xdr:row>
      <xdr:rowOff>5291</xdr:rowOff>
    </xdr:to>
    <xdr:sp macro="" textlink="">
      <xdr:nvSpPr>
        <xdr:cNvPr id="35" name="CaixaDeTexto 34">
          <a:hlinkClick xmlns:r="http://schemas.openxmlformats.org/officeDocument/2006/relationships" r:id="rId16"/>
        </xdr:cNvPr>
        <xdr:cNvSpPr txBox="1"/>
      </xdr:nvSpPr>
      <xdr:spPr>
        <a:xfrm>
          <a:off x="6276975" y="3190875"/>
          <a:ext cx="1075266" cy="100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chemeClr val="bg1"/>
              </a:solidFill>
              <a:latin typeface="+mn-lt"/>
            </a:rPr>
            <a:t>Dados</a:t>
          </a:r>
        </a:p>
        <a:p>
          <a:pPr algn="ctr"/>
          <a:r>
            <a:rPr lang="pt-BR" sz="1200" b="1">
              <a:solidFill>
                <a:schemeClr val="bg1"/>
              </a:solidFill>
              <a:latin typeface="+mn-lt"/>
            </a:rPr>
            <a:t>Estágio</a:t>
          </a:r>
        </a:p>
      </xdr:txBody>
    </xdr:sp>
    <xdr:clientData/>
  </xdr:twoCellAnchor>
  <xdr:twoCellAnchor>
    <xdr:from>
      <xdr:col>13</xdr:col>
      <xdr:colOff>419101</xdr:colOff>
      <xdr:row>15</xdr:row>
      <xdr:rowOff>104775</xdr:rowOff>
    </xdr:from>
    <xdr:to>
      <xdr:col>16</xdr:col>
      <xdr:colOff>46871</xdr:colOff>
      <xdr:row>22</xdr:row>
      <xdr:rowOff>11716</xdr:rowOff>
    </xdr:to>
    <xdr:sp macro="" textlink="">
      <xdr:nvSpPr>
        <xdr:cNvPr id="36" name="Triângulo isósceles 35">
          <a:hlinkClick xmlns:r="http://schemas.openxmlformats.org/officeDocument/2006/relationships" r:id="rId17"/>
        </xdr:cNvPr>
        <xdr:cNvSpPr/>
      </xdr:nvSpPr>
      <xdr:spPr>
        <a:xfrm rot="18899679">
          <a:off x="8451965" y="2854211"/>
          <a:ext cx="1240441" cy="1456570"/>
        </a:xfrm>
        <a:prstGeom prst="triangle">
          <a:avLst/>
        </a:prstGeom>
        <a:solidFill>
          <a:schemeClr val="accent2">
            <a:lumMod val="75000"/>
            <a:alpha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pt-BR" sz="1200" b="1">
            <a:solidFill>
              <a:schemeClr val="lt1"/>
            </a:solidFill>
            <a:latin typeface="+mn-lt"/>
            <a:ea typeface="+mn-ea"/>
            <a:cs typeface="+mn-cs"/>
          </a:endParaRPr>
        </a:p>
      </xdr:txBody>
    </xdr:sp>
    <xdr:clientData/>
  </xdr:twoCellAnchor>
  <xdr:twoCellAnchor>
    <xdr:from>
      <xdr:col>14</xdr:col>
      <xdr:colOff>238125</xdr:colOff>
      <xdr:row>17</xdr:row>
      <xdr:rowOff>19050</xdr:rowOff>
    </xdr:from>
    <xdr:to>
      <xdr:col>16</xdr:col>
      <xdr:colOff>89959</xdr:colOff>
      <xdr:row>22</xdr:row>
      <xdr:rowOff>71966</xdr:rowOff>
    </xdr:to>
    <xdr:sp macro="" textlink="">
      <xdr:nvSpPr>
        <xdr:cNvPr id="38" name="CaixaDeTexto 37">
          <a:hlinkClick xmlns:r="http://schemas.openxmlformats.org/officeDocument/2006/relationships" r:id="rId17"/>
        </xdr:cNvPr>
        <xdr:cNvSpPr txBox="1"/>
      </xdr:nvSpPr>
      <xdr:spPr>
        <a:xfrm>
          <a:off x="8772525" y="3257550"/>
          <a:ext cx="1071034" cy="100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chemeClr val="bg1"/>
              </a:solidFill>
              <a:latin typeface="+mn-lt"/>
            </a:rPr>
            <a:t>Relação de Servidores / Empregados</a:t>
          </a:r>
        </a:p>
        <a:p>
          <a:pPr algn="ctr"/>
          <a:r>
            <a:rPr lang="pt-BR" sz="800" b="1">
              <a:solidFill>
                <a:schemeClr val="bg1"/>
              </a:solidFill>
              <a:latin typeface="+mn-lt"/>
            </a:rPr>
            <a:t>(Exercício</a:t>
          </a:r>
          <a:r>
            <a:rPr lang="pt-BR" sz="800" b="1" baseline="0">
              <a:solidFill>
                <a:schemeClr val="bg1"/>
              </a:solidFill>
              <a:latin typeface="+mn-lt"/>
            </a:rPr>
            <a:t> MME)</a:t>
          </a:r>
          <a:endParaRPr lang="pt-BR" sz="800" b="1">
            <a:solidFill>
              <a:schemeClr val="bg1"/>
            </a:solidFill>
            <a:latin typeface="+mn-lt"/>
          </a:endParaRPr>
        </a:p>
      </xdr:txBody>
    </xdr:sp>
    <xdr:clientData/>
  </xdr:twoCellAnchor>
  <xdr:twoCellAnchor>
    <xdr:from>
      <xdr:col>12</xdr:col>
      <xdr:colOff>276225</xdr:colOff>
      <xdr:row>11</xdr:row>
      <xdr:rowOff>0</xdr:rowOff>
    </xdr:from>
    <xdr:to>
      <xdr:col>13</xdr:col>
      <xdr:colOff>597144</xdr:colOff>
      <xdr:row>15</xdr:row>
      <xdr:rowOff>175846</xdr:rowOff>
    </xdr:to>
    <xdr:sp macro="" textlink="">
      <xdr:nvSpPr>
        <xdr:cNvPr id="45" name="Retângulo 44">
          <a:hlinkClick xmlns:r="http://schemas.openxmlformats.org/officeDocument/2006/relationships" r:id="rId18"/>
        </xdr:cNvPr>
        <xdr:cNvSpPr/>
      </xdr:nvSpPr>
      <xdr:spPr>
        <a:xfrm>
          <a:off x="7591425" y="2095500"/>
          <a:ext cx="930519" cy="937846"/>
        </a:xfrm>
        <a:prstGeom prst="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pt-BR" sz="1600" b="1">
              <a:latin typeface="Broadway" panose="04040905080B02020502" pitchFamily="82" charset="0"/>
            </a:rPr>
            <a:t>CGRH / MME</a:t>
          </a:r>
        </a:p>
        <a:p>
          <a:pPr marL="0" marR="0" lvl="0" indent="0" algn="ctr" defTabSz="914400" eaLnBrk="1" fontAlgn="auto" latinLnBrk="0" hangingPunct="1">
            <a:lnSpc>
              <a:spcPct val="100000"/>
            </a:lnSpc>
            <a:spcBef>
              <a:spcPts val="0"/>
            </a:spcBef>
            <a:spcAft>
              <a:spcPts val="0"/>
            </a:spcAft>
            <a:buClrTx/>
            <a:buSzTx/>
            <a:buFontTx/>
            <a:buNone/>
            <a:tabLst/>
            <a:defRPr/>
          </a:pPr>
          <a:endParaRPr lang="pt-BR" sz="600" b="0">
            <a:solidFill>
              <a:srgbClr val="FF0000"/>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pt-BR" sz="800" b="1">
              <a:solidFill>
                <a:srgbClr val="FF0000"/>
              </a:solidFill>
              <a:effectLst/>
              <a:latin typeface="+mn-lt"/>
              <a:ea typeface="+mn-ea"/>
              <a:cs typeface="+mn-cs"/>
            </a:rPr>
            <a:t>(CLIQUE AQUI PARA VOLTAR)</a:t>
          </a:r>
          <a:endParaRPr lang="pt-BR" sz="800" b="1">
            <a:solidFill>
              <a:srgbClr val="FF0000"/>
            </a:solidFill>
            <a:effectLst/>
          </a:endParaRPr>
        </a:p>
        <a:p>
          <a:pPr algn="ctr"/>
          <a:endParaRPr lang="pt-BR" sz="600" b="1">
            <a:latin typeface="Broadway" panose="04040905080B02020502" pitchFamily="82" charset="0"/>
          </a:endParaRPr>
        </a:p>
      </xdr:txBody>
    </xdr:sp>
    <xdr:clientData/>
  </xdr:twoCellAnchor>
  <xdr:twoCellAnchor editAs="oneCell">
    <xdr:from>
      <xdr:col>28</xdr:col>
      <xdr:colOff>142875</xdr:colOff>
      <xdr:row>0</xdr:row>
      <xdr:rowOff>104775</xdr:rowOff>
    </xdr:from>
    <xdr:to>
      <xdr:col>28</xdr:col>
      <xdr:colOff>465259</xdr:colOff>
      <xdr:row>2</xdr:row>
      <xdr:rowOff>46682</xdr:rowOff>
    </xdr:to>
    <xdr:pic macro="[0]!sair_gravando">
      <xdr:nvPicPr>
        <xdr:cNvPr id="46" name="Imagem 45" descr="TechByte - Assistência Informática: Saiba porque não deve desligar ..."/>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7211675" y="104775"/>
          <a:ext cx="322384" cy="322907"/>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419101</xdr:colOff>
      <xdr:row>1</xdr:row>
      <xdr:rowOff>19050</xdr:rowOff>
    </xdr:from>
    <xdr:to>
      <xdr:col>21</xdr:col>
      <xdr:colOff>114301</xdr:colOff>
      <xdr:row>3</xdr:row>
      <xdr:rowOff>95250</xdr:rowOff>
    </xdr:to>
    <xdr:sp macro="" textlink="">
      <xdr:nvSpPr>
        <xdr:cNvPr id="3" name="Texto Explicativo em Elipse 2">
          <a:hlinkClick xmlns:r="http://schemas.openxmlformats.org/officeDocument/2006/relationships" r:id="rId20"/>
        </xdr:cNvPr>
        <xdr:cNvSpPr/>
      </xdr:nvSpPr>
      <xdr:spPr>
        <a:xfrm>
          <a:off x="12001501" y="209550"/>
          <a:ext cx="914400" cy="457200"/>
        </a:xfrm>
        <a:prstGeom prst="wedgeEllipseCallout">
          <a:avLst>
            <a:gd name="adj1" fmla="val 151581"/>
            <a:gd name="adj2" fmla="val -2579"/>
          </a:avLst>
        </a:prstGeom>
        <a:gradFill flip="none" rotWithShape="1">
          <a:gsLst>
            <a:gs pos="40000">
              <a:schemeClr val="accent2"/>
            </a:gs>
            <a:gs pos="74000">
              <a:schemeClr val="accent2">
                <a:lumMod val="45000"/>
                <a:lumOff val="55000"/>
              </a:schemeClr>
            </a:gs>
            <a:gs pos="83000">
              <a:schemeClr val="accent2">
                <a:lumMod val="45000"/>
                <a:lumOff val="55000"/>
              </a:schemeClr>
            </a:gs>
            <a:gs pos="100000">
              <a:schemeClr val="accent2">
                <a:lumMod val="30000"/>
                <a:lumOff val="70000"/>
              </a:schemeClr>
            </a:gs>
          </a:gsLst>
          <a:path path="rect">
            <a:fillToRect l="50000" t="50000" r="50000" b="50000"/>
          </a:path>
          <a:tileRect/>
        </a:gra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pt-BR" sz="900" b="1"/>
            <a:t>Detalhes</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18</xdr:row>
      <xdr:rowOff>0</xdr:rowOff>
    </xdr:from>
    <xdr:to>
      <xdr:col>4</xdr:col>
      <xdr:colOff>914399</xdr:colOff>
      <xdr:row>32</xdr:row>
      <xdr:rowOff>76200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0</xdr:rowOff>
    </xdr:from>
    <xdr:to>
      <xdr:col>5</xdr:col>
      <xdr:colOff>9525</xdr:colOff>
      <xdr:row>47</xdr:row>
      <xdr:rowOff>66675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571500</xdr:colOff>
      <xdr:row>0</xdr:row>
      <xdr:rowOff>66675</xdr:rowOff>
    </xdr:from>
    <xdr:to>
      <xdr:col>5</xdr:col>
      <xdr:colOff>426459</xdr:colOff>
      <xdr:row>4</xdr:row>
      <xdr:rowOff>71029</xdr:rowOff>
    </xdr:to>
    <xdr:pic>
      <xdr:nvPicPr>
        <xdr:cNvPr id="4" name="Imagem 3" descr="Transmagnabosco">
          <a:hlinkClick xmlns:r="http://schemas.openxmlformats.org/officeDocument/2006/relationships" r:id="rId3"/>
          <a:extLst>
            <a:ext uri="{FF2B5EF4-FFF2-40B4-BE49-F238E27FC236}">
              <a16:creationId xmlns:a16="http://schemas.microsoft.com/office/drawing/2014/main" id="{CEE31449-152B-43E8-B43F-2D40BAF5156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410450" y="66675"/>
          <a:ext cx="769359" cy="766354"/>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622838</xdr:colOff>
      <xdr:row>0</xdr:row>
      <xdr:rowOff>130531</xdr:rowOff>
    </xdr:from>
    <xdr:to>
      <xdr:col>5</xdr:col>
      <xdr:colOff>401091</xdr:colOff>
      <xdr:row>2</xdr:row>
      <xdr:rowOff>16231</xdr:rowOff>
    </xdr:to>
    <xdr:sp macro="" textlink="">
      <xdr:nvSpPr>
        <xdr:cNvPr id="5" name="Retângulo: Cantos Arredondados 7">
          <a:hlinkClick xmlns:r="http://schemas.openxmlformats.org/officeDocument/2006/relationships" r:id="rId3"/>
          <a:extLst>
            <a:ext uri="{FF2B5EF4-FFF2-40B4-BE49-F238E27FC236}">
              <a16:creationId xmlns:a16="http://schemas.microsoft.com/office/drawing/2014/main" id="{7915A315-C282-40F9-A9D9-0FDC5321EED5}"/>
            </a:ext>
          </a:extLst>
        </xdr:cNvPr>
        <xdr:cNvSpPr/>
      </xdr:nvSpPr>
      <xdr:spPr>
        <a:xfrm rot="473335">
          <a:off x="7461788" y="130531"/>
          <a:ext cx="692653" cy="266700"/>
        </a:xfrm>
        <a:prstGeom prst="roundRect">
          <a:avLst>
            <a:gd name="adj" fmla="val 0"/>
          </a:avLst>
        </a:prstGeom>
        <a:solidFill>
          <a:schemeClr val="accent4">
            <a:lumMod val="60000"/>
            <a:lumOff val="40000"/>
            <a:alpha val="96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rgbClr val="FF0000"/>
              </a:solidFill>
            </a:rPr>
            <a:t>VOLTAR</a:t>
          </a:r>
        </a:p>
      </xdr:txBody>
    </xdr:sp>
    <xdr:clientData/>
  </xdr:twoCellAnchor>
  <xdr:twoCellAnchor editAs="oneCell">
    <xdr:from>
      <xdr:col>0</xdr:col>
      <xdr:colOff>0</xdr:colOff>
      <xdr:row>0</xdr:row>
      <xdr:rowOff>9525</xdr:rowOff>
    </xdr:from>
    <xdr:to>
      <xdr:col>0</xdr:col>
      <xdr:colOff>1628775</xdr:colOff>
      <xdr:row>6</xdr:row>
      <xdr:rowOff>19050</xdr:rowOff>
    </xdr:to>
    <xdr:pic>
      <xdr:nvPicPr>
        <xdr:cNvPr id="6" name="Imagem 5" descr="Trabalho · em · equipe · círculo · quebra-cabeça · quatro · laranja ·  desenho · animado - foto stock © limbi007 (#7107480) | Stockfresh">
          <a:hlinkClick xmlns:r="http://schemas.openxmlformats.org/officeDocument/2006/relationships" r:id="rId5"/>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9525"/>
          <a:ext cx="1628775" cy="1152525"/>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pic>
    <xdr:clientData/>
  </xdr:twoCellAnchor>
  <xdr:twoCellAnchor>
    <xdr:from>
      <xdr:col>0</xdr:col>
      <xdr:colOff>1647825</xdr:colOff>
      <xdr:row>0</xdr:row>
      <xdr:rowOff>95250</xdr:rowOff>
    </xdr:from>
    <xdr:to>
      <xdr:col>2</xdr:col>
      <xdr:colOff>723900</xdr:colOff>
      <xdr:row>5</xdr:row>
      <xdr:rowOff>104775</xdr:rowOff>
    </xdr:to>
    <xdr:sp macro="" textlink="">
      <xdr:nvSpPr>
        <xdr:cNvPr id="7" name="Retângulo: Cantos Arredondados 21">
          <a:hlinkClick xmlns:r="http://schemas.openxmlformats.org/officeDocument/2006/relationships" r:id="rId5"/>
          <a:extLst>
            <a:ext uri="{FF2B5EF4-FFF2-40B4-BE49-F238E27FC236}">
              <a16:creationId xmlns:a16="http://schemas.microsoft.com/office/drawing/2014/main" id="{65DFE5B4-C03F-4CCE-9D69-50C4B29A8A89}"/>
            </a:ext>
          </a:extLst>
        </xdr:cNvPr>
        <xdr:cNvSpPr/>
      </xdr:nvSpPr>
      <xdr:spPr>
        <a:xfrm>
          <a:off x="1647825" y="95250"/>
          <a:ext cx="4086225" cy="9620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pt-BR" sz="1200" b="1"/>
            <a:t>COORDENAÇÃO GERAL DE RECURSOS HUMANOS - CGRH</a:t>
          </a:r>
        </a:p>
        <a:p>
          <a:pPr algn="ctr"/>
          <a:endParaRPr lang="pt-BR" sz="1200" b="1"/>
        </a:p>
        <a:p>
          <a:pPr algn="ctr"/>
          <a:r>
            <a:rPr lang="pt-BR" sz="1200" b="1"/>
            <a:t>DADOS</a:t>
          </a:r>
          <a:r>
            <a:rPr lang="pt-BR" sz="1200" b="1" baseline="0"/>
            <a:t> DA PESQUISA DE CLIMA ORGANIZACIONAL</a:t>
          </a:r>
          <a:endParaRPr lang="pt-BR" sz="1200" b="1"/>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17</xdr:row>
      <xdr:rowOff>0</xdr:rowOff>
    </xdr:from>
    <xdr:to>
      <xdr:col>4</xdr:col>
      <xdr:colOff>904875</xdr:colOff>
      <xdr:row>31</xdr:row>
      <xdr:rowOff>76200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31</xdr:row>
      <xdr:rowOff>180975</xdr:rowOff>
    </xdr:from>
    <xdr:to>
      <xdr:col>4</xdr:col>
      <xdr:colOff>904875</xdr:colOff>
      <xdr:row>46</xdr:row>
      <xdr:rowOff>104775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571500</xdr:colOff>
      <xdr:row>0</xdr:row>
      <xdr:rowOff>66675</xdr:rowOff>
    </xdr:from>
    <xdr:to>
      <xdr:col>5</xdr:col>
      <xdr:colOff>426459</xdr:colOff>
      <xdr:row>4</xdr:row>
      <xdr:rowOff>71029</xdr:rowOff>
    </xdr:to>
    <xdr:pic>
      <xdr:nvPicPr>
        <xdr:cNvPr id="4" name="Imagem 3" descr="Transmagnabosco">
          <a:hlinkClick xmlns:r="http://schemas.openxmlformats.org/officeDocument/2006/relationships" r:id="rId3"/>
          <a:extLst>
            <a:ext uri="{FF2B5EF4-FFF2-40B4-BE49-F238E27FC236}">
              <a16:creationId xmlns:a16="http://schemas.microsoft.com/office/drawing/2014/main" id="{CEE31449-152B-43E8-B43F-2D40BAF5156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477125" y="66675"/>
          <a:ext cx="769359" cy="766354"/>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622838</xdr:colOff>
      <xdr:row>0</xdr:row>
      <xdr:rowOff>130531</xdr:rowOff>
    </xdr:from>
    <xdr:to>
      <xdr:col>5</xdr:col>
      <xdr:colOff>401091</xdr:colOff>
      <xdr:row>2</xdr:row>
      <xdr:rowOff>16231</xdr:rowOff>
    </xdr:to>
    <xdr:sp macro="" textlink="">
      <xdr:nvSpPr>
        <xdr:cNvPr id="5" name="Retângulo: Cantos Arredondados 7">
          <a:hlinkClick xmlns:r="http://schemas.openxmlformats.org/officeDocument/2006/relationships" r:id="rId3"/>
          <a:extLst>
            <a:ext uri="{FF2B5EF4-FFF2-40B4-BE49-F238E27FC236}">
              <a16:creationId xmlns:a16="http://schemas.microsoft.com/office/drawing/2014/main" id="{7915A315-C282-40F9-A9D9-0FDC5321EED5}"/>
            </a:ext>
          </a:extLst>
        </xdr:cNvPr>
        <xdr:cNvSpPr/>
      </xdr:nvSpPr>
      <xdr:spPr>
        <a:xfrm rot="473335">
          <a:off x="7528463" y="130531"/>
          <a:ext cx="692653" cy="266700"/>
        </a:xfrm>
        <a:prstGeom prst="roundRect">
          <a:avLst>
            <a:gd name="adj" fmla="val 0"/>
          </a:avLst>
        </a:prstGeom>
        <a:solidFill>
          <a:schemeClr val="accent4">
            <a:lumMod val="60000"/>
            <a:lumOff val="40000"/>
            <a:alpha val="96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rgbClr val="FF0000"/>
              </a:solidFill>
            </a:rPr>
            <a:t>VOLTAR</a:t>
          </a:r>
        </a:p>
      </xdr:txBody>
    </xdr:sp>
    <xdr:clientData/>
  </xdr:twoCellAnchor>
  <xdr:twoCellAnchor editAs="oneCell">
    <xdr:from>
      <xdr:col>0</xdr:col>
      <xdr:colOff>0</xdr:colOff>
      <xdr:row>0</xdr:row>
      <xdr:rowOff>9525</xdr:rowOff>
    </xdr:from>
    <xdr:to>
      <xdr:col>0</xdr:col>
      <xdr:colOff>1628775</xdr:colOff>
      <xdr:row>6</xdr:row>
      <xdr:rowOff>19050</xdr:rowOff>
    </xdr:to>
    <xdr:pic>
      <xdr:nvPicPr>
        <xdr:cNvPr id="6" name="Imagem 5" descr="Trabalho · em · equipe · círculo · quebra-cabeça · quatro · laranja ·  desenho · animado - foto stock © limbi007 (#7107480) | Stockfresh">
          <a:hlinkClick xmlns:r="http://schemas.openxmlformats.org/officeDocument/2006/relationships" r:id="rId5"/>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9525"/>
          <a:ext cx="1628775" cy="1152525"/>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pic>
    <xdr:clientData/>
  </xdr:twoCellAnchor>
  <xdr:twoCellAnchor>
    <xdr:from>
      <xdr:col>0</xdr:col>
      <xdr:colOff>1647825</xdr:colOff>
      <xdr:row>0</xdr:row>
      <xdr:rowOff>95250</xdr:rowOff>
    </xdr:from>
    <xdr:to>
      <xdr:col>2</xdr:col>
      <xdr:colOff>723900</xdr:colOff>
      <xdr:row>5</xdr:row>
      <xdr:rowOff>104775</xdr:rowOff>
    </xdr:to>
    <xdr:sp macro="" textlink="">
      <xdr:nvSpPr>
        <xdr:cNvPr id="7" name="Retângulo: Cantos Arredondados 21">
          <a:hlinkClick xmlns:r="http://schemas.openxmlformats.org/officeDocument/2006/relationships" r:id="rId5"/>
          <a:extLst>
            <a:ext uri="{FF2B5EF4-FFF2-40B4-BE49-F238E27FC236}">
              <a16:creationId xmlns:a16="http://schemas.microsoft.com/office/drawing/2014/main" id="{65DFE5B4-C03F-4CCE-9D69-50C4B29A8A89}"/>
            </a:ext>
          </a:extLst>
        </xdr:cNvPr>
        <xdr:cNvSpPr/>
      </xdr:nvSpPr>
      <xdr:spPr>
        <a:xfrm>
          <a:off x="1647825" y="95250"/>
          <a:ext cx="4152900" cy="9620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pt-BR" sz="1200" b="1"/>
            <a:t>COORDENAÇÃO GERAL DE RECURSOS HUMANOS - CGRH</a:t>
          </a:r>
        </a:p>
        <a:p>
          <a:pPr algn="ctr"/>
          <a:endParaRPr lang="pt-BR" sz="1200" b="1"/>
        </a:p>
        <a:p>
          <a:pPr algn="ctr"/>
          <a:r>
            <a:rPr lang="pt-BR" sz="1200" b="1"/>
            <a:t>DADOS</a:t>
          </a:r>
          <a:r>
            <a:rPr lang="pt-BR" sz="1200" b="1" baseline="0"/>
            <a:t> DA PESQUISA DE CLIMA ORGANIZACIONAL</a:t>
          </a:r>
          <a:endParaRPr lang="pt-BR" sz="1200" b="1"/>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16</xdr:col>
      <xdr:colOff>485775</xdr:colOff>
      <xdr:row>0</xdr:row>
      <xdr:rowOff>66675</xdr:rowOff>
    </xdr:from>
    <xdr:to>
      <xdr:col>17</xdr:col>
      <xdr:colOff>540759</xdr:colOff>
      <xdr:row>4</xdr:row>
      <xdr:rowOff>71029</xdr:rowOff>
    </xdr:to>
    <xdr:pic>
      <xdr:nvPicPr>
        <xdr:cNvPr id="8" name="Imagem 7" descr="Transmagnabosco">
          <a:hlinkClick xmlns:r="http://schemas.openxmlformats.org/officeDocument/2006/relationships" r:id="rId1"/>
          <a:extLst>
            <a:ext uri="{FF2B5EF4-FFF2-40B4-BE49-F238E27FC236}">
              <a16:creationId xmlns:a16="http://schemas.microsoft.com/office/drawing/2014/main" id="{CEE31449-152B-43E8-B43F-2D40BAF5156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868775" y="66675"/>
          <a:ext cx="769359" cy="766354"/>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535839</xdr:colOff>
      <xdr:row>0</xdr:row>
      <xdr:rowOff>110906</xdr:rowOff>
    </xdr:from>
    <xdr:to>
      <xdr:col>17</xdr:col>
      <xdr:colOff>488054</xdr:colOff>
      <xdr:row>1</xdr:row>
      <xdr:rowOff>187106</xdr:rowOff>
    </xdr:to>
    <xdr:sp macro="" textlink="">
      <xdr:nvSpPr>
        <xdr:cNvPr id="9" name="Retângulo: Cantos Arredondados 7">
          <a:hlinkClick xmlns:r="http://schemas.openxmlformats.org/officeDocument/2006/relationships" r:id="rId1"/>
          <a:extLst>
            <a:ext uri="{FF2B5EF4-FFF2-40B4-BE49-F238E27FC236}">
              <a16:creationId xmlns:a16="http://schemas.microsoft.com/office/drawing/2014/main" id="{7915A315-C282-40F9-A9D9-0FDC5321EED5}"/>
            </a:ext>
          </a:extLst>
        </xdr:cNvPr>
        <xdr:cNvSpPr/>
      </xdr:nvSpPr>
      <xdr:spPr>
        <a:xfrm rot="473335">
          <a:off x="16918839" y="110906"/>
          <a:ext cx="666590" cy="266700"/>
        </a:xfrm>
        <a:prstGeom prst="roundRect">
          <a:avLst>
            <a:gd name="adj" fmla="val 0"/>
          </a:avLst>
        </a:prstGeom>
        <a:solidFill>
          <a:schemeClr val="accent4">
            <a:lumMod val="60000"/>
            <a:lumOff val="40000"/>
            <a:alpha val="96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rgbClr val="FF0000"/>
              </a:solidFill>
            </a:rPr>
            <a:t>VOLTAR</a:t>
          </a:r>
        </a:p>
      </xdr:txBody>
    </xdr:sp>
    <xdr:clientData/>
  </xdr:twoCellAnchor>
  <xdr:twoCellAnchor editAs="oneCell">
    <xdr:from>
      <xdr:col>0</xdr:col>
      <xdr:colOff>0</xdr:colOff>
      <xdr:row>0</xdr:row>
      <xdr:rowOff>9525</xdr:rowOff>
    </xdr:from>
    <xdr:to>
      <xdr:col>0</xdr:col>
      <xdr:colOff>1628775</xdr:colOff>
      <xdr:row>6</xdr:row>
      <xdr:rowOff>19050</xdr:rowOff>
    </xdr:to>
    <xdr:pic>
      <xdr:nvPicPr>
        <xdr:cNvPr id="10" name="Imagem 9" descr="Trabalho · em · equipe · círculo · quebra-cabeça · quatro · laranja ·  desenho · animado - foto stock © limbi007 (#7107480) | Stockfresh">
          <a:hlinkClick xmlns:r="http://schemas.openxmlformats.org/officeDocument/2006/relationships" r:id="rId3"/>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9525"/>
          <a:ext cx="1628775" cy="1152525"/>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pic>
    <xdr:clientData/>
  </xdr:twoCellAnchor>
  <xdr:twoCellAnchor>
    <xdr:from>
      <xdr:col>0</xdr:col>
      <xdr:colOff>1647825</xdr:colOff>
      <xdr:row>0</xdr:row>
      <xdr:rowOff>95250</xdr:rowOff>
    </xdr:from>
    <xdr:to>
      <xdr:col>6</xdr:col>
      <xdr:colOff>114300</xdr:colOff>
      <xdr:row>5</xdr:row>
      <xdr:rowOff>104775</xdr:rowOff>
    </xdr:to>
    <xdr:sp macro="" textlink="">
      <xdr:nvSpPr>
        <xdr:cNvPr id="11" name="Retângulo: Cantos Arredondados 21">
          <a:hlinkClick xmlns:r="http://schemas.openxmlformats.org/officeDocument/2006/relationships" r:id="rId3"/>
          <a:extLst>
            <a:ext uri="{FF2B5EF4-FFF2-40B4-BE49-F238E27FC236}">
              <a16:creationId xmlns:a16="http://schemas.microsoft.com/office/drawing/2014/main" id="{65DFE5B4-C03F-4CCE-9D69-50C4B29A8A89}"/>
            </a:ext>
          </a:extLst>
        </xdr:cNvPr>
        <xdr:cNvSpPr/>
      </xdr:nvSpPr>
      <xdr:spPr>
        <a:xfrm>
          <a:off x="1647825" y="95250"/>
          <a:ext cx="4267200" cy="9620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pt-BR" sz="1200" b="1"/>
            <a:t>COORDENAÇÃO GERAL DE RECURSOS HUMANOS - CGRH</a:t>
          </a:r>
        </a:p>
        <a:p>
          <a:pPr algn="ctr"/>
          <a:endParaRPr lang="pt-BR" sz="1200" b="1"/>
        </a:p>
        <a:p>
          <a:pPr algn="ctr"/>
          <a:r>
            <a:rPr lang="pt-BR" sz="1200" b="1"/>
            <a:t>DADOS</a:t>
          </a:r>
          <a:r>
            <a:rPr lang="pt-BR" sz="1200" b="1" baseline="0"/>
            <a:t> DA PESQUISA DE CLIMA ORGANIZACIONAL</a:t>
          </a:r>
          <a:endParaRPr lang="pt-BR" sz="1200" b="1"/>
        </a:p>
      </xdr:txBody>
    </xdr:sp>
    <xdr:clientData/>
  </xdr:twoCellAnchor>
  <xdr:twoCellAnchor>
    <xdr:from>
      <xdr:col>0</xdr:col>
      <xdr:colOff>0</xdr:colOff>
      <xdr:row>18</xdr:row>
      <xdr:rowOff>0</xdr:rowOff>
    </xdr:from>
    <xdr:to>
      <xdr:col>5</xdr:col>
      <xdr:colOff>0</xdr:colOff>
      <xdr:row>32</xdr:row>
      <xdr:rowOff>76200</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33</xdr:row>
      <xdr:rowOff>0</xdr:rowOff>
    </xdr:from>
    <xdr:to>
      <xdr:col>4</xdr:col>
      <xdr:colOff>704850</xdr:colOff>
      <xdr:row>47</xdr:row>
      <xdr:rowOff>95250</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18</xdr:row>
      <xdr:rowOff>0</xdr:rowOff>
    </xdr:from>
    <xdr:to>
      <xdr:col>11</xdr:col>
      <xdr:colOff>0</xdr:colOff>
      <xdr:row>32</xdr:row>
      <xdr:rowOff>76200</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1</xdr:colOff>
      <xdr:row>33</xdr:row>
      <xdr:rowOff>0</xdr:rowOff>
    </xdr:from>
    <xdr:to>
      <xdr:col>11</xdr:col>
      <xdr:colOff>9526</xdr:colOff>
      <xdr:row>47</xdr:row>
      <xdr:rowOff>123825</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18</xdr:row>
      <xdr:rowOff>0</xdr:rowOff>
    </xdr:from>
    <xdr:to>
      <xdr:col>17</xdr:col>
      <xdr:colOff>0</xdr:colOff>
      <xdr:row>32</xdr:row>
      <xdr:rowOff>76200</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33</xdr:row>
      <xdr:rowOff>0</xdr:rowOff>
    </xdr:from>
    <xdr:to>
      <xdr:col>17</xdr:col>
      <xdr:colOff>0</xdr:colOff>
      <xdr:row>47</xdr:row>
      <xdr:rowOff>95250</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18</xdr:row>
      <xdr:rowOff>0</xdr:rowOff>
    </xdr:from>
    <xdr:to>
      <xdr:col>7</xdr:col>
      <xdr:colOff>9525</xdr:colOff>
      <xdr:row>32</xdr:row>
      <xdr:rowOff>76200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0</xdr:rowOff>
    </xdr:from>
    <xdr:to>
      <xdr:col>7</xdr:col>
      <xdr:colOff>0</xdr:colOff>
      <xdr:row>47</xdr:row>
      <xdr:rowOff>57150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609599</xdr:colOff>
      <xdr:row>18</xdr:row>
      <xdr:rowOff>0</xdr:rowOff>
    </xdr:from>
    <xdr:to>
      <xdr:col>15</xdr:col>
      <xdr:colOff>904874</xdr:colOff>
      <xdr:row>32</xdr:row>
      <xdr:rowOff>76200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33</xdr:row>
      <xdr:rowOff>0</xdr:rowOff>
    </xdr:from>
    <xdr:to>
      <xdr:col>16</xdr:col>
      <xdr:colOff>9525</xdr:colOff>
      <xdr:row>47</xdr:row>
      <xdr:rowOff>57150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0</xdr:col>
      <xdr:colOff>1628775</xdr:colOff>
      <xdr:row>6</xdr:row>
      <xdr:rowOff>9525</xdr:rowOff>
    </xdr:to>
    <xdr:pic>
      <xdr:nvPicPr>
        <xdr:cNvPr id="14" name="Imagem 13" descr="Trabalho · em · equipe · círculo · quebra-cabeça · quatro · laranja ·  desenho · animado - foto stock © limbi007 (#7107480) | Stockfresh">
          <a:hlinkClick xmlns:r="http://schemas.openxmlformats.org/officeDocument/2006/relationships" r:id="rId5"/>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1628775" cy="1152525"/>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pic>
    <xdr:clientData/>
  </xdr:twoCellAnchor>
  <xdr:twoCellAnchor>
    <xdr:from>
      <xdr:col>0</xdr:col>
      <xdr:colOff>1647825</xdr:colOff>
      <xdr:row>0</xdr:row>
      <xdr:rowOff>104775</xdr:rowOff>
    </xdr:from>
    <xdr:to>
      <xdr:col>4</xdr:col>
      <xdr:colOff>752475</xdr:colOff>
      <xdr:row>5</xdr:row>
      <xdr:rowOff>114300</xdr:rowOff>
    </xdr:to>
    <xdr:sp macro="" textlink="">
      <xdr:nvSpPr>
        <xdr:cNvPr id="15" name="Retângulo: Cantos Arredondados 21">
          <a:hlinkClick xmlns:r="http://schemas.openxmlformats.org/officeDocument/2006/relationships" r:id="rId5"/>
          <a:extLst>
            <a:ext uri="{FF2B5EF4-FFF2-40B4-BE49-F238E27FC236}">
              <a16:creationId xmlns:a16="http://schemas.microsoft.com/office/drawing/2014/main" id="{65DFE5B4-C03F-4CCE-9D69-50C4B29A8A89}"/>
            </a:ext>
          </a:extLst>
        </xdr:cNvPr>
        <xdr:cNvSpPr/>
      </xdr:nvSpPr>
      <xdr:spPr>
        <a:xfrm>
          <a:off x="1647825" y="104775"/>
          <a:ext cx="4267200" cy="9620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pt-BR" sz="1200" b="1"/>
            <a:t>COORDENAÇÃO GERAL DE RECURSOS HUMANOS - CGRH</a:t>
          </a:r>
        </a:p>
        <a:p>
          <a:pPr algn="ctr"/>
          <a:endParaRPr lang="pt-BR" sz="1200" b="1"/>
        </a:p>
        <a:p>
          <a:pPr algn="ctr"/>
          <a:r>
            <a:rPr lang="pt-BR" sz="1200" b="1"/>
            <a:t>DADOS</a:t>
          </a:r>
          <a:r>
            <a:rPr lang="pt-BR" sz="1200" b="1" baseline="0"/>
            <a:t> DA PESQUISA DE CLIMA ORGANIZACIONAL</a:t>
          </a:r>
          <a:endParaRPr lang="pt-BR" sz="1200" b="1"/>
        </a:p>
      </xdr:txBody>
    </xdr:sp>
    <xdr:clientData/>
  </xdr:twoCellAnchor>
  <xdr:twoCellAnchor editAs="oneCell">
    <xdr:from>
      <xdr:col>15</xdr:col>
      <xdr:colOff>762000</xdr:colOff>
      <xdr:row>0</xdr:row>
      <xdr:rowOff>123825</xdr:rowOff>
    </xdr:from>
    <xdr:to>
      <xdr:col>17</xdr:col>
      <xdr:colOff>7359</xdr:colOff>
      <xdr:row>4</xdr:row>
      <xdr:rowOff>128179</xdr:rowOff>
    </xdr:to>
    <xdr:pic>
      <xdr:nvPicPr>
        <xdr:cNvPr id="16" name="Imagem 15" descr="Transmagnabosco">
          <a:hlinkClick xmlns:r="http://schemas.openxmlformats.org/officeDocument/2006/relationships" r:id="rId7"/>
          <a:extLst>
            <a:ext uri="{FF2B5EF4-FFF2-40B4-BE49-F238E27FC236}">
              <a16:creationId xmlns:a16="http://schemas.microsoft.com/office/drawing/2014/main" id="{CEE31449-152B-43E8-B43F-2D40BAF5156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744950" y="123825"/>
          <a:ext cx="769359" cy="766354"/>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812064</xdr:colOff>
      <xdr:row>0</xdr:row>
      <xdr:rowOff>168056</xdr:rowOff>
    </xdr:from>
    <xdr:to>
      <xdr:col>16</xdr:col>
      <xdr:colOff>564254</xdr:colOff>
      <xdr:row>2</xdr:row>
      <xdr:rowOff>53756</xdr:rowOff>
    </xdr:to>
    <xdr:sp macro="" textlink="">
      <xdr:nvSpPr>
        <xdr:cNvPr id="17" name="Retângulo: Cantos Arredondados 7">
          <a:hlinkClick xmlns:r="http://schemas.openxmlformats.org/officeDocument/2006/relationships" r:id="rId7"/>
          <a:extLst>
            <a:ext uri="{FF2B5EF4-FFF2-40B4-BE49-F238E27FC236}">
              <a16:creationId xmlns:a16="http://schemas.microsoft.com/office/drawing/2014/main" id="{7915A315-C282-40F9-A9D9-0FDC5321EED5}"/>
            </a:ext>
          </a:extLst>
        </xdr:cNvPr>
        <xdr:cNvSpPr/>
      </xdr:nvSpPr>
      <xdr:spPr>
        <a:xfrm rot="473335">
          <a:off x="16795014" y="168056"/>
          <a:ext cx="666590" cy="266700"/>
        </a:xfrm>
        <a:prstGeom prst="roundRect">
          <a:avLst>
            <a:gd name="adj" fmla="val 0"/>
          </a:avLst>
        </a:prstGeom>
        <a:solidFill>
          <a:schemeClr val="accent4">
            <a:lumMod val="60000"/>
            <a:lumOff val="40000"/>
            <a:alpha val="96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rgbClr val="FF0000"/>
              </a:solidFill>
            </a:rPr>
            <a:t>VOLTAR</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18</xdr:row>
      <xdr:rowOff>0</xdr:rowOff>
    </xdr:from>
    <xdr:to>
      <xdr:col>6</xdr:col>
      <xdr:colOff>1038224</xdr:colOff>
      <xdr:row>32</xdr:row>
      <xdr:rowOff>76200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18</xdr:row>
      <xdr:rowOff>0</xdr:rowOff>
    </xdr:from>
    <xdr:to>
      <xdr:col>16</xdr:col>
      <xdr:colOff>0</xdr:colOff>
      <xdr:row>32</xdr:row>
      <xdr:rowOff>76200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33</xdr:row>
      <xdr:rowOff>0</xdr:rowOff>
    </xdr:from>
    <xdr:to>
      <xdr:col>7</xdr:col>
      <xdr:colOff>0</xdr:colOff>
      <xdr:row>47</xdr:row>
      <xdr:rowOff>76200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33</xdr:row>
      <xdr:rowOff>0</xdr:rowOff>
    </xdr:from>
    <xdr:to>
      <xdr:col>15</xdr:col>
      <xdr:colOff>1038225</xdr:colOff>
      <xdr:row>47</xdr:row>
      <xdr:rowOff>9525</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57</xdr:row>
      <xdr:rowOff>0</xdr:rowOff>
    </xdr:from>
    <xdr:to>
      <xdr:col>6</xdr:col>
      <xdr:colOff>1038224</xdr:colOff>
      <xdr:row>71</xdr:row>
      <xdr:rowOff>76200</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609599</xdr:colOff>
      <xdr:row>57</xdr:row>
      <xdr:rowOff>0</xdr:rowOff>
    </xdr:from>
    <xdr:to>
      <xdr:col>15</xdr:col>
      <xdr:colOff>1038224</xdr:colOff>
      <xdr:row>71</xdr:row>
      <xdr:rowOff>76200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72</xdr:row>
      <xdr:rowOff>0</xdr:rowOff>
    </xdr:from>
    <xdr:to>
      <xdr:col>15</xdr:col>
      <xdr:colOff>1038225</xdr:colOff>
      <xdr:row>86</xdr:row>
      <xdr:rowOff>133350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72</xdr:row>
      <xdr:rowOff>0</xdr:rowOff>
    </xdr:from>
    <xdr:to>
      <xdr:col>7</xdr:col>
      <xdr:colOff>0</xdr:colOff>
      <xdr:row>86</xdr:row>
      <xdr:rowOff>95250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0</xdr:col>
      <xdr:colOff>1628775</xdr:colOff>
      <xdr:row>6</xdr:row>
      <xdr:rowOff>9525</xdr:rowOff>
    </xdr:to>
    <xdr:pic>
      <xdr:nvPicPr>
        <xdr:cNvPr id="10" name="Imagem 9" descr="Trabalho · em · equipe · círculo · quebra-cabeça · quatro · laranja ·  desenho · animado - foto stock © limbi007 (#7107480) | Stockfresh">
          <a:hlinkClick xmlns:r="http://schemas.openxmlformats.org/officeDocument/2006/relationships" r:id="rId9"/>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0"/>
          <a:ext cx="1628775" cy="1152525"/>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pic>
    <xdr:clientData/>
  </xdr:twoCellAnchor>
  <xdr:twoCellAnchor>
    <xdr:from>
      <xdr:col>0</xdr:col>
      <xdr:colOff>1647825</xdr:colOff>
      <xdr:row>0</xdr:row>
      <xdr:rowOff>104775</xdr:rowOff>
    </xdr:from>
    <xdr:to>
      <xdr:col>4</xdr:col>
      <xdr:colOff>752475</xdr:colOff>
      <xdr:row>5</xdr:row>
      <xdr:rowOff>114300</xdr:rowOff>
    </xdr:to>
    <xdr:sp macro="" textlink="">
      <xdr:nvSpPr>
        <xdr:cNvPr id="11" name="Retângulo: Cantos Arredondados 21">
          <a:hlinkClick xmlns:r="http://schemas.openxmlformats.org/officeDocument/2006/relationships" r:id="rId9"/>
          <a:extLst>
            <a:ext uri="{FF2B5EF4-FFF2-40B4-BE49-F238E27FC236}">
              <a16:creationId xmlns:a16="http://schemas.microsoft.com/office/drawing/2014/main" id="{65DFE5B4-C03F-4CCE-9D69-50C4B29A8A89}"/>
            </a:ext>
          </a:extLst>
        </xdr:cNvPr>
        <xdr:cNvSpPr/>
      </xdr:nvSpPr>
      <xdr:spPr>
        <a:xfrm>
          <a:off x="1647825" y="104775"/>
          <a:ext cx="4267200" cy="9620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pt-BR" sz="1200" b="1"/>
            <a:t>COORDENAÇÃO GERAL DE RECURSOS HUMANOS - CGRH</a:t>
          </a:r>
        </a:p>
        <a:p>
          <a:pPr algn="ctr"/>
          <a:endParaRPr lang="pt-BR" sz="1200" b="1"/>
        </a:p>
        <a:p>
          <a:pPr algn="ctr"/>
          <a:r>
            <a:rPr lang="pt-BR" sz="1200" b="1"/>
            <a:t>DADOS</a:t>
          </a:r>
          <a:r>
            <a:rPr lang="pt-BR" sz="1200" b="1" baseline="0"/>
            <a:t> DA PESQUISA DE CLIMA ORGANIZACIONAL</a:t>
          </a:r>
          <a:endParaRPr lang="pt-BR" sz="1200" b="1"/>
        </a:p>
      </xdr:txBody>
    </xdr:sp>
    <xdr:clientData/>
  </xdr:twoCellAnchor>
  <xdr:twoCellAnchor editAs="oneCell">
    <xdr:from>
      <xdr:col>15</xdr:col>
      <xdr:colOff>209550</xdr:colOff>
      <xdr:row>0</xdr:row>
      <xdr:rowOff>85725</xdr:rowOff>
    </xdr:from>
    <xdr:to>
      <xdr:col>15</xdr:col>
      <xdr:colOff>978909</xdr:colOff>
      <xdr:row>4</xdr:row>
      <xdr:rowOff>90079</xdr:rowOff>
    </xdr:to>
    <xdr:pic>
      <xdr:nvPicPr>
        <xdr:cNvPr id="12" name="Imagem 11" descr="Transmagnabosco">
          <a:hlinkClick xmlns:r="http://schemas.openxmlformats.org/officeDocument/2006/relationships" r:id="rId11"/>
          <a:extLst>
            <a:ext uri="{FF2B5EF4-FFF2-40B4-BE49-F238E27FC236}">
              <a16:creationId xmlns:a16="http://schemas.microsoft.com/office/drawing/2014/main" id="{CEE31449-152B-43E8-B43F-2D40BAF51563}"/>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6725900" y="85725"/>
          <a:ext cx="769359" cy="766354"/>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260273</xdr:colOff>
      <xdr:row>0</xdr:row>
      <xdr:rowOff>120400</xdr:rowOff>
    </xdr:from>
    <xdr:to>
      <xdr:col>15</xdr:col>
      <xdr:colOff>920957</xdr:colOff>
      <xdr:row>2</xdr:row>
      <xdr:rowOff>6100</xdr:rowOff>
    </xdr:to>
    <xdr:sp macro="" textlink="">
      <xdr:nvSpPr>
        <xdr:cNvPr id="13" name="Retângulo: Cantos Arredondados 7">
          <a:hlinkClick xmlns:r="http://schemas.openxmlformats.org/officeDocument/2006/relationships" r:id="rId11"/>
          <a:extLst>
            <a:ext uri="{FF2B5EF4-FFF2-40B4-BE49-F238E27FC236}">
              <a16:creationId xmlns:a16="http://schemas.microsoft.com/office/drawing/2014/main" id="{7915A315-C282-40F9-A9D9-0FDC5321EED5}"/>
            </a:ext>
          </a:extLst>
        </xdr:cNvPr>
        <xdr:cNvSpPr/>
      </xdr:nvSpPr>
      <xdr:spPr>
        <a:xfrm rot="473335">
          <a:off x="16776623" y="120400"/>
          <a:ext cx="660684" cy="266700"/>
        </a:xfrm>
        <a:prstGeom prst="roundRect">
          <a:avLst>
            <a:gd name="adj" fmla="val 0"/>
          </a:avLst>
        </a:prstGeom>
        <a:solidFill>
          <a:schemeClr val="accent4">
            <a:lumMod val="60000"/>
            <a:lumOff val="40000"/>
            <a:alpha val="96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rgbClr val="FF0000"/>
              </a:solidFill>
            </a:rPr>
            <a:t>VOLTAR</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18</xdr:row>
      <xdr:rowOff>0</xdr:rowOff>
    </xdr:from>
    <xdr:to>
      <xdr:col>7</xdr:col>
      <xdr:colOff>0</xdr:colOff>
      <xdr:row>32</xdr:row>
      <xdr:rowOff>76200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18</xdr:row>
      <xdr:rowOff>0</xdr:rowOff>
    </xdr:from>
    <xdr:to>
      <xdr:col>16</xdr:col>
      <xdr:colOff>9525</xdr:colOff>
      <xdr:row>32</xdr:row>
      <xdr:rowOff>76200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33</xdr:row>
      <xdr:rowOff>0</xdr:rowOff>
    </xdr:from>
    <xdr:to>
      <xdr:col>16</xdr:col>
      <xdr:colOff>9525</xdr:colOff>
      <xdr:row>47</xdr:row>
      <xdr:rowOff>76200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33</xdr:row>
      <xdr:rowOff>0</xdr:rowOff>
    </xdr:from>
    <xdr:to>
      <xdr:col>7</xdr:col>
      <xdr:colOff>0</xdr:colOff>
      <xdr:row>47</xdr:row>
      <xdr:rowOff>85725</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0</xdr:col>
      <xdr:colOff>1628775</xdr:colOff>
      <xdr:row>6</xdr:row>
      <xdr:rowOff>9525</xdr:rowOff>
    </xdr:to>
    <xdr:pic>
      <xdr:nvPicPr>
        <xdr:cNvPr id="6" name="Imagem 5" descr="Trabalho · em · equipe · círculo · quebra-cabeça · quatro · laranja ·  desenho · animado - foto stock © limbi007 (#7107480) | Stockfresh">
          <a:hlinkClick xmlns:r="http://schemas.openxmlformats.org/officeDocument/2006/relationships" r:id="rId5"/>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1628775" cy="1152525"/>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pic>
    <xdr:clientData/>
  </xdr:twoCellAnchor>
  <xdr:twoCellAnchor>
    <xdr:from>
      <xdr:col>0</xdr:col>
      <xdr:colOff>1647825</xdr:colOff>
      <xdr:row>0</xdr:row>
      <xdr:rowOff>104775</xdr:rowOff>
    </xdr:from>
    <xdr:to>
      <xdr:col>4</xdr:col>
      <xdr:colOff>752475</xdr:colOff>
      <xdr:row>5</xdr:row>
      <xdr:rowOff>114300</xdr:rowOff>
    </xdr:to>
    <xdr:sp macro="" textlink="">
      <xdr:nvSpPr>
        <xdr:cNvPr id="7" name="Retângulo: Cantos Arredondados 21">
          <a:hlinkClick xmlns:r="http://schemas.openxmlformats.org/officeDocument/2006/relationships" r:id="rId5"/>
          <a:extLst>
            <a:ext uri="{FF2B5EF4-FFF2-40B4-BE49-F238E27FC236}">
              <a16:creationId xmlns:a16="http://schemas.microsoft.com/office/drawing/2014/main" id="{65DFE5B4-C03F-4CCE-9D69-50C4B29A8A89}"/>
            </a:ext>
          </a:extLst>
        </xdr:cNvPr>
        <xdr:cNvSpPr/>
      </xdr:nvSpPr>
      <xdr:spPr>
        <a:xfrm>
          <a:off x="1647825" y="104775"/>
          <a:ext cx="4400550" cy="9620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pt-BR" sz="1200" b="1"/>
            <a:t>COORDENAÇÃO GERAL DE RECURSOS HUMANOS - CGRH</a:t>
          </a:r>
        </a:p>
        <a:p>
          <a:pPr algn="ctr"/>
          <a:endParaRPr lang="pt-BR" sz="1200" b="1"/>
        </a:p>
        <a:p>
          <a:pPr algn="ctr"/>
          <a:r>
            <a:rPr lang="pt-BR" sz="1200" b="1"/>
            <a:t>DADOS</a:t>
          </a:r>
          <a:r>
            <a:rPr lang="pt-BR" sz="1200" b="1" baseline="0"/>
            <a:t> DA PESQUISA DE CLIMA ORGANIZACIONAL</a:t>
          </a:r>
          <a:endParaRPr lang="pt-BR" sz="1200" b="1"/>
        </a:p>
      </xdr:txBody>
    </xdr:sp>
    <xdr:clientData/>
  </xdr:twoCellAnchor>
  <xdr:twoCellAnchor editAs="oneCell">
    <xdr:from>
      <xdr:col>15</xdr:col>
      <xdr:colOff>209550</xdr:colOff>
      <xdr:row>0</xdr:row>
      <xdr:rowOff>85725</xdr:rowOff>
    </xdr:from>
    <xdr:to>
      <xdr:col>15</xdr:col>
      <xdr:colOff>978909</xdr:colOff>
      <xdr:row>4</xdr:row>
      <xdr:rowOff>90079</xdr:rowOff>
    </xdr:to>
    <xdr:pic>
      <xdr:nvPicPr>
        <xdr:cNvPr id="8" name="Imagem 7" descr="Transmagnabosco">
          <a:hlinkClick xmlns:r="http://schemas.openxmlformats.org/officeDocument/2006/relationships" r:id="rId7"/>
          <a:extLst>
            <a:ext uri="{FF2B5EF4-FFF2-40B4-BE49-F238E27FC236}">
              <a16:creationId xmlns:a16="http://schemas.microsoft.com/office/drawing/2014/main" id="{CEE31449-152B-43E8-B43F-2D40BAF5156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725900" y="85725"/>
          <a:ext cx="769359" cy="766354"/>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260204</xdr:colOff>
      <xdr:row>0</xdr:row>
      <xdr:rowOff>121406</xdr:rowOff>
    </xdr:from>
    <xdr:to>
      <xdr:col>15</xdr:col>
      <xdr:colOff>935552</xdr:colOff>
      <xdr:row>2</xdr:row>
      <xdr:rowOff>7106</xdr:rowOff>
    </xdr:to>
    <xdr:sp macro="" textlink="">
      <xdr:nvSpPr>
        <xdr:cNvPr id="9" name="Retângulo: Cantos Arredondados 7">
          <a:hlinkClick xmlns:r="http://schemas.openxmlformats.org/officeDocument/2006/relationships" r:id="rId7"/>
          <a:extLst>
            <a:ext uri="{FF2B5EF4-FFF2-40B4-BE49-F238E27FC236}">
              <a16:creationId xmlns:a16="http://schemas.microsoft.com/office/drawing/2014/main" id="{7915A315-C282-40F9-A9D9-0FDC5321EED5}"/>
            </a:ext>
          </a:extLst>
        </xdr:cNvPr>
        <xdr:cNvSpPr/>
      </xdr:nvSpPr>
      <xdr:spPr>
        <a:xfrm rot="473335">
          <a:off x="16776554" y="121406"/>
          <a:ext cx="675348" cy="266700"/>
        </a:xfrm>
        <a:prstGeom prst="roundRect">
          <a:avLst>
            <a:gd name="adj" fmla="val 0"/>
          </a:avLst>
        </a:prstGeom>
        <a:solidFill>
          <a:schemeClr val="accent4">
            <a:lumMod val="60000"/>
            <a:lumOff val="40000"/>
            <a:alpha val="96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rgbClr val="FF0000"/>
              </a:solidFill>
            </a:rPr>
            <a:t>VOLTAR</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18</xdr:row>
      <xdr:rowOff>0</xdr:rowOff>
    </xdr:from>
    <xdr:to>
      <xdr:col>7</xdr:col>
      <xdr:colOff>0</xdr:colOff>
      <xdr:row>32</xdr:row>
      <xdr:rowOff>76200</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18</xdr:row>
      <xdr:rowOff>0</xdr:rowOff>
    </xdr:from>
    <xdr:to>
      <xdr:col>16</xdr:col>
      <xdr:colOff>0</xdr:colOff>
      <xdr:row>32</xdr:row>
      <xdr:rowOff>76200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33</xdr:row>
      <xdr:rowOff>0</xdr:rowOff>
    </xdr:from>
    <xdr:to>
      <xdr:col>15</xdr:col>
      <xdr:colOff>1038225</xdr:colOff>
      <xdr:row>47</xdr:row>
      <xdr:rowOff>66675</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33</xdr:row>
      <xdr:rowOff>0</xdr:rowOff>
    </xdr:from>
    <xdr:to>
      <xdr:col>7</xdr:col>
      <xdr:colOff>0</xdr:colOff>
      <xdr:row>47</xdr:row>
      <xdr:rowOff>85725</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0</xdr:col>
      <xdr:colOff>1628775</xdr:colOff>
      <xdr:row>6</xdr:row>
      <xdr:rowOff>9525</xdr:rowOff>
    </xdr:to>
    <xdr:pic>
      <xdr:nvPicPr>
        <xdr:cNvPr id="10" name="Imagem 9" descr="Trabalho · em · equipe · círculo · quebra-cabeça · quatro · laranja ·  desenho · animado - foto stock © limbi007 (#7107480) | Stockfresh">
          <a:hlinkClick xmlns:r="http://schemas.openxmlformats.org/officeDocument/2006/relationships" r:id="rId5"/>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1628775" cy="1152525"/>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pic>
    <xdr:clientData/>
  </xdr:twoCellAnchor>
  <xdr:twoCellAnchor>
    <xdr:from>
      <xdr:col>0</xdr:col>
      <xdr:colOff>1647825</xdr:colOff>
      <xdr:row>0</xdr:row>
      <xdr:rowOff>104775</xdr:rowOff>
    </xdr:from>
    <xdr:to>
      <xdr:col>4</xdr:col>
      <xdr:colOff>752475</xdr:colOff>
      <xdr:row>5</xdr:row>
      <xdr:rowOff>114300</xdr:rowOff>
    </xdr:to>
    <xdr:sp macro="" textlink="">
      <xdr:nvSpPr>
        <xdr:cNvPr id="11" name="Retângulo: Cantos Arredondados 21">
          <a:hlinkClick xmlns:r="http://schemas.openxmlformats.org/officeDocument/2006/relationships" r:id="rId5"/>
          <a:extLst>
            <a:ext uri="{FF2B5EF4-FFF2-40B4-BE49-F238E27FC236}">
              <a16:creationId xmlns:a16="http://schemas.microsoft.com/office/drawing/2014/main" id="{65DFE5B4-C03F-4CCE-9D69-50C4B29A8A89}"/>
            </a:ext>
          </a:extLst>
        </xdr:cNvPr>
        <xdr:cNvSpPr/>
      </xdr:nvSpPr>
      <xdr:spPr>
        <a:xfrm>
          <a:off x="1647825" y="104775"/>
          <a:ext cx="4400550" cy="9620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pt-BR" sz="1200" b="1"/>
            <a:t>COORDENAÇÃO GERAL DE RECURSOS HUMANOS - CGRH</a:t>
          </a:r>
        </a:p>
        <a:p>
          <a:pPr algn="ctr"/>
          <a:endParaRPr lang="pt-BR" sz="1200" b="1"/>
        </a:p>
        <a:p>
          <a:pPr algn="ctr"/>
          <a:r>
            <a:rPr lang="pt-BR" sz="1200" b="1"/>
            <a:t>DADOS</a:t>
          </a:r>
          <a:r>
            <a:rPr lang="pt-BR" sz="1200" b="1" baseline="0"/>
            <a:t> DA PESQUISA DE CLIMA ORGANIZACIONAL</a:t>
          </a:r>
          <a:endParaRPr lang="pt-BR" sz="1200" b="1"/>
        </a:p>
      </xdr:txBody>
    </xdr:sp>
    <xdr:clientData/>
  </xdr:twoCellAnchor>
  <xdr:twoCellAnchor editAs="oneCell">
    <xdr:from>
      <xdr:col>15</xdr:col>
      <xdr:colOff>209550</xdr:colOff>
      <xdr:row>0</xdr:row>
      <xdr:rowOff>85725</xdr:rowOff>
    </xdr:from>
    <xdr:to>
      <xdr:col>15</xdr:col>
      <xdr:colOff>978909</xdr:colOff>
      <xdr:row>4</xdr:row>
      <xdr:rowOff>90079</xdr:rowOff>
    </xdr:to>
    <xdr:pic>
      <xdr:nvPicPr>
        <xdr:cNvPr id="12" name="Imagem 11" descr="Transmagnabosco">
          <a:hlinkClick xmlns:r="http://schemas.openxmlformats.org/officeDocument/2006/relationships" r:id="rId7"/>
          <a:extLst>
            <a:ext uri="{FF2B5EF4-FFF2-40B4-BE49-F238E27FC236}">
              <a16:creationId xmlns:a16="http://schemas.microsoft.com/office/drawing/2014/main" id="{CEE31449-152B-43E8-B43F-2D40BAF5156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725900" y="85725"/>
          <a:ext cx="769359" cy="766354"/>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260190</xdr:colOff>
      <xdr:row>0</xdr:row>
      <xdr:rowOff>121605</xdr:rowOff>
    </xdr:from>
    <xdr:to>
      <xdr:col>15</xdr:col>
      <xdr:colOff>938437</xdr:colOff>
      <xdr:row>2</xdr:row>
      <xdr:rowOff>7305</xdr:rowOff>
    </xdr:to>
    <xdr:sp macro="" textlink="">
      <xdr:nvSpPr>
        <xdr:cNvPr id="13" name="Retângulo: Cantos Arredondados 7">
          <a:hlinkClick xmlns:r="http://schemas.openxmlformats.org/officeDocument/2006/relationships" r:id="rId7"/>
          <a:extLst>
            <a:ext uri="{FF2B5EF4-FFF2-40B4-BE49-F238E27FC236}">
              <a16:creationId xmlns:a16="http://schemas.microsoft.com/office/drawing/2014/main" id="{7915A315-C282-40F9-A9D9-0FDC5321EED5}"/>
            </a:ext>
          </a:extLst>
        </xdr:cNvPr>
        <xdr:cNvSpPr/>
      </xdr:nvSpPr>
      <xdr:spPr>
        <a:xfrm rot="473335">
          <a:off x="16776540" y="121605"/>
          <a:ext cx="678247" cy="266700"/>
        </a:xfrm>
        <a:prstGeom prst="roundRect">
          <a:avLst>
            <a:gd name="adj" fmla="val 0"/>
          </a:avLst>
        </a:prstGeom>
        <a:solidFill>
          <a:schemeClr val="accent4">
            <a:lumMod val="60000"/>
            <a:lumOff val="40000"/>
            <a:alpha val="96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rgbClr val="FF0000"/>
              </a:solidFill>
            </a:rPr>
            <a:t>VOLTAR</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18</xdr:row>
      <xdr:rowOff>0</xdr:rowOff>
    </xdr:from>
    <xdr:to>
      <xdr:col>6</xdr:col>
      <xdr:colOff>1038224</xdr:colOff>
      <xdr:row>32</xdr:row>
      <xdr:rowOff>76200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0</xdr:rowOff>
    </xdr:from>
    <xdr:to>
      <xdr:col>6</xdr:col>
      <xdr:colOff>1038225</xdr:colOff>
      <xdr:row>47</xdr:row>
      <xdr:rowOff>76200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18</xdr:row>
      <xdr:rowOff>0</xdr:rowOff>
    </xdr:from>
    <xdr:to>
      <xdr:col>15</xdr:col>
      <xdr:colOff>1038225</xdr:colOff>
      <xdr:row>32</xdr:row>
      <xdr:rowOff>76200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33</xdr:row>
      <xdr:rowOff>0</xdr:rowOff>
    </xdr:from>
    <xdr:to>
      <xdr:col>16</xdr:col>
      <xdr:colOff>9525</xdr:colOff>
      <xdr:row>47</xdr:row>
      <xdr:rowOff>47625</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0</xdr:col>
      <xdr:colOff>1628775</xdr:colOff>
      <xdr:row>6</xdr:row>
      <xdr:rowOff>9525</xdr:rowOff>
    </xdr:to>
    <xdr:pic>
      <xdr:nvPicPr>
        <xdr:cNvPr id="7" name="Imagem 6" descr="Trabalho · em · equipe · círculo · quebra-cabeça · quatro · laranja ·  desenho · animado - foto stock © limbi007 (#7107480) | Stockfresh">
          <a:hlinkClick xmlns:r="http://schemas.openxmlformats.org/officeDocument/2006/relationships" r:id="rId5"/>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1628775" cy="1152525"/>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pic>
    <xdr:clientData/>
  </xdr:twoCellAnchor>
  <xdr:twoCellAnchor>
    <xdr:from>
      <xdr:col>0</xdr:col>
      <xdr:colOff>1647825</xdr:colOff>
      <xdr:row>0</xdr:row>
      <xdr:rowOff>104775</xdr:rowOff>
    </xdr:from>
    <xdr:to>
      <xdr:col>4</xdr:col>
      <xdr:colOff>752475</xdr:colOff>
      <xdr:row>5</xdr:row>
      <xdr:rowOff>114300</xdr:rowOff>
    </xdr:to>
    <xdr:sp macro="" textlink="">
      <xdr:nvSpPr>
        <xdr:cNvPr id="8" name="Retângulo: Cantos Arredondados 21">
          <a:hlinkClick xmlns:r="http://schemas.openxmlformats.org/officeDocument/2006/relationships" r:id="rId5"/>
          <a:extLst>
            <a:ext uri="{FF2B5EF4-FFF2-40B4-BE49-F238E27FC236}">
              <a16:creationId xmlns:a16="http://schemas.microsoft.com/office/drawing/2014/main" id="{65DFE5B4-C03F-4CCE-9D69-50C4B29A8A89}"/>
            </a:ext>
          </a:extLst>
        </xdr:cNvPr>
        <xdr:cNvSpPr/>
      </xdr:nvSpPr>
      <xdr:spPr>
        <a:xfrm>
          <a:off x="1647825" y="104775"/>
          <a:ext cx="4400550" cy="9620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pt-BR" sz="1200" b="1"/>
            <a:t>COORDENAÇÃO GERAL DE RECURSOS HUMANOS - CGRH</a:t>
          </a:r>
        </a:p>
        <a:p>
          <a:pPr algn="ctr"/>
          <a:endParaRPr lang="pt-BR" sz="1200" b="1"/>
        </a:p>
        <a:p>
          <a:pPr algn="ctr"/>
          <a:r>
            <a:rPr lang="pt-BR" sz="1200" b="1"/>
            <a:t>DADOS</a:t>
          </a:r>
          <a:r>
            <a:rPr lang="pt-BR" sz="1200" b="1" baseline="0"/>
            <a:t> DA PESQUISA DE CLIMA ORGANIZACIONAL</a:t>
          </a:r>
          <a:endParaRPr lang="pt-BR" sz="1200" b="1"/>
        </a:p>
      </xdr:txBody>
    </xdr:sp>
    <xdr:clientData/>
  </xdr:twoCellAnchor>
  <xdr:twoCellAnchor editAs="oneCell">
    <xdr:from>
      <xdr:col>15</xdr:col>
      <xdr:colOff>209550</xdr:colOff>
      <xdr:row>0</xdr:row>
      <xdr:rowOff>85725</xdr:rowOff>
    </xdr:from>
    <xdr:to>
      <xdr:col>15</xdr:col>
      <xdr:colOff>978909</xdr:colOff>
      <xdr:row>4</xdr:row>
      <xdr:rowOff>90079</xdr:rowOff>
    </xdr:to>
    <xdr:pic>
      <xdr:nvPicPr>
        <xdr:cNvPr id="9" name="Imagem 8" descr="Transmagnabosco">
          <a:hlinkClick xmlns:r="http://schemas.openxmlformats.org/officeDocument/2006/relationships" r:id="rId7"/>
          <a:extLst>
            <a:ext uri="{FF2B5EF4-FFF2-40B4-BE49-F238E27FC236}">
              <a16:creationId xmlns:a16="http://schemas.microsoft.com/office/drawing/2014/main" id="{CEE31449-152B-43E8-B43F-2D40BAF5156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725900" y="85725"/>
          <a:ext cx="769359" cy="766354"/>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260190</xdr:colOff>
      <xdr:row>0</xdr:row>
      <xdr:rowOff>121605</xdr:rowOff>
    </xdr:from>
    <xdr:to>
      <xdr:col>15</xdr:col>
      <xdr:colOff>938437</xdr:colOff>
      <xdr:row>2</xdr:row>
      <xdr:rowOff>7305</xdr:rowOff>
    </xdr:to>
    <xdr:sp macro="" textlink="">
      <xdr:nvSpPr>
        <xdr:cNvPr id="10" name="Retângulo: Cantos Arredondados 7">
          <a:hlinkClick xmlns:r="http://schemas.openxmlformats.org/officeDocument/2006/relationships" r:id="rId7"/>
          <a:extLst>
            <a:ext uri="{FF2B5EF4-FFF2-40B4-BE49-F238E27FC236}">
              <a16:creationId xmlns:a16="http://schemas.microsoft.com/office/drawing/2014/main" id="{7915A315-C282-40F9-A9D9-0FDC5321EED5}"/>
            </a:ext>
          </a:extLst>
        </xdr:cNvPr>
        <xdr:cNvSpPr/>
      </xdr:nvSpPr>
      <xdr:spPr>
        <a:xfrm rot="473335">
          <a:off x="16776540" y="121605"/>
          <a:ext cx="678247" cy="266700"/>
        </a:xfrm>
        <a:prstGeom prst="roundRect">
          <a:avLst>
            <a:gd name="adj" fmla="val 0"/>
          </a:avLst>
        </a:prstGeom>
        <a:solidFill>
          <a:schemeClr val="accent4">
            <a:lumMod val="60000"/>
            <a:lumOff val="40000"/>
            <a:alpha val="96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rgbClr val="FF0000"/>
              </a:solidFill>
            </a:rPr>
            <a:t>VOLTAR</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18</xdr:row>
      <xdr:rowOff>0</xdr:rowOff>
    </xdr:from>
    <xdr:to>
      <xdr:col>6</xdr:col>
      <xdr:colOff>1038224</xdr:colOff>
      <xdr:row>32</xdr:row>
      <xdr:rowOff>76200</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0</xdr:rowOff>
    </xdr:from>
    <xdr:to>
      <xdr:col>6</xdr:col>
      <xdr:colOff>1038224</xdr:colOff>
      <xdr:row>47</xdr:row>
      <xdr:rowOff>85725</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18</xdr:row>
      <xdr:rowOff>0</xdr:rowOff>
    </xdr:from>
    <xdr:to>
      <xdr:col>16</xdr:col>
      <xdr:colOff>0</xdr:colOff>
      <xdr:row>32</xdr:row>
      <xdr:rowOff>76200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33</xdr:row>
      <xdr:rowOff>0</xdr:rowOff>
    </xdr:from>
    <xdr:to>
      <xdr:col>16</xdr:col>
      <xdr:colOff>0</xdr:colOff>
      <xdr:row>47</xdr:row>
      <xdr:rowOff>57150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0</xdr:col>
      <xdr:colOff>1628775</xdr:colOff>
      <xdr:row>6</xdr:row>
      <xdr:rowOff>9525</xdr:rowOff>
    </xdr:to>
    <xdr:pic>
      <xdr:nvPicPr>
        <xdr:cNvPr id="10" name="Imagem 9" descr="Trabalho · em · equipe · círculo · quebra-cabeça · quatro · laranja ·  desenho · animado - foto stock © limbi007 (#7107480) | Stockfresh">
          <a:hlinkClick xmlns:r="http://schemas.openxmlformats.org/officeDocument/2006/relationships" r:id="rId5"/>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1628775" cy="1152525"/>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pic>
    <xdr:clientData/>
  </xdr:twoCellAnchor>
  <xdr:twoCellAnchor>
    <xdr:from>
      <xdr:col>0</xdr:col>
      <xdr:colOff>1647825</xdr:colOff>
      <xdr:row>0</xdr:row>
      <xdr:rowOff>104775</xdr:rowOff>
    </xdr:from>
    <xdr:to>
      <xdr:col>4</xdr:col>
      <xdr:colOff>752475</xdr:colOff>
      <xdr:row>5</xdr:row>
      <xdr:rowOff>114300</xdr:rowOff>
    </xdr:to>
    <xdr:sp macro="" textlink="">
      <xdr:nvSpPr>
        <xdr:cNvPr id="11" name="Retângulo: Cantos Arredondados 21">
          <a:hlinkClick xmlns:r="http://schemas.openxmlformats.org/officeDocument/2006/relationships" r:id="rId5"/>
          <a:extLst>
            <a:ext uri="{FF2B5EF4-FFF2-40B4-BE49-F238E27FC236}">
              <a16:creationId xmlns:a16="http://schemas.microsoft.com/office/drawing/2014/main" id="{65DFE5B4-C03F-4CCE-9D69-50C4B29A8A89}"/>
            </a:ext>
          </a:extLst>
        </xdr:cNvPr>
        <xdr:cNvSpPr/>
      </xdr:nvSpPr>
      <xdr:spPr>
        <a:xfrm>
          <a:off x="1647825" y="104775"/>
          <a:ext cx="4400550" cy="9620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pt-BR" sz="1200" b="1"/>
            <a:t>COORDENAÇÃO GERAL DE RECURSOS HUMANOS - CGRH</a:t>
          </a:r>
        </a:p>
        <a:p>
          <a:pPr algn="ctr"/>
          <a:endParaRPr lang="pt-BR" sz="1200" b="1"/>
        </a:p>
        <a:p>
          <a:pPr algn="ctr"/>
          <a:r>
            <a:rPr lang="pt-BR" sz="1200" b="1"/>
            <a:t>DADOS</a:t>
          </a:r>
          <a:r>
            <a:rPr lang="pt-BR" sz="1200" b="1" baseline="0"/>
            <a:t> DA PESQUISA DE CLIMA ORGANIZACIONAL</a:t>
          </a:r>
          <a:endParaRPr lang="pt-BR" sz="1200" b="1"/>
        </a:p>
      </xdr:txBody>
    </xdr:sp>
    <xdr:clientData/>
  </xdr:twoCellAnchor>
  <xdr:twoCellAnchor editAs="oneCell">
    <xdr:from>
      <xdr:col>15</xdr:col>
      <xdr:colOff>209550</xdr:colOff>
      <xdr:row>0</xdr:row>
      <xdr:rowOff>85725</xdr:rowOff>
    </xdr:from>
    <xdr:to>
      <xdr:col>15</xdr:col>
      <xdr:colOff>978909</xdr:colOff>
      <xdr:row>4</xdr:row>
      <xdr:rowOff>90079</xdr:rowOff>
    </xdr:to>
    <xdr:pic>
      <xdr:nvPicPr>
        <xdr:cNvPr id="12" name="Imagem 11" descr="Transmagnabosco">
          <a:hlinkClick xmlns:r="http://schemas.openxmlformats.org/officeDocument/2006/relationships" r:id="rId7"/>
          <a:extLst>
            <a:ext uri="{FF2B5EF4-FFF2-40B4-BE49-F238E27FC236}">
              <a16:creationId xmlns:a16="http://schemas.microsoft.com/office/drawing/2014/main" id="{CEE31449-152B-43E8-B43F-2D40BAF5156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725900" y="85725"/>
          <a:ext cx="769359" cy="766354"/>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260190</xdr:colOff>
      <xdr:row>0</xdr:row>
      <xdr:rowOff>121605</xdr:rowOff>
    </xdr:from>
    <xdr:to>
      <xdr:col>15</xdr:col>
      <xdr:colOff>938437</xdr:colOff>
      <xdr:row>2</xdr:row>
      <xdr:rowOff>7305</xdr:rowOff>
    </xdr:to>
    <xdr:sp macro="" textlink="">
      <xdr:nvSpPr>
        <xdr:cNvPr id="13" name="Retângulo: Cantos Arredondados 7">
          <a:hlinkClick xmlns:r="http://schemas.openxmlformats.org/officeDocument/2006/relationships" r:id="rId7"/>
          <a:extLst>
            <a:ext uri="{FF2B5EF4-FFF2-40B4-BE49-F238E27FC236}">
              <a16:creationId xmlns:a16="http://schemas.microsoft.com/office/drawing/2014/main" id="{7915A315-C282-40F9-A9D9-0FDC5321EED5}"/>
            </a:ext>
          </a:extLst>
        </xdr:cNvPr>
        <xdr:cNvSpPr/>
      </xdr:nvSpPr>
      <xdr:spPr>
        <a:xfrm rot="473335">
          <a:off x="16776540" y="121605"/>
          <a:ext cx="678247" cy="266700"/>
        </a:xfrm>
        <a:prstGeom prst="roundRect">
          <a:avLst>
            <a:gd name="adj" fmla="val 0"/>
          </a:avLst>
        </a:prstGeom>
        <a:solidFill>
          <a:schemeClr val="accent4">
            <a:lumMod val="60000"/>
            <a:lumOff val="40000"/>
            <a:alpha val="96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rgbClr val="FF0000"/>
              </a:solidFill>
            </a:rPr>
            <a:t>VOLTAR</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18</xdr:row>
      <xdr:rowOff>0</xdr:rowOff>
    </xdr:from>
    <xdr:to>
      <xdr:col>6</xdr:col>
      <xdr:colOff>904875</xdr:colOff>
      <xdr:row>32</xdr:row>
      <xdr:rowOff>76200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18</xdr:row>
      <xdr:rowOff>0</xdr:rowOff>
    </xdr:from>
    <xdr:to>
      <xdr:col>14</xdr:col>
      <xdr:colOff>904875</xdr:colOff>
      <xdr:row>32</xdr:row>
      <xdr:rowOff>76200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257174</xdr:colOff>
      <xdr:row>33</xdr:row>
      <xdr:rowOff>0</xdr:rowOff>
    </xdr:from>
    <xdr:to>
      <xdr:col>14</xdr:col>
      <xdr:colOff>895349</xdr:colOff>
      <xdr:row>47</xdr:row>
      <xdr:rowOff>66675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33</xdr:row>
      <xdr:rowOff>0</xdr:rowOff>
    </xdr:from>
    <xdr:to>
      <xdr:col>6</xdr:col>
      <xdr:colOff>914399</xdr:colOff>
      <xdr:row>47</xdr:row>
      <xdr:rowOff>76200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0</xdr:colOff>
      <xdr:row>33</xdr:row>
      <xdr:rowOff>0</xdr:rowOff>
    </xdr:from>
    <xdr:to>
      <xdr:col>22</xdr:col>
      <xdr:colOff>904875</xdr:colOff>
      <xdr:row>47</xdr:row>
      <xdr:rowOff>57150</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0</xdr:colOff>
      <xdr:row>18</xdr:row>
      <xdr:rowOff>0</xdr:rowOff>
    </xdr:from>
    <xdr:to>
      <xdr:col>22</xdr:col>
      <xdr:colOff>904875</xdr:colOff>
      <xdr:row>32</xdr:row>
      <xdr:rowOff>76200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0</xdr:col>
      <xdr:colOff>1628775</xdr:colOff>
      <xdr:row>6</xdr:row>
      <xdr:rowOff>9525</xdr:rowOff>
    </xdr:to>
    <xdr:pic>
      <xdr:nvPicPr>
        <xdr:cNvPr id="8" name="Imagem 7" descr="Trabalho · em · equipe · círculo · quebra-cabeça · quatro · laranja ·  desenho · animado - foto stock © limbi007 (#7107480) | Stockfresh">
          <a:hlinkClick xmlns:r="http://schemas.openxmlformats.org/officeDocument/2006/relationships" r:id="rId7"/>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1628775" cy="1152525"/>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pic>
    <xdr:clientData/>
  </xdr:twoCellAnchor>
  <xdr:twoCellAnchor>
    <xdr:from>
      <xdr:col>0</xdr:col>
      <xdr:colOff>1647825</xdr:colOff>
      <xdr:row>0</xdr:row>
      <xdr:rowOff>104775</xdr:rowOff>
    </xdr:from>
    <xdr:to>
      <xdr:col>4</xdr:col>
      <xdr:colOff>752475</xdr:colOff>
      <xdr:row>5</xdr:row>
      <xdr:rowOff>114300</xdr:rowOff>
    </xdr:to>
    <xdr:sp macro="" textlink="">
      <xdr:nvSpPr>
        <xdr:cNvPr id="9" name="Retângulo: Cantos Arredondados 21">
          <a:hlinkClick xmlns:r="http://schemas.openxmlformats.org/officeDocument/2006/relationships" r:id="rId7"/>
          <a:extLst>
            <a:ext uri="{FF2B5EF4-FFF2-40B4-BE49-F238E27FC236}">
              <a16:creationId xmlns:a16="http://schemas.microsoft.com/office/drawing/2014/main" id="{65DFE5B4-C03F-4CCE-9D69-50C4B29A8A89}"/>
            </a:ext>
          </a:extLst>
        </xdr:cNvPr>
        <xdr:cNvSpPr/>
      </xdr:nvSpPr>
      <xdr:spPr>
        <a:xfrm>
          <a:off x="1647825" y="104775"/>
          <a:ext cx="4400550" cy="9620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pt-BR" sz="1200" b="1"/>
            <a:t>COORDENAÇÃO GERAL DE RECURSOS HUMANOS - CGRH</a:t>
          </a:r>
        </a:p>
        <a:p>
          <a:pPr algn="ctr"/>
          <a:endParaRPr lang="pt-BR" sz="1200" b="1"/>
        </a:p>
        <a:p>
          <a:pPr algn="ctr"/>
          <a:r>
            <a:rPr lang="pt-BR" sz="1200" b="1"/>
            <a:t>DADOS</a:t>
          </a:r>
          <a:r>
            <a:rPr lang="pt-BR" sz="1200" b="1" baseline="0"/>
            <a:t> DA PESQUISA DE CLIMA ORGANIZACIONAL</a:t>
          </a:r>
          <a:endParaRPr lang="pt-BR" sz="1200" b="1"/>
        </a:p>
      </xdr:txBody>
    </xdr:sp>
    <xdr:clientData/>
  </xdr:twoCellAnchor>
  <xdr:twoCellAnchor editAs="oneCell">
    <xdr:from>
      <xdr:col>15</xdr:col>
      <xdr:colOff>209550</xdr:colOff>
      <xdr:row>0</xdr:row>
      <xdr:rowOff>85725</xdr:rowOff>
    </xdr:from>
    <xdr:to>
      <xdr:col>16</xdr:col>
      <xdr:colOff>721734</xdr:colOff>
      <xdr:row>4</xdr:row>
      <xdr:rowOff>90079</xdr:rowOff>
    </xdr:to>
    <xdr:pic>
      <xdr:nvPicPr>
        <xdr:cNvPr id="10" name="Imagem 9" descr="Transmagnabosco">
          <a:hlinkClick xmlns:r="http://schemas.openxmlformats.org/officeDocument/2006/relationships" r:id="rId9"/>
          <a:extLst>
            <a:ext uri="{FF2B5EF4-FFF2-40B4-BE49-F238E27FC236}">
              <a16:creationId xmlns:a16="http://schemas.microsoft.com/office/drawing/2014/main" id="{CEE31449-152B-43E8-B43F-2D40BAF5156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25900" y="85725"/>
          <a:ext cx="769359" cy="766354"/>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260190</xdr:colOff>
      <xdr:row>0</xdr:row>
      <xdr:rowOff>121605</xdr:rowOff>
    </xdr:from>
    <xdr:to>
      <xdr:col>15</xdr:col>
      <xdr:colOff>938437</xdr:colOff>
      <xdr:row>2</xdr:row>
      <xdr:rowOff>7305</xdr:rowOff>
    </xdr:to>
    <xdr:sp macro="" textlink="">
      <xdr:nvSpPr>
        <xdr:cNvPr id="11" name="Retângulo: Cantos Arredondados 7">
          <a:hlinkClick xmlns:r="http://schemas.openxmlformats.org/officeDocument/2006/relationships" r:id="rId9"/>
          <a:extLst>
            <a:ext uri="{FF2B5EF4-FFF2-40B4-BE49-F238E27FC236}">
              <a16:creationId xmlns:a16="http://schemas.microsoft.com/office/drawing/2014/main" id="{7915A315-C282-40F9-A9D9-0FDC5321EED5}"/>
            </a:ext>
          </a:extLst>
        </xdr:cNvPr>
        <xdr:cNvSpPr/>
      </xdr:nvSpPr>
      <xdr:spPr>
        <a:xfrm rot="473335">
          <a:off x="16776540" y="121605"/>
          <a:ext cx="678247" cy="266700"/>
        </a:xfrm>
        <a:prstGeom prst="roundRect">
          <a:avLst>
            <a:gd name="adj" fmla="val 0"/>
          </a:avLst>
        </a:prstGeom>
        <a:solidFill>
          <a:schemeClr val="accent4">
            <a:lumMod val="60000"/>
            <a:lumOff val="40000"/>
            <a:alpha val="96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rgbClr val="FF0000"/>
              </a:solidFill>
            </a:rPr>
            <a:t>VOLTAR</a:t>
          </a:r>
        </a:p>
      </xdr:txBody>
    </xdr:sp>
    <xdr:clientData/>
  </xdr:twoCellAnchor>
  <xdr:twoCellAnchor>
    <xdr:from>
      <xdr:col>16</xdr:col>
      <xdr:colOff>0</xdr:colOff>
      <xdr:row>0</xdr:row>
      <xdr:rowOff>142875</xdr:rowOff>
    </xdr:from>
    <xdr:to>
      <xdr:col>16</xdr:col>
      <xdr:colOff>678247</xdr:colOff>
      <xdr:row>2</xdr:row>
      <xdr:rowOff>28575</xdr:rowOff>
    </xdr:to>
    <xdr:sp macro="" textlink="">
      <xdr:nvSpPr>
        <xdr:cNvPr id="12" name="Retângulo: Cantos Arredondados 7">
          <a:hlinkClick xmlns:r="http://schemas.openxmlformats.org/officeDocument/2006/relationships" r:id="rId9"/>
          <a:extLst>
            <a:ext uri="{FF2B5EF4-FFF2-40B4-BE49-F238E27FC236}">
              <a16:creationId xmlns:a16="http://schemas.microsoft.com/office/drawing/2014/main" id="{7915A315-C282-40F9-A9D9-0FDC5321EED5}"/>
            </a:ext>
          </a:extLst>
        </xdr:cNvPr>
        <xdr:cNvSpPr/>
      </xdr:nvSpPr>
      <xdr:spPr>
        <a:xfrm rot="473335">
          <a:off x="15659100" y="142875"/>
          <a:ext cx="678247" cy="266700"/>
        </a:xfrm>
        <a:prstGeom prst="roundRect">
          <a:avLst>
            <a:gd name="adj" fmla="val 0"/>
          </a:avLst>
        </a:prstGeom>
        <a:solidFill>
          <a:schemeClr val="accent4">
            <a:lumMod val="60000"/>
            <a:lumOff val="40000"/>
            <a:alpha val="96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rgbClr val="FF0000"/>
              </a:solidFill>
            </a:rPr>
            <a:t>VOLTAR</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0.01041</cdr:x>
      <cdr:y>0.0169</cdr:y>
    </cdr:from>
    <cdr:to>
      <cdr:x>0.18918</cdr:x>
      <cdr:y>0.18592</cdr:y>
    </cdr:to>
    <cdr:sp macro="" textlink="">
      <cdr:nvSpPr>
        <cdr:cNvPr id="2" name="Retângulo: Cantos Arredondados 1">
          <a:extLst xmlns:a="http://schemas.openxmlformats.org/drawingml/2006/main">
            <a:ext uri="{FF2B5EF4-FFF2-40B4-BE49-F238E27FC236}">
              <a16:creationId xmlns:a16="http://schemas.microsoft.com/office/drawing/2014/main" id="{6EE35B99-8350-48F8-A993-791B133FD7AF}"/>
            </a:ext>
          </a:extLst>
        </cdr:cNvPr>
        <cdr:cNvSpPr/>
      </cdr:nvSpPr>
      <cdr:spPr>
        <a:xfrm xmlns:a="http://schemas.openxmlformats.org/drawingml/2006/main">
          <a:off x="62494" y="28575"/>
          <a:ext cx="1072755" cy="285750"/>
        </a:xfrm>
        <a:prstGeom xmlns:a="http://schemas.openxmlformats.org/drawingml/2006/main" prst="roundRect">
          <a:avLst/>
        </a:prstGeom>
        <a:solidFill xmlns:a="http://schemas.openxmlformats.org/drawingml/2006/main">
          <a:schemeClr val="tx2">
            <a:lumMod val="60000"/>
            <a:lumOff val="40000"/>
          </a:schemeClr>
        </a:solidFill>
        <a:ln xmlns:a="http://schemas.openxmlformats.org/drawingml/2006/main">
          <a:noFill/>
        </a:ln>
        <a:effectLst xmlns:a="http://schemas.openxmlformats.org/drawingml/2006/main">
          <a:outerShdw blurRad="44450" dist="27940" dir="5400000" algn="ctr">
            <a:srgbClr val="000000">
              <a:alpha val="32000"/>
            </a:srgbClr>
          </a:outerShdw>
        </a:effectLst>
        <a:scene3d xmlns:a="http://schemas.openxmlformats.org/drawingml/2006/main">
          <a:camera prst="orthographicFront">
            <a:rot lat="0" lon="0" rev="0"/>
          </a:camera>
          <a:lightRig rig="balanced" dir="t">
            <a:rot lat="0" lon="0" rev="8700000"/>
          </a:lightRig>
        </a:scene3d>
        <a:sp3d xmlns:a="http://schemas.openxmlformats.org/drawingml/2006/main">
          <a:bevelT w="190500" h="38100"/>
        </a:sp3d>
      </cdr:spPr>
      <cdr:style>
        <a:lnRef xmlns:a="http://schemas.openxmlformats.org/drawingml/2006/main" idx="2">
          <a:schemeClr val="accent3">
            <a:shade val="50000"/>
          </a:schemeClr>
        </a:lnRef>
        <a:fillRef xmlns:a="http://schemas.openxmlformats.org/drawingml/2006/main" idx="1">
          <a:schemeClr val="accent3"/>
        </a:fillRef>
        <a:effectRef xmlns:a="http://schemas.openxmlformats.org/drawingml/2006/main" idx="0">
          <a:schemeClr val="accent3"/>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pt-BR" sz="1100" b="1" baseline="0"/>
            <a:t>MME Geral</a:t>
          </a:r>
          <a:endParaRPr lang="pt-BR" sz="1100" b="1"/>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0</xdr:colOff>
      <xdr:row>18</xdr:row>
      <xdr:rowOff>0</xdr:rowOff>
    </xdr:from>
    <xdr:to>
      <xdr:col>6</xdr:col>
      <xdr:colOff>1038224</xdr:colOff>
      <xdr:row>32</xdr:row>
      <xdr:rowOff>76200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18</xdr:row>
      <xdr:rowOff>0</xdr:rowOff>
    </xdr:from>
    <xdr:to>
      <xdr:col>14</xdr:col>
      <xdr:colOff>1038225</xdr:colOff>
      <xdr:row>32</xdr:row>
      <xdr:rowOff>76200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257174</xdr:colOff>
      <xdr:row>33</xdr:row>
      <xdr:rowOff>0</xdr:rowOff>
    </xdr:from>
    <xdr:to>
      <xdr:col>14</xdr:col>
      <xdr:colOff>1038224</xdr:colOff>
      <xdr:row>47</xdr:row>
      <xdr:rowOff>76200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33</xdr:row>
      <xdr:rowOff>0</xdr:rowOff>
    </xdr:from>
    <xdr:to>
      <xdr:col>6</xdr:col>
      <xdr:colOff>1038225</xdr:colOff>
      <xdr:row>47</xdr:row>
      <xdr:rowOff>76200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0</xdr:colOff>
      <xdr:row>18</xdr:row>
      <xdr:rowOff>0</xdr:rowOff>
    </xdr:from>
    <xdr:to>
      <xdr:col>22</xdr:col>
      <xdr:colOff>1038225</xdr:colOff>
      <xdr:row>32</xdr:row>
      <xdr:rowOff>76200</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257174</xdr:colOff>
      <xdr:row>33</xdr:row>
      <xdr:rowOff>0</xdr:rowOff>
    </xdr:from>
    <xdr:to>
      <xdr:col>22</xdr:col>
      <xdr:colOff>1038224</xdr:colOff>
      <xdr:row>47</xdr:row>
      <xdr:rowOff>66675</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0</xdr:col>
      <xdr:colOff>1628775</xdr:colOff>
      <xdr:row>6</xdr:row>
      <xdr:rowOff>9525</xdr:rowOff>
    </xdr:to>
    <xdr:pic>
      <xdr:nvPicPr>
        <xdr:cNvPr id="18" name="Imagem 17" descr="Trabalho · em · equipe · círculo · quebra-cabeça · quatro · laranja ·  desenho · animado - foto stock © limbi007 (#7107480) | Stockfresh">
          <a:hlinkClick xmlns:r="http://schemas.openxmlformats.org/officeDocument/2006/relationships" r:id="rId7"/>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1628775" cy="1152525"/>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pic>
    <xdr:clientData/>
  </xdr:twoCellAnchor>
  <xdr:twoCellAnchor>
    <xdr:from>
      <xdr:col>0</xdr:col>
      <xdr:colOff>1647825</xdr:colOff>
      <xdr:row>0</xdr:row>
      <xdr:rowOff>104775</xdr:rowOff>
    </xdr:from>
    <xdr:to>
      <xdr:col>4</xdr:col>
      <xdr:colOff>752475</xdr:colOff>
      <xdr:row>5</xdr:row>
      <xdr:rowOff>114300</xdr:rowOff>
    </xdr:to>
    <xdr:sp macro="" textlink="">
      <xdr:nvSpPr>
        <xdr:cNvPr id="19" name="Retângulo: Cantos Arredondados 21">
          <a:hlinkClick xmlns:r="http://schemas.openxmlformats.org/officeDocument/2006/relationships" r:id="rId7"/>
          <a:extLst>
            <a:ext uri="{FF2B5EF4-FFF2-40B4-BE49-F238E27FC236}">
              <a16:creationId xmlns:a16="http://schemas.microsoft.com/office/drawing/2014/main" id="{65DFE5B4-C03F-4CCE-9D69-50C4B29A8A89}"/>
            </a:ext>
          </a:extLst>
        </xdr:cNvPr>
        <xdr:cNvSpPr/>
      </xdr:nvSpPr>
      <xdr:spPr>
        <a:xfrm>
          <a:off x="1647825" y="104775"/>
          <a:ext cx="3933825" cy="9620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pt-BR" sz="1200" b="1"/>
            <a:t>COORDENAÇÃO GERAL DE RECURSOS HUMANOS - CGRH</a:t>
          </a:r>
        </a:p>
        <a:p>
          <a:pPr algn="ctr"/>
          <a:endParaRPr lang="pt-BR" sz="1200" b="1"/>
        </a:p>
        <a:p>
          <a:pPr algn="ctr"/>
          <a:r>
            <a:rPr lang="pt-BR" sz="1200" b="1"/>
            <a:t>DADOS</a:t>
          </a:r>
          <a:r>
            <a:rPr lang="pt-BR" sz="1200" b="1" baseline="0"/>
            <a:t> DA PESQUISA DE CLIMA ORGANIZACIONAL</a:t>
          </a:r>
          <a:endParaRPr lang="pt-BR" sz="1200" b="1"/>
        </a:p>
      </xdr:txBody>
    </xdr:sp>
    <xdr:clientData/>
  </xdr:twoCellAnchor>
  <xdr:twoCellAnchor editAs="oneCell">
    <xdr:from>
      <xdr:col>15</xdr:col>
      <xdr:colOff>209550</xdr:colOff>
      <xdr:row>0</xdr:row>
      <xdr:rowOff>85725</xdr:rowOff>
    </xdr:from>
    <xdr:to>
      <xdr:col>16</xdr:col>
      <xdr:colOff>721734</xdr:colOff>
      <xdr:row>4</xdr:row>
      <xdr:rowOff>90079</xdr:rowOff>
    </xdr:to>
    <xdr:pic>
      <xdr:nvPicPr>
        <xdr:cNvPr id="20" name="Imagem 19" descr="Transmagnabosco">
          <a:hlinkClick xmlns:r="http://schemas.openxmlformats.org/officeDocument/2006/relationships" r:id="rId9"/>
          <a:extLst>
            <a:ext uri="{FF2B5EF4-FFF2-40B4-BE49-F238E27FC236}">
              <a16:creationId xmlns:a16="http://schemas.microsoft.com/office/drawing/2014/main" id="{CEE31449-152B-43E8-B43F-2D40BAF5156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11475" y="85725"/>
          <a:ext cx="769359" cy="766354"/>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260190</xdr:colOff>
      <xdr:row>0</xdr:row>
      <xdr:rowOff>121605</xdr:rowOff>
    </xdr:from>
    <xdr:to>
      <xdr:col>15</xdr:col>
      <xdr:colOff>938437</xdr:colOff>
      <xdr:row>2</xdr:row>
      <xdr:rowOff>7305</xdr:rowOff>
    </xdr:to>
    <xdr:sp macro="" textlink="">
      <xdr:nvSpPr>
        <xdr:cNvPr id="21" name="Retângulo: Cantos Arredondados 7">
          <a:hlinkClick xmlns:r="http://schemas.openxmlformats.org/officeDocument/2006/relationships" r:id="rId9"/>
          <a:extLst>
            <a:ext uri="{FF2B5EF4-FFF2-40B4-BE49-F238E27FC236}">
              <a16:creationId xmlns:a16="http://schemas.microsoft.com/office/drawing/2014/main" id="{7915A315-C282-40F9-A9D9-0FDC5321EED5}"/>
            </a:ext>
          </a:extLst>
        </xdr:cNvPr>
        <xdr:cNvSpPr/>
      </xdr:nvSpPr>
      <xdr:spPr>
        <a:xfrm rot="473335">
          <a:off x="15662115" y="121605"/>
          <a:ext cx="0" cy="266700"/>
        </a:xfrm>
        <a:prstGeom prst="roundRect">
          <a:avLst>
            <a:gd name="adj" fmla="val 0"/>
          </a:avLst>
        </a:prstGeom>
        <a:solidFill>
          <a:schemeClr val="accent4">
            <a:lumMod val="60000"/>
            <a:lumOff val="40000"/>
            <a:alpha val="96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rgbClr val="FF0000"/>
              </a:solidFill>
            </a:rPr>
            <a:t>VOLTAR</a:t>
          </a:r>
        </a:p>
      </xdr:txBody>
    </xdr:sp>
    <xdr:clientData/>
  </xdr:twoCellAnchor>
  <xdr:twoCellAnchor>
    <xdr:from>
      <xdr:col>16</xdr:col>
      <xdr:colOff>0</xdr:colOff>
      <xdr:row>0</xdr:row>
      <xdr:rowOff>142875</xdr:rowOff>
    </xdr:from>
    <xdr:to>
      <xdr:col>16</xdr:col>
      <xdr:colOff>678247</xdr:colOff>
      <xdr:row>2</xdr:row>
      <xdr:rowOff>28575</xdr:rowOff>
    </xdr:to>
    <xdr:sp macro="" textlink="">
      <xdr:nvSpPr>
        <xdr:cNvPr id="22" name="Retângulo: Cantos Arredondados 7">
          <a:hlinkClick xmlns:r="http://schemas.openxmlformats.org/officeDocument/2006/relationships" r:id="rId9"/>
          <a:extLst>
            <a:ext uri="{FF2B5EF4-FFF2-40B4-BE49-F238E27FC236}">
              <a16:creationId xmlns:a16="http://schemas.microsoft.com/office/drawing/2014/main" id="{7915A315-C282-40F9-A9D9-0FDC5321EED5}"/>
            </a:ext>
          </a:extLst>
        </xdr:cNvPr>
        <xdr:cNvSpPr/>
      </xdr:nvSpPr>
      <xdr:spPr>
        <a:xfrm rot="473335">
          <a:off x="15659100" y="142875"/>
          <a:ext cx="678247" cy="266700"/>
        </a:xfrm>
        <a:prstGeom prst="roundRect">
          <a:avLst>
            <a:gd name="adj" fmla="val 0"/>
          </a:avLst>
        </a:prstGeom>
        <a:solidFill>
          <a:schemeClr val="accent4">
            <a:lumMod val="60000"/>
            <a:lumOff val="40000"/>
            <a:alpha val="96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rgbClr val="FF0000"/>
              </a:solidFill>
            </a:rPr>
            <a:t>VOLTAR</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18</xdr:row>
      <xdr:rowOff>0</xdr:rowOff>
    </xdr:from>
    <xdr:to>
      <xdr:col>6</xdr:col>
      <xdr:colOff>1038225</xdr:colOff>
      <xdr:row>32</xdr:row>
      <xdr:rowOff>76200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18</xdr:row>
      <xdr:rowOff>0</xdr:rowOff>
    </xdr:from>
    <xdr:to>
      <xdr:col>15</xdr:col>
      <xdr:colOff>0</xdr:colOff>
      <xdr:row>32</xdr:row>
      <xdr:rowOff>76200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33</xdr:row>
      <xdr:rowOff>0</xdr:rowOff>
    </xdr:from>
    <xdr:to>
      <xdr:col>6</xdr:col>
      <xdr:colOff>1038225</xdr:colOff>
      <xdr:row>47</xdr:row>
      <xdr:rowOff>76200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33</xdr:row>
      <xdr:rowOff>0</xdr:rowOff>
    </xdr:from>
    <xdr:to>
      <xdr:col>15</xdr:col>
      <xdr:colOff>0</xdr:colOff>
      <xdr:row>47</xdr:row>
      <xdr:rowOff>76200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0</xdr:colOff>
      <xdr:row>18</xdr:row>
      <xdr:rowOff>0</xdr:rowOff>
    </xdr:from>
    <xdr:to>
      <xdr:col>22</xdr:col>
      <xdr:colOff>1038225</xdr:colOff>
      <xdr:row>32</xdr:row>
      <xdr:rowOff>76200</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0</xdr:colOff>
      <xdr:row>33</xdr:row>
      <xdr:rowOff>0</xdr:rowOff>
    </xdr:from>
    <xdr:to>
      <xdr:col>23</xdr:col>
      <xdr:colOff>0</xdr:colOff>
      <xdr:row>47</xdr:row>
      <xdr:rowOff>76200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0</xdr:col>
      <xdr:colOff>1628775</xdr:colOff>
      <xdr:row>6</xdr:row>
      <xdr:rowOff>9525</xdr:rowOff>
    </xdr:to>
    <xdr:pic>
      <xdr:nvPicPr>
        <xdr:cNvPr id="8" name="Imagem 7" descr="Trabalho · em · equipe · círculo · quebra-cabeça · quatro · laranja ·  desenho · animado - foto stock © limbi007 (#7107480) | Stockfresh">
          <a:hlinkClick xmlns:r="http://schemas.openxmlformats.org/officeDocument/2006/relationships" r:id="rId7"/>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1628775" cy="1152525"/>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pic>
    <xdr:clientData/>
  </xdr:twoCellAnchor>
  <xdr:twoCellAnchor>
    <xdr:from>
      <xdr:col>0</xdr:col>
      <xdr:colOff>1647825</xdr:colOff>
      <xdr:row>0</xdr:row>
      <xdr:rowOff>104775</xdr:rowOff>
    </xdr:from>
    <xdr:to>
      <xdr:col>4</xdr:col>
      <xdr:colOff>752475</xdr:colOff>
      <xdr:row>5</xdr:row>
      <xdr:rowOff>114300</xdr:rowOff>
    </xdr:to>
    <xdr:sp macro="" textlink="">
      <xdr:nvSpPr>
        <xdr:cNvPr id="9" name="Retângulo: Cantos Arredondados 21">
          <a:hlinkClick xmlns:r="http://schemas.openxmlformats.org/officeDocument/2006/relationships" r:id="rId7"/>
          <a:extLst>
            <a:ext uri="{FF2B5EF4-FFF2-40B4-BE49-F238E27FC236}">
              <a16:creationId xmlns:a16="http://schemas.microsoft.com/office/drawing/2014/main" id="{65DFE5B4-C03F-4CCE-9D69-50C4B29A8A89}"/>
            </a:ext>
          </a:extLst>
        </xdr:cNvPr>
        <xdr:cNvSpPr/>
      </xdr:nvSpPr>
      <xdr:spPr>
        <a:xfrm>
          <a:off x="1647825" y="104775"/>
          <a:ext cx="4067175" cy="9620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pt-BR" sz="1200" b="1"/>
            <a:t>COORDENAÇÃO GERAL DE RECURSOS HUMANOS - CGRH</a:t>
          </a:r>
        </a:p>
        <a:p>
          <a:pPr algn="ctr"/>
          <a:endParaRPr lang="pt-BR" sz="1200" b="1"/>
        </a:p>
        <a:p>
          <a:pPr algn="ctr"/>
          <a:r>
            <a:rPr lang="pt-BR" sz="1200" b="1"/>
            <a:t>DADOS</a:t>
          </a:r>
          <a:r>
            <a:rPr lang="pt-BR" sz="1200" b="1" baseline="0"/>
            <a:t> DA PESQUISA DE CLIMA ORGANIZACIONAL</a:t>
          </a:r>
          <a:endParaRPr lang="pt-BR" sz="1200" b="1"/>
        </a:p>
      </xdr:txBody>
    </xdr:sp>
    <xdr:clientData/>
  </xdr:twoCellAnchor>
  <xdr:twoCellAnchor editAs="oneCell">
    <xdr:from>
      <xdr:col>15</xdr:col>
      <xdr:colOff>209550</xdr:colOff>
      <xdr:row>0</xdr:row>
      <xdr:rowOff>85725</xdr:rowOff>
    </xdr:from>
    <xdr:to>
      <xdr:col>16</xdr:col>
      <xdr:colOff>721734</xdr:colOff>
      <xdr:row>4</xdr:row>
      <xdr:rowOff>90079</xdr:rowOff>
    </xdr:to>
    <xdr:pic>
      <xdr:nvPicPr>
        <xdr:cNvPr id="10" name="Imagem 9" descr="Transmagnabosco">
          <a:hlinkClick xmlns:r="http://schemas.openxmlformats.org/officeDocument/2006/relationships" r:id="rId9"/>
          <a:extLst>
            <a:ext uri="{FF2B5EF4-FFF2-40B4-BE49-F238E27FC236}">
              <a16:creationId xmlns:a16="http://schemas.microsoft.com/office/drawing/2014/main" id="{CEE31449-152B-43E8-B43F-2D40BAF5156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144875" y="85725"/>
          <a:ext cx="769359" cy="766354"/>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260190</xdr:colOff>
      <xdr:row>0</xdr:row>
      <xdr:rowOff>121605</xdr:rowOff>
    </xdr:from>
    <xdr:to>
      <xdr:col>15</xdr:col>
      <xdr:colOff>938437</xdr:colOff>
      <xdr:row>2</xdr:row>
      <xdr:rowOff>7305</xdr:rowOff>
    </xdr:to>
    <xdr:sp macro="" textlink="">
      <xdr:nvSpPr>
        <xdr:cNvPr id="11" name="Retângulo: Cantos Arredondados 7">
          <a:hlinkClick xmlns:r="http://schemas.openxmlformats.org/officeDocument/2006/relationships" r:id="rId9"/>
          <a:extLst>
            <a:ext uri="{FF2B5EF4-FFF2-40B4-BE49-F238E27FC236}">
              <a16:creationId xmlns:a16="http://schemas.microsoft.com/office/drawing/2014/main" id="{7915A315-C282-40F9-A9D9-0FDC5321EED5}"/>
            </a:ext>
          </a:extLst>
        </xdr:cNvPr>
        <xdr:cNvSpPr/>
      </xdr:nvSpPr>
      <xdr:spPr>
        <a:xfrm rot="473335">
          <a:off x="16195515" y="121605"/>
          <a:ext cx="0" cy="266700"/>
        </a:xfrm>
        <a:prstGeom prst="roundRect">
          <a:avLst>
            <a:gd name="adj" fmla="val 0"/>
          </a:avLst>
        </a:prstGeom>
        <a:solidFill>
          <a:schemeClr val="accent4">
            <a:lumMod val="60000"/>
            <a:lumOff val="40000"/>
            <a:alpha val="96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rgbClr val="FF0000"/>
              </a:solidFill>
            </a:rPr>
            <a:t>VOLTAR</a:t>
          </a:r>
        </a:p>
      </xdr:txBody>
    </xdr:sp>
    <xdr:clientData/>
  </xdr:twoCellAnchor>
  <xdr:twoCellAnchor>
    <xdr:from>
      <xdr:col>16</xdr:col>
      <xdr:colOff>0</xdr:colOff>
      <xdr:row>0</xdr:row>
      <xdr:rowOff>142875</xdr:rowOff>
    </xdr:from>
    <xdr:to>
      <xdr:col>16</xdr:col>
      <xdr:colOff>678247</xdr:colOff>
      <xdr:row>2</xdr:row>
      <xdr:rowOff>28575</xdr:rowOff>
    </xdr:to>
    <xdr:sp macro="" textlink="">
      <xdr:nvSpPr>
        <xdr:cNvPr id="12" name="Retângulo: Cantos Arredondados 7">
          <a:hlinkClick xmlns:r="http://schemas.openxmlformats.org/officeDocument/2006/relationships" r:id="rId9"/>
          <a:extLst>
            <a:ext uri="{FF2B5EF4-FFF2-40B4-BE49-F238E27FC236}">
              <a16:creationId xmlns:a16="http://schemas.microsoft.com/office/drawing/2014/main" id="{7915A315-C282-40F9-A9D9-0FDC5321EED5}"/>
            </a:ext>
          </a:extLst>
        </xdr:cNvPr>
        <xdr:cNvSpPr/>
      </xdr:nvSpPr>
      <xdr:spPr>
        <a:xfrm rot="473335">
          <a:off x="16192500" y="142875"/>
          <a:ext cx="678247" cy="266700"/>
        </a:xfrm>
        <a:prstGeom prst="roundRect">
          <a:avLst>
            <a:gd name="adj" fmla="val 0"/>
          </a:avLst>
        </a:prstGeom>
        <a:solidFill>
          <a:schemeClr val="accent4">
            <a:lumMod val="60000"/>
            <a:lumOff val="40000"/>
            <a:alpha val="96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rgbClr val="FF0000"/>
              </a:solidFill>
            </a:rPr>
            <a:t>VOLTAR</a:t>
          </a: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1628775</xdr:colOff>
      <xdr:row>6</xdr:row>
      <xdr:rowOff>9525</xdr:rowOff>
    </xdr:to>
    <xdr:pic>
      <xdr:nvPicPr>
        <xdr:cNvPr id="37" name="Imagem 36" descr="Trabalho · em · equipe · círculo · quebra-cabeça · quatro · laranja ·  desenho · animado - foto stock © limbi007 (#7107480) | Stockfresh">
          <a:hlinkClick xmlns:r="http://schemas.openxmlformats.org/officeDocument/2006/relationships" r:id="rId1"/>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628775" cy="1152525"/>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pic>
    <xdr:clientData/>
  </xdr:twoCellAnchor>
  <xdr:twoCellAnchor>
    <xdr:from>
      <xdr:col>0</xdr:col>
      <xdr:colOff>1647825</xdr:colOff>
      <xdr:row>0</xdr:row>
      <xdr:rowOff>104775</xdr:rowOff>
    </xdr:from>
    <xdr:to>
      <xdr:col>4</xdr:col>
      <xdr:colOff>495300</xdr:colOff>
      <xdr:row>5</xdr:row>
      <xdr:rowOff>114300</xdr:rowOff>
    </xdr:to>
    <xdr:sp macro="" textlink="">
      <xdr:nvSpPr>
        <xdr:cNvPr id="38" name="Retângulo: Cantos Arredondados 21">
          <a:hlinkClick xmlns:r="http://schemas.openxmlformats.org/officeDocument/2006/relationships" r:id="rId1"/>
          <a:extLst>
            <a:ext uri="{FF2B5EF4-FFF2-40B4-BE49-F238E27FC236}">
              <a16:creationId xmlns:a16="http://schemas.microsoft.com/office/drawing/2014/main" id="{65DFE5B4-C03F-4CCE-9D69-50C4B29A8A89}"/>
            </a:ext>
          </a:extLst>
        </xdr:cNvPr>
        <xdr:cNvSpPr/>
      </xdr:nvSpPr>
      <xdr:spPr>
        <a:xfrm>
          <a:off x="1647825" y="104775"/>
          <a:ext cx="4067175" cy="9620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pt-BR" sz="1200" b="1"/>
            <a:t>COORDENAÇÃO GERAL DE RECURSOS HUMANOS - CGRH</a:t>
          </a:r>
        </a:p>
        <a:p>
          <a:pPr algn="ctr"/>
          <a:endParaRPr lang="pt-BR" sz="1200" b="1"/>
        </a:p>
        <a:p>
          <a:pPr algn="ctr"/>
          <a:r>
            <a:rPr lang="pt-BR" sz="1200" b="1"/>
            <a:t>DADOS</a:t>
          </a:r>
          <a:r>
            <a:rPr lang="pt-BR" sz="1200" b="1" baseline="0"/>
            <a:t> DA PESQUISA DE CLIMA ORGANIZACIONAL</a:t>
          </a:r>
          <a:endParaRPr lang="pt-BR" sz="1200" b="1"/>
        </a:p>
      </xdr:txBody>
    </xdr:sp>
    <xdr:clientData/>
  </xdr:twoCellAnchor>
  <xdr:twoCellAnchor editAs="oneCell">
    <xdr:from>
      <xdr:col>13</xdr:col>
      <xdr:colOff>895350</xdr:colOff>
      <xdr:row>0</xdr:row>
      <xdr:rowOff>85725</xdr:rowOff>
    </xdr:from>
    <xdr:to>
      <xdr:col>14</xdr:col>
      <xdr:colOff>616959</xdr:colOff>
      <xdr:row>4</xdr:row>
      <xdr:rowOff>90079</xdr:rowOff>
    </xdr:to>
    <xdr:pic>
      <xdr:nvPicPr>
        <xdr:cNvPr id="39" name="Imagem 38" descr="Transmagnabosco">
          <a:hlinkClick xmlns:r="http://schemas.openxmlformats.org/officeDocument/2006/relationships" r:id="rId3"/>
          <a:extLst>
            <a:ext uri="{FF2B5EF4-FFF2-40B4-BE49-F238E27FC236}">
              <a16:creationId xmlns:a16="http://schemas.microsoft.com/office/drawing/2014/main" id="{CEE31449-152B-43E8-B43F-2D40BAF5156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144875" y="85725"/>
          <a:ext cx="769359" cy="766354"/>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942975</xdr:colOff>
      <xdr:row>0</xdr:row>
      <xdr:rowOff>142875</xdr:rowOff>
    </xdr:from>
    <xdr:to>
      <xdr:col>14</xdr:col>
      <xdr:colOff>573472</xdr:colOff>
      <xdr:row>2</xdr:row>
      <xdr:rowOff>28575</xdr:rowOff>
    </xdr:to>
    <xdr:sp macro="" textlink="">
      <xdr:nvSpPr>
        <xdr:cNvPr id="40" name="Retângulo: Cantos Arredondados 7">
          <a:hlinkClick xmlns:r="http://schemas.openxmlformats.org/officeDocument/2006/relationships" r:id="rId3"/>
          <a:extLst>
            <a:ext uri="{FF2B5EF4-FFF2-40B4-BE49-F238E27FC236}">
              <a16:creationId xmlns:a16="http://schemas.microsoft.com/office/drawing/2014/main" id="{7915A315-C282-40F9-A9D9-0FDC5321EED5}"/>
            </a:ext>
          </a:extLst>
        </xdr:cNvPr>
        <xdr:cNvSpPr/>
      </xdr:nvSpPr>
      <xdr:spPr>
        <a:xfrm rot="473335">
          <a:off x="16192500" y="142875"/>
          <a:ext cx="678247" cy="266700"/>
        </a:xfrm>
        <a:prstGeom prst="roundRect">
          <a:avLst>
            <a:gd name="adj" fmla="val 0"/>
          </a:avLst>
        </a:prstGeom>
        <a:solidFill>
          <a:schemeClr val="accent4">
            <a:lumMod val="60000"/>
            <a:lumOff val="40000"/>
            <a:alpha val="96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rgbClr val="FF0000"/>
              </a:solidFill>
            </a:rPr>
            <a:t>VOLTAR</a:t>
          </a:r>
        </a:p>
      </xdr:txBody>
    </xdr:sp>
    <xdr:clientData/>
  </xdr:twoCellAnchor>
  <xdr:twoCellAnchor>
    <xdr:from>
      <xdr:col>0</xdr:col>
      <xdr:colOff>0</xdr:colOff>
      <xdr:row>18</xdr:row>
      <xdr:rowOff>0</xdr:rowOff>
    </xdr:from>
    <xdr:to>
      <xdr:col>7</xdr:col>
      <xdr:colOff>0</xdr:colOff>
      <xdr:row>32</xdr:row>
      <xdr:rowOff>76200</xdr:rowOff>
    </xdr:to>
    <xdr:graphicFrame macro="">
      <xdr:nvGraphicFramePr>
        <xdr:cNvPr id="41" name="Gráfico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18</xdr:row>
      <xdr:rowOff>0</xdr:rowOff>
    </xdr:from>
    <xdr:to>
      <xdr:col>15</xdr:col>
      <xdr:colOff>0</xdr:colOff>
      <xdr:row>32</xdr:row>
      <xdr:rowOff>76200</xdr:rowOff>
    </xdr:to>
    <xdr:graphicFrame macro="">
      <xdr:nvGraphicFramePr>
        <xdr:cNvPr id="42" name="Gráfico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33</xdr:row>
      <xdr:rowOff>0</xdr:rowOff>
    </xdr:from>
    <xdr:to>
      <xdr:col>6</xdr:col>
      <xdr:colOff>1038224</xdr:colOff>
      <xdr:row>47</xdr:row>
      <xdr:rowOff>76200</xdr:rowOff>
    </xdr:to>
    <xdr:graphicFrame macro="">
      <xdr:nvGraphicFramePr>
        <xdr:cNvPr id="43" name="Gráfico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33</xdr:row>
      <xdr:rowOff>0</xdr:rowOff>
    </xdr:from>
    <xdr:to>
      <xdr:col>15</xdr:col>
      <xdr:colOff>0</xdr:colOff>
      <xdr:row>47</xdr:row>
      <xdr:rowOff>76200</xdr:rowOff>
    </xdr:to>
    <xdr:graphicFrame macro="">
      <xdr:nvGraphicFramePr>
        <xdr:cNvPr id="44" name="Gráfico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58</xdr:row>
      <xdr:rowOff>0</xdr:rowOff>
    </xdr:from>
    <xdr:to>
      <xdr:col>7</xdr:col>
      <xdr:colOff>0</xdr:colOff>
      <xdr:row>72</xdr:row>
      <xdr:rowOff>76200</xdr:rowOff>
    </xdr:to>
    <xdr:graphicFrame macro="">
      <xdr:nvGraphicFramePr>
        <xdr:cNvPr id="45" name="Gráfico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58</xdr:row>
      <xdr:rowOff>0</xdr:rowOff>
    </xdr:from>
    <xdr:to>
      <xdr:col>14</xdr:col>
      <xdr:colOff>1038225</xdr:colOff>
      <xdr:row>72</xdr:row>
      <xdr:rowOff>76200</xdr:rowOff>
    </xdr:to>
    <xdr:graphicFrame macro="">
      <xdr:nvGraphicFramePr>
        <xdr:cNvPr id="46" name="Gráfico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73</xdr:row>
      <xdr:rowOff>0</xdr:rowOff>
    </xdr:from>
    <xdr:to>
      <xdr:col>7</xdr:col>
      <xdr:colOff>0</xdr:colOff>
      <xdr:row>87</xdr:row>
      <xdr:rowOff>76200</xdr:rowOff>
    </xdr:to>
    <xdr:graphicFrame macro="">
      <xdr:nvGraphicFramePr>
        <xdr:cNvPr id="47" name="Gráfico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73</xdr:row>
      <xdr:rowOff>0</xdr:rowOff>
    </xdr:from>
    <xdr:to>
      <xdr:col>15</xdr:col>
      <xdr:colOff>0</xdr:colOff>
      <xdr:row>87</xdr:row>
      <xdr:rowOff>76200</xdr:rowOff>
    </xdr:to>
    <xdr:graphicFrame macro="">
      <xdr:nvGraphicFramePr>
        <xdr:cNvPr id="48" name="Gráfico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98</xdr:row>
      <xdr:rowOff>0</xdr:rowOff>
    </xdr:from>
    <xdr:to>
      <xdr:col>6</xdr:col>
      <xdr:colOff>1038224</xdr:colOff>
      <xdr:row>112</xdr:row>
      <xdr:rowOff>76200</xdr:rowOff>
    </xdr:to>
    <xdr:graphicFrame macro="">
      <xdr:nvGraphicFramePr>
        <xdr:cNvPr id="49" name="Gráfico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98</xdr:row>
      <xdr:rowOff>0</xdr:rowOff>
    </xdr:from>
    <xdr:to>
      <xdr:col>14</xdr:col>
      <xdr:colOff>1038225</xdr:colOff>
      <xdr:row>112</xdr:row>
      <xdr:rowOff>76200</xdr:rowOff>
    </xdr:to>
    <xdr:graphicFrame macro="">
      <xdr:nvGraphicFramePr>
        <xdr:cNvPr id="50" name="Gráfico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113</xdr:row>
      <xdr:rowOff>0</xdr:rowOff>
    </xdr:from>
    <xdr:to>
      <xdr:col>6</xdr:col>
      <xdr:colOff>1038224</xdr:colOff>
      <xdr:row>127</xdr:row>
      <xdr:rowOff>76200</xdr:rowOff>
    </xdr:to>
    <xdr:graphicFrame macro="">
      <xdr:nvGraphicFramePr>
        <xdr:cNvPr id="51" name="Gráfico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113</xdr:row>
      <xdr:rowOff>0</xdr:rowOff>
    </xdr:from>
    <xdr:to>
      <xdr:col>14</xdr:col>
      <xdr:colOff>1038225</xdr:colOff>
      <xdr:row>127</xdr:row>
      <xdr:rowOff>76200</xdr:rowOff>
    </xdr:to>
    <xdr:graphicFrame macro="">
      <xdr:nvGraphicFramePr>
        <xdr:cNvPr id="52" name="Gráfico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137</xdr:row>
      <xdr:rowOff>0</xdr:rowOff>
    </xdr:from>
    <xdr:to>
      <xdr:col>7</xdr:col>
      <xdr:colOff>0</xdr:colOff>
      <xdr:row>151</xdr:row>
      <xdr:rowOff>76200</xdr:rowOff>
    </xdr:to>
    <xdr:graphicFrame macro="">
      <xdr:nvGraphicFramePr>
        <xdr:cNvPr id="53" name="Gráfico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0</xdr:colOff>
      <xdr:row>137</xdr:row>
      <xdr:rowOff>0</xdr:rowOff>
    </xdr:from>
    <xdr:to>
      <xdr:col>15</xdr:col>
      <xdr:colOff>9525</xdr:colOff>
      <xdr:row>151</xdr:row>
      <xdr:rowOff>76200</xdr:rowOff>
    </xdr:to>
    <xdr:graphicFrame macro="">
      <xdr:nvGraphicFramePr>
        <xdr:cNvPr id="54" name="Gráfico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152</xdr:row>
      <xdr:rowOff>0</xdr:rowOff>
    </xdr:from>
    <xdr:to>
      <xdr:col>7</xdr:col>
      <xdr:colOff>0</xdr:colOff>
      <xdr:row>166</xdr:row>
      <xdr:rowOff>76200</xdr:rowOff>
    </xdr:to>
    <xdr:graphicFrame macro="">
      <xdr:nvGraphicFramePr>
        <xdr:cNvPr id="55" name="Gráfico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0</xdr:colOff>
      <xdr:row>152</xdr:row>
      <xdr:rowOff>0</xdr:rowOff>
    </xdr:from>
    <xdr:to>
      <xdr:col>15</xdr:col>
      <xdr:colOff>9525</xdr:colOff>
      <xdr:row>166</xdr:row>
      <xdr:rowOff>76200</xdr:rowOff>
    </xdr:to>
    <xdr:graphicFrame macro="">
      <xdr:nvGraphicFramePr>
        <xdr:cNvPr id="56" name="Gráfico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177</xdr:row>
      <xdr:rowOff>0</xdr:rowOff>
    </xdr:from>
    <xdr:to>
      <xdr:col>7</xdr:col>
      <xdr:colOff>0</xdr:colOff>
      <xdr:row>191</xdr:row>
      <xdr:rowOff>76200</xdr:rowOff>
    </xdr:to>
    <xdr:graphicFrame macro="">
      <xdr:nvGraphicFramePr>
        <xdr:cNvPr id="57" name="Gráfico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609599</xdr:colOff>
      <xdr:row>177</xdr:row>
      <xdr:rowOff>0</xdr:rowOff>
    </xdr:from>
    <xdr:to>
      <xdr:col>14</xdr:col>
      <xdr:colOff>1047749</xdr:colOff>
      <xdr:row>191</xdr:row>
      <xdr:rowOff>76200</xdr:rowOff>
    </xdr:to>
    <xdr:graphicFrame macro="">
      <xdr:nvGraphicFramePr>
        <xdr:cNvPr id="58" name="Gráfico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192</xdr:row>
      <xdr:rowOff>0</xdr:rowOff>
    </xdr:from>
    <xdr:to>
      <xdr:col>6</xdr:col>
      <xdr:colOff>1038224</xdr:colOff>
      <xdr:row>206</xdr:row>
      <xdr:rowOff>76200</xdr:rowOff>
    </xdr:to>
    <xdr:graphicFrame macro="">
      <xdr:nvGraphicFramePr>
        <xdr:cNvPr id="59" name="Gráfico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8</xdr:col>
      <xdr:colOff>0</xdr:colOff>
      <xdr:row>192</xdr:row>
      <xdr:rowOff>0</xdr:rowOff>
    </xdr:from>
    <xdr:to>
      <xdr:col>14</xdr:col>
      <xdr:colOff>1038225</xdr:colOff>
      <xdr:row>206</xdr:row>
      <xdr:rowOff>76200</xdr:rowOff>
    </xdr:to>
    <xdr:graphicFrame macro="">
      <xdr:nvGraphicFramePr>
        <xdr:cNvPr id="60" name="Gráfico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1628775</xdr:colOff>
      <xdr:row>6</xdr:row>
      <xdr:rowOff>9525</xdr:rowOff>
    </xdr:to>
    <xdr:pic>
      <xdr:nvPicPr>
        <xdr:cNvPr id="2" name="Imagem 1" descr="Trabalho · em · equipe · círculo · quebra-cabeça · quatro · laranja ·  desenho · animado - foto stock © limbi007 (#7107480) | Stockfresh">
          <a:hlinkClick xmlns:r="http://schemas.openxmlformats.org/officeDocument/2006/relationships" r:id="rId1"/>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628775" cy="1152525"/>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pic>
    <xdr:clientData/>
  </xdr:twoCellAnchor>
  <xdr:twoCellAnchor>
    <xdr:from>
      <xdr:col>0</xdr:col>
      <xdr:colOff>1647825</xdr:colOff>
      <xdr:row>0</xdr:row>
      <xdr:rowOff>104775</xdr:rowOff>
    </xdr:from>
    <xdr:to>
      <xdr:col>4</xdr:col>
      <xdr:colOff>495300</xdr:colOff>
      <xdr:row>5</xdr:row>
      <xdr:rowOff>114300</xdr:rowOff>
    </xdr:to>
    <xdr:sp macro="" textlink="">
      <xdr:nvSpPr>
        <xdr:cNvPr id="3" name="Retângulo: Cantos Arredondados 21">
          <a:hlinkClick xmlns:r="http://schemas.openxmlformats.org/officeDocument/2006/relationships" r:id="rId1"/>
          <a:extLst>
            <a:ext uri="{FF2B5EF4-FFF2-40B4-BE49-F238E27FC236}">
              <a16:creationId xmlns:a16="http://schemas.microsoft.com/office/drawing/2014/main" id="{65DFE5B4-C03F-4CCE-9D69-50C4B29A8A89}"/>
            </a:ext>
          </a:extLst>
        </xdr:cNvPr>
        <xdr:cNvSpPr/>
      </xdr:nvSpPr>
      <xdr:spPr>
        <a:xfrm>
          <a:off x="1647825" y="104775"/>
          <a:ext cx="4067175" cy="9620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pt-BR" sz="1200" b="1"/>
            <a:t>COORDENAÇÃO GERAL DE RECURSOS HUMANOS - CGRH</a:t>
          </a:r>
        </a:p>
        <a:p>
          <a:pPr algn="ctr"/>
          <a:endParaRPr lang="pt-BR" sz="1200" b="1"/>
        </a:p>
        <a:p>
          <a:pPr algn="ctr"/>
          <a:r>
            <a:rPr lang="pt-BR" sz="1200" b="1"/>
            <a:t>DADOS</a:t>
          </a:r>
          <a:r>
            <a:rPr lang="pt-BR" sz="1200" b="1" baseline="0"/>
            <a:t> DA PESQUISA DE CLIMA ORGANIZACIONAL</a:t>
          </a:r>
          <a:endParaRPr lang="pt-BR" sz="1200" b="1"/>
        </a:p>
      </xdr:txBody>
    </xdr:sp>
    <xdr:clientData/>
  </xdr:twoCellAnchor>
  <xdr:twoCellAnchor editAs="oneCell">
    <xdr:from>
      <xdr:col>13</xdr:col>
      <xdr:colOff>895350</xdr:colOff>
      <xdr:row>0</xdr:row>
      <xdr:rowOff>85725</xdr:rowOff>
    </xdr:from>
    <xdr:to>
      <xdr:col>14</xdr:col>
      <xdr:colOff>616959</xdr:colOff>
      <xdr:row>4</xdr:row>
      <xdr:rowOff>90079</xdr:rowOff>
    </xdr:to>
    <xdr:pic>
      <xdr:nvPicPr>
        <xdr:cNvPr id="4" name="Imagem 3" descr="Transmagnabosco">
          <a:hlinkClick xmlns:r="http://schemas.openxmlformats.org/officeDocument/2006/relationships" r:id="rId3"/>
          <a:extLst>
            <a:ext uri="{FF2B5EF4-FFF2-40B4-BE49-F238E27FC236}">
              <a16:creationId xmlns:a16="http://schemas.microsoft.com/office/drawing/2014/main" id="{CEE31449-152B-43E8-B43F-2D40BAF5156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144875" y="85725"/>
          <a:ext cx="769359" cy="766354"/>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942975</xdr:colOff>
      <xdr:row>0</xdr:row>
      <xdr:rowOff>142875</xdr:rowOff>
    </xdr:from>
    <xdr:to>
      <xdr:col>14</xdr:col>
      <xdr:colOff>573472</xdr:colOff>
      <xdr:row>2</xdr:row>
      <xdr:rowOff>28575</xdr:rowOff>
    </xdr:to>
    <xdr:sp macro="" textlink="">
      <xdr:nvSpPr>
        <xdr:cNvPr id="5" name="Retângulo: Cantos Arredondados 7">
          <a:hlinkClick xmlns:r="http://schemas.openxmlformats.org/officeDocument/2006/relationships" r:id="rId3"/>
          <a:extLst>
            <a:ext uri="{FF2B5EF4-FFF2-40B4-BE49-F238E27FC236}">
              <a16:creationId xmlns:a16="http://schemas.microsoft.com/office/drawing/2014/main" id="{7915A315-C282-40F9-A9D9-0FDC5321EED5}"/>
            </a:ext>
          </a:extLst>
        </xdr:cNvPr>
        <xdr:cNvSpPr/>
      </xdr:nvSpPr>
      <xdr:spPr>
        <a:xfrm rot="473335">
          <a:off x="16192500" y="142875"/>
          <a:ext cx="678247" cy="266700"/>
        </a:xfrm>
        <a:prstGeom prst="roundRect">
          <a:avLst>
            <a:gd name="adj" fmla="val 0"/>
          </a:avLst>
        </a:prstGeom>
        <a:solidFill>
          <a:schemeClr val="accent4">
            <a:lumMod val="60000"/>
            <a:lumOff val="40000"/>
            <a:alpha val="96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rgbClr val="FF0000"/>
              </a:solidFill>
            </a:rPr>
            <a:t>VOLTAR</a:t>
          </a:r>
        </a:p>
      </xdr:txBody>
    </xdr:sp>
    <xdr:clientData/>
  </xdr:twoCellAnchor>
  <xdr:twoCellAnchor>
    <xdr:from>
      <xdr:col>0</xdr:col>
      <xdr:colOff>0</xdr:colOff>
      <xdr:row>18</xdr:row>
      <xdr:rowOff>0</xdr:rowOff>
    </xdr:from>
    <xdr:to>
      <xdr:col>6</xdr:col>
      <xdr:colOff>1038224</xdr:colOff>
      <xdr:row>32</xdr:row>
      <xdr:rowOff>76200</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18</xdr:row>
      <xdr:rowOff>0</xdr:rowOff>
    </xdr:from>
    <xdr:to>
      <xdr:col>15</xdr:col>
      <xdr:colOff>0</xdr:colOff>
      <xdr:row>32</xdr:row>
      <xdr:rowOff>76200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6</xdr:col>
      <xdr:colOff>1038224</xdr:colOff>
      <xdr:row>56</xdr:row>
      <xdr:rowOff>76200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42</xdr:row>
      <xdr:rowOff>0</xdr:rowOff>
    </xdr:from>
    <xdr:to>
      <xdr:col>14</xdr:col>
      <xdr:colOff>1038225</xdr:colOff>
      <xdr:row>56</xdr:row>
      <xdr:rowOff>76200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304800</xdr:colOff>
      <xdr:row>0</xdr:row>
      <xdr:rowOff>104775</xdr:rowOff>
    </xdr:from>
    <xdr:to>
      <xdr:col>0</xdr:col>
      <xdr:colOff>1234239</xdr:colOff>
      <xdr:row>0</xdr:row>
      <xdr:rowOff>517358</xdr:rowOff>
    </xdr:to>
    <xdr:sp macro="" textlink="">
      <xdr:nvSpPr>
        <xdr:cNvPr id="2" name="Seta para a esquerda 42">
          <a:hlinkClick xmlns:r="http://schemas.openxmlformats.org/officeDocument/2006/relationships" r:id="rId1"/>
          <a:extLst>
            <a:ext uri="{FF2B5EF4-FFF2-40B4-BE49-F238E27FC236}">
              <a16:creationId xmlns:a16="http://schemas.microsoft.com/office/drawing/2014/main" id="{00000000-0008-0000-5200-00002B000000}"/>
            </a:ext>
          </a:extLst>
        </xdr:cNvPr>
        <xdr:cNvSpPr/>
      </xdr:nvSpPr>
      <xdr:spPr>
        <a:xfrm>
          <a:off x="304800" y="104775"/>
          <a:ext cx="929439" cy="412583"/>
        </a:xfrm>
        <a:prstGeom prst="leftArrow">
          <a:avLst/>
        </a:prstGeom>
        <a:solidFill>
          <a:srgbClr val="BD2115"/>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VOLTAR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46</xdr:row>
      <xdr:rowOff>104775</xdr:rowOff>
    </xdr:from>
    <xdr:to>
      <xdr:col>15</xdr:col>
      <xdr:colOff>523875</xdr:colOff>
      <xdr:row>64</xdr:row>
      <xdr:rowOff>104775</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609599</xdr:colOff>
      <xdr:row>46</xdr:row>
      <xdr:rowOff>104775</xdr:rowOff>
    </xdr:from>
    <xdr:to>
      <xdr:col>24</xdr:col>
      <xdr:colOff>600075</xdr:colOff>
      <xdr:row>64</xdr:row>
      <xdr:rowOff>104775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9526</xdr:colOff>
      <xdr:row>66</xdr:row>
      <xdr:rowOff>66675</xdr:rowOff>
    </xdr:from>
    <xdr:to>
      <xdr:col>15</xdr:col>
      <xdr:colOff>495300</xdr:colOff>
      <xdr:row>84</xdr:row>
      <xdr:rowOff>66675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609599</xdr:colOff>
      <xdr:row>66</xdr:row>
      <xdr:rowOff>57150</xdr:rowOff>
    </xdr:from>
    <xdr:to>
      <xdr:col>24</xdr:col>
      <xdr:colOff>600075</xdr:colOff>
      <xdr:row>84</xdr:row>
      <xdr:rowOff>57150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9526</xdr:colOff>
      <xdr:row>85</xdr:row>
      <xdr:rowOff>66674</xdr:rowOff>
    </xdr:from>
    <xdr:to>
      <xdr:col>15</xdr:col>
      <xdr:colOff>485776</xdr:colOff>
      <xdr:row>116</xdr:row>
      <xdr:rowOff>133349</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14287</xdr:colOff>
      <xdr:row>85</xdr:row>
      <xdr:rowOff>66674</xdr:rowOff>
    </xdr:from>
    <xdr:to>
      <xdr:col>25</xdr:col>
      <xdr:colOff>9525</xdr:colOff>
      <xdr:row>116</xdr:row>
      <xdr:rowOff>133349</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9526</xdr:colOff>
      <xdr:row>5</xdr:row>
      <xdr:rowOff>180974</xdr:rowOff>
    </xdr:from>
    <xdr:to>
      <xdr:col>25</xdr:col>
      <xdr:colOff>0</xdr:colOff>
      <xdr:row>24</xdr:row>
      <xdr:rowOff>171449</xdr:rowOff>
    </xdr:to>
    <xdr:graphicFrame macro="">
      <xdr:nvGraphicFramePr>
        <xdr:cNvPr id="34" name="Gráfico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26</xdr:row>
      <xdr:rowOff>19050</xdr:rowOff>
    </xdr:from>
    <xdr:to>
      <xdr:col>24</xdr:col>
      <xdr:colOff>600075</xdr:colOff>
      <xdr:row>44</xdr:row>
      <xdr:rowOff>180975</xdr:rowOff>
    </xdr:to>
    <xdr:graphicFrame macro="">
      <xdr:nvGraphicFramePr>
        <xdr:cNvPr id="36" name="Gráfico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209550</xdr:colOff>
      <xdr:row>1</xdr:row>
      <xdr:rowOff>66675</xdr:rowOff>
    </xdr:from>
    <xdr:to>
      <xdr:col>4</xdr:col>
      <xdr:colOff>529389</xdr:colOff>
      <xdr:row>3</xdr:row>
      <xdr:rowOff>98258</xdr:rowOff>
    </xdr:to>
    <xdr:sp macro="" textlink="">
      <xdr:nvSpPr>
        <xdr:cNvPr id="38" name="Seta para a esquerda 42">
          <a:hlinkClick xmlns:r="http://schemas.openxmlformats.org/officeDocument/2006/relationships" r:id="rId9"/>
          <a:extLst>
            <a:ext uri="{FF2B5EF4-FFF2-40B4-BE49-F238E27FC236}">
              <a16:creationId xmlns:a16="http://schemas.microsoft.com/office/drawing/2014/main" id="{00000000-0008-0000-5200-00002B000000}"/>
            </a:ext>
          </a:extLst>
        </xdr:cNvPr>
        <xdr:cNvSpPr/>
      </xdr:nvSpPr>
      <xdr:spPr>
        <a:xfrm>
          <a:off x="2038350" y="257175"/>
          <a:ext cx="929439" cy="412583"/>
        </a:xfrm>
        <a:prstGeom prst="leftArrow">
          <a:avLst/>
        </a:prstGeom>
        <a:solidFill>
          <a:srgbClr val="BD2115"/>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VOLTAR</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114300</xdr:colOff>
      <xdr:row>0</xdr:row>
      <xdr:rowOff>28575</xdr:rowOff>
    </xdr:from>
    <xdr:to>
      <xdr:col>1</xdr:col>
      <xdr:colOff>361950</xdr:colOff>
      <xdr:row>0</xdr:row>
      <xdr:rowOff>441158</xdr:rowOff>
    </xdr:to>
    <xdr:sp macro="" textlink="">
      <xdr:nvSpPr>
        <xdr:cNvPr id="3" name="Seta para a esquerda 42">
          <a:hlinkClick xmlns:r="http://schemas.openxmlformats.org/officeDocument/2006/relationships" r:id="rId1"/>
          <a:extLst>
            <a:ext uri="{FF2B5EF4-FFF2-40B4-BE49-F238E27FC236}">
              <a16:creationId xmlns:a16="http://schemas.microsoft.com/office/drawing/2014/main" id="{00000000-0008-0000-5200-00002B000000}"/>
            </a:ext>
          </a:extLst>
        </xdr:cNvPr>
        <xdr:cNvSpPr/>
      </xdr:nvSpPr>
      <xdr:spPr>
        <a:xfrm>
          <a:off x="114300" y="28575"/>
          <a:ext cx="929439" cy="412583"/>
        </a:xfrm>
        <a:prstGeom prst="leftArrow">
          <a:avLst/>
        </a:prstGeom>
        <a:solidFill>
          <a:srgbClr val="BD2115"/>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VOLTAR</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366712</xdr:colOff>
      <xdr:row>2</xdr:row>
      <xdr:rowOff>28575</xdr:rowOff>
    </xdr:from>
    <xdr:to>
      <xdr:col>16</xdr:col>
      <xdr:colOff>61912</xdr:colOff>
      <xdr:row>16</xdr:row>
      <xdr:rowOff>104775</xdr:rowOff>
    </xdr:to>
    <xdr:graphicFrame macro="">
      <xdr:nvGraphicFramePr>
        <xdr:cNvPr id="2" name="Gráfico 1">
          <a:extLst>
            <a:ext uri="{FF2B5EF4-FFF2-40B4-BE49-F238E27FC236}">
              <a16:creationId xmlns:a16="http://schemas.microsoft.com/office/drawing/2014/main" id="{00000000-0008-0000-52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17</xdr:row>
      <xdr:rowOff>9525</xdr:rowOff>
    </xdr:from>
    <xdr:to>
      <xdr:col>8</xdr:col>
      <xdr:colOff>247650</xdr:colOff>
      <xdr:row>31</xdr:row>
      <xdr:rowOff>123826</xdr:rowOff>
    </xdr:to>
    <xdr:graphicFrame macro="">
      <xdr:nvGraphicFramePr>
        <xdr:cNvPr id="3" name="Gráfico 2">
          <a:extLst>
            <a:ext uri="{FF2B5EF4-FFF2-40B4-BE49-F238E27FC236}">
              <a16:creationId xmlns:a16="http://schemas.microsoft.com/office/drawing/2014/main" id="{00000000-0008-0000-52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390525</xdr:colOff>
      <xdr:row>17</xdr:row>
      <xdr:rowOff>9525</xdr:rowOff>
    </xdr:from>
    <xdr:to>
      <xdr:col>16</xdr:col>
      <xdr:colOff>85725</xdr:colOff>
      <xdr:row>31</xdr:row>
      <xdr:rowOff>95250</xdr:rowOff>
    </xdr:to>
    <xdr:graphicFrame macro="">
      <xdr:nvGraphicFramePr>
        <xdr:cNvPr id="4" name="Gráfico 3">
          <a:extLst>
            <a:ext uri="{FF2B5EF4-FFF2-40B4-BE49-F238E27FC236}">
              <a16:creationId xmlns:a16="http://schemas.microsoft.com/office/drawing/2014/main" id="{00000000-0008-0000-52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209550</xdr:colOff>
      <xdr:row>17</xdr:row>
      <xdr:rowOff>9525</xdr:rowOff>
    </xdr:from>
    <xdr:to>
      <xdr:col>23</xdr:col>
      <xdr:colOff>514350</xdr:colOff>
      <xdr:row>31</xdr:row>
      <xdr:rowOff>95250</xdr:rowOff>
    </xdr:to>
    <xdr:graphicFrame macro="">
      <xdr:nvGraphicFramePr>
        <xdr:cNvPr id="5" name="Gráfico 4">
          <a:extLst>
            <a:ext uri="{FF2B5EF4-FFF2-40B4-BE49-F238E27FC236}">
              <a16:creationId xmlns:a16="http://schemas.microsoft.com/office/drawing/2014/main" id="{00000000-0008-0000-52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552450</xdr:colOff>
      <xdr:row>32</xdr:row>
      <xdr:rowOff>0</xdr:rowOff>
    </xdr:from>
    <xdr:to>
      <xdr:col>8</xdr:col>
      <xdr:colOff>247650</xdr:colOff>
      <xdr:row>45</xdr:row>
      <xdr:rowOff>0</xdr:rowOff>
    </xdr:to>
    <xdr:graphicFrame macro="">
      <xdr:nvGraphicFramePr>
        <xdr:cNvPr id="6" name="Gráfico 5">
          <a:extLst>
            <a:ext uri="{FF2B5EF4-FFF2-40B4-BE49-F238E27FC236}">
              <a16:creationId xmlns:a16="http://schemas.microsoft.com/office/drawing/2014/main" id="{00000000-0008-0000-52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557212</xdr:colOff>
      <xdr:row>45</xdr:row>
      <xdr:rowOff>47625</xdr:rowOff>
    </xdr:from>
    <xdr:to>
      <xdr:col>8</xdr:col>
      <xdr:colOff>252412</xdr:colOff>
      <xdr:row>57</xdr:row>
      <xdr:rowOff>104775</xdr:rowOff>
    </xdr:to>
    <xdr:graphicFrame macro="">
      <xdr:nvGraphicFramePr>
        <xdr:cNvPr id="7" name="Gráfico 6">
          <a:extLst>
            <a:ext uri="{FF2B5EF4-FFF2-40B4-BE49-F238E27FC236}">
              <a16:creationId xmlns:a16="http://schemas.microsoft.com/office/drawing/2014/main" id="{00000000-0008-0000-52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566737</xdr:colOff>
      <xdr:row>57</xdr:row>
      <xdr:rowOff>171450</xdr:rowOff>
    </xdr:from>
    <xdr:to>
      <xdr:col>8</xdr:col>
      <xdr:colOff>261937</xdr:colOff>
      <xdr:row>70</xdr:row>
      <xdr:rowOff>171450</xdr:rowOff>
    </xdr:to>
    <xdr:graphicFrame macro="">
      <xdr:nvGraphicFramePr>
        <xdr:cNvPr id="8" name="Gráfico 7">
          <a:extLst>
            <a:ext uri="{FF2B5EF4-FFF2-40B4-BE49-F238E27FC236}">
              <a16:creationId xmlns:a16="http://schemas.microsoft.com/office/drawing/2014/main" id="{00000000-0008-0000-52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576262</xdr:colOff>
      <xdr:row>71</xdr:row>
      <xdr:rowOff>47625</xdr:rowOff>
    </xdr:from>
    <xdr:to>
      <xdr:col>8</xdr:col>
      <xdr:colOff>271462</xdr:colOff>
      <xdr:row>85</xdr:row>
      <xdr:rowOff>123825</xdr:rowOff>
    </xdr:to>
    <xdr:graphicFrame macro="">
      <xdr:nvGraphicFramePr>
        <xdr:cNvPr id="9" name="Gráfico 8">
          <a:extLst>
            <a:ext uri="{FF2B5EF4-FFF2-40B4-BE49-F238E27FC236}">
              <a16:creationId xmlns:a16="http://schemas.microsoft.com/office/drawing/2014/main" id="{00000000-0008-0000-52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595312</xdr:colOff>
      <xdr:row>86</xdr:row>
      <xdr:rowOff>19050</xdr:rowOff>
    </xdr:from>
    <xdr:to>
      <xdr:col>8</xdr:col>
      <xdr:colOff>290512</xdr:colOff>
      <xdr:row>99</xdr:row>
      <xdr:rowOff>152400</xdr:rowOff>
    </xdr:to>
    <xdr:graphicFrame macro="">
      <xdr:nvGraphicFramePr>
        <xdr:cNvPr id="10" name="Gráfico 9">
          <a:extLst>
            <a:ext uri="{FF2B5EF4-FFF2-40B4-BE49-F238E27FC236}">
              <a16:creationId xmlns:a16="http://schemas.microsoft.com/office/drawing/2014/main" id="{00000000-0008-0000-5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600075</xdr:colOff>
      <xdr:row>100</xdr:row>
      <xdr:rowOff>66675</xdr:rowOff>
    </xdr:from>
    <xdr:to>
      <xdr:col>8</xdr:col>
      <xdr:colOff>295275</xdr:colOff>
      <xdr:row>114</xdr:row>
      <xdr:rowOff>142875</xdr:rowOff>
    </xdr:to>
    <xdr:graphicFrame macro="">
      <xdr:nvGraphicFramePr>
        <xdr:cNvPr id="11" name="Gráfico 10">
          <a:extLst>
            <a:ext uri="{FF2B5EF4-FFF2-40B4-BE49-F238E27FC236}">
              <a16:creationId xmlns:a16="http://schemas.microsoft.com/office/drawing/2014/main" id="{00000000-0008-0000-52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604837</xdr:colOff>
      <xdr:row>115</xdr:row>
      <xdr:rowOff>19050</xdr:rowOff>
    </xdr:from>
    <xdr:to>
      <xdr:col>8</xdr:col>
      <xdr:colOff>300037</xdr:colOff>
      <xdr:row>128</xdr:row>
      <xdr:rowOff>152400</xdr:rowOff>
    </xdr:to>
    <xdr:graphicFrame macro="">
      <xdr:nvGraphicFramePr>
        <xdr:cNvPr id="12" name="Gráfico 11">
          <a:extLst>
            <a:ext uri="{FF2B5EF4-FFF2-40B4-BE49-F238E27FC236}">
              <a16:creationId xmlns:a16="http://schemas.microsoft.com/office/drawing/2014/main" id="{00000000-0008-0000-52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129</xdr:row>
      <xdr:rowOff>19050</xdr:rowOff>
    </xdr:from>
    <xdr:to>
      <xdr:col>8</xdr:col>
      <xdr:colOff>304800</xdr:colOff>
      <xdr:row>142</xdr:row>
      <xdr:rowOff>152400</xdr:rowOff>
    </xdr:to>
    <xdr:graphicFrame macro="">
      <xdr:nvGraphicFramePr>
        <xdr:cNvPr id="13" name="Gráfico 12">
          <a:extLst>
            <a:ext uri="{FF2B5EF4-FFF2-40B4-BE49-F238E27FC236}">
              <a16:creationId xmlns:a16="http://schemas.microsoft.com/office/drawing/2014/main" id="{00000000-0008-0000-52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604837</xdr:colOff>
      <xdr:row>143</xdr:row>
      <xdr:rowOff>57150</xdr:rowOff>
    </xdr:from>
    <xdr:to>
      <xdr:col>8</xdr:col>
      <xdr:colOff>300037</xdr:colOff>
      <xdr:row>157</xdr:row>
      <xdr:rowOff>133350</xdr:rowOff>
    </xdr:to>
    <xdr:graphicFrame macro="">
      <xdr:nvGraphicFramePr>
        <xdr:cNvPr id="14" name="Gráfico 13">
          <a:extLst>
            <a:ext uri="{FF2B5EF4-FFF2-40B4-BE49-F238E27FC236}">
              <a16:creationId xmlns:a16="http://schemas.microsoft.com/office/drawing/2014/main" id="{00000000-0008-0000-52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4762</xdr:colOff>
      <xdr:row>158</xdr:row>
      <xdr:rowOff>0</xdr:rowOff>
    </xdr:from>
    <xdr:to>
      <xdr:col>8</xdr:col>
      <xdr:colOff>309562</xdr:colOff>
      <xdr:row>171</xdr:row>
      <xdr:rowOff>133350</xdr:rowOff>
    </xdr:to>
    <xdr:graphicFrame macro="">
      <xdr:nvGraphicFramePr>
        <xdr:cNvPr id="15" name="Gráfico 14">
          <a:extLst>
            <a:ext uri="{FF2B5EF4-FFF2-40B4-BE49-F238E27FC236}">
              <a16:creationId xmlns:a16="http://schemas.microsoft.com/office/drawing/2014/main" id="{00000000-0008-0000-52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14287</xdr:colOff>
      <xdr:row>172</xdr:row>
      <xdr:rowOff>9525</xdr:rowOff>
    </xdr:from>
    <xdr:to>
      <xdr:col>8</xdr:col>
      <xdr:colOff>319087</xdr:colOff>
      <xdr:row>186</xdr:row>
      <xdr:rowOff>85725</xdr:rowOff>
    </xdr:to>
    <xdr:graphicFrame macro="">
      <xdr:nvGraphicFramePr>
        <xdr:cNvPr id="16" name="Gráfico 15">
          <a:extLst>
            <a:ext uri="{FF2B5EF4-FFF2-40B4-BE49-F238E27FC236}">
              <a16:creationId xmlns:a16="http://schemas.microsoft.com/office/drawing/2014/main" id="{00000000-0008-0000-52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381000</xdr:colOff>
      <xdr:row>31</xdr:row>
      <xdr:rowOff>180975</xdr:rowOff>
    </xdr:from>
    <xdr:to>
      <xdr:col>16</xdr:col>
      <xdr:colOff>76200</xdr:colOff>
      <xdr:row>44</xdr:row>
      <xdr:rowOff>180975</xdr:rowOff>
    </xdr:to>
    <xdr:graphicFrame macro="">
      <xdr:nvGraphicFramePr>
        <xdr:cNvPr id="17" name="Gráfico 16">
          <a:extLst>
            <a:ext uri="{FF2B5EF4-FFF2-40B4-BE49-F238E27FC236}">
              <a16:creationId xmlns:a16="http://schemas.microsoft.com/office/drawing/2014/main" id="{00000000-0008-0000-52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352425</xdr:colOff>
      <xdr:row>45</xdr:row>
      <xdr:rowOff>66675</xdr:rowOff>
    </xdr:from>
    <xdr:to>
      <xdr:col>16</xdr:col>
      <xdr:colOff>47625</xdr:colOff>
      <xdr:row>57</xdr:row>
      <xdr:rowOff>123825</xdr:rowOff>
    </xdr:to>
    <xdr:graphicFrame macro="">
      <xdr:nvGraphicFramePr>
        <xdr:cNvPr id="18" name="Gráfico 17">
          <a:extLst>
            <a:ext uri="{FF2B5EF4-FFF2-40B4-BE49-F238E27FC236}">
              <a16:creationId xmlns:a16="http://schemas.microsoft.com/office/drawing/2014/main" id="{00000000-0008-0000-52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395287</xdr:colOff>
      <xdr:row>57</xdr:row>
      <xdr:rowOff>171450</xdr:rowOff>
    </xdr:from>
    <xdr:to>
      <xdr:col>16</xdr:col>
      <xdr:colOff>90487</xdr:colOff>
      <xdr:row>70</xdr:row>
      <xdr:rowOff>171450</xdr:rowOff>
    </xdr:to>
    <xdr:graphicFrame macro="">
      <xdr:nvGraphicFramePr>
        <xdr:cNvPr id="19" name="Gráfico 18">
          <a:extLst>
            <a:ext uri="{FF2B5EF4-FFF2-40B4-BE49-F238E27FC236}">
              <a16:creationId xmlns:a16="http://schemas.microsoft.com/office/drawing/2014/main" id="{00000000-0008-0000-52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376237</xdr:colOff>
      <xdr:row>71</xdr:row>
      <xdr:rowOff>38100</xdr:rowOff>
    </xdr:from>
    <xdr:to>
      <xdr:col>16</xdr:col>
      <xdr:colOff>71437</xdr:colOff>
      <xdr:row>85</xdr:row>
      <xdr:rowOff>114300</xdr:rowOff>
    </xdr:to>
    <xdr:graphicFrame macro="">
      <xdr:nvGraphicFramePr>
        <xdr:cNvPr id="20" name="Gráfico 19">
          <a:extLst>
            <a:ext uri="{FF2B5EF4-FFF2-40B4-BE49-F238E27FC236}">
              <a16:creationId xmlns:a16="http://schemas.microsoft.com/office/drawing/2014/main" id="{00000000-0008-0000-52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371475</xdr:colOff>
      <xdr:row>86</xdr:row>
      <xdr:rowOff>9525</xdr:rowOff>
    </xdr:from>
    <xdr:to>
      <xdr:col>16</xdr:col>
      <xdr:colOff>66675</xdr:colOff>
      <xdr:row>99</xdr:row>
      <xdr:rowOff>142875</xdr:rowOff>
    </xdr:to>
    <xdr:graphicFrame macro="">
      <xdr:nvGraphicFramePr>
        <xdr:cNvPr id="21" name="Gráfico 20">
          <a:extLst>
            <a:ext uri="{FF2B5EF4-FFF2-40B4-BE49-F238E27FC236}">
              <a16:creationId xmlns:a16="http://schemas.microsoft.com/office/drawing/2014/main" id="{00000000-0008-0000-52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8</xdr:col>
      <xdr:colOff>409575</xdr:colOff>
      <xdr:row>100</xdr:row>
      <xdr:rowOff>47625</xdr:rowOff>
    </xdr:from>
    <xdr:to>
      <xdr:col>16</xdr:col>
      <xdr:colOff>104775</xdr:colOff>
      <xdr:row>114</xdr:row>
      <xdr:rowOff>123825</xdr:rowOff>
    </xdr:to>
    <xdr:graphicFrame macro="">
      <xdr:nvGraphicFramePr>
        <xdr:cNvPr id="22" name="Gráfico 21">
          <a:extLst>
            <a:ext uri="{FF2B5EF4-FFF2-40B4-BE49-F238E27FC236}">
              <a16:creationId xmlns:a16="http://schemas.microsoft.com/office/drawing/2014/main" id="{00000000-0008-0000-52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8</xdr:col>
      <xdr:colOff>409575</xdr:colOff>
      <xdr:row>115</xdr:row>
      <xdr:rowOff>9525</xdr:rowOff>
    </xdr:from>
    <xdr:to>
      <xdr:col>16</xdr:col>
      <xdr:colOff>104775</xdr:colOff>
      <xdr:row>128</xdr:row>
      <xdr:rowOff>142875</xdr:rowOff>
    </xdr:to>
    <xdr:graphicFrame macro="">
      <xdr:nvGraphicFramePr>
        <xdr:cNvPr id="23" name="Gráfico 22">
          <a:extLst>
            <a:ext uri="{FF2B5EF4-FFF2-40B4-BE49-F238E27FC236}">
              <a16:creationId xmlns:a16="http://schemas.microsoft.com/office/drawing/2014/main" id="{00000000-0008-0000-52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414337</xdr:colOff>
      <xdr:row>129</xdr:row>
      <xdr:rowOff>28575</xdr:rowOff>
    </xdr:from>
    <xdr:to>
      <xdr:col>16</xdr:col>
      <xdr:colOff>109537</xdr:colOff>
      <xdr:row>142</xdr:row>
      <xdr:rowOff>161925</xdr:rowOff>
    </xdr:to>
    <xdr:graphicFrame macro="">
      <xdr:nvGraphicFramePr>
        <xdr:cNvPr id="24" name="Gráfico 23">
          <a:extLst>
            <a:ext uri="{FF2B5EF4-FFF2-40B4-BE49-F238E27FC236}">
              <a16:creationId xmlns:a16="http://schemas.microsoft.com/office/drawing/2014/main" id="{00000000-0008-0000-52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19050</xdr:colOff>
      <xdr:row>186</xdr:row>
      <xdr:rowOff>142875</xdr:rowOff>
    </xdr:from>
    <xdr:to>
      <xdr:col>8</xdr:col>
      <xdr:colOff>323850</xdr:colOff>
      <xdr:row>201</xdr:row>
      <xdr:rowOff>28575</xdr:rowOff>
    </xdr:to>
    <xdr:graphicFrame macro="">
      <xdr:nvGraphicFramePr>
        <xdr:cNvPr id="25" name="Gráfico 24">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xdr:col>
      <xdr:colOff>409575</xdr:colOff>
      <xdr:row>143</xdr:row>
      <xdr:rowOff>57150</xdr:rowOff>
    </xdr:from>
    <xdr:to>
      <xdr:col>16</xdr:col>
      <xdr:colOff>104775</xdr:colOff>
      <xdr:row>157</xdr:row>
      <xdr:rowOff>133350</xdr:rowOff>
    </xdr:to>
    <xdr:graphicFrame macro="">
      <xdr:nvGraphicFramePr>
        <xdr:cNvPr id="26" name="Gráfico 25">
          <a:extLst>
            <a:ext uri="{FF2B5EF4-FFF2-40B4-BE49-F238E27FC236}">
              <a16:creationId xmlns:a16="http://schemas.microsoft.com/office/drawing/2014/main" id="{00000000-0008-0000-5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8</xdr:col>
      <xdr:colOff>409575</xdr:colOff>
      <xdr:row>158</xdr:row>
      <xdr:rowOff>0</xdr:rowOff>
    </xdr:from>
    <xdr:to>
      <xdr:col>16</xdr:col>
      <xdr:colOff>104775</xdr:colOff>
      <xdr:row>171</xdr:row>
      <xdr:rowOff>133350</xdr:rowOff>
    </xdr:to>
    <xdr:graphicFrame macro="">
      <xdr:nvGraphicFramePr>
        <xdr:cNvPr id="27" name="Gráfico 26">
          <a:extLst>
            <a:ext uri="{FF2B5EF4-FFF2-40B4-BE49-F238E27FC236}">
              <a16:creationId xmlns:a16="http://schemas.microsoft.com/office/drawing/2014/main" id="{00000000-0008-0000-5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xdr:col>
      <xdr:colOff>409575</xdr:colOff>
      <xdr:row>172</xdr:row>
      <xdr:rowOff>19050</xdr:rowOff>
    </xdr:from>
    <xdr:to>
      <xdr:col>16</xdr:col>
      <xdr:colOff>104775</xdr:colOff>
      <xdr:row>186</xdr:row>
      <xdr:rowOff>95250</xdr:rowOff>
    </xdr:to>
    <xdr:graphicFrame macro="">
      <xdr:nvGraphicFramePr>
        <xdr:cNvPr id="28" name="Gráfico 27">
          <a:extLst>
            <a:ext uri="{FF2B5EF4-FFF2-40B4-BE49-F238E27FC236}">
              <a16:creationId xmlns:a16="http://schemas.microsoft.com/office/drawing/2014/main" id="{00000000-0008-0000-5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8</xdr:col>
      <xdr:colOff>400050</xdr:colOff>
      <xdr:row>186</xdr:row>
      <xdr:rowOff>152400</xdr:rowOff>
    </xdr:from>
    <xdr:to>
      <xdr:col>16</xdr:col>
      <xdr:colOff>95250</xdr:colOff>
      <xdr:row>201</xdr:row>
      <xdr:rowOff>38100</xdr:rowOff>
    </xdr:to>
    <xdr:graphicFrame macro="">
      <xdr:nvGraphicFramePr>
        <xdr:cNvPr id="29" name="Gráfico 28">
          <a:extLst>
            <a:ext uri="{FF2B5EF4-FFF2-40B4-BE49-F238E27FC236}">
              <a16:creationId xmlns:a16="http://schemas.microsoft.com/office/drawing/2014/main" id="{00000000-0008-0000-5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16</xdr:col>
      <xdr:colOff>219075</xdr:colOff>
      <xdr:row>31</xdr:row>
      <xdr:rowOff>171450</xdr:rowOff>
    </xdr:from>
    <xdr:to>
      <xdr:col>23</xdr:col>
      <xdr:colOff>523875</xdr:colOff>
      <xdr:row>44</xdr:row>
      <xdr:rowOff>171450</xdr:rowOff>
    </xdr:to>
    <xdr:graphicFrame macro="">
      <xdr:nvGraphicFramePr>
        <xdr:cNvPr id="30" name="Gráfico 29">
          <a:extLst>
            <a:ext uri="{FF2B5EF4-FFF2-40B4-BE49-F238E27FC236}">
              <a16:creationId xmlns:a16="http://schemas.microsoft.com/office/drawing/2014/main" id="{00000000-0008-0000-5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16</xdr:col>
      <xdr:colOff>219075</xdr:colOff>
      <xdr:row>45</xdr:row>
      <xdr:rowOff>66675</xdr:rowOff>
    </xdr:from>
    <xdr:to>
      <xdr:col>23</xdr:col>
      <xdr:colOff>523875</xdr:colOff>
      <xdr:row>57</xdr:row>
      <xdr:rowOff>123825</xdr:rowOff>
    </xdr:to>
    <xdr:graphicFrame macro="">
      <xdr:nvGraphicFramePr>
        <xdr:cNvPr id="31" name="Gráfico 30">
          <a:extLst>
            <a:ext uri="{FF2B5EF4-FFF2-40B4-BE49-F238E27FC236}">
              <a16:creationId xmlns:a16="http://schemas.microsoft.com/office/drawing/2014/main" id="{00000000-0008-0000-5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16</xdr:col>
      <xdr:colOff>223837</xdr:colOff>
      <xdr:row>57</xdr:row>
      <xdr:rowOff>180975</xdr:rowOff>
    </xdr:from>
    <xdr:to>
      <xdr:col>23</xdr:col>
      <xdr:colOff>528637</xdr:colOff>
      <xdr:row>70</xdr:row>
      <xdr:rowOff>180975</xdr:rowOff>
    </xdr:to>
    <xdr:graphicFrame macro="">
      <xdr:nvGraphicFramePr>
        <xdr:cNvPr id="32" name="Gráfico 31">
          <a:extLst>
            <a:ext uri="{FF2B5EF4-FFF2-40B4-BE49-F238E27FC236}">
              <a16:creationId xmlns:a16="http://schemas.microsoft.com/office/drawing/2014/main" id="{00000000-0008-0000-5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16</xdr:col>
      <xdr:colOff>223837</xdr:colOff>
      <xdr:row>71</xdr:row>
      <xdr:rowOff>47625</xdr:rowOff>
    </xdr:from>
    <xdr:to>
      <xdr:col>23</xdr:col>
      <xdr:colOff>528637</xdr:colOff>
      <xdr:row>85</xdr:row>
      <xdr:rowOff>123825</xdr:rowOff>
    </xdr:to>
    <xdr:graphicFrame macro="">
      <xdr:nvGraphicFramePr>
        <xdr:cNvPr id="33" name="Gráfico 32">
          <a:extLst>
            <a:ext uri="{FF2B5EF4-FFF2-40B4-BE49-F238E27FC236}">
              <a16:creationId xmlns:a16="http://schemas.microsoft.com/office/drawing/2014/main" id="{00000000-0008-0000-5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219075</xdr:colOff>
      <xdr:row>86</xdr:row>
      <xdr:rowOff>0</xdr:rowOff>
    </xdr:from>
    <xdr:to>
      <xdr:col>23</xdr:col>
      <xdr:colOff>523875</xdr:colOff>
      <xdr:row>99</xdr:row>
      <xdr:rowOff>133350</xdr:rowOff>
    </xdr:to>
    <xdr:graphicFrame macro="">
      <xdr:nvGraphicFramePr>
        <xdr:cNvPr id="34" name="Gráfico 33">
          <a:extLst>
            <a:ext uri="{FF2B5EF4-FFF2-40B4-BE49-F238E27FC236}">
              <a16:creationId xmlns:a16="http://schemas.microsoft.com/office/drawing/2014/main" id="{00000000-0008-0000-5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16</xdr:col>
      <xdr:colOff>219075</xdr:colOff>
      <xdr:row>100</xdr:row>
      <xdr:rowOff>47625</xdr:rowOff>
    </xdr:from>
    <xdr:to>
      <xdr:col>23</xdr:col>
      <xdr:colOff>523875</xdr:colOff>
      <xdr:row>114</xdr:row>
      <xdr:rowOff>123825</xdr:rowOff>
    </xdr:to>
    <xdr:graphicFrame macro="">
      <xdr:nvGraphicFramePr>
        <xdr:cNvPr id="35" name="Gráfico 34">
          <a:extLst>
            <a:ext uri="{FF2B5EF4-FFF2-40B4-BE49-F238E27FC236}">
              <a16:creationId xmlns:a16="http://schemas.microsoft.com/office/drawing/2014/main" id="{00000000-0008-0000-5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16</xdr:col>
      <xdr:colOff>228600</xdr:colOff>
      <xdr:row>115</xdr:row>
      <xdr:rowOff>9525</xdr:rowOff>
    </xdr:from>
    <xdr:to>
      <xdr:col>23</xdr:col>
      <xdr:colOff>533400</xdr:colOff>
      <xdr:row>128</xdr:row>
      <xdr:rowOff>142875</xdr:rowOff>
    </xdr:to>
    <xdr:graphicFrame macro="">
      <xdr:nvGraphicFramePr>
        <xdr:cNvPr id="36" name="Gráfico 35">
          <a:extLst>
            <a:ext uri="{FF2B5EF4-FFF2-40B4-BE49-F238E27FC236}">
              <a16:creationId xmlns:a16="http://schemas.microsoft.com/office/drawing/2014/main" id="{00000000-0008-0000-5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16</xdr:col>
      <xdr:colOff>238125</xdr:colOff>
      <xdr:row>129</xdr:row>
      <xdr:rowOff>28575</xdr:rowOff>
    </xdr:from>
    <xdr:to>
      <xdr:col>23</xdr:col>
      <xdr:colOff>542925</xdr:colOff>
      <xdr:row>142</xdr:row>
      <xdr:rowOff>161925</xdr:rowOff>
    </xdr:to>
    <xdr:graphicFrame macro="">
      <xdr:nvGraphicFramePr>
        <xdr:cNvPr id="37" name="Gráfico 36">
          <a:extLst>
            <a:ext uri="{FF2B5EF4-FFF2-40B4-BE49-F238E27FC236}">
              <a16:creationId xmlns:a16="http://schemas.microsoft.com/office/drawing/2014/main" id="{00000000-0008-0000-5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16</xdr:col>
      <xdr:colOff>247650</xdr:colOff>
      <xdr:row>143</xdr:row>
      <xdr:rowOff>66675</xdr:rowOff>
    </xdr:from>
    <xdr:to>
      <xdr:col>23</xdr:col>
      <xdr:colOff>552450</xdr:colOff>
      <xdr:row>157</xdr:row>
      <xdr:rowOff>142875</xdr:rowOff>
    </xdr:to>
    <xdr:graphicFrame macro="">
      <xdr:nvGraphicFramePr>
        <xdr:cNvPr id="38" name="Gráfico 37">
          <a:extLst>
            <a:ext uri="{FF2B5EF4-FFF2-40B4-BE49-F238E27FC236}">
              <a16:creationId xmlns:a16="http://schemas.microsoft.com/office/drawing/2014/main" id="{00000000-0008-0000-5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16</xdr:col>
      <xdr:colOff>242887</xdr:colOff>
      <xdr:row>158</xdr:row>
      <xdr:rowOff>9525</xdr:rowOff>
    </xdr:from>
    <xdr:to>
      <xdr:col>23</xdr:col>
      <xdr:colOff>547687</xdr:colOff>
      <xdr:row>171</xdr:row>
      <xdr:rowOff>142875</xdr:rowOff>
    </xdr:to>
    <xdr:graphicFrame macro="">
      <xdr:nvGraphicFramePr>
        <xdr:cNvPr id="39" name="Gráfico 38">
          <a:extLst>
            <a:ext uri="{FF2B5EF4-FFF2-40B4-BE49-F238E27FC236}">
              <a16:creationId xmlns:a16="http://schemas.microsoft.com/office/drawing/2014/main" id="{00000000-0008-0000-5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16</xdr:col>
      <xdr:colOff>228600</xdr:colOff>
      <xdr:row>172</xdr:row>
      <xdr:rowOff>38100</xdr:rowOff>
    </xdr:from>
    <xdr:to>
      <xdr:col>23</xdr:col>
      <xdr:colOff>533400</xdr:colOff>
      <xdr:row>186</xdr:row>
      <xdr:rowOff>114300</xdr:rowOff>
    </xdr:to>
    <xdr:graphicFrame macro="">
      <xdr:nvGraphicFramePr>
        <xdr:cNvPr id="40" name="Gráfico 39">
          <a:extLst>
            <a:ext uri="{FF2B5EF4-FFF2-40B4-BE49-F238E27FC236}">
              <a16:creationId xmlns:a16="http://schemas.microsoft.com/office/drawing/2014/main" id="{00000000-0008-0000-5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16</xdr:col>
      <xdr:colOff>228600</xdr:colOff>
      <xdr:row>186</xdr:row>
      <xdr:rowOff>152400</xdr:rowOff>
    </xdr:from>
    <xdr:to>
      <xdr:col>23</xdr:col>
      <xdr:colOff>533400</xdr:colOff>
      <xdr:row>201</xdr:row>
      <xdr:rowOff>38100</xdr:rowOff>
    </xdr:to>
    <xdr:graphicFrame macro="">
      <xdr:nvGraphicFramePr>
        <xdr:cNvPr id="41" name="Gráfico 40">
          <a:extLst>
            <a:ext uri="{FF2B5EF4-FFF2-40B4-BE49-F238E27FC236}">
              <a16:creationId xmlns:a16="http://schemas.microsoft.com/office/drawing/2014/main" id="{00000000-0008-0000-52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0</xdr:colOff>
      <xdr:row>0</xdr:row>
      <xdr:rowOff>28576</xdr:rowOff>
    </xdr:from>
    <xdr:to>
      <xdr:col>2</xdr:col>
      <xdr:colOff>285750</xdr:colOff>
      <xdr:row>0</xdr:row>
      <xdr:rowOff>447676</xdr:rowOff>
    </xdr:to>
    <xdr:sp macro="" textlink="">
      <xdr:nvSpPr>
        <xdr:cNvPr id="45" name="Seta para a esquerda 42">
          <a:hlinkClick xmlns:r="http://schemas.openxmlformats.org/officeDocument/2006/relationships" r:id="rId41"/>
          <a:extLst>
            <a:ext uri="{FF2B5EF4-FFF2-40B4-BE49-F238E27FC236}">
              <a16:creationId xmlns:a16="http://schemas.microsoft.com/office/drawing/2014/main" id="{00000000-0008-0000-5200-00002B000000}"/>
            </a:ext>
          </a:extLst>
        </xdr:cNvPr>
        <xdr:cNvSpPr/>
      </xdr:nvSpPr>
      <xdr:spPr>
        <a:xfrm>
          <a:off x="57150" y="28576"/>
          <a:ext cx="895350" cy="419100"/>
        </a:xfrm>
        <a:prstGeom prst="leftArrow">
          <a:avLst/>
        </a:prstGeom>
        <a:solidFill>
          <a:srgbClr val="BD2115"/>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VOLTAR</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28575</xdr:colOff>
      <xdr:row>37</xdr:row>
      <xdr:rowOff>142875</xdr:rowOff>
    </xdr:from>
    <xdr:to>
      <xdr:col>12</xdr:col>
      <xdr:colOff>500063</xdr:colOff>
      <xdr:row>44</xdr:row>
      <xdr:rowOff>152400</xdr:rowOff>
    </xdr:to>
    <xdr:graphicFrame macro="">
      <xdr:nvGraphicFramePr>
        <xdr:cNvPr id="10" name="Gráfico 9">
          <a:extLst>
            <a:ext uri="{FF2B5EF4-FFF2-40B4-BE49-F238E27FC236}">
              <a16:creationId xmlns:a16="http://schemas.microsoft.com/office/drawing/2014/main" id="{00000000-0008-0000-A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490536</xdr:colOff>
      <xdr:row>37</xdr:row>
      <xdr:rowOff>142874</xdr:rowOff>
    </xdr:from>
    <xdr:to>
      <xdr:col>12</xdr:col>
      <xdr:colOff>1885950</xdr:colOff>
      <xdr:row>44</xdr:row>
      <xdr:rowOff>161925</xdr:rowOff>
    </xdr:to>
    <xdr:graphicFrame macro="">
      <xdr:nvGraphicFramePr>
        <xdr:cNvPr id="11" name="Gráfico 10">
          <a:extLst>
            <a:ext uri="{FF2B5EF4-FFF2-40B4-BE49-F238E27FC236}">
              <a16:creationId xmlns:a16="http://schemas.microsoft.com/office/drawing/2014/main" id="{00000000-0008-0000-A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1881188</xdr:colOff>
      <xdr:row>37</xdr:row>
      <xdr:rowOff>142874</xdr:rowOff>
    </xdr:from>
    <xdr:to>
      <xdr:col>14</xdr:col>
      <xdr:colOff>285751</xdr:colOff>
      <xdr:row>44</xdr:row>
      <xdr:rowOff>161925</xdr:rowOff>
    </xdr:to>
    <xdr:graphicFrame macro="">
      <xdr:nvGraphicFramePr>
        <xdr:cNvPr id="12" name="Gráfico 11">
          <a:extLst>
            <a:ext uri="{FF2B5EF4-FFF2-40B4-BE49-F238E27FC236}">
              <a16:creationId xmlns:a16="http://schemas.microsoft.com/office/drawing/2014/main" id="{00000000-0008-0000-A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161925</xdr:colOff>
      <xdr:row>22</xdr:row>
      <xdr:rowOff>66675</xdr:rowOff>
    </xdr:from>
    <xdr:to>
      <xdr:col>16</xdr:col>
      <xdr:colOff>180974</xdr:colOff>
      <xdr:row>35</xdr:row>
      <xdr:rowOff>104776</xdr:rowOff>
    </xdr:to>
    <xdr:graphicFrame macro="">
      <xdr:nvGraphicFramePr>
        <xdr:cNvPr id="13" name="Gráfico 12">
          <a:extLst>
            <a:ext uri="{FF2B5EF4-FFF2-40B4-BE49-F238E27FC236}">
              <a16:creationId xmlns:a16="http://schemas.microsoft.com/office/drawing/2014/main" id="{00000000-0008-0000-A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271463</xdr:colOff>
      <xdr:row>37</xdr:row>
      <xdr:rowOff>133350</xdr:rowOff>
    </xdr:from>
    <xdr:to>
      <xdr:col>16</xdr:col>
      <xdr:colOff>285750</xdr:colOff>
      <xdr:row>44</xdr:row>
      <xdr:rowOff>152400</xdr:rowOff>
    </xdr:to>
    <xdr:graphicFrame macro="">
      <xdr:nvGraphicFramePr>
        <xdr:cNvPr id="14" name="Gráfico 13">
          <a:extLst>
            <a:ext uri="{FF2B5EF4-FFF2-40B4-BE49-F238E27FC236}">
              <a16:creationId xmlns:a16="http://schemas.microsoft.com/office/drawing/2014/main" id="{00000000-0008-0000-A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290512</xdr:colOff>
      <xdr:row>37</xdr:row>
      <xdr:rowOff>133350</xdr:rowOff>
    </xdr:from>
    <xdr:to>
      <xdr:col>18</xdr:col>
      <xdr:colOff>447675</xdr:colOff>
      <xdr:row>44</xdr:row>
      <xdr:rowOff>152400</xdr:rowOff>
    </xdr:to>
    <xdr:graphicFrame macro="">
      <xdr:nvGraphicFramePr>
        <xdr:cNvPr id="15" name="Gráfico 14">
          <a:extLst>
            <a:ext uri="{FF2B5EF4-FFF2-40B4-BE49-F238E27FC236}">
              <a16:creationId xmlns:a16="http://schemas.microsoft.com/office/drawing/2014/main" id="{00000000-0008-0000-A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390525</xdr:colOff>
      <xdr:row>39</xdr:row>
      <xdr:rowOff>104775</xdr:rowOff>
    </xdr:from>
    <xdr:to>
      <xdr:col>12</xdr:col>
      <xdr:colOff>152400</xdr:colOff>
      <xdr:row>42</xdr:row>
      <xdr:rowOff>152400</xdr:rowOff>
    </xdr:to>
    <xdr:sp macro="" textlink="$E$40">
      <xdr:nvSpPr>
        <xdr:cNvPr id="16" name="Retângulo: Cantos Arredondados 21">
          <a:extLst>
            <a:ext uri="{FF2B5EF4-FFF2-40B4-BE49-F238E27FC236}">
              <a16:creationId xmlns:a16="http://schemas.microsoft.com/office/drawing/2014/main" id="{00000000-0008-0000-AC00-000016000000}"/>
            </a:ext>
          </a:extLst>
        </xdr:cNvPr>
        <xdr:cNvSpPr/>
      </xdr:nvSpPr>
      <xdr:spPr>
        <a:xfrm>
          <a:off x="9134475" y="7267575"/>
          <a:ext cx="695325" cy="5048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059001A-CEBB-4D7D-BEF7-D70E26195462}" type="TxLink">
            <a:rPr lang="en-US" sz="1000" b="1" i="0" u="none" strike="noStrike">
              <a:ln>
                <a:solidFill>
                  <a:schemeClr val="bg1">
                    <a:lumMod val="65000"/>
                  </a:schemeClr>
                </a:solidFill>
              </a:ln>
              <a:solidFill>
                <a:srgbClr val="000000"/>
              </a:solidFill>
              <a:latin typeface="Calibri"/>
              <a:cs typeface="Calibri"/>
            </a:rPr>
            <a:pPr algn="ctr"/>
            <a:t>7,14%</a:t>
          </a:fld>
          <a:endParaRPr lang="pt-BR" sz="1400" b="0">
            <a:ln>
              <a:solidFill>
                <a:schemeClr val="bg1">
                  <a:lumMod val="65000"/>
                </a:schemeClr>
              </a:solidFill>
            </a:ln>
            <a:solidFill>
              <a:schemeClr val="bg1"/>
            </a:solidFill>
          </a:endParaRPr>
        </a:p>
      </xdr:txBody>
    </xdr:sp>
    <xdr:clientData/>
  </xdr:twoCellAnchor>
  <xdr:twoCellAnchor>
    <xdr:from>
      <xdr:col>16</xdr:col>
      <xdr:colOff>590550</xdr:colOff>
      <xdr:row>39</xdr:row>
      <xdr:rowOff>104775</xdr:rowOff>
    </xdr:from>
    <xdr:to>
      <xdr:col>18</xdr:col>
      <xdr:colOff>114300</xdr:colOff>
      <xdr:row>42</xdr:row>
      <xdr:rowOff>152400</xdr:rowOff>
    </xdr:to>
    <xdr:sp macro="" textlink="$I$40">
      <xdr:nvSpPr>
        <xdr:cNvPr id="17" name="Retângulo: Cantos Arredondados 22">
          <a:extLst>
            <a:ext uri="{FF2B5EF4-FFF2-40B4-BE49-F238E27FC236}">
              <a16:creationId xmlns:a16="http://schemas.microsoft.com/office/drawing/2014/main" id="{00000000-0008-0000-AC00-000017000000}"/>
            </a:ext>
          </a:extLst>
        </xdr:cNvPr>
        <xdr:cNvSpPr/>
      </xdr:nvSpPr>
      <xdr:spPr>
        <a:xfrm>
          <a:off x="14649450" y="7267575"/>
          <a:ext cx="742950" cy="5048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915307-3ED5-4699-8E74-B39CA75B3713}" type="TxLink">
            <a:rPr lang="en-US" sz="1000" b="1" i="0" u="none" strike="noStrike">
              <a:ln>
                <a:solidFill>
                  <a:schemeClr val="bg1">
                    <a:lumMod val="65000"/>
                  </a:schemeClr>
                </a:solidFill>
              </a:ln>
              <a:solidFill>
                <a:srgbClr val="000000"/>
              </a:solidFill>
              <a:latin typeface="Calibri"/>
              <a:cs typeface="Calibri"/>
            </a:rPr>
            <a:pPr algn="ctr"/>
            <a:t>***</a:t>
          </a:fld>
          <a:endParaRPr lang="pt-BR" sz="2400">
            <a:ln>
              <a:solidFill>
                <a:schemeClr val="bg1">
                  <a:lumMod val="65000"/>
                </a:schemeClr>
              </a:solidFill>
            </a:ln>
            <a:solidFill>
              <a:schemeClr val="bg1"/>
            </a:solidFill>
          </a:endParaRPr>
        </a:p>
      </xdr:txBody>
    </xdr:sp>
    <xdr:clientData/>
  </xdr:twoCellAnchor>
  <xdr:twoCellAnchor>
    <xdr:from>
      <xdr:col>14</xdr:col>
      <xdr:colOff>600074</xdr:colOff>
      <xdr:row>39</xdr:row>
      <xdr:rowOff>114300</xdr:rowOff>
    </xdr:from>
    <xdr:to>
      <xdr:col>15</xdr:col>
      <xdr:colOff>600074</xdr:colOff>
      <xdr:row>42</xdr:row>
      <xdr:rowOff>161925</xdr:rowOff>
    </xdr:to>
    <xdr:sp macro="" textlink="$H$40">
      <xdr:nvSpPr>
        <xdr:cNvPr id="18" name="Retângulo: Cantos Arredondados 23">
          <a:extLst>
            <a:ext uri="{FF2B5EF4-FFF2-40B4-BE49-F238E27FC236}">
              <a16:creationId xmlns:a16="http://schemas.microsoft.com/office/drawing/2014/main" id="{00000000-0008-0000-AC00-000018000000}"/>
            </a:ext>
          </a:extLst>
        </xdr:cNvPr>
        <xdr:cNvSpPr/>
      </xdr:nvSpPr>
      <xdr:spPr>
        <a:xfrm>
          <a:off x="13277849" y="7277100"/>
          <a:ext cx="771525" cy="5048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3733FCB-CABB-45A8-B58F-8ABFC7E315F5}" type="TxLink">
            <a:rPr lang="en-US" sz="1000" b="1" i="0" u="none" strike="noStrike">
              <a:ln>
                <a:solidFill>
                  <a:schemeClr val="bg1">
                    <a:lumMod val="65000"/>
                  </a:schemeClr>
                </a:solidFill>
              </a:ln>
              <a:solidFill>
                <a:srgbClr val="000000"/>
              </a:solidFill>
              <a:latin typeface="Calibri"/>
              <a:cs typeface="Calibri"/>
            </a:rPr>
            <a:pPr algn="ctr"/>
            <a:t>***</a:t>
          </a:fld>
          <a:endParaRPr lang="pt-BR" sz="2000" b="0">
            <a:ln>
              <a:solidFill>
                <a:schemeClr val="bg1">
                  <a:lumMod val="65000"/>
                </a:schemeClr>
              </a:solidFill>
            </a:ln>
            <a:solidFill>
              <a:schemeClr val="bg1"/>
            </a:solidFill>
          </a:endParaRPr>
        </a:p>
      </xdr:txBody>
    </xdr:sp>
    <xdr:clientData/>
  </xdr:twoCellAnchor>
  <xdr:twoCellAnchor>
    <xdr:from>
      <xdr:col>12</xdr:col>
      <xdr:colOff>2200274</xdr:colOff>
      <xdr:row>39</xdr:row>
      <xdr:rowOff>123825</xdr:rowOff>
    </xdr:from>
    <xdr:to>
      <xdr:col>13</xdr:col>
      <xdr:colOff>742949</xdr:colOff>
      <xdr:row>42</xdr:row>
      <xdr:rowOff>171450</xdr:rowOff>
    </xdr:to>
    <xdr:sp macro="" textlink="$G$40">
      <xdr:nvSpPr>
        <xdr:cNvPr id="19" name="Retângulo: Cantos Arredondados 24">
          <a:extLst>
            <a:ext uri="{FF2B5EF4-FFF2-40B4-BE49-F238E27FC236}">
              <a16:creationId xmlns:a16="http://schemas.microsoft.com/office/drawing/2014/main" id="{00000000-0008-0000-AC00-000019000000}"/>
            </a:ext>
          </a:extLst>
        </xdr:cNvPr>
        <xdr:cNvSpPr/>
      </xdr:nvSpPr>
      <xdr:spPr>
        <a:xfrm>
          <a:off x="11877674" y="7286625"/>
          <a:ext cx="771525" cy="5048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C765EDE-84D4-42F6-AF48-BC1F8D9F72E2}" type="TxLink">
            <a:rPr lang="en-US" sz="1000" b="1" i="0" u="none" strike="noStrike">
              <a:ln>
                <a:solidFill>
                  <a:schemeClr val="bg1">
                    <a:lumMod val="65000"/>
                  </a:schemeClr>
                </a:solidFill>
              </a:ln>
              <a:solidFill>
                <a:srgbClr val="000000"/>
              </a:solidFill>
              <a:latin typeface="Calibri"/>
              <a:cs typeface="Calibri"/>
            </a:rPr>
            <a:pPr algn="ctr"/>
            <a:t>42,86%</a:t>
          </a:fld>
          <a:endParaRPr lang="pt-BR" sz="2000" b="0">
            <a:ln>
              <a:solidFill>
                <a:schemeClr val="bg1">
                  <a:lumMod val="65000"/>
                </a:schemeClr>
              </a:solidFill>
            </a:ln>
            <a:solidFill>
              <a:schemeClr val="bg1"/>
            </a:solidFill>
          </a:endParaRPr>
        </a:p>
      </xdr:txBody>
    </xdr:sp>
    <xdr:clientData/>
  </xdr:twoCellAnchor>
  <xdr:twoCellAnchor>
    <xdr:from>
      <xdr:col>12</xdr:col>
      <xdr:colOff>657225</xdr:colOff>
      <xdr:row>54</xdr:row>
      <xdr:rowOff>76200</xdr:rowOff>
    </xdr:from>
    <xdr:to>
      <xdr:col>12</xdr:col>
      <xdr:colOff>1743075</xdr:colOff>
      <xdr:row>57</xdr:row>
      <xdr:rowOff>9525</xdr:rowOff>
    </xdr:to>
    <xdr:sp macro="" textlink="$C$20">
      <xdr:nvSpPr>
        <xdr:cNvPr id="20" name="Retângulo: Cantos Arredondados 25">
          <a:extLst>
            <a:ext uri="{FF2B5EF4-FFF2-40B4-BE49-F238E27FC236}">
              <a16:creationId xmlns:a16="http://schemas.microsoft.com/office/drawing/2014/main" id="{00000000-0008-0000-AC00-00001A000000}"/>
            </a:ext>
          </a:extLst>
        </xdr:cNvPr>
        <xdr:cNvSpPr/>
      </xdr:nvSpPr>
      <xdr:spPr>
        <a:xfrm>
          <a:off x="10334625" y="10096500"/>
          <a:ext cx="1085850" cy="5048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07D3E18-B4BF-4BCE-829E-350EAF3572A4}" type="TxLink">
            <a:rPr lang="en-US" sz="1600" b="0" i="0" u="none" strike="noStrike">
              <a:ln>
                <a:solidFill>
                  <a:schemeClr val="bg1">
                    <a:lumMod val="65000"/>
                  </a:schemeClr>
                </a:solidFill>
              </a:ln>
              <a:solidFill>
                <a:schemeClr val="bg1">
                  <a:lumMod val="75000"/>
                </a:schemeClr>
              </a:solidFill>
              <a:latin typeface="Calibri"/>
              <a:cs typeface="Calibri"/>
            </a:rPr>
            <a:pPr algn="ctr"/>
            <a:t> </a:t>
          </a:fld>
          <a:endParaRPr lang="pt-BR" sz="4000" b="0">
            <a:ln>
              <a:solidFill>
                <a:schemeClr val="bg1">
                  <a:lumMod val="65000"/>
                </a:schemeClr>
              </a:solidFill>
            </a:ln>
            <a:solidFill>
              <a:schemeClr val="bg1">
                <a:lumMod val="75000"/>
              </a:schemeClr>
            </a:solidFill>
          </a:endParaRPr>
        </a:p>
      </xdr:txBody>
    </xdr:sp>
    <xdr:clientData/>
  </xdr:twoCellAnchor>
  <xdr:twoCellAnchor>
    <xdr:from>
      <xdr:col>12</xdr:col>
      <xdr:colOff>847724</xdr:colOff>
      <xdr:row>39</xdr:row>
      <xdr:rowOff>123825</xdr:rowOff>
    </xdr:from>
    <xdr:to>
      <xdr:col>12</xdr:col>
      <xdr:colOff>1562099</xdr:colOff>
      <xdr:row>42</xdr:row>
      <xdr:rowOff>171450</xdr:rowOff>
    </xdr:to>
    <xdr:sp macro="" textlink="$F$40">
      <xdr:nvSpPr>
        <xdr:cNvPr id="21" name="Retângulo: Cantos Arredondados 26">
          <a:extLst>
            <a:ext uri="{FF2B5EF4-FFF2-40B4-BE49-F238E27FC236}">
              <a16:creationId xmlns:a16="http://schemas.microsoft.com/office/drawing/2014/main" id="{00000000-0008-0000-AC00-00001B000000}"/>
            </a:ext>
          </a:extLst>
        </xdr:cNvPr>
        <xdr:cNvSpPr/>
      </xdr:nvSpPr>
      <xdr:spPr>
        <a:xfrm>
          <a:off x="10525124" y="7286625"/>
          <a:ext cx="714375" cy="5048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4506469-3121-4772-86A8-972F1FF88F16}" type="TxLink">
            <a:rPr lang="en-US" sz="1000" b="1" i="0" u="none" strike="noStrike">
              <a:ln>
                <a:solidFill>
                  <a:schemeClr val="bg1">
                    <a:lumMod val="65000"/>
                  </a:schemeClr>
                </a:solidFill>
              </a:ln>
              <a:solidFill>
                <a:srgbClr val="000000"/>
              </a:solidFill>
              <a:latin typeface="Calibri"/>
              <a:cs typeface="Calibri"/>
            </a:rPr>
            <a:pPr algn="ctr"/>
            <a:t>50,00%</a:t>
          </a:fld>
          <a:endParaRPr lang="pt-BR" sz="1100" b="0">
            <a:ln>
              <a:solidFill>
                <a:schemeClr val="bg1">
                  <a:lumMod val="65000"/>
                </a:schemeClr>
              </a:solidFill>
            </a:ln>
            <a:solidFill>
              <a:schemeClr val="bg1"/>
            </a:solidFill>
          </a:endParaRPr>
        </a:p>
      </xdr:txBody>
    </xdr:sp>
    <xdr:clientData/>
  </xdr:twoCellAnchor>
  <xdr:twoCellAnchor>
    <xdr:from>
      <xdr:col>12</xdr:col>
      <xdr:colOff>1981200</xdr:colOff>
      <xdr:row>27</xdr:row>
      <xdr:rowOff>114300</xdr:rowOff>
    </xdr:from>
    <xdr:to>
      <xdr:col>14</xdr:col>
      <xdr:colOff>66675</xdr:colOff>
      <xdr:row>32</xdr:row>
      <xdr:rowOff>38100</xdr:rowOff>
    </xdr:to>
    <xdr:sp macro="" textlink="$J$41">
      <xdr:nvSpPr>
        <xdr:cNvPr id="22" name="Retângulo: Cantos Arredondados 25">
          <a:extLst>
            <a:ext uri="{FF2B5EF4-FFF2-40B4-BE49-F238E27FC236}">
              <a16:creationId xmlns:a16="http://schemas.microsoft.com/office/drawing/2014/main" id="{00000000-0008-0000-AC00-00001A000000}"/>
            </a:ext>
          </a:extLst>
        </xdr:cNvPr>
        <xdr:cNvSpPr/>
      </xdr:nvSpPr>
      <xdr:spPr>
        <a:xfrm>
          <a:off x="11658600" y="5257800"/>
          <a:ext cx="1085850" cy="5048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0C3BAC8-6DC8-4A80-A643-BA03C60610CB}" type="TxLink">
            <a:rPr lang="en-US" sz="1100" b="0" i="0" u="none" strike="noStrike">
              <a:ln>
                <a:solidFill>
                  <a:schemeClr val="bg1">
                    <a:lumMod val="65000"/>
                  </a:schemeClr>
                </a:solidFill>
              </a:ln>
              <a:solidFill>
                <a:srgbClr val="000000"/>
              </a:solidFill>
              <a:latin typeface="Calibri"/>
              <a:cs typeface="Calibri"/>
            </a:rPr>
            <a:pPr algn="ctr"/>
            <a:t>57,14%</a:t>
          </a:fld>
          <a:endParaRPr lang="en-US">
            <a:ln>
              <a:solidFill>
                <a:schemeClr val="bg1">
                  <a:lumMod val="65000"/>
                </a:schemeClr>
              </a:solidFill>
            </a:ln>
          </a:endParaRPr>
        </a:p>
      </xdr:txBody>
    </xdr:sp>
    <xdr:clientData/>
  </xdr:twoCellAnchor>
  <xdr:twoCellAnchor>
    <xdr:from>
      <xdr:col>0</xdr:col>
      <xdr:colOff>0</xdr:colOff>
      <xdr:row>16</xdr:row>
      <xdr:rowOff>66676</xdr:rowOff>
    </xdr:from>
    <xdr:to>
      <xdr:col>2</xdr:col>
      <xdr:colOff>95250</xdr:colOff>
      <xdr:row>31</xdr:row>
      <xdr:rowOff>128589</xdr:rowOff>
    </xdr:to>
    <xdr:graphicFrame macro="">
      <xdr:nvGraphicFramePr>
        <xdr:cNvPr id="26" name="Gráfico 25">
          <a:extLst>
            <a:ext uri="{FF2B5EF4-FFF2-40B4-BE49-F238E27FC236}">
              <a16:creationId xmlns:a16="http://schemas.microsoft.com/office/drawing/2014/main" id="{00000000-0008-0000-A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942977</xdr:colOff>
      <xdr:row>20</xdr:row>
      <xdr:rowOff>133350</xdr:rowOff>
    </xdr:from>
    <xdr:to>
      <xdr:col>1</xdr:col>
      <xdr:colOff>47626</xdr:colOff>
      <xdr:row>33</xdr:row>
      <xdr:rowOff>74743</xdr:rowOff>
    </xdr:to>
    <xdr:pic>
      <xdr:nvPicPr>
        <xdr:cNvPr id="27" name="Imagem 26" descr="Banheiro Clip Art at Clker.com - vector clip art online, royalty ...">
          <a:extLst>
            <a:ext uri="{FF2B5EF4-FFF2-40B4-BE49-F238E27FC236}">
              <a16:creationId xmlns:a16="http://schemas.microsoft.com/office/drawing/2014/main" id="{00000000-0008-0000-AB00-000008000000}"/>
            </a:ext>
          </a:extLst>
        </xdr:cNvPr>
        <xdr:cNvPicPr>
          <a:picLocks noChangeAspect="1" noChangeArrowheads="1"/>
        </xdr:cNvPicPr>
      </xdr:nvPicPr>
      <xdr:blipFill>
        <a:blip xmlns:r="http://schemas.openxmlformats.org/officeDocument/2006/relationships" r:embed="rId8">
          <a:clrChange>
            <a:clrFrom>
              <a:srgbClr val="231F20"/>
            </a:clrFrom>
            <a:clrTo>
              <a:srgbClr val="231F20">
                <a:alpha val="0"/>
              </a:srgbClr>
            </a:clrTo>
          </a:clrChange>
          <a:extLst>
            <a:ext uri="{28A0092B-C50C-407E-A947-70E740481C1C}">
              <a14:useLocalDpi xmlns:a14="http://schemas.microsoft.com/office/drawing/2010/main" val="0"/>
            </a:ext>
          </a:extLst>
        </a:blip>
        <a:srcRect/>
        <a:stretch>
          <a:fillRect/>
        </a:stretch>
      </xdr:blipFill>
      <xdr:spPr bwMode="auto">
        <a:xfrm>
          <a:off x="942977" y="3829050"/>
          <a:ext cx="1285874" cy="2179768"/>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1295400</xdr:colOff>
      <xdr:row>21</xdr:row>
      <xdr:rowOff>38100</xdr:rowOff>
    </xdr:from>
    <xdr:to>
      <xdr:col>0</xdr:col>
      <xdr:colOff>1933576</xdr:colOff>
      <xdr:row>22</xdr:row>
      <xdr:rowOff>57150</xdr:rowOff>
    </xdr:to>
    <xdr:sp macro="" textlink="$N$20">
      <xdr:nvSpPr>
        <xdr:cNvPr id="28" name="Retângulo: Cantos Arredondados 12">
          <a:extLst>
            <a:ext uri="{FF2B5EF4-FFF2-40B4-BE49-F238E27FC236}">
              <a16:creationId xmlns:a16="http://schemas.microsoft.com/office/drawing/2014/main" id="{00000000-0008-0000-AB00-00000D000000}"/>
            </a:ext>
          </a:extLst>
        </xdr:cNvPr>
        <xdr:cNvSpPr/>
      </xdr:nvSpPr>
      <xdr:spPr>
        <a:xfrm>
          <a:off x="1295400" y="3924300"/>
          <a:ext cx="638176"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4C7303BB-98C5-4877-8438-6A808D155BA5}" type="TxLink">
            <a:rPr lang="en-US" sz="1100" b="1" i="0" u="none" strike="noStrike">
              <a:solidFill>
                <a:srgbClr val="000000"/>
              </a:solidFill>
              <a:latin typeface="Calibri"/>
              <a:cs typeface="Calibri"/>
            </a:rPr>
            <a:pPr algn="l"/>
            <a:t>55,15%</a:t>
          </a:fld>
          <a:endParaRPr lang="pt-BR" sz="1050"/>
        </a:p>
      </xdr:txBody>
    </xdr:sp>
    <xdr:clientData/>
  </xdr:twoCellAnchor>
  <xdr:twoCellAnchor>
    <xdr:from>
      <xdr:col>0</xdr:col>
      <xdr:colOff>180975</xdr:colOff>
      <xdr:row>0</xdr:row>
      <xdr:rowOff>47625</xdr:rowOff>
    </xdr:from>
    <xdr:to>
      <xdr:col>0</xdr:col>
      <xdr:colOff>1110414</xdr:colOff>
      <xdr:row>2</xdr:row>
      <xdr:rowOff>79208</xdr:rowOff>
    </xdr:to>
    <xdr:sp macro="" textlink="">
      <xdr:nvSpPr>
        <xdr:cNvPr id="31" name="Seta para a esquerda 42">
          <a:hlinkClick xmlns:r="http://schemas.openxmlformats.org/officeDocument/2006/relationships" r:id="rId9"/>
          <a:extLst>
            <a:ext uri="{FF2B5EF4-FFF2-40B4-BE49-F238E27FC236}">
              <a16:creationId xmlns:a16="http://schemas.microsoft.com/office/drawing/2014/main" id="{00000000-0008-0000-5200-00002B000000}"/>
            </a:ext>
          </a:extLst>
        </xdr:cNvPr>
        <xdr:cNvSpPr/>
      </xdr:nvSpPr>
      <xdr:spPr>
        <a:xfrm>
          <a:off x="180975" y="47625"/>
          <a:ext cx="929439" cy="412583"/>
        </a:xfrm>
        <a:prstGeom prst="leftArrow">
          <a:avLst/>
        </a:prstGeom>
        <a:solidFill>
          <a:srgbClr val="BD2115"/>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VOLTAR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laninha%20Gest&#227;o%20RH%20JULHO%2020-07-2020%20display%20V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laninha%20Gest&#227;o%20RH%20JULHO%2008-07-2020%20display%20V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GRH/GAB-CGRH/Carlos%20Eduardo%20-%20Trabalho/MeusDocumentos/COVID-19/IDADES%20UNIDAD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GRH/GAB-CGRH/Carlos%20Eduardo%20-%20Trabalho/MeusDocumentos/CLIMA%20ORGANIZACIONAL/2020/PESQUISA%20DE%20CLIMA%20ORGANIZACIONAL%20-%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N"/>
      <sheetName val="RELPAINEL"/>
      <sheetName val="PAINEL"/>
      <sheetName val="MEMORIAPERDA"/>
      <sheetName val="PQP"/>
      <sheetName val="PQP (2)"/>
      <sheetName val="PQP (3)"/>
      <sheetName val="PQP (4)"/>
      <sheetName val="CADASTRO"/>
      <sheetName val="CADASTROCONSULTA"/>
      <sheetName val="PORC"/>
      <sheetName val="PVAL"/>
      <sheetName val="PVALGDPGPE"/>
      <sheetName val="PVALGDM"/>
      <sheetName val="PVALGDACE"/>
      <sheetName val="PVALGDAIE"/>
      <sheetName val="PVALMETAS"/>
      <sheetName val="PVALLEG"/>
      <sheetName val="PGRATDESEMPLEG"/>
      <sheetName val="PFUNC"/>
      <sheetName val="PIR"/>
      <sheetName val="PINDIC"/>
      <sheetName val="PINDIC 01"/>
      <sheetName val="PINDIC01DESC"/>
      <sheetName val="PINDIC01EV"/>
      <sheetName val="PINDIC01RES"/>
      <sheetName val="PINDIC01LANC"/>
      <sheetName val="PINDIC 02"/>
      <sheetName val="PINDIC02DESC"/>
      <sheetName val="PINDINC02EV"/>
      <sheetName val="PINDINC02RES"/>
      <sheetName val="PINDIC02LANC"/>
      <sheetName val="PINDIC 03"/>
      <sheetName val="PINDIC03DESC"/>
      <sheetName val="PINDIC03EV"/>
      <sheetName val="PINDICO3RES"/>
      <sheetName val="PINDIC 04"/>
      <sheetName val="PINDIC04DESC"/>
      <sheetName val="PINDIC04EV"/>
      <sheetName val="PINDIC04TAB"/>
      <sheetName val="PINDIC04AVJAN"/>
      <sheetName val="PINDIC04AVMAI"/>
      <sheetName val="PINDIC04AVSET"/>
      <sheetName val="PINDIC inst"/>
      <sheetName val="PINDICINSTDESC"/>
      <sheetName val="PINDICINSTLANC"/>
      <sheetName val="PINDICINSTEV"/>
      <sheetName val="PINDICINSTRES"/>
      <sheetName val="PINDICPERDA"/>
      <sheetName val="PINDPERDADESC"/>
      <sheetName val=" PINDICPERDA (1)"/>
      <sheetName val="PINDICABSENT"/>
      <sheetName val="PINDICABSENTDESC"/>
      <sheetName val="PINDICABSENTLANC"/>
      <sheetName val="PINDICABSENTEVOL"/>
      <sheetName val="PFUNC (2)"/>
      <sheetName val="PFUNC (2.1)"/>
      <sheetName val="PFUNC (3)"/>
      <sheetName val="PFUNC (4)"/>
      <sheetName val="PFUNC (5)"/>
      <sheetName val="LEGGSISP"/>
      <sheetName val="LEGGSISTE"/>
      <sheetName val="RELEXERCICIO"/>
      <sheetName val="RELAÇÃO"/>
      <sheetName val="IDFUNÇÃO"/>
      <sheetName val="RELAÇÃO2GERAL"/>
      <sheetName val="SUSBTITUIÇÃO"/>
      <sheetName val="RELAÇÃOCEDIDO"/>
      <sheetName val="RELAÇÃOPENSIONISTA"/>
      <sheetName val="RELAÇÃOAPOSENTADO"/>
      <sheetName val="BASE"/>
      <sheetName val="BASECONTADORES1"/>
      <sheetName val="BASECONTADORES2"/>
      <sheetName val="RELVACINA"/>
      <sheetName val="RELPERIODICO"/>
      <sheetName val="QUALIFICAÇÃO"/>
      <sheetName val="QUALIFICAÇÃOANISTIADO"/>
      <sheetName val="QUALIFICAÇÃOCEDIDO"/>
      <sheetName val="QUALIFICAÇÃOAPOSENTADO"/>
      <sheetName val="QUALIFICAÇÃOPENSIONISTA"/>
      <sheetName val="IDADE-COR-SALARIO"/>
      <sheetName val="IDADE"/>
      <sheetName val="LISTA"/>
      <sheetName val="ATIVO"/>
      <sheetName val="ATIV-CED-ANIST"/>
      <sheetName val="APOS-PENS"/>
      <sheetName val="REQ-SVINC-EXDESC"/>
      <sheetName val="FINALISTICA-MEIO"/>
      <sheetName val="INSSANISTIA"/>
      <sheetName val="GLOBAL"/>
      <sheetName val="LIMITE"/>
      <sheetName val="EXECUCAO"/>
      <sheetName val="EXECLANC"/>
      <sheetName val="VALOR FUNCAO"/>
      <sheetName val="PESQUISA"/>
      <sheetName val="DINAMICA"/>
      <sheetName val="MINISTRO"/>
      <sheetName val="GM"/>
      <sheetName val="TEMPORÁRIO"/>
      <sheetName val="SE"/>
      <sheetName val="CONJUR"/>
      <sheetName val="ASSEC"/>
      <sheetName val="ASSINT"/>
      <sheetName val="AECI"/>
      <sheetName val="AEPED"/>
      <sheetName val="SPE"/>
      <sheetName val="SEE"/>
      <sheetName val="SPG"/>
      <sheetName val="SGM"/>
      <sheetName val="TABELAS"/>
      <sheetName val="TABELAS SPOA"/>
      <sheetName val="CUSTO RELATIVO"/>
      <sheetName val="CUSTO ABSOLUTO"/>
      <sheetName val="UNITÁRIO"/>
      <sheetName val="FGR"/>
      <sheetName val="FCT"/>
      <sheetName val="FCTLEG"/>
      <sheetName val="tabela fgrct (2)"/>
      <sheetName val="tabela fgr"/>
      <sheetName val="tabela fct"/>
      <sheetName val="gsiste-gsisp"/>
      <sheetName val="tabela gsiste"/>
      <sheetName val="NIVEL"/>
      <sheetName val="NIVEL2"/>
      <sheetName val="NIVEL3"/>
      <sheetName val="NIVEL4"/>
      <sheetName val="perda"/>
      <sheetName val="TABELAS SPOA exercício"/>
      <sheetName val="LISTA2"/>
      <sheetName val="DADOS"/>
      <sheetName val="PIN2"/>
      <sheetName val="PNIVEL"/>
      <sheetName val="PNM"/>
      <sheetName val="NMREL"/>
      <sheetName val="NMFREQ"/>
      <sheetName val="NMBASE"/>
      <sheetName val="PNSG"/>
      <sheetName val="NSGRADREL"/>
      <sheetName val="NSFREQ"/>
      <sheetName val="NSBASE"/>
      <sheetName val="PNSPG"/>
      <sheetName val="NSPOSREL"/>
      <sheetName val="POSFREQ"/>
      <sheetName val="POSBASE"/>
      <sheetName val="PDISTRIBUIÇÃO"/>
      <sheetName val="PCONTEST%"/>
      <sheetName val="PCONTROLE"/>
      <sheetName val="PVALOR"/>
      <sheetName val="PORÇAMENTO"/>
      <sheetName val="PVAGAS"/>
      <sheetName val="PLEG"/>
      <sheetName val="PESTLEGLEI"/>
      <sheetName val="PESTLEGPORT"/>
      <sheetName val="PESTLEGIN"/>
      <sheetName val="PESTLEGREGINT"/>
      <sheetName val="CONTRATO"/>
      <sheetName val="CONTRATOEST"/>
      <sheetName val="PESTLEGDECNEGRO"/>
      <sheetName val="PRELATORIO"/>
      <sheetName val="PLISTA"/>
      <sheetName val="BASEGERAL"/>
      <sheetName val="RELEXERCICIOEST"/>
      <sheetName val="QUALIFICAÇÃOEST"/>
      <sheetName val="RELESTSIMPLES"/>
      <sheetName val="FILTROEST"/>
      <sheetName val="FILTROINSTITUIÇÃO"/>
      <sheetName val="PCONTROLEINF"/>
      <sheetName val="CONTROLEXECUÇÃO"/>
      <sheetName val="CONTRATOS"/>
      <sheetName val="CONTROLE %"/>
      <sheetName val="CONTROLECEDIDOS"/>
      <sheetName val="BASEIRENDA"/>
      <sheetName val="DIRCONTROLE"/>
      <sheetName val="CONTROLEVAGASEST"/>
      <sheetName val="CONTROLE%NEGROS"/>
      <sheetName val="ANISTIADO"/>
      <sheetName val="FOTOS"/>
      <sheetName val="FOTOSEST"/>
    </sheetNames>
    <sheetDataSet>
      <sheetData sheetId="0" refreshError="1"/>
      <sheetData sheetId="1" refreshError="1"/>
      <sheetData sheetId="2" refreshError="1"/>
      <sheetData sheetId="3">
        <row r="12">
          <cell r="I12" t="str">
            <v>Egressos no Exercício</v>
          </cell>
          <cell r="J12" t="str">
            <v>Ingressos no Exercício</v>
          </cell>
        </row>
        <row r="14">
          <cell r="H14">
            <v>2017</v>
          </cell>
          <cell r="I14">
            <v>0.58571428571428574</v>
          </cell>
          <cell r="J14">
            <v>0.41428571428571426</v>
          </cell>
        </row>
        <row r="15">
          <cell r="H15">
            <v>2018</v>
          </cell>
          <cell r="I15">
            <v>0.58974358974358976</v>
          </cell>
          <cell r="J15">
            <v>0.41025641025641024</v>
          </cell>
        </row>
        <row r="16">
          <cell r="H16">
            <v>2019</v>
          </cell>
          <cell r="I16">
            <v>0.54385964912280704</v>
          </cell>
          <cell r="J16">
            <v>0.45614035087719296</v>
          </cell>
        </row>
        <row r="17">
          <cell r="H17">
            <v>2020</v>
          </cell>
          <cell r="I17">
            <v>0.66666666666666663</v>
          </cell>
          <cell r="J17">
            <v>0.33333333333333337</v>
          </cell>
        </row>
        <row r="46">
          <cell r="I46" t="str">
            <v>Egressos no Exercício</v>
          </cell>
          <cell r="J46" t="str">
            <v>Ingressos no Exercício</v>
          </cell>
        </row>
        <row r="48">
          <cell r="H48">
            <v>2020</v>
          </cell>
          <cell r="I48">
            <v>0.6</v>
          </cell>
          <cell r="J48">
            <v>0.4</v>
          </cell>
        </row>
        <row r="63">
          <cell r="B63" t="str">
            <v>Ingressos no Exercício</v>
          </cell>
          <cell r="C63" t="str">
            <v>Egressos no Exercício</v>
          </cell>
          <cell r="E63" t="str">
            <v>Variação Movimentação</v>
          </cell>
        </row>
        <row r="74">
          <cell r="B74">
            <v>20</v>
          </cell>
          <cell r="C74">
            <v>40</v>
          </cell>
          <cell r="E74">
            <v>-20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0">
          <cell r="B10" t="str">
            <v>Aferição                (dias)</v>
          </cell>
          <cell r="D10" t="str">
            <v>Faixa de Aceitação                                    (≤ dias)</v>
          </cell>
          <cell r="E10" t="str">
            <v>Meta                  (≤ dias)</v>
          </cell>
        </row>
        <row r="11">
          <cell r="A11">
            <v>2007</v>
          </cell>
          <cell r="B11">
            <v>3.124394184168013</v>
          </cell>
          <cell r="D11">
            <v>15</v>
          </cell>
          <cell r="E11">
            <v>10</v>
          </cell>
        </row>
        <row r="12">
          <cell r="A12">
            <v>2008</v>
          </cell>
          <cell r="B12">
            <v>4.4237762237762235</v>
          </cell>
          <cell r="D12">
            <v>15</v>
          </cell>
          <cell r="E12">
            <v>10</v>
          </cell>
        </row>
        <row r="13">
          <cell r="A13">
            <v>2009</v>
          </cell>
          <cell r="B13">
            <v>4.6410256410256414</v>
          </cell>
          <cell r="D13">
            <v>15</v>
          </cell>
          <cell r="E13">
            <v>10</v>
          </cell>
        </row>
        <row r="14">
          <cell r="A14">
            <v>2010</v>
          </cell>
          <cell r="B14">
            <v>6.2249322493224932</v>
          </cell>
          <cell r="D14">
            <v>15</v>
          </cell>
          <cell r="E14">
            <v>10</v>
          </cell>
        </row>
        <row r="15">
          <cell r="A15">
            <v>2011</v>
          </cell>
          <cell r="B15">
            <v>5.9332406119610575</v>
          </cell>
          <cell r="D15">
            <v>15</v>
          </cell>
          <cell r="E15">
            <v>10</v>
          </cell>
        </row>
        <row r="16">
          <cell r="A16">
            <v>2012</v>
          </cell>
          <cell r="B16">
            <v>6.5726256983240221</v>
          </cell>
          <cell r="D16">
            <v>15</v>
          </cell>
          <cell r="E16">
            <v>10</v>
          </cell>
        </row>
        <row r="17">
          <cell r="A17">
            <v>2013</v>
          </cell>
          <cell r="B17">
            <v>6.4243697478991599</v>
          </cell>
          <cell r="D17">
            <v>15</v>
          </cell>
          <cell r="E17">
            <v>10</v>
          </cell>
        </row>
        <row r="18">
          <cell r="A18">
            <v>2014</v>
          </cell>
          <cell r="B18">
            <v>4.5506419400855922</v>
          </cell>
          <cell r="D18">
            <v>15</v>
          </cell>
          <cell r="E18">
            <v>10</v>
          </cell>
        </row>
        <row r="19">
          <cell r="A19">
            <v>2015</v>
          </cell>
          <cell r="B19">
            <v>6.3584337349397586</v>
          </cell>
          <cell r="D19">
            <v>15</v>
          </cell>
          <cell r="E19">
            <v>10</v>
          </cell>
        </row>
        <row r="20">
          <cell r="A20">
            <v>2016</v>
          </cell>
          <cell r="B20">
            <v>5.8875562218890556</v>
          </cell>
          <cell r="D20">
            <v>15</v>
          </cell>
          <cell r="E20">
            <v>10</v>
          </cell>
        </row>
        <row r="21">
          <cell r="A21">
            <v>2017</v>
          </cell>
          <cell r="B21">
            <v>6.7562408223201178</v>
          </cell>
          <cell r="D21">
            <v>15</v>
          </cell>
          <cell r="E21">
            <v>10</v>
          </cell>
        </row>
        <row r="22">
          <cell r="A22">
            <v>2018</v>
          </cell>
          <cell r="B22">
            <v>7.3020134228187921</v>
          </cell>
          <cell r="D22">
            <v>15</v>
          </cell>
          <cell r="E22">
            <v>10</v>
          </cell>
        </row>
        <row r="23">
          <cell r="A23">
            <v>2019</v>
          </cell>
          <cell r="B23">
            <v>6.6811594202898554</v>
          </cell>
          <cell r="D23">
            <v>15</v>
          </cell>
          <cell r="E23">
            <v>10</v>
          </cell>
        </row>
        <row r="24">
          <cell r="A24">
            <v>2020</v>
          </cell>
          <cell r="B24">
            <v>2.3716981132075472</v>
          </cell>
          <cell r="D24">
            <v>15</v>
          </cell>
          <cell r="E24">
            <v>10</v>
          </cell>
        </row>
      </sheetData>
      <sheetData sheetId="25" refreshError="1"/>
      <sheetData sheetId="26" refreshError="1"/>
      <sheetData sheetId="27" refreshError="1"/>
      <sheetData sheetId="28" refreshError="1"/>
      <sheetData sheetId="29">
        <row r="10">
          <cell r="B10" t="str">
            <v>Aferição                (dias)</v>
          </cell>
          <cell r="E10" t="str">
            <v>Meta           (dias)</v>
          </cell>
        </row>
        <row r="11">
          <cell r="A11">
            <v>2007</v>
          </cell>
          <cell r="B11">
            <v>36</v>
          </cell>
          <cell r="E11">
            <v>20</v>
          </cell>
        </row>
        <row r="12">
          <cell r="A12">
            <v>2008</v>
          </cell>
          <cell r="B12">
            <v>36.25</v>
          </cell>
          <cell r="E12">
            <v>20</v>
          </cell>
        </row>
        <row r="13">
          <cell r="A13">
            <v>2009</v>
          </cell>
          <cell r="B13">
            <v>17.75</v>
          </cell>
          <cell r="E13">
            <v>20</v>
          </cell>
        </row>
        <row r="14">
          <cell r="A14">
            <v>2010</v>
          </cell>
          <cell r="B14">
            <v>19</v>
          </cell>
          <cell r="E14">
            <v>20</v>
          </cell>
        </row>
        <row r="15">
          <cell r="A15">
            <v>2011</v>
          </cell>
          <cell r="B15">
            <v>13.636363636363637</v>
          </cell>
          <cell r="E15">
            <v>20</v>
          </cell>
        </row>
        <row r="16">
          <cell r="A16">
            <v>2012</v>
          </cell>
          <cell r="B16">
            <v>10.916666666666666</v>
          </cell>
          <cell r="E16">
            <v>20</v>
          </cell>
        </row>
        <row r="17">
          <cell r="A17">
            <v>2013</v>
          </cell>
          <cell r="B17">
            <v>8.2857142857142865</v>
          </cell>
          <cell r="E17">
            <v>20</v>
          </cell>
        </row>
        <row r="18">
          <cell r="A18">
            <v>2014</v>
          </cell>
          <cell r="B18">
            <v>6.083333333333333</v>
          </cell>
          <cell r="E18">
            <v>20</v>
          </cell>
        </row>
        <row r="19">
          <cell r="A19">
            <v>2015</v>
          </cell>
          <cell r="B19">
            <v>5.1538461538461542</v>
          </cell>
          <cell r="E19">
            <v>20</v>
          </cell>
        </row>
        <row r="20">
          <cell r="A20">
            <v>2016</v>
          </cell>
          <cell r="B20">
            <v>5.8888888888888893</v>
          </cell>
          <cell r="E20">
            <v>20</v>
          </cell>
        </row>
        <row r="21">
          <cell r="A21">
            <v>2017</v>
          </cell>
          <cell r="B21">
            <v>4.6956521739130439</v>
          </cell>
          <cell r="E21">
            <v>20</v>
          </cell>
        </row>
        <row r="22">
          <cell r="A22">
            <v>2018</v>
          </cell>
          <cell r="B22">
            <v>5.6875</v>
          </cell>
          <cell r="E22">
            <v>20</v>
          </cell>
        </row>
        <row r="23">
          <cell r="A23">
            <v>2019</v>
          </cell>
          <cell r="B23">
            <v>4.4666666666666668</v>
          </cell>
          <cell r="E23">
            <v>20</v>
          </cell>
        </row>
        <row r="24">
          <cell r="A24">
            <v>2020</v>
          </cell>
          <cell r="B24">
            <v>5</v>
          </cell>
          <cell r="E24">
            <v>20</v>
          </cell>
        </row>
      </sheetData>
      <sheetData sheetId="30" refreshError="1"/>
      <sheetData sheetId="31" refreshError="1"/>
      <sheetData sheetId="32" refreshError="1"/>
      <sheetData sheetId="33" refreshError="1"/>
      <sheetData sheetId="34">
        <row r="10">
          <cell r="B10" t="str">
            <v>Aferição</v>
          </cell>
          <cell r="C10" t="str">
            <v>Faixa de Aceitação</v>
          </cell>
          <cell r="D10" t="str">
            <v>Meta</v>
          </cell>
        </row>
        <row r="11">
          <cell r="A11">
            <v>2007</v>
          </cell>
          <cell r="B11">
            <v>0.7846153846153846</v>
          </cell>
          <cell r="C11">
            <v>0.7</v>
          </cell>
          <cell r="D11">
            <v>0.8</v>
          </cell>
        </row>
        <row r="12">
          <cell r="A12">
            <v>2008</v>
          </cell>
          <cell r="B12">
            <v>0.51876379690949226</v>
          </cell>
          <cell r="C12">
            <v>0.7</v>
          </cell>
          <cell r="D12">
            <v>0.8</v>
          </cell>
        </row>
        <row r="13">
          <cell r="A13">
            <v>2009</v>
          </cell>
          <cell r="B13">
            <v>0.54500000000000004</v>
          </cell>
          <cell r="C13">
            <v>0.7</v>
          </cell>
          <cell r="D13">
            <v>0.8</v>
          </cell>
        </row>
        <row r="14">
          <cell r="A14">
            <v>2010</v>
          </cell>
          <cell r="B14">
            <v>1</v>
          </cell>
          <cell r="C14">
            <v>0.7</v>
          </cell>
          <cell r="D14">
            <v>0.8</v>
          </cell>
        </row>
        <row r="15">
          <cell r="A15">
            <v>2011</v>
          </cell>
          <cell r="B15">
            <v>0.85847953216374273</v>
          </cell>
          <cell r="C15">
            <v>0.7</v>
          </cell>
          <cell r="D15">
            <v>0.8</v>
          </cell>
        </row>
        <row r="16">
          <cell r="A16">
            <v>2012</v>
          </cell>
          <cell r="B16">
            <v>1</v>
          </cell>
          <cell r="C16">
            <v>0.7</v>
          </cell>
          <cell r="D16">
            <v>0.8</v>
          </cell>
        </row>
        <row r="17">
          <cell r="A17">
            <v>2013</v>
          </cell>
          <cell r="B17">
            <v>0.8387404580152672</v>
          </cell>
          <cell r="C17">
            <v>0.7</v>
          </cell>
          <cell r="D17">
            <v>0.8</v>
          </cell>
        </row>
        <row r="18">
          <cell r="A18">
            <v>2014</v>
          </cell>
          <cell r="B18">
            <v>0.89674315321983711</v>
          </cell>
          <cell r="C18">
            <v>0.7</v>
          </cell>
          <cell r="D18">
            <v>0.8</v>
          </cell>
        </row>
        <row r="19">
          <cell r="A19">
            <v>2015</v>
          </cell>
          <cell r="B19">
            <v>0.87309368191721137</v>
          </cell>
          <cell r="C19">
            <v>0.7</v>
          </cell>
          <cell r="D19">
            <v>0.8</v>
          </cell>
        </row>
        <row r="20">
          <cell r="A20">
            <v>2016</v>
          </cell>
          <cell r="B20">
            <v>1</v>
          </cell>
          <cell r="C20">
            <v>0.7</v>
          </cell>
          <cell r="D20">
            <v>0.8</v>
          </cell>
        </row>
        <row r="21">
          <cell r="A21">
            <v>2017</v>
          </cell>
          <cell r="B21">
            <v>1</v>
          </cell>
          <cell r="C21">
            <v>0.7</v>
          </cell>
          <cell r="D21">
            <v>0.8</v>
          </cell>
        </row>
        <row r="22">
          <cell r="A22">
            <v>2018</v>
          </cell>
          <cell r="B22">
            <v>0.60996749729144095</v>
          </cell>
          <cell r="C22">
            <v>0.7</v>
          </cell>
          <cell r="D22">
            <v>0.8</v>
          </cell>
        </row>
        <row r="23">
          <cell r="A23">
            <v>2019</v>
          </cell>
          <cell r="B23">
            <v>1</v>
          </cell>
          <cell r="C23">
            <v>0.7</v>
          </cell>
          <cell r="D23">
            <v>0.8</v>
          </cell>
        </row>
        <row r="24">
          <cell r="A24">
            <v>2020</v>
          </cell>
          <cell r="B24">
            <v>0</v>
          </cell>
          <cell r="C24">
            <v>0.7</v>
          </cell>
          <cell r="D24">
            <v>0.8</v>
          </cell>
        </row>
      </sheetData>
      <sheetData sheetId="35" refreshError="1"/>
      <sheetData sheetId="36" refreshError="1"/>
      <sheetData sheetId="37" refreshError="1"/>
      <sheetData sheetId="38">
        <row r="10">
          <cell r="C10" t="str">
            <v>Aferição</v>
          </cell>
          <cell r="D10" t="str">
            <v>Faixa de Aceitação</v>
          </cell>
          <cell r="E10" t="str">
            <v>Meta</v>
          </cell>
        </row>
        <row r="11">
          <cell r="B11" t="str">
            <v>1ª Avaliação (jan a abr/2015)</v>
          </cell>
          <cell r="C11">
            <v>1</v>
          </cell>
          <cell r="D11">
            <v>0.6</v>
          </cell>
          <cell r="E11">
            <v>0.75</v>
          </cell>
        </row>
        <row r="12">
          <cell r="B12" t="str">
            <v>2ª Avaliação (mai a ago/2015)</v>
          </cell>
          <cell r="C12">
            <v>1</v>
          </cell>
          <cell r="D12">
            <v>0.6</v>
          </cell>
          <cell r="E12">
            <v>0.75</v>
          </cell>
        </row>
        <row r="13">
          <cell r="B13" t="str">
            <v>3ª Avaliação (set a dez/2015)</v>
          </cell>
          <cell r="C13">
            <v>1</v>
          </cell>
          <cell r="D13">
            <v>0.6</v>
          </cell>
          <cell r="E13">
            <v>0.75</v>
          </cell>
        </row>
        <row r="14">
          <cell r="B14" t="str">
            <v>1ª Avaliação (jan a abr/2016)</v>
          </cell>
          <cell r="C14" t="str">
            <v>***</v>
          </cell>
          <cell r="D14">
            <v>0.6</v>
          </cell>
          <cell r="E14">
            <v>0.75</v>
          </cell>
        </row>
        <row r="15">
          <cell r="B15" t="str">
            <v>2ª Avaliação (mai a ago/2016)</v>
          </cell>
          <cell r="C15">
            <v>0.93940000000000001</v>
          </cell>
          <cell r="D15">
            <v>0.6</v>
          </cell>
          <cell r="E15">
            <v>0.75</v>
          </cell>
        </row>
        <row r="16">
          <cell r="B16" t="str">
            <v>3ª Avaliação (set a dez/2016)</v>
          </cell>
          <cell r="C16">
            <v>0.97250000000000003</v>
          </cell>
          <cell r="D16">
            <v>0.6</v>
          </cell>
          <cell r="E16">
            <v>0.75</v>
          </cell>
        </row>
        <row r="17">
          <cell r="B17" t="str">
            <v>1ª Avaliação (jan a abr/2017)</v>
          </cell>
          <cell r="C17">
            <v>0.57140000000000002</v>
          </cell>
          <cell r="D17">
            <v>0.6</v>
          </cell>
          <cell r="E17">
            <v>0.75</v>
          </cell>
        </row>
        <row r="18">
          <cell r="B18" t="str">
            <v>2ª Avaliação (mai a ago/2017)</v>
          </cell>
          <cell r="C18">
            <v>0.98109999999999997</v>
          </cell>
          <cell r="D18">
            <v>0.6</v>
          </cell>
          <cell r="E18">
            <v>0.75</v>
          </cell>
        </row>
        <row r="19">
          <cell r="B19" t="str">
            <v>3ª Avaliação (set a dez/2017)</v>
          </cell>
          <cell r="C19">
            <v>1</v>
          </cell>
          <cell r="D19">
            <v>0.6</v>
          </cell>
          <cell r="E19">
            <v>0.75</v>
          </cell>
        </row>
        <row r="20">
          <cell r="B20" t="str">
            <v>1ª Avaliação (jan a abr/2018)</v>
          </cell>
          <cell r="C20">
            <v>1</v>
          </cell>
          <cell r="D20">
            <v>0.6</v>
          </cell>
          <cell r="E20">
            <v>0.75</v>
          </cell>
        </row>
        <row r="21">
          <cell r="B21" t="str">
            <v>2ª Avaliação (mai a ago/2018)</v>
          </cell>
          <cell r="C21">
            <v>1</v>
          </cell>
          <cell r="D21">
            <v>0.6</v>
          </cell>
          <cell r="E21">
            <v>0.75</v>
          </cell>
        </row>
        <row r="22">
          <cell r="B22" t="str">
            <v>3ª Avaliação (set a dez/2018)</v>
          </cell>
          <cell r="C22">
            <v>1</v>
          </cell>
          <cell r="D22">
            <v>0.6</v>
          </cell>
          <cell r="E22">
            <v>0.75</v>
          </cell>
        </row>
        <row r="23">
          <cell r="B23" t="str">
            <v>1ª Avaliação (jan a abr/2019)</v>
          </cell>
          <cell r="C23">
            <v>1</v>
          </cell>
          <cell r="D23">
            <v>0.6</v>
          </cell>
          <cell r="E23">
            <v>0.75</v>
          </cell>
        </row>
        <row r="24">
          <cell r="B24" t="str">
            <v>2ª Avaliação (mai a ago/2019)</v>
          </cell>
          <cell r="C24">
            <v>0.97140000000000004</v>
          </cell>
          <cell r="D24">
            <v>0.6</v>
          </cell>
          <cell r="E24">
            <v>0.75</v>
          </cell>
        </row>
        <row r="25">
          <cell r="B25" t="str">
            <v>3ª Avaliação (set a dez/2019)</v>
          </cell>
          <cell r="C25">
            <v>0.93179999999999996</v>
          </cell>
          <cell r="D25">
            <v>0.6</v>
          </cell>
          <cell r="E25">
            <v>0.75</v>
          </cell>
        </row>
        <row r="26">
          <cell r="B26" t="str">
            <v>1ª Avaliação (jan a abr/2020)</v>
          </cell>
          <cell r="C26">
            <v>0</v>
          </cell>
          <cell r="D26">
            <v>0.6</v>
          </cell>
          <cell r="E26">
            <v>0.75</v>
          </cell>
        </row>
        <row r="27">
          <cell r="B27" t="str">
            <v>2ª Avaliação (mai a ago/2020)</v>
          </cell>
          <cell r="C27">
            <v>0</v>
          </cell>
          <cell r="D27">
            <v>0.6</v>
          </cell>
          <cell r="E27">
            <v>0.75</v>
          </cell>
        </row>
        <row r="28">
          <cell r="B28" t="str">
            <v>3ª Avaliação (set a dez/2020)</v>
          </cell>
          <cell r="D28">
            <v>0.6</v>
          </cell>
          <cell r="E28">
            <v>0.75</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ow r="10">
          <cell r="B10" t="str">
            <v>Aferição                (%)</v>
          </cell>
          <cell r="D10" t="str">
            <v>Faixa de Aceitação                                    (%)</v>
          </cell>
          <cell r="E10" t="str">
            <v>Meta                  (%)</v>
          </cell>
        </row>
        <row r="11">
          <cell r="A11" t="str">
            <v xml:space="preserve">Out/2010 a Set/2011 </v>
          </cell>
          <cell r="B11">
            <v>56.083086053412465</v>
          </cell>
          <cell r="D11">
            <v>30</v>
          </cell>
          <cell r="E11">
            <v>60</v>
          </cell>
        </row>
        <row r="12">
          <cell r="A12" t="str">
            <v>Out/2011 a Set/2012</v>
          </cell>
          <cell r="B12">
            <v>61.09375</v>
          </cell>
          <cell r="D12">
            <v>30</v>
          </cell>
          <cell r="E12">
            <v>60</v>
          </cell>
        </row>
        <row r="13">
          <cell r="A13" t="str">
            <v>Out/2012 a Set/2013</v>
          </cell>
          <cell r="B13">
            <v>56.606606606606604</v>
          </cell>
          <cell r="D13">
            <v>30</v>
          </cell>
          <cell r="E13">
            <v>60</v>
          </cell>
        </row>
        <row r="14">
          <cell r="A14" t="str">
            <v>Out/2013 a Set/2014</v>
          </cell>
          <cell r="B14">
            <v>65.92</v>
          </cell>
          <cell r="D14">
            <v>30</v>
          </cell>
          <cell r="E14">
            <v>60</v>
          </cell>
        </row>
        <row r="15">
          <cell r="A15" t="str">
            <v>Out/2014 a Set/2015</v>
          </cell>
          <cell r="B15">
            <v>46.551724137931032</v>
          </cell>
          <cell r="D15">
            <v>30</v>
          </cell>
          <cell r="E15">
            <v>60</v>
          </cell>
        </row>
        <row r="16">
          <cell r="A16" t="str">
            <v>Out/2015 a Set/2016</v>
          </cell>
          <cell r="B16">
            <v>38.134206219312603</v>
          </cell>
          <cell r="D16">
            <v>30</v>
          </cell>
          <cell r="E16">
            <v>60</v>
          </cell>
        </row>
        <row r="17">
          <cell r="A17" t="str">
            <v>Out/2016 a Set/2017</v>
          </cell>
          <cell r="B17">
            <v>76.964285714285722</v>
          </cell>
          <cell r="D17">
            <v>30</v>
          </cell>
          <cell r="E17">
            <v>60</v>
          </cell>
        </row>
        <row r="18">
          <cell r="A18" t="str">
            <v>Out/2017 a Set/2018</v>
          </cell>
          <cell r="B18">
            <v>37.016574585635361</v>
          </cell>
          <cell r="D18">
            <v>30</v>
          </cell>
          <cell r="E18">
            <v>60</v>
          </cell>
        </row>
        <row r="19">
          <cell r="A19" t="str">
            <v>Out/2018 a Set/2019</v>
          </cell>
          <cell r="B19">
            <v>54.945054945054949</v>
          </cell>
          <cell r="D19">
            <v>30</v>
          </cell>
          <cell r="E19">
            <v>60</v>
          </cell>
        </row>
        <row r="20">
          <cell r="A20" t="str">
            <v>Out/2019 a Set/2020</v>
          </cell>
          <cell r="B20">
            <v>11.155378486055776</v>
          </cell>
          <cell r="D20">
            <v>30</v>
          </cell>
          <cell r="E20">
            <v>60</v>
          </cell>
        </row>
      </sheetData>
      <sheetData sheetId="47" refreshError="1"/>
      <sheetData sheetId="48" refreshError="1"/>
      <sheetData sheetId="49" refreshError="1"/>
      <sheetData sheetId="50">
        <row r="9">
          <cell r="B9" t="str">
            <v>Ingressos no Exercício</v>
          </cell>
          <cell r="D9" t="str">
            <v>Egressos no Exercício</v>
          </cell>
          <cell r="F9" t="str">
            <v>Total Movimentação</v>
          </cell>
          <cell r="H9" t="str">
            <v>Variação Movimentação -12 meses</v>
          </cell>
        </row>
        <row r="20">
          <cell r="B20">
            <v>28</v>
          </cell>
          <cell r="D20">
            <v>42</v>
          </cell>
          <cell r="H20">
            <v>-14</v>
          </cell>
        </row>
      </sheetData>
      <sheetData sheetId="51" refreshError="1"/>
      <sheetData sheetId="52" refreshError="1"/>
      <sheetData sheetId="53" refreshError="1"/>
      <sheetData sheetId="54">
        <row r="10">
          <cell r="D10" t="str">
            <v>Índice de absenteísmo</v>
          </cell>
          <cell r="F10" t="str">
            <v>Índice Aceitável</v>
          </cell>
          <cell r="G10" t="str">
            <v>Índice Ideal</v>
          </cell>
        </row>
        <row r="11">
          <cell r="A11">
            <v>2019</v>
          </cell>
          <cell r="D11">
            <v>4.2461341677896808E-2</v>
          </cell>
          <cell r="F11">
            <v>0.05</v>
          </cell>
          <cell r="G11">
            <v>1.4999999999999999E-2</v>
          </cell>
        </row>
        <row r="12">
          <cell r="A12">
            <v>2020</v>
          </cell>
          <cell r="D12">
            <v>7.4580008882218713E-3</v>
          </cell>
          <cell r="F12">
            <v>0.05</v>
          </cell>
          <cell r="G12">
            <v>1.4999999999999999E-2</v>
          </cell>
        </row>
        <row r="13">
          <cell r="A13">
            <v>2021</v>
          </cell>
          <cell r="F13">
            <v>0.05</v>
          </cell>
          <cell r="G13">
            <v>1.4999999999999999E-2</v>
          </cell>
        </row>
        <row r="14">
          <cell r="A14">
            <v>2022</v>
          </cell>
          <cell r="F14">
            <v>0.05</v>
          </cell>
          <cell r="G14">
            <v>1.4999999999999999E-2</v>
          </cell>
        </row>
        <row r="15">
          <cell r="A15">
            <v>2023</v>
          </cell>
          <cell r="F15">
            <v>0.05</v>
          </cell>
          <cell r="G15">
            <v>1.4999999999999999E-2</v>
          </cell>
        </row>
        <row r="16">
          <cell r="A16">
            <v>2024</v>
          </cell>
          <cell r="F16">
            <v>0.05</v>
          </cell>
          <cell r="G16">
            <v>1.4999999999999999E-2</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ow r="1">
          <cell r="A1" t="str">
            <v>SERVIDOR/EMPREGADO</v>
          </cell>
          <cell r="B1" t="str">
            <v>CPF</v>
          </cell>
          <cell r="C1" t="str">
            <v>MATRÍCULA SIAPE</v>
          </cell>
          <cell r="D1" t="str">
            <v>CARGO/EMPREGO</v>
          </cell>
          <cell r="E1" t="str">
            <v>SITUAÇÃO FUNCIONAL</v>
          </cell>
          <cell r="F1" t="str">
            <v>ORGÃO DE ORIGEM</v>
          </cell>
          <cell r="G1" t="str">
            <v xml:space="preserve"> UNIDADE DE EXERCÍCIO</v>
          </cell>
          <cell r="H1" t="str">
            <v>CÓDIGO UNIDADE</v>
          </cell>
          <cell r="I1" t="str">
            <v>FUNÇÃO</v>
          </cell>
          <cell r="J1" t="str">
            <v>CÓDIGO FUNÇÃO</v>
          </cell>
          <cell r="K1" t="str">
            <v>NÍVEL FUNÇÃO</v>
          </cell>
          <cell r="L1" t="str">
            <v>DOCUMENTO LEGAL</v>
          </cell>
          <cell r="M1" t="str">
            <v>Nº DOCUMENTO LEGAL</v>
          </cell>
          <cell r="N1" t="str">
            <v>DATA ATO FUNÇÃO</v>
          </cell>
          <cell r="O1" t="str">
            <v>DATA PUBLICAÇÃO FUNÇÃO</v>
          </cell>
          <cell r="P1" t="str">
            <v>VEÍCULO FUNÇÃO</v>
          </cell>
          <cell r="Q1" t="str">
            <v>GRATIFICAÇÃO</v>
          </cell>
          <cell r="R1" t="str">
            <v>Nível</v>
          </cell>
          <cell r="S1" t="str">
            <v>SISTEMA ESTRUTURADOR</v>
          </cell>
          <cell r="T1" t="str">
            <v>DOCUMENTO LEGAL</v>
          </cell>
          <cell r="U1" t="str">
            <v>Nº DOCUMENTO LEGAL</v>
          </cell>
          <cell r="V1" t="str">
            <v>DATA ATO GRATIFICAÇÃO</v>
          </cell>
          <cell r="W1" t="str">
            <v>DATA PUBLICAÇÃO GRATIFICAÇÃO</v>
          </cell>
          <cell r="X1" t="str">
            <v>Veículo Gratificação</v>
          </cell>
          <cell r="Y1" t="str">
            <v>SUBSTITUIÇÃO</v>
          </cell>
          <cell r="Z1" t="str">
            <v>TIPO SUBSTITUIÇÃO</v>
          </cell>
          <cell r="AA1" t="str">
            <v>DOCUMENTO LEGAL</v>
          </cell>
          <cell r="AB1" t="str">
            <v>Nº DOCUMENTO LEGAL</v>
          </cell>
          <cell r="AC1" t="str">
            <v>DATA ATO SUBSTITUIÇÃO</v>
          </cell>
          <cell r="AD1" t="str">
            <v>DATA PUBLICAÇÃO SUBSTITUIÇÃO</v>
          </cell>
          <cell r="AE1" t="str">
            <v>VEÍCULO SUBSTITUIÇÃO</v>
          </cell>
          <cell r="AF1" t="str">
            <v>SEXO</v>
          </cell>
          <cell r="AG1" t="str">
            <v>COR</v>
          </cell>
          <cell r="AH1" t="str">
            <v xml:space="preserve">DATA NASCIMENTO </v>
          </cell>
          <cell r="AI1" t="str">
            <v>IDADE</v>
          </cell>
          <cell r="AJ1" t="str">
            <v>REMUNERAÇÃO MME</v>
          </cell>
          <cell r="AK1" t="str">
            <v>REMUNERAÇÃO ORIGEM</v>
          </cell>
          <cell r="AL1" t="str">
            <v>IMPOSTO DE RENDA</v>
          </cell>
          <cell r="AM1" t="str">
            <v>SOMA REMUNERAÇÃO</v>
          </cell>
          <cell r="AN1" t="str">
            <v>e-mail</v>
          </cell>
          <cell r="AO1" t="str">
            <v>Telefone/Ramal</v>
          </cell>
          <cell r="AP1" t="str">
            <v>ID FUNÇÃO</v>
          </cell>
          <cell r="AQ1" t="str">
            <v>ID SUBSTITUIÇÃO</v>
          </cell>
        </row>
        <row r="2">
          <cell r="A2" t="str">
            <v>ABADIA RODRIGUES DA SILVA</v>
          </cell>
          <cell r="B2" t="str">
            <v>221.296.501-04</v>
          </cell>
          <cell r="C2">
            <v>451653</v>
          </cell>
          <cell r="D2" t="str">
            <v>Datilógrafo</v>
          </cell>
          <cell r="E2" t="str">
            <v>Ativo Permanente</v>
          </cell>
          <cell r="F2" t="str">
            <v>MME - Ministério de Minas e Energia</v>
          </cell>
          <cell r="G2" t="str">
            <v>SPE / CHEFIA DE GABINETE SPE</v>
          </cell>
          <cell r="H2" t="str">
            <v>10.100.000</v>
          </cell>
          <cell r="I2" t="str">
            <v>Função Gratificada</v>
          </cell>
          <cell r="J2" t="str">
            <v>FGR</v>
          </cell>
          <cell r="K2">
            <v>1</v>
          </cell>
          <cell r="L2" t="str">
            <v xml:space="preserve">Portaria nº </v>
          </cell>
          <cell r="M2">
            <v>693</v>
          </cell>
          <cell r="N2" t="str">
            <v>08/12/2016</v>
          </cell>
          <cell r="O2" t="str">
            <v>09/12/2016</v>
          </cell>
          <cell r="P2" t="str">
            <v>DOU</v>
          </cell>
          <cell r="Z2" t="str">
            <v>Sem designação</v>
          </cell>
          <cell r="AF2" t="str">
            <v>Feminino</v>
          </cell>
          <cell r="AG2" t="str">
            <v>Parda</v>
          </cell>
          <cell r="AH2" t="str">
            <v>13/06/1960</v>
          </cell>
          <cell r="AI2">
            <v>60</v>
          </cell>
          <cell r="AJ2">
            <v>6225.28</v>
          </cell>
          <cell r="AL2" t="str">
            <v>FA</v>
          </cell>
          <cell r="AM2">
            <v>6225.28</v>
          </cell>
          <cell r="AN2" t="str">
            <v>abadiabarreto@mme.gov.br</v>
          </cell>
          <cell r="AO2" t="str">
            <v>(61) 2032-5591</v>
          </cell>
        </row>
        <row r="3">
          <cell r="A3" t="str">
            <v>ABDON TAVARES REIS</v>
          </cell>
          <cell r="B3" t="str">
            <v>212.523.941-87</v>
          </cell>
          <cell r="C3">
            <v>7129830</v>
          </cell>
          <cell r="D3" t="str">
            <v>Técnico de Orçamento</v>
          </cell>
          <cell r="E3" t="str">
            <v>Exercício Descentralizado</v>
          </cell>
          <cell r="F3" t="str">
            <v>ME - Ministério da Economia</v>
          </cell>
          <cell r="G3" t="str">
            <v>SE / SPOA / CGOF / COORDENAÇÃO DE ADMINISTRAÇÃO FINANCEIRA -COAF</v>
          </cell>
          <cell r="H3" t="str">
            <v>8.105.510</v>
          </cell>
          <cell r="I3" t="str">
            <v>Assistente Técnico da Ouvidora Geral do Gabinete do Ministro</v>
          </cell>
          <cell r="J3" t="str">
            <v>FCPE</v>
          </cell>
          <cell r="K3" t="str">
            <v>102.1</v>
          </cell>
          <cell r="L3" t="str">
            <v xml:space="preserve">Portaria nº </v>
          </cell>
          <cell r="M3">
            <v>332</v>
          </cell>
          <cell r="N3" t="str">
            <v>15/08/2018</v>
          </cell>
          <cell r="O3" t="str">
            <v>16/08/2018</v>
          </cell>
          <cell r="P3" t="str">
            <v>DOU</v>
          </cell>
          <cell r="Z3" t="str">
            <v>Sem designação</v>
          </cell>
          <cell r="AF3" t="str">
            <v>Masculino</v>
          </cell>
          <cell r="AG3" t="str">
            <v>Parda</v>
          </cell>
          <cell r="AH3" t="str">
            <v>18/04/1956</v>
          </cell>
          <cell r="AI3">
            <v>64</v>
          </cell>
          <cell r="AJ3">
            <v>1620.89</v>
          </cell>
          <cell r="AK3">
            <v>14349.18</v>
          </cell>
          <cell r="AL3" t="str">
            <v>FA</v>
          </cell>
          <cell r="AM3">
            <v>15970.07</v>
          </cell>
          <cell r="AN3" t="str">
            <v>abdonreis@mme.gov.br</v>
          </cell>
          <cell r="AO3" t="str">
            <v>(61) 2032-5311</v>
          </cell>
          <cell r="AP3" t="str">
            <v>GM44</v>
          </cell>
        </row>
        <row r="4">
          <cell r="A4" t="str">
            <v>ADAO MARTINS TEIXEIRA JUNIOR</v>
          </cell>
          <cell r="B4" t="str">
            <v>074.316.439-34</v>
          </cell>
          <cell r="C4">
            <v>2280944</v>
          </cell>
          <cell r="D4" t="str">
            <v>Auxiliar Administrativo</v>
          </cell>
          <cell r="E4" t="str">
            <v>Anistiado MME</v>
          </cell>
          <cell r="F4" t="str">
            <v>MME - Ministério de Minas e Energia</v>
          </cell>
          <cell r="G4" t="str">
            <v>SPE / DEPARTAMENTO DE PLANEJAMENTO ENERGÉTICO - DPE</v>
          </cell>
          <cell r="H4" t="str">
            <v>10.101.000</v>
          </cell>
          <cell r="Z4" t="str">
            <v>Sem designação</v>
          </cell>
          <cell r="AF4" t="str">
            <v>Masculino</v>
          </cell>
          <cell r="AG4" t="str">
            <v>Branca</v>
          </cell>
          <cell r="AH4" t="str">
            <v>10/09/1950</v>
          </cell>
          <cell r="AI4">
            <v>70</v>
          </cell>
          <cell r="AJ4">
            <v>3915.9</v>
          </cell>
          <cell r="AL4" t="str">
            <v>FA</v>
          </cell>
          <cell r="AM4">
            <v>3915.9</v>
          </cell>
          <cell r="AN4" t="str">
            <v>adao.junior@mme.gov.br</v>
          </cell>
          <cell r="AO4" t="str">
            <v>(61) 2032-5038</v>
          </cell>
        </row>
        <row r="5">
          <cell r="A5" t="str">
            <v>ADÍLIA EVANGELISTA DE SOUSA</v>
          </cell>
          <cell r="B5" t="str">
            <v>153.309.401-25</v>
          </cell>
          <cell r="C5">
            <v>451457</v>
          </cell>
          <cell r="D5" t="str">
            <v>Agente Administrativo</v>
          </cell>
          <cell r="E5" t="str">
            <v>Ativo Permanente</v>
          </cell>
          <cell r="F5" t="str">
            <v>MME - Ministério de Minas e Energia</v>
          </cell>
          <cell r="G5" t="str">
            <v>SE / SPOA / CGRL / COORDENAÇÃO DE ADMINISTRAÇÃO DE MATERIAL E EXECUÇÃO FINANCEIRA - COMEF</v>
          </cell>
          <cell r="H5" t="str">
            <v>8.105.110</v>
          </cell>
          <cell r="I5" t="str">
            <v>Função Comissionada Técnica - Auxilar de Sistemas Operacionais e Administrativos</v>
          </cell>
          <cell r="J5" t="str">
            <v>FCT</v>
          </cell>
          <cell r="K5">
            <v>11</v>
          </cell>
          <cell r="L5" t="str">
            <v xml:space="preserve">Portaria nº </v>
          </cell>
          <cell r="M5">
            <v>538</v>
          </cell>
          <cell r="N5" t="str">
            <v>20/05/2010</v>
          </cell>
          <cell r="O5" t="str">
            <v>24/05/2010</v>
          </cell>
          <cell r="P5" t="str">
            <v>DOU</v>
          </cell>
          <cell r="Y5" t="str">
            <v>Chefe da Divisão de Controle de Diárias e Passagens</v>
          </cell>
          <cell r="Z5" t="str">
            <v>Pessoal</v>
          </cell>
          <cell r="AA5" t="str">
            <v xml:space="preserve">Portaria nº </v>
          </cell>
          <cell r="AB5">
            <v>433</v>
          </cell>
          <cell r="AC5" t="str">
            <v>27/11/2019</v>
          </cell>
          <cell r="AD5" t="str">
            <v>04/12/2019</v>
          </cell>
          <cell r="AE5" t="str">
            <v>DOU</v>
          </cell>
          <cell r="AF5" t="str">
            <v>Feminino</v>
          </cell>
          <cell r="AG5" t="str">
            <v>Parda</v>
          </cell>
          <cell r="AH5" t="str">
            <v>21/11/1952</v>
          </cell>
          <cell r="AI5">
            <v>67</v>
          </cell>
          <cell r="AJ5">
            <v>6398.67</v>
          </cell>
          <cell r="AL5" t="str">
            <v>FA</v>
          </cell>
          <cell r="AM5">
            <v>6398.67</v>
          </cell>
          <cell r="AN5" t="str">
            <v>adilia@mme.gov.br</v>
          </cell>
          <cell r="AO5" t="str">
            <v>(61) 2032-5345</v>
          </cell>
          <cell r="AQ5" t="str">
            <v>SE25S</v>
          </cell>
        </row>
        <row r="6">
          <cell r="A6" t="str">
            <v>ADILSON DE MELO RAMOS</v>
          </cell>
          <cell r="B6" t="str">
            <v>325.078.601-20</v>
          </cell>
          <cell r="C6">
            <v>451568</v>
          </cell>
          <cell r="D6" t="str">
            <v>Agente Administrativo</v>
          </cell>
          <cell r="E6" t="str">
            <v>Ativo Permanente</v>
          </cell>
          <cell r="F6" t="str">
            <v>MME - Ministério de Minas e Energia</v>
          </cell>
          <cell r="G6" t="str">
            <v>SE / SPOA / COORDENAÇÃO GERAL DE RECURSOS LOGÍSTICOS - CGRL</v>
          </cell>
          <cell r="H6" t="str">
            <v>8.105.100</v>
          </cell>
          <cell r="Q6" t="str">
            <v>GSISTE</v>
          </cell>
          <cell r="R6" t="str">
            <v>Intermediário</v>
          </cell>
          <cell r="S6" t="str">
            <v>SPO - Sistema de Planejamento e Orçamento Federal</v>
          </cell>
          <cell r="T6" t="str">
            <v xml:space="preserve">Portaria nº </v>
          </cell>
          <cell r="U6">
            <v>3</v>
          </cell>
          <cell r="V6" t="str">
            <v>03/01/2020</v>
          </cell>
          <cell r="W6" t="str">
            <v>03/01/2020</v>
          </cell>
          <cell r="X6" t="str">
            <v>BPE</v>
          </cell>
          <cell r="Z6" t="str">
            <v>Sem designação</v>
          </cell>
          <cell r="AF6" t="str">
            <v>Masculino</v>
          </cell>
          <cell r="AG6" t="str">
            <v>Parda</v>
          </cell>
          <cell r="AH6" t="str">
            <v>25/04/1964</v>
          </cell>
          <cell r="AI6">
            <v>56</v>
          </cell>
          <cell r="AJ6">
            <v>7487.64</v>
          </cell>
          <cell r="AL6" t="str">
            <v>FA</v>
          </cell>
          <cell r="AM6">
            <v>7487.64</v>
          </cell>
          <cell r="AN6" t="str">
            <v>adilson.ramos@mme.gov.br</v>
          </cell>
          <cell r="AO6" t="str">
            <v>(61) 2032-5599</v>
          </cell>
        </row>
        <row r="7">
          <cell r="A7" t="str">
            <v>ADRIMAR VENANCIO DO NASCIMENTO</v>
          </cell>
          <cell r="B7" t="str">
            <v>995.215.046-68</v>
          </cell>
          <cell r="C7">
            <v>5692188</v>
          </cell>
          <cell r="D7" t="str">
            <v>Analista de Infraestrutura</v>
          </cell>
          <cell r="E7" t="str">
            <v>Exercício Descentralizado</v>
          </cell>
          <cell r="F7" t="str">
            <v>ME - Ministério da Economia</v>
          </cell>
          <cell r="G7" t="str">
            <v>SEE / DGSE / COORDENAÇÃO GERAL DE GESTÃO DE PROGRAMAS E REGULAMENTAÇÃO</v>
          </cell>
          <cell r="H7" t="str">
            <v>12.101.200</v>
          </cell>
          <cell r="I7" t="str">
            <v xml:space="preserve">Coordenador Geral de Gestão de Programas e Regulamentação do Departamento de Gestão do Setor Elétrico </v>
          </cell>
          <cell r="J7" t="str">
            <v>DAS</v>
          </cell>
          <cell r="K7" t="str">
            <v>101.4</v>
          </cell>
          <cell r="L7" t="str">
            <v xml:space="preserve">Portaria nº </v>
          </cell>
          <cell r="M7">
            <v>290</v>
          </cell>
          <cell r="N7" t="str">
            <v>22/07/2019</v>
          </cell>
          <cell r="O7" t="str">
            <v>25/07/2019</v>
          </cell>
          <cell r="P7" t="str">
            <v>DOU</v>
          </cell>
          <cell r="Z7" t="str">
            <v>Sem designação</v>
          </cell>
          <cell r="AF7" t="str">
            <v>Masculino</v>
          </cell>
          <cell r="AG7" t="str">
            <v>Branca</v>
          </cell>
          <cell r="AH7" t="str">
            <v>25/05/1975</v>
          </cell>
          <cell r="AI7">
            <v>45</v>
          </cell>
          <cell r="AJ7">
            <v>6223.98</v>
          </cell>
          <cell r="AK7">
            <v>16526.8</v>
          </cell>
          <cell r="AL7" t="str">
            <v>FA</v>
          </cell>
          <cell r="AM7">
            <v>22750.78</v>
          </cell>
          <cell r="AN7" t="str">
            <v>adrimar.nascimento@mme.gov.br</v>
          </cell>
          <cell r="AO7" t="str">
            <v>(61) 2032-5065</v>
          </cell>
          <cell r="AP7" t="str">
            <v>SEE14</v>
          </cell>
        </row>
        <row r="8">
          <cell r="A8" t="str">
            <v>AGDA LELES ZEDES</v>
          </cell>
          <cell r="B8" t="str">
            <v>019.438.341-56</v>
          </cell>
          <cell r="C8">
            <v>1974215</v>
          </cell>
          <cell r="D8" t="str">
            <v>Analista de Infraestrutura</v>
          </cell>
          <cell r="E8" t="str">
            <v>Exercício Descentralizado</v>
          </cell>
          <cell r="F8" t="str">
            <v>ME - Ministério da Economia</v>
          </cell>
          <cell r="G8" t="str">
            <v>SGM / DEPARTAMENTO DE GEOLOGIA E PRODUÇÃO MINERAL - DGPM</v>
          </cell>
          <cell r="H8" t="str">
            <v>9.102.000</v>
          </cell>
          <cell r="Z8" t="str">
            <v>Sem designação</v>
          </cell>
          <cell r="AE8" t="str">
            <v>DOU</v>
          </cell>
          <cell r="AF8" t="str">
            <v>Feminino</v>
          </cell>
          <cell r="AG8" t="str">
            <v>Parda</v>
          </cell>
          <cell r="AH8" t="str">
            <v>17/03/1988</v>
          </cell>
          <cell r="AI8">
            <v>32</v>
          </cell>
          <cell r="AJ8">
            <v>3526.92</v>
          </cell>
          <cell r="AK8">
            <v>14823.28</v>
          </cell>
          <cell r="AL8" t="str">
            <v>FA</v>
          </cell>
          <cell r="AM8">
            <v>18350.2</v>
          </cell>
          <cell r="AN8" t="str">
            <v>agda.zedes@mme.gov.br</v>
          </cell>
          <cell r="AO8" t="str">
            <v>(61) 2032-5279</v>
          </cell>
        </row>
        <row r="9">
          <cell r="A9" t="str">
            <v>AGNES MARIA DE ARAGAO DA COSTA</v>
          </cell>
          <cell r="B9" t="str">
            <v>080.909.187-94</v>
          </cell>
          <cell r="C9">
            <v>3482731</v>
          </cell>
          <cell r="D9" t="str">
            <v>Especialista em Política Pública e Gestão Governamental</v>
          </cell>
          <cell r="E9" t="str">
            <v>Exercício Descentralizado</v>
          </cell>
          <cell r="F9" t="str">
            <v>ME - Ministério da Economia</v>
          </cell>
          <cell r="G9" t="str">
            <v>SE / ASSESSORIA ESPECIAL EM ASSUNTOS REGULATÓRIOS - AEREG</v>
          </cell>
          <cell r="H9" t="str">
            <v>8.102.000</v>
          </cell>
          <cell r="I9" t="str">
            <v>Chefe da Assessoria Especial em Assuntos Regulatórios</v>
          </cell>
          <cell r="J9" t="str">
            <v>DAS</v>
          </cell>
          <cell r="K9" t="str">
            <v>101.5</v>
          </cell>
          <cell r="L9" t="str">
            <v xml:space="preserve">Portaria nº </v>
          </cell>
          <cell r="M9">
            <v>591</v>
          </cell>
          <cell r="N9" t="str">
            <v>16/01/2019</v>
          </cell>
          <cell r="O9" t="str">
            <v>17/01/2019</v>
          </cell>
          <cell r="P9" t="str">
            <v>DOU</v>
          </cell>
          <cell r="Z9" t="str">
            <v>Sem designação</v>
          </cell>
          <cell r="AF9" t="str">
            <v>Feminino</v>
          </cell>
          <cell r="AG9" t="str">
            <v>Branca</v>
          </cell>
          <cell r="AH9" t="str">
            <v>01/02/1979</v>
          </cell>
          <cell r="AI9">
            <v>41</v>
          </cell>
          <cell r="AJ9">
            <v>8174.03</v>
          </cell>
          <cell r="AK9">
            <v>27827.67</v>
          </cell>
          <cell r="AL9" t="str">
            <v>FA</v>
          </cell>
          <cell r="AM9">
            <v>36001.699999999997</v>
          </cell>
          <cell r="AN9" t="str">
            <v>agnes.costa@mme.gov.br</v>
          </cell>
          <cell r="AO9" t="str">
            <v>(61) 2032-5011</v>
          </cell>
          <cell r="AP9" t="str">
            <v>SE28</v>
          </cell>
        </row>
        <row r="10">
          <cell r="A10" t="str">
            <v>AIDA MARIA RODRIGUES CORDEIRO</v>
          </cell>
          <cell r="B10" t="str">
            <v>354.541.137-00</v>
          </cell>
          <cell r="C10">
            <v>2172526</v>
          </cell>
          <cell r="D10" t="str">
            <v>Escriturário III</v>
          </cell>
          <cell r="E10" t="str">
            <v>Anistiado MME</v>
          </cell>
          <cell r="F10" t="str">
            <v>MME - Ministério de Minas e Energia</v>
          </cell>
          <cell r="G10" t="str">
            <v>Aguardando Lotação/Exercício</v>
          </cell>
          <cell r="H10" t="str">
            <v>88.000.000</v>
          </cell>
          <cell r="Z10" t="str">
            <v>Sem designação</v>
          </cell>
          <cell r="AF10" t="str">
            <v>Feminino</v>
          </cell>
          <cell r="AG10" t="str">
            <v>Branca</v>
          </cell>
          <cell r="AH10" t="str">
            <v>28/04/1953</v>
          </cell>
          <cell r="AI10">
            <v>67</v>
          </cell>
          <cell r="AJ10">
            <v>0</v>
          </cell>
          <cell r="AL10" t="str">
            <v>DIR</v>
          </cell>
          <cell r="AM10">
            <v>0</v>
          </cell>
        </row>
        <row r="11">
          <cell r="A11" t="str">
            <v>AIRTON OLIVEIRA LIMA</v>
          </cell>
          <cell r="B11" t="str">
            <v>063.173.673-53</v>
          </cell>
          <cell r="C11">
            <v>1466129</v>
          </cell>
          <cell r="D11" t="str">
            <v>Sem Cargo/Emprego</v>
          </cell>
          <cell r="E11" t="str">
            <v>Sem Vínculo</v>
          </cell>
          <cell r="F11" t="str">
            <v>Sem Vínculo</v>
          </cell>
          <cell r="G11" t="str">
            <v>SE / SPOA / CGRL / COORDENAÇÃO DE ATIVIDADES GERAIS - COAGE</v>
          </cell>
          <cell r="H11" t="str">
            <v>8.105.120</v>
          </cell>
          <cell r="I11" t="str">
            <v>Assistente Técnico da Subsecretaria de Planejamento, Orçamento e Administração</v>
          </cell>
          <cell r="J11" t="str">
            <v>DAS</v>
          </cell>
          <cell r="K11" t="str">
            <v>102.1</v>
          </cell>
          <cell r="L11" t="str">
            <v xml:space="preserve">Portaria nº </v>
          </cell>
          <cell r="M11">
            <v>389</v>
          </cell>
          <cell r="N11" t="str">
            <v>14/09/2018</v>
          </cell>
          <cell r="O11" t="str">
            <v>17/09/2018</v>
          </cell>
          <cell r="P11" t="str">
            <v>DOU</v>
          </cell>
          <cell r="Z11" t="str">
            <v>Sem designação</v>
          </cell>
          <cell r="AF11" t="str">
            <v>Masculino</v>
          </cell>
          <cell r="AG11" t="str">
            <v>Branca</v>
          </cell>
          <cell r="AH11" t="str">
            <v>03/10/1954</v>
          </cell>
          <cell r="AI11">
            <v>66</v>
          </cell>
          <cell r="AJ11">
            <v>2701.46</v>
          </cell>
          <cell r="AL11" t="str">
            <v>FA</v>
          </cell>
          <cell r="AM11">
            <v>2701.46</v>
          </cell>
          <cell r="AN11" t="str">
            <v>airton.lima@mme.gov.br</v>
          </cell>
          <cell r="AO11" t="str">
            <v>(61) 2032-5456</v>
          </cell>
          <cell r="AP11" t="str">
            <v>SE43</v>
          </cell>
        </row>
        <row r="12">
          <cell r="A12" t="str">
            <v>ALAN SAMPAIO SANTOS</v>
          </cell>
          <cell r="B12" t="str">
            <v>769.511.207-06</v>
          </cell>
          <cell r="C12">
            <v>1310848</v>
          </cell>
          <cell r="D12" t="str">
            <v>Sem Cargo/Emprego</v>
          </cell>
          <cell r="E12" t="str">
            <v>Sem Vínculo</v>
          </cell>
          <cell r="F12" t="str">
            <v>Sem Vínculo</v>
          </cell>
          <cell r="G12" t="str">
            <v>ASSESSORIA ESPECIAL DE ACOMPANHAMENTO DE POLÍTICAS, ESTRATÉGIAS E DESEMPENHO SETORIAL - AEPED</v>
          </cell>
          <cell r="H12" t="str">
            <v>4.000.000</v>
          </cell>
          <cell r="I12" t="str">
            <v>Assessor Especial do Ministro</v>
          </cell>
          <cell r="J12" t="str">
            <v>DAS</v>
          </cell>
          <cell r="K12" t="str">
            <v>102.5</v>
          </cell>
          <cell r="L12" t="str">
            <v xml:space="preserve">Portaria nº </v>
          </cell>
          <cell r="M12">
            <v>1124</v>
          </cell>
          <cell r="N12" t="str">
            <v>08/10/2018</v>
          </cell>
          <cell r="O12" t="str">
            <v>09/10/2018</v>
          </cell>
          <cell r="P12" t="str">
            <v>DOU</v>
          </cell>
          <cell r="Z12" t="str">
            <v>Sem designação</v>
          </cell>
          <cell r="AF12" t="str">
            <v>Masculino</v>
          </cell>
          <cell r="AG12" t="str">
            <v>Parda</v>
          </cell>
          <cell r="AH12" t="str">
            <v>25/11/1962</v>
          </cell>
          <cell r="AI12">
            <v>57</v>
          </cell>
          <cell r="AJ12">
            <v>13623.39</v>
          </cell>
          <cell r="AL12" t="str">
            <v>FA</v>
          </cell>
          <cell r="AM12">
            <v>13623.39</v>
          </cell>
          <cell r="AN12" t="str">
            <v>alan.santos@mme.gov.br</v>
          </cell>
          <cell r="AO12" t="str">
            <v>(61) 2032-5577</v>
          </cell>
          <cell r="AP12" t="str">
            <v>GM04</v>
          </cell>
        </row>
        <row r="13">
          <cell r="A13" t="str">
            <v>ALCIDEMES LIMA FRANCO</v>
          </cell>
          <cell r="B13" t="str">
            <v>313.624.271-87</v>
          </cell>
          <cell r="C13">
            <v>454362</v>
          </cell>
          <cell r="D13" t="str">
            <v>Agente Administrativo</v>
          </cell>
          <cell r="E13" t="str">
            <v>Ativo Permanente</v>
          </cell>
          <cell r="F13" t="str">
            <v>MME - Ministério de Minas e Energia</v>
          </cell>
          <cell r="G13" t="str">
            <v>GM / ASTAD / COORDENAÇÃO DE ATIVIDADES ADMINISTRATIVAS</v>
          </cell>
          <cell r="H13" t="str">
            <v>2.100.101</v>
          </cell>
          <cell r="I13" t="str">
            <v>Assistente Técnico da Coordenação de Atividades Administrativas do Gabinete do Ministro</v>
          </cell>
          <cell r="J13" t="str">
            <v>FCPE</v>
          </cell>
          <cell r="K13" t="str">
            <v>102.1</v>
          </cell>
          <cell r="L13" t="str">
            <v xml:space="preserve">Portaria nº </v>
          </cell>
          <cell r="M13">
            <v>24</v>
          </cell>
          <cell r="N13" t="str">
            <v>23/01/2018</v>
          </cell>
          <cell r="O13" t="str">
            <v>29/01/2018</v>
          </cell>
          <cell r="P13" t="str">
            <v>DOU</v>
          </cell>
          <cell r="Q13" t="str">
            <v>GSISTE</v>
          </cell>
          <cell r="R13" t="str">
            <v>Intermediário</v>
          </cell>
          <cell r="S13" t="str">
            <v>SIPEC  - Sistema de Pessoal Civil da Administração Federal</v>
          </cell>
          <cell r="T13" t="str">
            <v xml:space="preserve">Portaria nº </v>
          </cell>
          <cell r="U13">
            <v>23</v>
          </cell>
          <cell r="V13" t="str">
            <v>23/01/2018</v>
          </cell>
          <cell r="W13" t="str">
            <v>24/01/2018</v>
          </cell>
          <cell r="X13" t="str">
            <v>BPE</v>
          </cell>
          <cell r="Z13" t="str">
            <v>Sem designação</v>
          </cell>
          <cell r="AF13" t="str">
            <v>Masculino</v>
          </cell>
          <cell r="AG13" t="str">
            <v>Branca</v>
          </cell>
          <cell r="AH13" t="str">
            <v>05/12/1962</v>
          </cell>
          <cell r="AI13">
            <v>57</v>
          </cell>
          <cell r="AJ13">
            <v>8724.08</v>
          </cell>
          <cell r="AL13" t="str">
            <v>FA</v>
          </cell>
          <cell r="AM13">
            <v>8724.08</v>
          </cell>
          <cell r="AN13" t="str">
            <v>franco@mme.gov.br</v>
          </cell>
          <cell r="AO13" t="str">
            <v>(61) 2032-5053</v>
          </cell>
          <cell r="AP13" t="str">
            <v>GM24</v>
          </cell>
        </row>
        <row r="14">
          <cell r="A14" t="str">
            <v>ALDAIDES CAVALCANTE MAGALHAES</v>
          </cell>
          <cell r="B14" t="str">
            <v>645.519.891-34</v>
          </cell>
          <cell r="C14">
            <v>14800666</v>
          </cell>
          <cell r="D14" t="str">
            <v>Sem Cargo/Emprego</v>
          </cell>
          <cell r="E14" t="str">
            <v>Sem Vínculo</v>
          </cell>
          <cell r="F14" t="str">
            <v>Sem Vínculo</v>
          </cell>
          <cell r="G14" t="str">
            <v>SEE / CHEFIA DE GABINETE SEE</v>
          </cell>
          <cell r="H14" t="str">
            <v>12.100.000</v>
          </cell>
          <cell r="I14" t="str">
            <v>Assistente da Secretaria de Energia Elétrica</v>
          </cell>
          <cell r="J14" t="str">
            <v>DAS</v>
          </cell>
          <cell r="K14" t="str">
            <v>102.2</v>
          </cell>
          <cell r="L14" t="str">
            <v xml:space="preserve">Portaria nº </v>
          </cell>
          <cell r="M14">
            <v>524</v>
          </cell>
          <cell r="N14" t="str">
            <v>03/11/2016</v>
          </cell>
          <cell r="O14" t="str">
            <v>04/11/2016</v>
          </cell>
          <cell r="P14" t="str">
            <v>BPE</v>
          </cell>
          <cell r="Z14" t="str">
            <v>Sem designação</v>
          </cell>
          <cell r="AF14" t="str">
            <v>Feminino</v>
          </cell>
          <cell r="AG14" t="str">
            <v>Parda</v>
          </cell>
          <cell r="AH14" t="str">
            <v>24/04/1969</v>
          </cell>
          <cell r="AI14">
            <v>51</v>
          </cell>
          <cell r="AJ14">
            <v>3440.75</v>
          </cell>
          <cell r="AL14" t="str">
            <v>FA</v>
          </cell>
          <cell r="AM14">
            <v>3440.75</v>
          </cell>
          <cell r="AN14" t="str">
            <v>aldaides.luz@mme.gov.br</v>
          </cell>
          <cell r="AO14" t="str">
            <v>(61) 2032-5924</v>
          </cell>
          <cell r="AP14" t="str">
            <v>SEE07</v>
          </cell>
        </row>
        <row r="15">
          <cell r="A15" t="str">
            <v>ALDINEA DO CARMO CORDEIRO NOGUEIRA</v>
          </cell>
          <cell r="B15" t="str">
            <v>830.282.857-20</v>
          </cell>
          <cell r="C15">
            <v>1771716</v>
          </cell>
          <cell r="D15" t="str">
            <v>Sem Cargo/Emprego</v>
          </cell>
          <cell r="E15" t="str">
            <v>Sem Vínculo</v>
          </cell>
          <cell r="F15" t="str">
            <v>Sem Vínculo</v>
          </cell>
          <cell r="G15" t="str">
            <v>SE / CHEFIA DE GABINETE SE</v>
          </cell>
          <cell r="H15" t="str">
            <v>8.100.000</v>
          </cell>
          <cell r="I15" t="str">
            <v>Assistente da Assessoria Especial de Meio Ambiente</v>
          </cell>
          <cell r="J15" t="str">
            <v>DAS</v>
          </cell>
          <cell r="K15" t="str">
            <v>102.2</v>
          </cell>
          <cell r="L15" t="str">
            <v xml:space="preserve">Portaria nº </v>
          </cell>
          <cell r="M15">
            <v>524</v>
          </cell>
          <cell r="N15" t="str">
            <v>03/11/2016</v>
          </cell>
          <cell r="O15" t="str">
            <v>04/11/2016</v>
          </cell>
          <cell r="P15" t="str">
            <v>BPE</v>
          </cell>
          <cell r="Z15" t="str">
            <v>Sem designação</v>
          </cell>
          <cell r="AF15" t="str">
            <v>Feminino</v>
          </cell>
          <cell r="AG15" t="str">
            <v>Branca</v>
          </cell>
          <cell r="AH15" t="str">
            <v>26/09/1965</v>
          </cell>
          <cell r="AI15">
            <v>55</v>
          </cell>
          <cell r="AJ15">
            <v>3440.75</v>
          </cell>
          <cell r="AL15" t="str">
            <v>FA</v>
          </cell>
          <cell r="AM15">
            <v>3440.75</v>
          </cell>
          <cell r="AN15" t="str">
            <v>aldinea.nogueira@mme.gov.br</v>
          </cell>
          <cell r="AO15" t="str">
            <v>(61) 2032-5211</v>
          </cell>
          <cell r="AP15" t="str">
            <v>SE36</v>
          </cell>
        </row>
        <row r="16">
          <cell r="A16" t="str">
            <v>ALDO BARROSO CORES JUNIOR</v>
          </cell>
          <cell r="B16" t="str">
            <v>692.562.681-91</v>
          </cell>
          <cell r="C16">
            <v>2660765</v>
          </cell>
          <cell r="D16" t="str">
            <v>Analista de Infraestrutura</v>
          </cell>
          <cell r="E16" t="str">
            <v>Exercício Descentralizado</v>
          </cell>
          <cell r="F16" t="str">
            <v>ME - Ministério da Economia</v>
          </cell>
          <cell r="G16" t="str">
            <v>SPG / DGN / COORDENAÇÃO GERAL DE PROCESSAMENTO DE INFRAESTRUTURA E LOGÍSTICA</v>
          </cell>
          <cell r="H16" t="str">
            <v>11.102.200</v>
          </cell>
          <cell r="I16" t="str">
            <v>Coordenador Geral de Processamento de Infraestrutura e Logística do Departamento de Gás Natural</v>
          </cell>
          <cell r="J16" t="str">
            <v>DAS</v>
          </cell>
          <cell r="K16" t="str">
            <v>101.4</v>
          </cell>
          <cell r="L16" t="str">
            <v xml:space="preserve">Portaria nº </v>
          </cell>
          <cell r="M16">
            <v>524</v>
          </cell>
          <cell r="N16" t="str">
            <v>03/11/2016</v>
          </cell>
          <cell r="O16" t="str">
            <v>04/11/2016</v>
          </cell>
          <cell r="P16" t="str">
            <v>BPE</v>
          </cell>
          <cell r="Y16" t="str">
            <v>Departamento de Gás Natural</v>
          </cell>
          <cell r="Z16" t="str">
            <v>Eventual</v>
          </cell>
          <cell r="AA16" t="str">
            <v xml:space="preserve">Portaria nº </v>
          </cell>
          <cell r="AB16">
            <v>551</v>
          </cell>
          <cell r="AC16" t="str">
            <v>27/09/2012</v>
          </cell>
          <cell r="AD16" t="str">
            <v>01/10/2012</v>
          </cell>
          <cell r="AE16" t="str">
            <v>DOU</v>
          </cell>
          <cell r="AF16" t="str">
            <v>Masculino</v>
          </cell>
          <cell r="AG16" t="str">
            <v>Branca</v>
          </cell>
          <cell r="AH16" t="str">
            <v>03/08/1978</v>
          </cell>
          <cell r="AI16">
            <v>42</v>
          </cell>
          <cell r="AJ16">
            <v>6223.98</v>
          </cell>
          <cell r="AK16">
            <v>18167.990000000002</v>
          </cell>
          <cell r="AL16" t="str">
            <v>FA</v>
          </cell>
          <cell r="AM16">
            <v>24391.97</v>
          </cell>
          <cell r="AN16" t="str">
            <v>aldo.junior@mme.gov.br</v>
          </cell>
          <cell r="AO16" t="str">
            <v>(61) 2032-5506</v>
          </cell>
          <cell r="AP16" t="str">
            <v>SPG18</v>
          </cell>
          <cell r="AQ16" t="str">
            <v>SPG07S</v>
          </cell>
        </row>
        <row r="17">
          <cell r="A17" t="str">
            <v>ALEXANDRA ALBUQUERQUE MACIEL</v>
          </cell>
          <cell r="B17" t="str">
            <v>669.898.841-34</v>
          </cell>
          <cell r="C17">
            <v>1651345</v>
          </cell>
          <cell r="D17" t="str">
            <v>Analista de Infraestrutura</v>
          </cell>
          <cell r="E17" t="str">
            <v>Exercício Descentralizado</v>
          </cell>
          <cell r="F17" t="str">
            <v>ME - Ministério da Economia</v>
          </cell>
          <cell r="G17" t="str">
            <v>SPE / DEPARTAMENTO DE DESENVOLVIMENTO ENERGÉTICO - DDE</v>
          </cell>
          <cell r="H17" t="str">
            <v>10.102.000</v>
          </cell>
          <cell r="Y17" t="str">
            <v>Coordenação Geral de Eficiência Energética</v>
          </cell>
          <cell r="Z17" t="str">
            <v>Eventual</v>
          </cell>
          <cell r="AA17" t="str">
            <v xml:space="preserve">Portaria nº </v>
          </cell>
          <cell r="AB17">
            <v>316</v>
          </cell>
          <cell r="AC17" t="str">
            <v>14/08/2019</v>
          </cell>
          <cell r="AD17" t="str">
            <v>15/08/2019</v>
          </cell>
          <cell r="AE17" t="str">
            <v>DOU</v>
          </cell>
          <cell r="AF17" t="str">
            <v>Feminino</v>
          </cell>
          <cell r="AG17" t="str">
            <v>Parda</v>
          </cell>
          <cell r="AH17" t="str">
            <v>20/02/1975</v>
          </cell>
          <cell r="AI17">
            <v>45</v>
          </cell>
          <cell r="AJ17">
            <v>0</v>
          </cell>
          <cell r="AK17">
            <v>17846.990000000002</v>
          </cell>
          <cell r="AL17" t="str">
            <v>FA</v>
          </cell>
          <cell r="AM17">
            <v>17846.990000000002</v>
          </cell>
          <cell r="AN17" t="str">
            <v>alexandra.maciel@mme.gov.br</v>
          </cell>
          <cell r="AO17" t="str">
            <v>(61) 2032-5163</v>
          </cell>
          <cell r="AQ17" t="str">
            <v>SPE08S</v>
          </cell>
        </row>
        <row r="18">
          <cell r="A18" t="str">
            <v>ALEXANDRE BRAZ DA SILVA</v>
          </cell>
          <cell r="B18" t="str">
            <v>000.382.541-82</v>
          </cell>
          <cell r="C18">
            <v>2061035</v>
          </cell>
          <cell r="D18" t="str">
            <v>Sem Cargo/Emprego</v>
          </cell>
          <cell r="E18" t="str">
            <v>Sem Vínculo</v>
          </cell>
          <cell r="F18" t="str">
            <v>Sem Vínculo</v>
          </cell>
          <cell r="G18" t="str">
            <v>CONJUR / CGAA / COORDENAÇÃO DE APOIO ADMINISTRATIVO</v>
          </cell>
          <cell r="H18" t="str">
            <v>7.100.310</v>
          </cell>
          <cell r="I18" t="str">
            <v>Assistente da Consultoria Jurídica</v>
          </cell>
          <cell r="J18" t="str">
            <v>DAS</v>
          </cell>
          <cell r="K18" t="str">
            <v>102.2</v>
          </cell>
          <cell r="L18" t="str">
            <v xml:space="preserve">Portaria nº </v>
          </cell>
          <cell r="M18">
            <v>524</v>
          </cell>
          <cell r="N18" t="str">
            <v>03/11/2016</v>
          </cell>
          <cell r="O18" t="str">
            <v>04/11/2016</v>
          </cell>
          <cell r="P18" t="str">
            <v>BPE</v>
          </cell>
          <cell r="Z18" t="str">
            <v>Sem designação</v>
          </cell>
          <cell r="AF18" t="str">
            <v>Masculino</v>
          </cell>
          <cell r="AG18" t="str">
            <v>Branca</v>
          </cell>
          <cell r="AH18" t="str">
            <v>28/03/1981</v>
          </cell>
          <cell r="AI18">
            <v>39</v>
          </cell>
          <cell r="AJ18">
            <v>3440.75</v>
          </cell>
          <cell r="AL18" t="str">
            <v>FA</v>
          </cell>
          <cell r="AM18">
            <v>3440.75</v>
          </cell>
          <cell r="AN18" t="str">
            <v>alexandre.silva@mme.gov.br</v>
          </cell>
          <cell r="AO18" t="str">
            <v>(61) 2032-5399</v>
          </cell>
          <cell r="AP18" t="str">
            <v>CONJUR06</v>
          </cell>
        </row>
        <row r="19">
          <cell r="A19" t="str">
            <v>ALEXANDRE LAURI HENRIKSEN</v>
          </cell>
          <cell r="B19" t="str">
            <v>294.572.728-54</v>
          </cell>
          <cell r="C19">
            <v>2535472</v>
          </cell>
          <cell r="D19" t="str">
            <v>Especialista em Política Pública e Gestão Governamental</v>
          </cell>
          <cell r="E19" t="str">
            <v>Requisitado de Órgãos</v>
          </cell>
          <cell r="F19" t="str">
            <v>ME - Ministério da Economia</v>
          </cell>
          <cell r="G19" t="str">
            <v>ASSESSORIA ESPECIAL DE ASSUNTOS ECONÔMICOS - ASSEC</v>
          </cell>
          <cell r="H19" t="str">
            <v>6.000.000</v>
          </cell>
          <cell r="I19" t="str">
            <v>Assessor do Secretário-Executivo</v>
          </cell>
          <cell r="J19" t="str">
            <v>DAS</v>
          </cell>
          <cell r="K19" t="str">
            <v>102.4</v>
          </cell>
          <cell r="L19" t="str">
            <v xml:space="preserve">Portaria nº </v>
          </cell>
          <cell r="M19">
            <v>321</v>
          </cell>
          <cell r="N19" t="str">
            <v>26/08/2020</v>
          </cell>
          <cell r="O19" t="str">
            <v>28/08/2020</v>
          </cell>
          <cell r="P19" t="str">
            <v>DOU</v>
          </cell>
          <cell r="Z19" t="str">
            <v>Sem designação</v>
          </cell>
          <cell r="AF19" t="str">
            <v>Masculino</v>
          </cell>
          <cell r="AG19" t="str">
            <v>Branca</v>
          </cell>
          <cell r="AH19" t="str">
            <v>25/03/1979</v>
          </cell>
          <cell r="AI19">
            <v>41</v>
          </cell>
          <cell r="AJ19">
            <v>8174.03</v>
          </cell>
          <cell r="AK19">
            <v>28148.67</v>
          </cell>
          <cell r="AL19" t="str">
            <v>FA</v>
          </cell>
          <cell r="AM19">
            <v>36322.699999999997</v>
          </cell>
          <cell r="AN19" t="str">
            <v>alexandre.henriksen@mme.gov.br</v>
          </cell>
          <cell r="AO19" t="str">
            <v>(61) 2032-5795/5043/5303</v>
          </cell>
          <cell r="AP19" t="str">
            <v>SE08</v>
          </cell>
        </row>
        <row r="20">
          <cell r="A20" t="str">
            <v>ALEXANDRE LEME FRANCO</v>
          </cell>
          <cell r="B20" t="str">
            <v>382.252.248-17</v>
          </cell>
          <cell r="C20">
            <v>1356383</v>
          </cell>
          <cell r="D20" t="str">
            <v>Advogado da União</v>
          </cell>
          <cell r="E20" t="str">
            <v>Exercício Descentralizado</v>
          </cell>
          <cell r="F20" t="str">
            <v>AGU - Advocacia Geral da União</v>
          </cell>
          <cell r="G20" t="str">
            <v>CONJUR / COORDENAÇÃO GERAL DE ASSUNTOS DE PETRÓLEO E MINERAÇÃO</v>
          </cell>
          <cell r="H20" t="str">
            <v>7.100.200</v>
          </cell>
          <cell r="Y20" t="str">
            <v>Coordenação Geral de Assuntos de Petróleo e Mineração</v>
          </cell>
          <cell r="Z20" t="str">
            <v>Eventual</v>
          </cell>
          <cell r="AA20" t="str">
            <v xml:space="preserve">Portaria nº </v>
          </cell>
          <cell r="AB20">
            <v>208</v>
          </cell>
          <cell r="AC20" t="str">
            <v>30/05/2018</v>
          </cell>
          <cell r="AD20" t="str">
            <v>04/06/2018</v>
          </cell>
          <cell r="AE20" t="str">
            <v>DOU</v>
          </cell>
          <cell r="AF20" t="str">
            <v>Masculino</v>
          </cell>
          <cell r="AG20" t="str">
            <v>Branca</v>
          </cell>
          <cell r="AH20" t="str">
            <v>23/12/1988</v>
          </cell>
          <cell r="AI20">
            <v>31</v>
          </cell>
          <cell r="AJ20">
            <v>0</v>
          </cell>
          <cell r="AK20">
            <v>24604.6</v>
          </cell>
          <cell r="AL20" t="str">
            <v>FA</v>
          </cell>
          <cell r="AM20">
            <v>24604.6</v>
          </cell>
          <cell r="AN20" t="str">
            <v>alexandre.franco@mme.gov.br</v>
          </cell>
          <cell r="AO20" t="str">
            <v>(61) 2032-5522</v>
          </cell>
          <cell r="AQ20" t="str">
            <v>CONJUR02S</v>
          </cell>
        </row>
        <row r="21">
          <cell r="A21" t="str">
            <v>ALEXANDRE VIDIGAL DE OLIVEIRA</v>
          </cell>
          <cell r="B21" t="str">
            <v>244.107.131-91</v>
          </cell>
          <cell r="C21">
            <v>3085737</v>
          </cell>
          <cell r="D21" t="str">
            <v>Sem Cargo/Emprego</v>
          </cell>
          <cell r="E21" t="str">
            <v>Sem Vínculo</v>
          </cell>
          <cell r="F21" t="str">
            <v>Sem Vínculo</v>
          </cell>
          <cell r="G21" t="str">
            <v>SECRETARIA DE GEOLOGIA, MINERAÇÃO E TRANSFORMAÇÃO MINERAL - SGM</v>
          </cell>
          <cell r="H21" t="str">
            <v>9.000.000</v>
          </cell>
          <cell r="I21" t="str">
            <v>Secretário de Geologia, Mineração e Transformação Mineral</v>
          </cell>
          <cell r="J21" t="str">
            <v>DAS</v>
          </cell>
          <cell r="K21" t="str">
            <v>101.6</v>
          </cell>
          <cell r="L21" t="str">
            <v xml:space="preserve">Portaria nº </v>
          </cell>
          <cell r="M21">
            <v>688</v>
          </cell>
          <cell r="N21" t="str">
            <v>18/01/2019</v>
          </cell>
          <cell r="O21" t="str">
            <v>21/01/2019</v>
          </cell>
          <cell r="P21" t="str">
            <v>DOU</v>
          </cell>
          <cell r="Z21" t="str">
            <v>Sem designação</v>
          </cell>
          <cell r="AF21" t="str">
            <v>Masculino</v>
          </cell>
          <cell r="AG21" t="str">
            <v>Branca</v>
          </cell>
          <cell r="AH21" t="str">
            <v>14/03/1963</v>
          </cell>
          <cell r="AI21">
            <v>57</v>
          </cell>
          <cell r="AJ21">
            <v>16944.900000000001</v>
          </cell>
          <cell r="AL21" t="str">
            <v>FA</v>
          </cell>
          <cell r="AM21">
            <v>16944.900000000001</v>
          </cell>
          <cell r="AN21" t="str">
            <v>alexandre.oliveira@mme.gov.br</v>
          </cell>
          <cell r="AO21" t="str">
            <v>(61) 2032-5074</v>
          </cell>
          <cell r="AP21" t="str">
            <v>SGM01</v>
          </cell>
        </row>
        <row r="22">
          <cell r="A22" t="str">
            <v>ALEXANDRE XISTO DE ASSIS</v>
          </cell>
          <cell r="B22" t="str">
            <v>556.103.741-20</v>
          </cell>
          <cell r="C22">
            <v>1092745</v>
          </cell>
          <cell r="D22" t="str">
            <v>Agente Administrativo</v>
          </cell>
          <cell r="E22" t="str">
            <v>Ativo Permanente</v>
          </cell>
          <cell r="F22" t="str">
            <v>MME - Ministério de Minas e Energia</v>
          </cell>
          <cell r="G22" t="str">
            <v>SE / SPOA / CGRH / COORDENAÇÃO DE ADMINISTRAÇÃO DE PESSOAL - CAPES</v>
          </cell>
          <cell r="H22" t="str">
            <v>8.105.210</v>
          </cell>
          <cell r="I22" t="str">
            <v>Função Comissionada Técnica - Técnico em Gestão de Pessoas e Técnico em Gestão de Logística</v>
          </cell>
          <cell r="J22" t="str">
            <v>FCT</v>
          </cell>
          <cell r="K22">
            <v>7</v>
          </cell>
          <cell r="L22" t="str">
            <v xml:space="preserve">Portaria nº </v>
          </cell>
          <cell r="M22">
            <v>685</v>
          </cell>
          <cell r="N22" t="str">
            <v>07/12/2016</v>
          </cell>
          <cell r="O22" t="str">
            <v>08/12/2016</v>
          </cell>
          <cell r="P22" t="str">
            <v>DOU</v>
          </cell>
          <cell r="Q22" t="str">
            <v>GSISTE</v>
          </cell>
          <cell r="R22" t="str">
            <v>Intermediário</v>
          </cell>
          <cell r="S22" t="str">
            <v>SIPEC  - Sistema de Pessoal Civil da Administração Federal</v>
          </cell>
          <cell r="T22" t="str">
            <v xml:space="preserve">Portaria nº </v>
          </cell>
          <cell r="U22">
            <v>74</v>
          </cell>
          <cell r="V22" t="str">
            <v>13/07/2017</v>
          </cell>
          <cell r="W22" t="str">
            <v>13/07/2017</v>
          </cell>
          <cell r="X22" t="str">
            <v>BPE</v>
          </cell>
          <cell r="Z22" t="str">
            <v>Sem designação</v>
          </cell>
          <cell r="AF22" t="str">
            <v>Masculino</v>
          </cell>
          <cell r="AG22" t="str">
            <v>Branca</v>
          </cell>
          <cell r="AH22" t="str">
            <v>29/12/1969</v>
          </cell>
          <cell r="AI22">
            <v>50</v>
          </cell>
          <cell r="AJ22">
            <v>7690.51</v>
          </cell>
          <cell r="AL22" t="str">
            <v>FA</v>
          </cell>
          <cell r="AM22">
            <v>7690.51</v>
          </cell>
          <cell r="AN22" t="str">
            <v>alexandreassis@mme.gov.br</v>
          </cell>
          <cell r="AO22" t="str">
            <v>(61) 2032-5007</v>
          </cell>
        </row>
        <row r="23">
          <cell r="A23" t="str">
            <v>ALINE DA COSTA PINHEIRO</v>
          </cell>
          <cell r="B23" t="str">
            <v>727.557.331-87</v>
          </cell>
          <cell r="C23">
            <v>1753322</v>
          </cell>
          <cell r="D23" t="str">
            <v>Sem Cargo/Emprego</v>
          </cell>
          <cell r="E23" t="str">
            <v>Sem Vínculo</v>
          </cell>
          <cell r="F23" t="str">
            <v>Sem Vínculo</v>
          </cell>
          <cell r="G23" t="str">
            <v>SE / SPOA / CGRL / COORDENAÇÃO DE ADMINISTRAÇÃO DE MATERIAL E EXECUÇÃO FINANCEIRA - COMEF</v>
          </cell>
          <cell r="H23" t="str">
            <v>8.105.110</v>
          </cell>
          <cell r="I23" t="str">
            <v>Chefe da Divisão de Controle de Diárias e Passagens da Coordenação de Administração de Material e Execução Financeira</v>
          </cell>
          <cell r="J23" t="str">
            <v>DAS</v>
          </cell>
          <cell r="K23" t="str">
            <v>101.2</v>
          </cell>
          <cell r="L23" t="str">
            <v xml:space="preserve">Portaria nº </v>
          </cell>
          <cell r="M23">
            <v>296</v>
          </cell>
          <cell r="N23" t="str">
            <v>04/08/2017</v>
          </cell>
          <cell r="O23" t="str">
            <v>08/08/2017</v>
          </cell>
          <cell r="P23" t="str">
            <v>DOU</v>
          </cell>
          <cell r="Z23" t="str">
            <v>Sem designação</v>
          </cell>
          <cell r="AF23" t="str">
            <v>Feminino</v>
          </cell>
          <cell r="AG23" t="str">
            <v>Amarela</v>
          </cell>
          <cell r="AH23" t="str">
            <v>12/05/1984</v>
          </cell>
          <cell r="AI23">
            <v>36</v>
          </cell>
          <cell r="AJ23">
            <v>3440.75</v>
          </cell>
          <cell r="AL23" t="str">
            <v>FA</v>
          </cell>
          <cell r="AM23">
            <v>3440.75</v>
          </cell>
          <cell r="AN23" t="str">
            <v>aline.pinheiro@mme.gov.br</v>
          </cell>
          <cell r="AO23" t="str">
            <v>(61) 2032-5611</v>
          </cell>
          <cell r="AP23" t="str">
            <v>SE52</v>
          </cell>
        </row>
        <row r="24">
          <cell r="A24" t="str">
            <v>ALLAN CARLO LOPES DE MENEZES</v>
          </cell>
          <cell r="B24" t="str">
            <v>553.997.461-15</v>
          </cell>
          <cell r="C24">
            <v>54498</v>
          </cell>
          <cell r="D24" t="str">
            <v>Sem Cargo/Emprego</v>
          </cell>
          <cell r="E24" t="str">
            <v>Sem Vínculo</v>
          </cell>
          <cell r="F24" t="str">
            <v>Sem Vínculo</v>
          </cell>
          <cell r="G24" t="str">
            <v>SE / AEGE / CGPE / COORDENAÇÃO DE SUPERVISÃO E AVALIAÇÃO DA GESTÃO</v>
          </cell>
          <cell r="H24" t="str">
            <v>8.101.120</v>
          </cell>
          <cell r="I24" t="str">
            <v>Assistente da Coordenação Geral de Planejamento Estratégico, Supervisão e Avaliação da Gestão</v>
          </cell>
          <cell r="J24" t="str">
            <v>DAS</v>
          </cell>
          <cell r="K24" t="str">
            <v>102.2</v>
          </cell>
          <cell r="L24" t="str">
            <v xml:space="preserve">Portaria nº </v>
          </cell>
          <cell r="M24">
            <v>114</v>
          </cell>
          <cell r="N24" t="str">
            <v>18/03/2020</v>
          </cell>
          <cell r="O24" t="str">
            <v>19/03/2020</v>
          </cell>
          <cell r="P24" t="str">
            <v>DOU</v>
          </cell>
          <cell r="Z24" t="str">
            <v>Sem designação</v>
          </cell>
          <cell r="AF24" t="str">
            <v>Masculino</v>
          </cell>
          <cell r="AG24" t="str">
            <v>Branca</v>
          </cell>
          <cell r="AH24" t="str">
            <v>18/07/1973</v>
          </cell>
          <cell r="AI24">
            <v>47</v>
          </cell>
          <cell r="AJ24">
            <v>3898.75</v>
          </cell>
          <cell r="AL24" t="str">
            <v>FA</v>
          </cell>
          <cell r="AM24">
            <v>3898.75</v>
          </cell>
          <cell r="AN24" t="str">
            <v>allan.menezes@mme.gov.br</v>
          </cell>
          <cell r="AO24" t="str">
            <v>(61) 2032-5726</v>
          </cell>
          <cell r="AP24" t="str">
            <v>SE26</v>
          </cell>
        </row>
        <row r="25">
          <cell r="A25" t="str">
            <v>ALMIR DE SOUZA FIGUEIREDO</v>
          </cell>
          <cell r="B25" t="str">
            <v>358.470.187-20</v>
          </cell>
          <cell r="C25">
            <v>1093237</v>
          </cell>
          <cell r="D25" t="str">
            <v>Motorista Oficial</v>
          </cell>
          <cell r="E25" t="str">
            <v>Ativo Permanente</v>
          </cell>
          <cell r="F25" t="str">
            <v>MME - Ministério de Minas e Energia</v>
          </cell>
          <cell r="G25" t="str">
            <v>GM / ASTAD / COORDENAÇÃO DE ATIVIDADES ADMINISTRATIVAS</v>
          </cell>
          <cell r="H25" t="str">
            <v>2.100.101</v>
          </cell>
          <cell r="I25" t="str">
            <v>Assistente Técnico da Coordenação de Atividades Administrativas do Gabinete do Ministro</v>
          </cell>
          <cell r="J25" t="str">
            <v>FCPE</v>
          </cell>
          <cell r="K25" t="str">
            <v>102.1</v>
          </cell>
          <cell r="L25" t="str">
            <v xml:space="preserve">Portaria nº </v>
          </cell>
          <cell r="M25">
            <v>524</v>
          </cell>
          <cell r="N25" t="str">
            <v>03/11/2016</v>
          </cell>
          <cell r="O25" t="str">
            <v>04/11/2016</v>
          </cell>
          <cell r="P25" t="str">
            <v>BPE</v>
          </cell>
          <cell r="Z25" t="str">
            <v>Sem designação</v>
          </cell>
          <cell r="AF25" t="str">
            <v>Masculino</v>
          </cell>
          <cell r="AG25" t="str">
            <v>Preta</v>
          </cell>
          <cell r="AH25" t="str">
            <v>02/08/1954</v>
          </cell>
          <cell r="AI25">
            <v>66</v>
          </cell>
          <cell r="AJ25">
            <v>6750.74</v>
          </cell>
          <cell r="AL25" t="str">
            <v>FA</v>
          </cell>
          <cell r="AM25">
            <v>6750.74</v>
          </cell>
          <cell r="AN25" t="str">
            <v>almir.figueiredo@mme.gov.br</v>
          </cell>
          <cell r="AO25" t="str">
            <v>(61) 2032-5486</v>
          </cell>
          <cell r="AP25" t="str">
            <v>GM23</v>
          </cell>
        </row>
        <row r="26">
          <cell r="A26" t="str">
            <v>ALTAMIRO MOREIRA CALDEIRA</v>
          </cell>
          <cell r="B26" t="str">
            <v>258.797.661-87</v>
          </cell>
          <cell r="C26">
            <v>1094291</v>
          </cell>
          <cell r="D26" t="str">
            <v>Agente Administrativo</v>
          </cell>
          <cell r="E26" t="str">
            <v>Ativo Permanente</v>
          </cell>
          <cell r="F26" t="str">
            <v>MME - Ministério de Minas e Energia</v>
          </cell>
          <cell r="G26" t="str">
            <v>GM / ASTAD / COORDENAÇÃO DE ATIVIDADES ADMINISTRATIVAS</v>
          </cell>
          <cell r="H26" t="str">
            <v>2.100.101</v>
          </cell>
          <cell r="I26" t="str">
            <v>Assistente do Gabinete do Ministro</v>
          </cell>
          <cell r="J26" t="str">
            <v>FCPE</v>
          </cell>
          <cell r="K26" t="str">
            <v>102.2</v>
          </cell>
          <cell r="L26" t="str">
            <v xml:space="preserve">Portaria nº </v>
          </cell>
          <cell r="M26">
            <v>524</v>
          </cell>
          <cell r="N26" t="str">
            <v>03/11/2016</v>
          </cell>
          <cell r="O26" t="str">
            <v>04/11/2016</v>
          </cell>
          <cell r="P26" t="str">
            <v>BPE</v>
          </cell>
          <cell r="Z26" t="str">
            <v>Sem designação</v>
          </cell>
          <cell r="AF26" t="str">
            <v>Masculino</v>
          </cell>
          <cell r="AG26" t="str">
            <v>Parda</v>
          </cell>
          <cell r="AH26" t="str">
            <v>29/01/1963</v>
          </cell>
          <cell r="AI26">
            <v>57</v>
          </cell>
          <cell r="AJ26">
            <v>6664.47</v>
          </cell>
          <cell r="AL26" t="str">
            <v>DIR</v>
          </cell>
          <cell r="AM26">
            <v>6664.47</v>
          </cell>
          <cell r="AN26" t="str">
            <v>miro@mme.gov.br</v>
          </cell>
          <cell r="AO26" t="str">
            <v>(61) 2032-5410</v>
          </cell>
          <cell r="AP26" t="str">
            <v>GM14</v>
          </cell>
        </row>
        <row r="27">
          <cell r="A27" t="str">
            <v>ALVANIR DA SILVA CARVALHO</v>
          </cell>
          <cell r="B27" t="str">
            <v>095.620.281-00</v>
          </cell>
          <cell r="C27">
            <v>6053314</v>
          </cell>
          <cell r="D27" t="str">
            <v>Sem Cargo/Emprego</v>
          </cell>
          <cell r="E27" t="str">
            <v>Sem Vínculo</v>
          </cell>
          <cell r="F27" t="str">
            <v>Sem Vínculo</v>
          </cell>
          <cell r="G27" t="str">
            <v>SE / SPOA / CGRL / COORDENAÇÃO DE ATIVIDADES GERAIS - COAGE</v>
          </cell>
          <cell r="H27" t="str">
            <v>8.105.120</v>
          </cell>
          <cell r="I27" t="str">
            <v>Coordenador de Atividades Gerais da Coordenação Geral de Recursos Logísticos</v>
          </cell>
          <cell r="J27" t="str">
            <v>DAS</v>
          </cell>
          <cell r="K27" t="str">
            <v>101.3</v>
          </cell>
          <cell r="L27" t="str">
            <v xml:space="preserve">Portaria nº </v>
          </cell>
          <cell r="M27">
            <v>524</v>
          </cell>
          <cell r="N27" t="str">
            <v>03/11/2016</v>
          </cell>
          <cell r="O27" t="str">
            <v>04/11/2016</v>
          </cell>
          <cell r="P27" t="str">
            <v>BPE</v>
          </cell>
          <cell r="Y27" t="str">
            <v>Coordenação Geral de Recursos Logístocos</v>
          </cell>
          <cell r="Z27" t="str">
            <v>Eventual</v>
          </cell>
          <cell r="AA27" t="str">
            <v xml:space="preserve">Portaria nº </v>
          </cell>
          <cell r="AB27">
            <v>202</v>
          </cell>
          <cell r="AC27" t="str">
            <v>22/05/2009</v>
          </cell>
          <cell r="AD27" t="str">
            <v>26/05/2009</v>
          </cell>
          <cell r="AE27" t="str">
            <v>DOU</v>
          </cell>
          <cell r="AF27" t="str">
            <v>Masculino</v>
          </cell>
          <cell r="AG27" t="str">
            <v>Branca</v>
          </cell>
          <cell r="AH27" t="str">
            <v>03/03/1952</v>
          </cell>
          <cell r="AI27">
            <v>68</v>
          </cell>
          <cell r="AJ27">
            <v>5685.55</v>
          </cell>
          <cell r="AL27" t="str">
            <v>FA</v>
          </cell>
          <cell r="AM27">
            <v>5685.55</v>
          </cell>
          <cell r="AN27" t="str">
            <v>alvanir.carvalho@mme.gov.br</v>
          </cell>
          <cell r="AO27" t="str">
            <v>(61) 2032-5703</v>
          </cell>
          <cell r="AP27" t="str">
            <v>SE54</v>
          </cell>
          <cell r="AQ27" t="str">
            <v>SE21S</v>
          </cell>
        </row>
        <row r="28">
          <cell r="A28" t="str">
            <v>ALYNE SOUSA CARVALHO LIBERAL FERREIRA</v>
          </cell>
          <cell r="B28" t="str">
            <v>772.181.321-20</v>
          </cell>
          <cell r="C28">
            <v>2745994</v>
          </cell>
          <cell r="D28" t="str">
            <v>Sem Cargo/Emprego</v>
          </cell>
          <cell r="E28" t="str">
            <v>Sem Vínculo</v>
          </cell>
          <cell r="F28" t="str">
            <v>Sem Vínculo</v>
          </cell>
          <cell r="G28" t="str">
            <v>SE / CHEFIA DE GABINETE SE</v>
          </cell>
          <cell r="H28" t="str">
            <v>8.100.000</v>
          </cell>
          <cell r="I28" t="str">
            <v>Assistente da Chefia de Gabinete da Secretaria Executiva</v>
          </cell>
          <cell r="J28" t="str">
            <v>DAS</v>
          </cell>
          <cell r="K28" t="str">
            <v>102.2</v>
          </cell>
          <cell r="L28" t="str">
            <v xml:space="preserve">Portaria nº </v>
          </cell>
          <cell r="M28">
            <v>161</v>
          </cell>
          <cell r="N28" t="str">
            <v>11/03/2019</v>
          </cell>
          <cell r="O28" t="str">
            <v>14/03/2019</v>
          </cell>
          <cell r="P28" t="str">
            <v>DOU</v>
          </cell>
          <cell r="Z28" t="str">
            <v>Sem designação</v>
          </cell>
          <cell r="AF28" t="str">
            <v>Feminino</v>
          </cell>
          <cell r="AG28" t="str">
            <v>Branca</v>
          </cell>
          <cell r="AH28" t="str">
            <v>18/06/1975</v>
          </cell>
          <cell r="AI28">
            <v>45</v>
          </cell>
          <cell r="AJ28">
            <v>3440.75</v>
          </cell>
          <cell r="AL28" t="str">
            <v>FA</v>
          </cell>
          <cell r="AM28">
            <v>3440.75</v>
          </cell>
          <cell r="AN28" t="str">
            <v>alyne.liberal@mme.gov.br</v>
          </cell>
          <cell r="AO28" t="str">
            <v>(61) 2032-5819</v>
          </cell>
          <cell r="AP28" t="str">
            <v>SE14</v>
          </cell>
        </row>
        <row r="29">
          <cell r="A29" t="str">
            <v>AMANTINO SOARES DE OLIVEIRA</v>
          </cell>
          <cell r="B29" t="str">
            <v>351.543.811-49</v>
          </cell>
          <cell r="C29">
            <v>7129831</v>
          </cell>
          <cell r="D29" t="str">
            <v>Técnico de Orçamento</v>
          </cell>
          <cell r="E29" t="str">
            <v>Exercício Descentralizado</v>
          </cell>
          <cell r="F29" t="str">
            <v>ME - Ministério da Economia</v>
          </cell>
          <cell r="G29" t="str">
            <v>SE / SPOA / CGOF / COORDENAÇÃO DE ADMINISTRAÇÃO FINANCEIRA -COAF</v>
          </cell>
          <cell r="H29" t="str">
            <v>8.105.510</v>
          </cell>
          <cell r="I29" t="str">
            <v>Coordenador de Administração Financeira da Coordenação Geral de Orçamento e Finanças</v>
          </cell>
          <cell r="J29" t="str">
            <v>DAS</v>
          </cell>
          <cell r="K29" t="str">
            <v>101.3</v>
          </cell>
          <cell r="L29" t="str">
            <v xml:space="preserve">Portaria nº </v>
          </cell>
          <cell r="M29">
            <v>524</v>
          </cell>
          <cell r="N29" t="str">
            <v>03/11/2016</v>
          </cell>
          <cell r="O29" t="str">
            <v>04/11/2016</v>
          </cell>
          <cell r="P29" t="str">
            <v>BPE</v>
          </cell>
          <cell r="Z29" t="str">
            <v>Sem designação</v>
          </cell>
          <cell r="AF29" t="str">
            <v>Masculino</v>
          </cell>
          <cell r="AG29" t="str">
            <v>Parda</v>
          </cell>
          <cell r="AH29" t="str">
            <v>11/09/1963</v>
          </cell>
          <cell r="AI29">
            <v>57</v>
          </cell>
          <cell r="AJ29">
            <v>3411.33</v>
          </cell>
          <cell r="AK29">
            <v>12972.58</v>
          </cell>
          <cell r="AL29" t="str">
            <v>FA</v>
          </cell>
          <cell r="AM29">
            <v>16383.91</v>
          </cell>
          <cell r="AN29" t="str">
            <v>amantino@mme.gov.br</v>
          </cell>
          <cell r="AO29" t="str">
            <v>(61) 2032-5339</v>
          </cell>
          <cell r="AP29" t="str">
            <v>SE72</v>
          </cell>
        </row>
        <row r="30">
          <cell r="A30" t="str">
            <v>ANA CARLOTA OLIVEIRA VIEIRA</v>
          </cell>
          <cell r="B30" t="str">
            <v>247.557.291-49</v>
          </cell>
          <cell r="C30">
            <v>1686942</v>
          </cell>
          <cell r="D30" t="str">
            <v>Telefonista</v>
          </cell>
          <cell r="E30" t="str">
            <v>Anistiado MME</v>
          </cell>
          <cell r="F30" t="str">
            <v>MME - Ministério de Minas e Energia</v>
          </cell>
          <cell r="G30" t="str">
            <v>Aguardando Lotação/Exercício</v>
          </cell>
          <cell r="H30" t="str">
            <v>88.000.000</v>
          </cell>
          <cell r="Z30" t="str">
            <v>Sem designação</v>
          </cell>
          <cell r="AF30" t="str">
            <v>Feminino</v>
          </cell>
          <cell r="AG30" t="str">
            <v>Parda</v>
          </cell>
          <cell r="AH30" t="str">
            <v>13/07/1959</v>
          </cell>
          <cell r="AI30">
            <v>61</v>
          </cell>
          <cell r="AJ30">
            <v>3268.41</v>
          </cell>
          <cell r="AL30" t="str">
            <v>FA</v>
          </cell>
          <cell r="AM30">
            <v>3268.41</v>
          </cell>
          <cell r="AN30" t="str">
            <v>ana.vieira@mme.gov.br</v>
          </cell>
          <cell r="AO30" t="str">
            <v>(61) 2032-5580</v>
          </cell>
        </row>
        <row r="31">
          <cell r="A31" t="str">
            <v>ANA CAROLINA CARVALHO RODRIGUES</v>
          </cell>
          <cell r="B31" t="str">
            <v>932.913.291-04</v>
          </cell>
          <cell r="C31">
            <v>1483473</v>
          </cell>
          <cell r="D31" t="str">
            <v>Sem Cargo/Emprego</v>
          </cell>
          <cell r="E31" t="str">
            <v>Sem Vínculo</v>
          </cell>
          <cell r="F31" t="str">
            <v>Sem Vínculo</v>
          </cell>
          <cell r="G31" t="str">
            <v>CONJUR / CGAA / COORDENAÇÃO DE APOIO ADMINISTRATIVO</v>
          </cell>
          <cell r="H31" t="str">
            <v>7.100.310</v>
          </cell>
          <cell r="I31" t="str">
            <v>Assistente Técnico da Coordenação Geral de Assuntos Administrativos da Consultoria Jurídica</v>
          </cell>
          <cell r="J31" t="str">
            <v>DAS</v>
          </cell>
          <cell r="K31" t="str">
            <v>102.1</v>
          </cell>
          <cell r="L31" t="str">
            <v xml:space="preserve">Portaria nº </v>
          </cell>
          <cell r="M31">
            <v>524</v>
          </cell>
          <cell r="N31" t="str">
            <v>03/11/2016</v>
          </cell>
          <cell r="O31" t="str">
            <v>04/11/2016</v>
          </cell>
          <cell r="P31" t="str">
            <v>BPE</v>
          </cell>
          <cell r="Z31" t="str">
            <v>Sem designação</v>
          </cell>
          <cell r="AF31" t="str">
            <v>Feminino</v>
          </cell>
          <cell r="AG31" t="str">
            <v>Branca</v>
          </cell>
          <cell r="AH31" t="str">
            <v>28/06/1981</v>
          </cell>
          <cell r="AI31">
            <v>39</v>
          </cell>
          <cell r="AJ31">
            <v>2701.46</v>
          </cell>
          <cell r="AL31" t="str">
            <v>FA</v>
          </cell>
          <cell r="AM31">
            <v>2701.46</v>
          </cell>
          <cell r="AN31" t="str">
            <v>ana.rodrigues@mme.gov.br</v>
          </cell>
          <cell r="AO31" t="str">
            <v>(61) 2032-5282</v>
          </cell>
          <cell r="AP31" t="str">
            <v>CONJUR14</v>
          </cell>
        </row>
        <row r="32">
          <cell r="A32" t="str">
            <v>ANA CRISTINA NOGUEIRA GONCALVES</v>
          </cell>
          <cell r="B32" t="str">
            <v>225.640.801-97</v>
          </cell>
          <cell r="C32">
            <v>1586250</v>
          </cell>
          <cell r="D32" t="str">
            <v>Codificador de Dados I</v>
          </cell>
          <cell r="E32" t="str">
            <v>Anistiado MME</v>
          </cell>
          <cell r="F32" t="str">
            <v>MME - Ministério de Minas e Energia</v>
          </cell>
          <cell r="G32" t="str">
            <v>SE / SPOA / CGRH / COORDENAÇÃO DE DESENVOLVIMENTO E SEGURIDADE SOCIAL - CODES</v>
          </cell>
          <cell r="H32" t="str">
            <v>8.105.220</v>
          </cell>
          <cell r="Z32" t="str">
            <v>Sem designação</v>
          </cell>
          <cell r="AF32" t="str">
            <v>Feminino</v>
          </cell>
          <cell r="AG32" t="str">
            <v>Branca</v>
          </cell>
          <cell r="AH32" t="str">
            <v>12/07/1961</v>
          </cell>
          <cell r="AI32">
            <v>59</v>
          </cell>
          <cell r="AJ32">
            <v>3915.9</v>
          </cell>
          <cell r="AL32" t="str">
            <v>FA</v>
          </cell>
          <cell r="AM32">
            <v>3915.9</v>
          </cell>
          <cell r="AN32" t="str">
            <v>ana.goncalves@mme.gov.br</v>
          </cell>
          <cell r="AO32" t="str">
            <v>(61) 2032-5184</v>
          </cell>
        </row>
        <row r="33">
          <cell r="A33" t="str">
            <v>ANA LUCIA ALVARES ALVES</v>
          </cell>
          <cell r="B33" t="str">
            <v>003.942.091-41</v>
          </cell>
          <cell r="C33">
            <v>1165470</v>
          </cell>
          <cell r="D33" t="str">
            <v>Analista de Infraestrutura</v>
          </cell>
          <cell r="E33" t="str">
            <v>Requisitado de Órgãos</v>
          </cell>
          <cell r="F33" t="str">
            <v>ME - Ministério da Economia</v>
          </cell>
          <cell r="G33" t="str">
            <v>SEE / DMSE / COORDENAÇÃO GERAL DE MONITORAMENTO DO DESEMPENHO DO SISTEMA ELÉTRICO</v>
          </cell>
          <cell r="H33" t="str">
            <v>12.102.400</v>
          </cell>
          <cell r="I33" t="str">
            <v>Assessor Técnico do Gabinete do Ministro</v>
          </cell>
          <cell r="J33" t="str">
            <v>DAS</v>
          </cell>
          <cell r="K33" t="str">
            <v>102.3</v>
          </cell>
          <cell r="L33" t="str">
            <v xml:space="preserve">Portaria nº </v>
          </cell>
          <cell r="M33">
            <v>319</v>
          </cell>
          <cell r="N33" t="str">
            <v>24/08/2020</v>
          </cell>
          <cell r="O33" t="str">
            <v>28/08/2020</v>
          </cell>
          <cell r="P33" t="str">
            <v>DOU</v>
          </cell>
          <cell r="AF33" t="str">
            <v>Feminino</v>
          </cell>
          <cell r="AG33" t="str">
            <v>Branca</v>
          </cell>
          <cell r="AH33" t="str">
            <v>21/11/1983</v>
          </cell>
          <cell r="AI33">
            <v>36</v>
          </cell>
          <cell r="AJ33">
            <v>3411.33</v>
          </cell>
          <cell r="AK33">
            <v>14503.55</v>
          </cell>
          <cell r="AL33" t="str">
            <v>FA</v>
          </cell>
          <cell r="AM33">
            <v>17914.879999999997</v>
          </cell>
          <cell r="AN33" t="str">
            <v>ana.alves@mme.gov.br</v>
          </cell>
          <cell r="AO33" t="str">
            <v>(61) 2032-5925</v>
          </cell>
          <cell r="AP33" t="str">
            <v>GM50</v>
          </cell>
        </row>
        <row r="34">
          <cell r="A34" t="str">
            <v>ANA MARIA DIAS DE OLIVEIRA DINIZ</v>
          </cell>
          <cell r="B34" t="str">
            <v>122.082.565-49</v>
          </cell>
          <cell r="C34">
            <v>451529</v>
          </cell>
          <cell r="D34" t="str">
            <v>Agente Administrativo</v>
          </cell>
          <cell r="E34" t="str">
            <v>Ativo Permanente</v>
          </cell>
          <cell r="F34" t="str">
            <v>MME - Ministério de Minas e Energia</v>
          </cell>
          <cell r="G34" t="str">
            <v>SE / SPOA / CGRH / COORDENAÇÃO DE DESENVOLVIMENTO E SEGURIDADE SOCIAL - CODES</v>
          </cell>
          <cell r="H34" t="str">
            <v>8.105.220</v>
          </cell>
          <cell r="I34" t="str">
            <v>Função Gratificada</v>
          </cell>
          <cell r="J34" t="str">
            <v>FGR</v>
          </cell>
          <cell r="K34">
            <v>1</v>
          </cell>
          <cell r="L34" t="str">
            <v xml:space="preserve">Portaria nº </v>
          </cell>
          <cell r="M34">
            <v>524</v>
          </cell>
          <cell r="N34" t="str">
            <v>03/11/2016</v>
          </cell>
          <cell r="O34" t="str">
            <v>04/11/2016</v>
          </cell>
          <cell r="P34" t="str">
            <v>BPE</v>
          </cell>
          <cell r="Z34" t="str">
            <v>Sem designação</v>
          </cell>
          <cell r="AF34" t="str">
            <v>Feminino</v>
          </cell>
          <cell r="AG34" t="str">
            <v>Parda</v>
          </cell>
          <cell r="AH34" t="str">
            <v>11/10/1955</v>
          </cell>
          <cell r="AI34">
            <v>65</v>
          </cell>
          <cell r="AJ34">
            <v>6023.56</v>
          </cell>
          <cell r="AL34" t="str">
            <v>FA</v>
          </cell>
          <cell r="AM34">
            <v>6023.56</v>
          </cell>
          <cell r="AN34" t="str">
            <v>ana.dias@mme.gov.br</v>
          </cell>
          <cell r="AO34" t="str">
            <v>(61) 2032-5685</v>
          </cell>
        </row>
        <row r="35">
          <cell r="A35" t="str">
            <v>ANA MARIA FIGUEIREDO AGUIAR</v>
          </cell>
          <cell r="B35" t="str">
            <v>364.606.991-00</v>
          </cell>
          <cell r="C35">
            <v>452229</v>
          </cell>
          <cell r="D35" t="str">
            <v>Agente Administrativo</v>
          </cell>
          <cell r="E35" t="str">
            <v>Ativo Permanente</v>
          </cell>
          <cell r="F35" t="str">
            <v>MME - Ministério de Minas e Energia</v>
          </cell>
          <cell r="G35" t="str">
            <v>SE / SPOA / CGRL / COORDENAÇÃO DE ATIVIDADES GERAIS - COAGE</v>
          </cell>
          <cell r="H35" t="str">
            <v>8.105.120</v>
          </cell>
          <cell r="Q35" t="str">
            <v>GSISTE</v>
          </cell>
          <cell r="R35" t="str">
            <v>Intermediário</v>
          </cell>
          <cell r="S35" t="str">
            <v>SIGA - Sistema de Gestão de Documentos de Arquivo</v>
          </cell>
          <cell r="T35" t="str">
            <v xml:space="preserve">Portaria nº </v>
          </cell>
          <cell r="U35">
            <v>18</v>
          </cell>
          <cell r="V35" t="str">
            <v>04/02/2020</v>
          </cell>
          <cell r="W35" t="str">
            <v>06/02/2020</v>
          </cell>
          <cell r="X35" t="str">
            <v>BPE</v>
          </cell>
          <cell r="Z35" t="str">
            <v>Sem designação</v>
          </cell>
          <cell r="AF35" t="str">
            <v>Feminino</v>
          </cell>
          <cell r="AG35" t="str">
            <v>Parda</v>
          </cell>
          <cell r="AH35" t="str">
            <v>20/10/1965</v>
          </cell>
          <cell r="AI35">
            <v>55</v>
          </cell>
          <cell r="AJ35">
            <v>5429.47</v>
          </cell>
          <cell r="AL35" t="str">
            <v>FA</v>
          </cell>
          <cell r="AM35">
            <v>5429.47</v>
          </cell>
          <cell r="AN35" t="str">
            <v>ana.aguiar@mme.gov.br</v>
          </cell>
          <cell r="AO35" t="str">
            <v>(61) 2032-5834</v>
          </cell>
        </row>
        <row r="36">
          <cell r="A36" t="str">
            <v>ANA PAULA ALVES DE SOUZA</v>
          </cell>
          <cell r="B36" t="str">
            <v>033.774.257-05</v>
          </cell>
          <cell r="C36">
            <v>2603376</v>
          </cell>
          <cell r="D36" t="str">
            <v>Marinha</v>
          </cell>
          <cell r="E36" t="str">
            <v>Requisitado Militar</v>
          </cell>
          <cell r="F36" t="str">
            <v>Marinha</v>
          </cell>
          <cell r="G36" t="str">
            <v>GABINETE DO MINISTRO - GM</v>
          </cell>
          <cell r="H36" t="str">
            <v>2.000.000</v>
          </cell>
          <cell r="I36" t="str">
            <v>Assessor Especial do Ministro</v>
          </cell>
          <cell r="J36" t="str">
            <v>DAS</v>
          </cell>
          <cell r="K36" t="str">
            <v>102.5</v>
          </cell>
          <cell r="L36" t="str">
            <v xml:space="preserve">Portaria nº </v>
          </cell>
          <cell r="M36">
            <v>75</v>
          </cell>
          <cell r="N36" t="str">
            <v>02/03/2020</v>
          </cell>
          <cell r="O36" t="str">
            <v>04/03/2020</v>
          </cell>
          <cell r="P36" t="str">
            <v>DOU</v>
          </cell>
          <cell r="Z36" t="str">
            <v>Sem designação</v>
          </cell>
          <cell r="AF36" t="str">
            <v>Feminino</v>
          </cell>
          <cell r="AG36" t="str">
            <v>Branca</v>
          </cell>
          <cell r="AH36" t="str">
            <v>09/09/1974</v>
          </cell>
          <cell r="AI36">
            <v>46</v>
          </cell>
          <cell r="AJ36">
            <v>13623.39</v>
          </cell>
          <cell r="AK36">
            <v>20362.5</v>
          </cell>
          <cell r="AL36" t="str">
            <v>FA</v>
          </cell>
          <cell r="AM36">
            <v>33985.89</v>
          </cell>
          <cell r="AN36" t="str">
            <v>paula.souza@mme.gov.br</v>
          </cell>
          <cell r="AO36" t="str">
            <v>(61) 2032-5351</v>
          </cell>
          <cell r="AP36" t="str">
            <v>GM03</v>
          </cell>
        </row>
        <row r="37">
          <cell r="A37" t="str">
            <v>ANA PAULA DE CASTRO</v>
          </cell>
          <cell r="B37" t="str">
            <v>573.713.691-49</v>
          </cell>
          <cell r="C37">
            <v>1100246</v>
          </cell>
          <cell r="D37" t="str">
            <v>Técnico de Arquivo</v>
          </cell>
          <cell r="E37" t="str">
            <v>Ativo Permanente</v>
          </cell>
          <cell r="F37" t="str">
            <v>MME - Ministério de Minas e Energia</v>
          </cell>
          <cell r="G37" t="str">
            <v>SE / SPOA / CGRH / COORDENAÇÃO DE ADMINISTRAÇÃO DE PESSOAL - CAPES</v>
          </cell>
          <cell r="H37" t="str">
            <v>8.105.210</v>
          </cell>
          <cell r="I37" t="str">
            <v>Função Gratificada</v>
          </cell>
          <cell r="J37" t="str">
            <v>FGR</v>
          </cell>
          <cell r="K37">
            <v>1</v>
          </cell>
          <cell r="L37" t="str">
            <v xml:space="preserve">Portaria nº </v>
          </cell>
          <cell r="M37">
            <v>524</v>
          </cell>
          <cell r="N37" t="str">
            <v>03/11/2016</v>
          </cell>
          <cell r="O37" t="str">
            <v>04/11/2016</v>
          </cell>
          <cell r="P37" t="str">
            <v>BPE</v>
          </cell>
          <cell r="Y37" t="str">
            <v>Divisão de Cadastro e Controle de Pessoal</v>
          </cell>
          <cell r="Z37" t="str">
            <v>Pessoal</v>
          </cell>
          <cell r="AA37" t="str">
            <v xml:space="preserve">Portaria nº </v>
          </cell>
          <cell r="AB37">
            <v>163</v>
          </cell>
          <cell r="AC37" t="str">
            <v>07/04/2020</v>
          </cell>
          <cell r="AD37" t="str">
            <v>13/04/2020</v>
          </cell>
          <cell r="AE37" t="str">
            <v>DOU</v>
          </cell>
          <cell r="AF37" t="str">
            <v>Feminino</v>
          </cell>
          <cell r="AG37" t="str">
            <v>Parda</v>
          </cell>
          <cell r="AH37" t="str">
            <v>18/09/1970</v>
          </cell>
          <cell r="AI37">
            <v>50</v>
          </cell>
          <cell r="AJ37">
            <v>5073.2299999999996</v>
          </cell>
          <cell r="AL37" t="str">
            <v>FA</v>
          </cell>
          <cell r="AM37">
            <v>5073.2299999999996</v>
          </cell>
          <cell r="AN37" t="str">
            <v>ana.castro@mme.gov.br</v>
          </cell>
          <cell r="AO37" t="str">
            <v>(61) 2032-5395</v>
          </cell>
          <cell r="AQ37" t="str">
            <v>SE40S</v>
          </cell>
        </row>
        <row r="38">
          <cell r="A38" t="str">
            <v>ANA PAULA NOGUEIRA RIGAUD</v>
          </cell>
          <cell r="B38" t="str">
            <v>767.414.867-04</v>
          </cell>
          <cell r="C38">
            <v>1670483</v>
          </cell>
          <cell r="D38" t="str">
            <v>Codificador de Dados I</v>
          </cell>
          <cell r="E38" t="str">
            <v>Anistiado MME</v>
          </cell>
          <cell r="F38" t="str">
            <v>MME - Ministério de Minas e Energia</v>
          </cell>
          <cell r="G38" t="str">
            <v>SE / SPOA / CGRH / COORDENAÇÃO DE DESENVOLVIMENTO E SEGURIDADE SOCIAL - CODES</v>
          </cell>
          <cell r="H38" t="str">
            <v>8.105.220</v>
          </cell>
          <cell r="Z38" t="str">
            <v>Sem designação</v>
          </cell>
          <cell r="AF38" t="str">
            <v>Feminino</v>
          </cell>
          <cell r="AG38" t="str">
            <v>Branca</v>
          </cell>
          <cell r="AH38" t="str">
            <v>16/04/1964</v>
          </cell>
          <cell r="AI38">
            <v>56</v>
          </cell>
          <cell r="AJ38">
            <v>4435.33</v>
          </cell>
          <cell r="AL38" t="str">
            <v>FA</v>
          </cell>
          <cell r="AM38">
            <v>4435.33</v>
          </cell>
          <cell r="AN38" t="str">
            <v>ana.rigaud@mme.gov.br</v>
          </cell>
          <cell r="AO38" t="str">
            <v>(61) 2032-5069</v>
          </cell>
        </row>
        <row r="39">
          <cell r="A39" t="str">
            <v>ANADERGI ROSA DE FREITAS</v>
          </cell>
          <cell r="B39" t="str">
            <v>953.403.276-04</v>
          </cell>
          <cell r="C39">
            <v>2666801</v>
          </cell>
          <cell r="D39" t="str">
            <v>Sem Cargo/Emprego</v>
          </cell>
          <cell r="E39" t="str">
            <v>Sem Vínculo</v>
          </cell>
          <cell r="F39" t="str">
            <v>Sem Vínculo</v>
          </cell>
          <cell r="G39" t="str">
            <v>SE / SPOA / CGRL / COORDENAÇÃO DE ATIVIDADES GERAIS - COAGE</v>
          </cell>
          <cell r="H39" t="str">
            <v>8.105.120</v>
          </cell>
          <cell r="I39" t="str">
            <v>Assistente da Subsecretaria de Planejamento, Orçamento e Administração</v>
          </cell>
          <cell r="J39" t="str">
            <v>DAS</v>
          </cell>
          <cell r="K39" t="str">
            <v>102.2</v>
          </cell>
          <cell r="L39" t="str">
            <v xml:space="preserve">Portaria nº </v>
          </cell>
          <cell r="M39">
            <v>2</v>
          </cell>
          <cell r="N39" t="str">
            <v>06/01/2020</v>
          </cell>
          <cell r="O39" t="str">
            <v>07/01/2020</v>
          </cell>
          <cell r="P39" t="str">
            <v>DOU</v>
          </cell>
          <cell r="Z39" t="str">
            <v>Sem designação</v>
          </cell>
          <cell r="AF39" t="str">
            <v>Feminino</v>
          </cell>
          <cell r="AG39" t="str">
            <v>Parda</v>
          </cell>
          <cell r="AH39" t="str">
            <v>26/05/1973</v>
          </cell>
          <cell r="AI39">
            <v>47</v>
          </cell>
          <cell r="AJ39">
            <v>3440.75</v>
          </cell>
          <cell r="AL39" t="str">
            <v>FA</v>
          </cell>
          <cell r="AM39">
            <v>3440.75</v>
          </cell>
          <cell r="AN39" t="str">
            <v>anadergi.freitas@mme.gov.br</v>
          </cell>
          <cell r="AO39" t="str">
            <v>(61) 2032-5950</v>
          </cell>
          <cell r="AP39" t="str">
            <v>SE42</v>
          </cell>
        </row>
        <row r="40">
          <cell r="A40" t="str">
            <v>ANAHIDES SANTOS BUCAR</v>
          </cell>
          <cell r="B40" t="str">
            <v>253.601.593-91</v>
          </cell>
          <cell r="C40">
            <v>6225035</v>
          </cell>
          <cell r="D40" t="str">
            <v>Sem Cargo/Emprego</v>
          </cell>
          <cell r="E40" t="str">
            <v>Sem Vínculo</v>
          </cell>
          <cell r="F40" t="str">
            <v>Sem Vínculo</v>
          </cell>
          <cell r="G40" t="str">
            <v>SGM / DEPARTAMENTO DE GESTÃO DAS POLÍTICAS DE GEOLOGIA, MINERAÇÃOE TRANSFORMAÇÃO - DPGM</v>
          </cell>
          <cell r="H40" t="str">
            <v>9.101.000</v>
          </cell>
          <cell r="I40" t="str">
            <v>Assistente do Departamento de Gestão das Políticas de Geologia, Mineração e Transformação Mineral</v>
          </cell>
          <cell r="J40" t="str">
            <v>DAS</v>
          </cell>
          <cell r="K40" t="str">
            <v>102.2</v>
          </cell>
          <cell r="L40" t="str">
            <v xml:space="preserve">Portaria nº </v>
          </cell>
          <cell r="M40">
            <v>603</v>
          </cell>
          <cell r="N40" t="str">
            <v>09/11/2016</v>
          </cell>
          <cell r="O40" t="str">
            <v>10/11/2016</v>
          </cell>
          <cell r="P40" t="str">
            <v>DOU</v>
          </cell>
          <cell r="Z40" t="str">
            <v>Sem designação</v>
          </cell>
          <cell r="AF40" t="str">
            <v>Feminino</v>
          </cell>
          <cell r="AG40" t="str">
            <v>Branca</v>
          </cell>
          <cell r="AH40" t="str">
            <v>11/08/1963</v>
          </cell>
          <cell r="AI40">
            <v>57</v>
          </cell>
          <cell r="AJ40">
            <v>3440.75</v>
          </cell>
          <cell r="AL40" t="str">
            <v>FA</v>
          </cell>
          <cell r="AM40">
            <v>3440.75</v>
          </cell>
          <cell r="AN40" t="str">
            <v>anahides.bucar@mme.gov.br</v>
          </cell>
          <cell r="AO40" t="str">
            <v>(61) 2032-5420</v>
          </cell>
          <cell r="AP40" t="str">
            <v>SGM10</v>
          </cell>
        </row>
        <row r="41">
          <cell r="A41" t="str">
            <v>ANDERSON DA CRUZ NEVES</v>
          </cell>
          <cell r="B41" t="str">
            <v>002.138.791-58</v>
          </cell>
          <cell r="C41">
            <v>1729574</v>
          </cell>
          <cell r="D41" t="str">
            <v>Analista Técnico Administrativo</v>
          </cell>
          <cell r="E41" t="str">
            <v>Requisitado de Órgãos</v>
          </cell>
          <cell r="F41" t="str">
            <v>MDR - Ministério do Desenvolvimento Regional</v>
          </cell>
          <cell r="G41" t="str">
            <v>SE / SPOA / CGOF / COORDENAÇÃO DE ADMINISTRAÇÃO FINANCEIRA -COAF</v>
          </cell>
          <cell r="H41" t="str">
            <v>8.105.510</v>
          </cell>
          <cell r="Q41" t="str">
            <v>GSISTE</v>
          </cell>
          <cell r="R41" t="str">
            <v>Superior (MPEOF)</v>
          </cell>
          <cell r="S41" t="str">
            <v>SAFE - Sistema de Administração Financeira Federal</v>
          </cell>
          <cell r="T41" t="str">
            <v xml:space="preserve">Portaria nº </v>
          </cell>
          <cell r="U41">
            <v>24</v>
          </cell>
          <cell r="V41" t="str">
            <v>08/03/2017</v>
          </cell>
          <cell r="W41" t="str">
            <v>08/03/2017</v>
          </cell>
          <cell r="X41" t="str">
            <v xml:space="preserve">Boletim de Pessoal Especial - BPE nº </v>
          </cell>
          <cell r="Y41" t="str">
            <v>Coordenação de Administração Financeira</v>
          </cell>
          <cell r="Z41" t="str">
            <v>Eventual</v>
          </cell>
          <cell r="AA41" t="str">
            <v xml:space="preserve">Portaria nº </v>
          </cell>
          <cell r="AB41">
            <v>389</v>
          </cell>
          <cell r="AC41" t="str">
            <v>04/10/2017</v>
          </cell>
          <cell r="AD41" t="str">
            <v>06/10/2017</v>
          </cell>
          <cell r="AE41" t="str">
            <v>DOU</v>
          </cell>
          <cell r="AF41" t="str">
            <v>Masculino</v>
          </cell>
          <cell r="AG41" t="str">
            <v>Amarela</v>
          </cell>
          <cell r="AH41" t="str">
            <v>13/10/1982</v>
          </cell>
          <cell r="AI41">
            <v>38</v>
          </cell>
          <cell r="AJ41">
            <v>3158</v>
          </cell>
          <cell r="AK41">
            <v>7317.35</v>
          </cell>
          <cell r="AL41" t="str">
            <v>FA</v>
          </cell>
          <cell r="AM41">
            <v>10475.35</v>
          </cell>
          <cell r="AN41" t="str">
            <v>anderson.neves@mme.gov.br</v>
          </cell>
          <cell r="AO41" t="str">
            <v>(61) 2032-5969</v>
          </cell>
          <cell r="AQ41" t="str">
            <v>SE42S</v>
          </cell>
        </row>
        <row r="42">
          <cell r="A42" t="str">
            <v>ANDERSON MARCIO DE OLIVEIRA</v>
          </cell>
          <cell r="B42" t="str">
            <v>009.741.924-90</v>
          </cell>
          <cell r="C42">
            <v>1793429</v>
          </cell>
          <cell r="D42" t="str">
            <v>Advogado</v>
          </cell>
          <cell r="E42" t="str">
            <v>Requisitado de Empresa</v>
          </cell>
          <cell r="F42" t="str">
            <v>BNDES - Banco Nacional de Desenvolvimento Econômico e Social</v>
          </cell>
          <cell r="G42" t="str">
            <v>SE / CHEFIA DE GABINETE SE</v>
          </cell>
          <cell r="H42" t="str">
            <v>8.100.000</v>
          </cell>
          <cell r="I42" t="str">
            <v>Diretor de Programa da Secretaria Executiva</v>
          </cell>
          <cell r="J42" t="str">
            <v>DAS</v>
          </cell>
          <cell r="K42" t="str">
            <v>101.5</v>
          </cell>
          <cell r="L42" t="str">
            <v xml:space="preserve">Portaria nº </v>
          </cell>
          <cell r="M42">
            <v>1931</v>
          </cell>
          <cell r="N42" t="str">
            <v>27/06/2019</v>
          </cell>
          <cell r="O42" t="str">
            <v>28/06/2019</v>
          </cell>
          <cell r="P42" t="str">
            <v>DOU</v>
          </cell>
          <cell r="Z42" t="str">
            <v>Sem designação</v>
          </cell>
          <cell r="AF42" t="str">
            <v>Masculino</v>
          </cell>
          <cell r="AG42" t="str">
            <v>Parda</v>
          </cell>
          <cell r="AH42" t="str">
            <v>24/02/1982</v>
          </cell>
          <cell r="AI42">
            <v>38</v>
          </cell>
          <cell r="AJ42">
            <v>8174.03</v>
          </cell>
          <cell r="AK42">
            <v>25796.77</v>
          </cell>
          <cell r="AL42" t="str">
            <v>FA</v>
          </cell>
          <cell r="AM42">
            <v>33970.800000000003</v>
          </cell>
          <cell r="AN42" t="str">
            <v>anderson.oliveira@mme.gov.br</v>
          </cell>
          <cell r="AO42" t="str">
            <v>(61) 2032-5009</v>
          </cell>
          <cell r="AP42" t="str">
            <v>SE03</v>
          </cell>
        </row>
        <row r="43">
          <cell r="A43" t="str">
            <v>ANDRÉ GROBÉRIO LOPES PERIM</v>
          </cell>
          <cell r="B43" t="str">
            <v>100.330.879-94</v>
          </cell>
          <cell r="C43">
            <v>2974323</v>
          </cell>
          <cell r="D43" t="str">
            <v>Analista de Infraestrutura</v>
          </cell>
          <cell r="E43" t="str">
            <v>Exercício Descentralizado</v>
          </cell>
          <cell r="F43" t="str">
            <v>ME - Ministério da Economia</v>
          </cell>
          <cell r="G43" t="str">
            <v>SEE / DMSE / COORDENAÇÃO GERAL DE MONITORAMENTO DA EXPANSÃO DA TRANSMISSÃO</v>
          </cell>
          <cell r="H43" t="str">
            <v>12.102.200</v>
          </cell>
          <cell r="I43" t="str">
            <v>Coordenador Geral de Monitoramento da Expansão da Transmissão do Departamento de Monitoramento do Sistema Elétrico</v>
          </cell>
          <cell r="J43" t="str">
            <v>FCPE</v>
          </cell>
          <cell r="K43" t="str">
            <v>101.4</v>
          </cell>
          <cell r="L43" t="str">
            <v xml:space="preserve">Portaria nº </v>
          </cell>
          <cell r="M43">
            <v>170</v>
          </cell>
          <cell r="N43" t="str">
            <v>19/03/2019</v>
          </cell>
          <cell r="O43" t="str">
            <v>20/03/2019</v>
          </cell>
          <cell r="P43" t="str">
            <v>DOU</v>
          </cell>
          <cell r="Y43" t="str">
            <v>Diretor de Programa da SEE</v>
          </cell>
          <cell r="Z43" t="str">
            <v>Eventual</v>
          </cell>
          <cell r="AA43" t="str">
            <v xml:space="preserve">Portaria nº </v>
          </cell>
          <cell r="AB43">
            <v>451</v>
          </cell>
          <cell r="AE43" t="str">
            <v>DOU</v>
          </cell>
          <cell r="AF43" t="str">
            <v>Masculino</v>
          </cell>
          <cell r="AG43" t="str">
            <v>Branca</v>
          </cell>
          <cell r="AH43" t="str">
            <v>26/09/1985</v>
          </cell>
          <cell r="AI43">
            <v>35</v>
          </cell>
          <cell r="AJ43">
            <v>6223.99</v>
          </cell>
          <cell r="AK43">
            <v>14823.28</v>
          </cell>
          <cell r="AL43" t="str">
            <v>FA</v>
          </cell>
          <cell r="AM43">
            <v>21047.27</v>
          </cell>
          <cell r="AN43" t="str">
            <v>andre.perim@mme.gov.br</v>
          </cell>
          <cell r="AO43" t="str">
            <v>(61) 2032-5408</v>
          </cell>
          <cell r="AP43" t="str">
            <v>SEE22</v>
          </cell>
          <cell r="AQ43" t="str">
            <v>SEE03S</v>
          </cell>
        </row>
        <row r="44">
          <cell r="A44" t="str">
            <v>ANDRE KRAUSS QUEIROZ</v>
          </cell>
          <cell r="B44" t="str">
            <v>312.274.868-12</v>
          </cell>
          <cell r="C44">
            <v>2660202</v>
          </cell>
          <cell r="D44" t="str">
            <v>Analista de Infraestrutura</v>
          </cell>
          <cell r="E44" t="str">
            <v>Exercício Descentralizado</v>
          </cell>
          <cell r="F44" t="str">
            <v>ME - Ministério da Economia</v>
          </cell>
          <cell r="G44" t="str">
            <v>SPE / DEPARTAMENTO DE OUTORGAS DE CONCESSÕES, PERMISSÕES E AUTORIZAÇÕES - DOC</v>
          </cell>
          <cell r="H44" t="str">
            <v>10.103.000</v>
          </cell>
          <cell r="I44" t="str">
            <v xml:space="preserve">Diretor do Departamento de Outorgas de Concessões, Permissõe e Autorizações </v>
          </cell>
          <cell r="J44" t="str">
            <v>DAS</v>
          </cell>
          <cell r="K44" t="str">
            <v>101.5</v>
          </cell>
          <cell r="L44" t="str">
            <v xml:space="preserve">Portaria nº </v>
          </cell>
          <cell r="M44">
            <v>1035</v>
          </cell>
          <cell r="N44" t="str">
            <v>13/11/2017</v>
          </cell>
          <cell r="O44" t="str">
            <v>14/11/2017</v>
          </cell>
          <cell r="P44" t="str">
            <v>DOU</v>
          </cell>
          <cell r="Z44" t="str">
            <v>Sem designação</v>
          </cell>
          <cell r="AF44" t="str">
            <v>Masculino</v>
          </cell>
          <cell r="AG44" t="str">
            <v>Branca</v>
          </cell>
          <cell r="AH44" t="str">
            <v>04/05/1983</v>
          </cell>
          <cell r="AI44">
            <v>37</v>
          </cell>
          <cell r="AJ44">
            <v>8174.03</v>
          </cell>
          <cell r="AK44">
            <v>17846.990000000002</v>
          </cell>
          <cell r="AL44" t="str">
            <v>FA</v>
          </cell>
          <cell r="AM44">
            <v>26021.02</v>
          </cell>
          <cell r="AN44" t="str">
            <v>andre.queiroz@mme.gov.br</v>
          </cell>
          <cell r="AO44" t="str">
            <v>(61) 2032-5812</v>
          </cell>
          <cell r="AP44" t="str">
            <v>SPE22</v>
          </cell>
        </row>
        <row r="45">
          <cell r="A45" t="str">
            <v>ANDRÉ LUIS GONÇALVES DE OLIVEIRA</v>
          </cell>
          <cell r="B45" t="str">
            <v>755.420.566-87</v>
          </cell>
          <cell r="C45">
            <v>3660584</v>
          </cell>
          <cell r="D45" t="str">
            <v>Analista de Infraestrutura</v>
          </cell>
          <cell r="E45" t="str">
            <v>Exercício Descentralizado</v>
          </cell>
          <cell r="F45" t="str">
            <v>ME - Ministério da Economia</v>
          </cell>
          <cell r="G45" t="str">
            <v>SEE / CHEFIA DE GABINETE SEE</v>
          </cell>
          <cell r="H45" t="str">
            <v>12.100.000</v>
          </cell>
          <cell r="I45" t="str">
            <v>Assessor Técnico da Secretaria de Energia Elétrica</v>
          </cell>
          <cell r="J45" t="str">
            <v>FCPE</v>
          </cell>
          <cell r="K45" t="str">
            <v>102.3</v>
          </cell>
          <cell r="L45" t="str">
            <v xml:space="preserve">Portaria nº </v>
          </cell>
          <cell r="M45">
            <v>365</v>
          </cell>
          <cell r="N45" t="str">
            <v>01/10/2020</v>
          </cell>
          <cell r="O45" t="str">
            <v>02/10/2020</v>
          </cell>
          <cell r="P45" t="str">
            <v>DOU</v>
          </cell>
          <cell r="Z45" t="str">
            <v>Sem designação</v>
          </cell>
          <cell r="AF45" t="str">
            <v>Masculino</v>
          </cell>
          <cell r="AG45" t="str">
            <v>Branca</v>
          </cell>
          <cell r="AH45" t="str">
            <v>21/10/1971</v>
          </cell>
          <cell r="AI45">
            <v>49</v>
          </cell>
          <cell r="AJ45">
            <v>3411.33</v>
          </cell>
          <cell r="AK45">
            <v>17026.400000000001</v>
          </cell>
          <cell r="AL45" t="str">
            <v>FA</v>
          </cell>
          <cell r="AM45">
            <v>20437.730000000003</v>
          </cell>
          <cell r="AN45" t="str">
            <v>andre.oliveira@mme.gov.br</v>
          </cell>
          <cell r="AO45" t="str">
            <v>(61) 2032-5706</v>
          </cell>
          <cell r="AP45" t="str">
            <v>SEE05</v>
          </cell>
        </row>
        <row r="46">
          <cell r="A46" t="str">
            <v>ANDRÉ LUIZ DIAS DE OLIVEIRA</v>
          </cell>
          <cell r="B46" t="str">
            <v>925.344.571-87</v>
          </cell>
          <cell r="C46">
            <v>2425941</v>
          </cell>
          <cell r="D46" t="str">
            <v>Especialista em Política Pública e Gestão Governamental</v>
          </cell>
          <cell r="E46" t="str">
            <v>Exercício Descentralizado</v>
          </cell>
          <cell r="F46" t="str">
            <v>ME - Ministério da Economia</v>
          </cell>
          <cell r="G46" t="str">
            <v>SEE / DGSE / COORDENAÇÃO GERAL DE GESTÃO DE PROGRAMAS E REGULAMENTAÇÃO</v>
          </cell>
          <cell r="H46" t="str">
            <v>12.101.200</v>
          </cell>
          <cell r="I46" t="str">
            <v>Assessor Técnico da CG de Gestão de Programs e Regulamentaçao</v>
          </cell>
          <cell r="J46" t="str">
            <v>FCPE</v>
          </cell>
          <cell r="K46" t="str">
            <v>102.3</v>
          </cell>
          <cell r="L46" t="str">
            <v xml:space="preserve">Portaria nº </v>
          </cell>
          <cell r="M46">
            <v>260</v>
          </cell>
          <cell r="N46" t="str">
            <v>29/06/2020</v>
          </cell>
          <cell r="O46" t="str">
            <v>30/06/2020</v>
          </cell>
          <cell r="P46" t="str">
            <v>DOU</v>
          </cell>
          <cell r="Y46" t="str">
            <v>Coordenação Geral de Desenvolvimento de Políticas Sociais</v>
          </cell>
          <cell r="Z46" t="str">
            <v>Eventual</v>
          </cell>
          <cell r="AA46" t="str">
            <v xml:space="preserve">Portaria nº </v>
          </cell>
          <cell r="AB46">
            <v>454</v>
          </cell>
          <cell r="AC46" t="str">
            <v>06/12/2019</v>
          </cell>
          <cell r="AD46" t="str">
            <v>11/12/2019</v>
          </cell>
          <cell r="AE46" t="str">
            <v>DOU</v>
          </cell>
          <cell r="AF46" t="str">
            <v>Masculino</v>
          </cell>
          <cell r="AG46" t="str">
            <v>Parda</v>
          </cell>
          <cell r="AH46" t="str">
            <v>18/03/1981</v>
          </cell>
          <cell r="AI46">
            <v>39</v>
          </cell>
          <cell r="AJ46">
            <v>3411.33</v>
          </cell>
          <cell r="AK46">
            <v>26596.79</v>
          </cell>
          <cell r="AL46" t="str">
            <v>FA</v>
          </cell>
          <cell r="AM46">
            <v>30008.120000000003</v>
          </cell>
          <cell r="AN46" t="str">
            <v>andre.dias@mme.gov.br</v>
          </cell>
          <cell r="AO46" t="str">
            <v>(61) 2032-5495</v>
          </cell>
          <cell r="AP46" t="str">
            <v>SEE15</v>
          </cell>
          <cell r="AQ46" t="str">
            <v>SEE15S</v>
          </cell>
        </row>
        <row r="47">
          <cell r="A47" t="str">
            <v>ANDRE LUIZ RODRIGUES OSORIO</v>
          </cell>
          <cell r="B47" t="str">
            <v>024.145.637-10</v>
          </cell>
          <cell r="C47">
            <v>1677889</v>
          </cell>
          <cell r="D47" t="str">
            <v>Analista de Pesquisa Energética</v>
          </cell>
          <cell r="E47" t="str">
            <v>Requisitado de Órgãos</v>
          </cell>
          <cell r="F47" t="str">
            <v>EPE - Empresa de Pesquisa Energética</v>
          </cell>
          <cell r="G47" t="str">
            <v>SPE / DEPARTAMENTO DE INFORMAÇÕES E ESTUDOS ENERGÉTICOS - DIEE</v>
          </cell>
          <cell r="H47" t="str">
            <v>10.104.000</v>
          </cell>
          <cell r="I47" t="str">
            <v>Diretor do Departamento de Informações e Estudos Energéticos</v>
          </cell>
          <cell r="J47" t="str">
            <v>DAS</v>
          </cell>
          <cell r="K47" t="str">
            <v>101.5</v>
          </cell>
          <cell r="L47" t="str">
            <v xml:space="preserve">Portaria nº </v>
          </cell>
          <cell r="M47">
            <v>1552</v>
          </cell>
          <cell r="N47" t="str">
            <v>11/04/2019</v>
          </cell>
          <cell r="O47" t="str">
            <v>12/04/2019</v>
          </cell>
          <cell r="P47" t="str">
            <v>DOU</v>
          </cell>
          <cell r="Z47" t="str">
            <v>Sem designação</v>
          </cell>
          <cell r="AF47" t="str">
            <v>Masculino</v>
          </cell>
          <cell r="AG47" t="str">
            <v>Parda</v>
          </cell>
          <cell r="AH47" t="str">
            <v>26/10/1971</v>
          </cell>
          <cell r="AI47">
            <v>49</v>
          </cell>
          <cell r="AJ47">
            <v>8174.03</v>
          </cell>
          <cell r="AK47">
            <v>15174.63</v>
          </cell>
          <cell r="AL47" t="str">
            <v>FA</v>
          </cell>
          <cell r="AM47">
            <v>23348.66</v>
          </cell>
          <cell r="AN47" t="str">
            <v>andre.osorio@mme.gov.br</v>
          </cell>
          <cell r="AO47" t="str">
            <v>(61) 2032-5867</v>
          </cell>
          <cell r="AP47" t="str">
            <v>SPE27</v>
          </cell>
        </row>
        <row r="48">
          <cell r="A48" t="str">
            <v>ANDRE ROBERTO CORTEZ</v>
          </cell>
          <cell r="B48" t="str">
            <v>147.646.014-00</v>
          </cell>
          <cell r="C48">
            <v>455219</v>
          </cell>
          <cell r="D48" t="str">
            <v>Agente Administrativo</v>
          </cell>
          <cell r="E48" t="str">
            <v>Ativo Permanente</v>
          </cell>
          <cell r="F48" t="str">
            <v>MME - Ministério de Minas e Energia</v>
          </cell>
          <cell r="G48" t="str">
            <v>SE / AEGE / COORDENAÇÃO GERAL DE PLANEJAMENTO ESTRATÉGICO, SUPERVISÃO E AVALIAÇÃO - CGPE</v>
          </cell>
          <cell r="H48" t="str">
            <v>8.101.100</v>
          </cell>
          <cell r="I48" t="str">
            <v>Assistente Técnico da Chefia de Gabinete da Secretaria Executiva</v>
          </cell>
          <cell r="J48" t="str">
            <v>FCPE</v>
          </cell>
          <cell r="K48" t="str">
            <v>102.1</v>
          </cell>
          <cell r="L48" t="str">
            <v xml:space="preserve">Portaria nº </v>
          </cell>
          <cell r="M48">
            <v>524</v>
          </cell>
          <cell r="N48" t="str">
            <v>03/11/2016</v>
          </cell>
          <cell r="O48" t="str">
            <v>04/11/2016</v>
          </cell>
          <cell r="P48" t="str">
            <v>BPE</v>
          </cell>
          <cell r="Z48" t="str">
            <v>Sem designação</v>
          </cell>
          <cell r="AF48" t="str">
            <v>Masculino</v>
          </cell>
          <cell r="AG48" t="str">
            <v>Branca</v>
          </cell>
          <cell r="AH48" t="str">
            <v>31/03/1957</v>
          </cell>
          <cell r="AI48">
            <v>63</v>
          </cell>
          <cell r="AJ48">
            <v>6680.63</v>
          </cell>
          <cell r="AL48" t="str">
            <v>DIR</v>
          </cell>
          <cell r="AM48">
            <v>6680.63</v>
          </cell>
          <cell r="AN48" t="str">
            <v>andrecortez@mme.gov.br</v>
          </cell>
          <cell r="AO48" t="str">
            <v>(61) 2032-5293</v>
          </cell>
          <cell r="AP48" t="str">
            <v>SE19</v>
          </cell>
        </row>
        <row r="49">
          <cell r="A49" t="str">
            <v>ANDREA CRISTINA ANDRADE SANTOS CARVALHO</v>
          </cell>
          <cell r="B49" t="str">
            <v>523.617.211-04</v>
          </cell>
          <cell r="C49">
            <v>1095477</v>
          </cell>
          <cell r="D49" t="str">
            <v>Administrador</v>
          </cell>
          <cell r="E49" t="str">
            <v>Ativo Permanente</v>
          </cell>
          <cell r="F49" t="str">
            <v>MME - Ministério de Minas e Energia</v>
          </cell>
          <cell r="G49" t="str">
            <v>SE / SPOA / COORDENAÇÃO GERAL DE RECURSOS LOGÍSTICOS - CGRL</v>
          </cell>
          <cell r="H49" t="str">
            <v>8.105.100</v>
          </cell>
          <cell r="I49" t="str">
            <v>Coordenadora Geral de Recursos Logísticos</v>
          </cell>
          <cell r="J49" t="str">
            <v>DAS</v>
          </cell>
          <cell r="K49" t="str">
            <v>101.4</v>
          </cell>
          <cell r="L49" t="str">
            <v xml:space="preserve">Portaria nº </v>
          </cell>
          <cell r="M49">
            <v>524</v>
          </cell>
          <cell r="N49" t="str">
            <v>03/11/2016</v>
          </cell>
          <cell r="O49" t="str">
            <v>04/11/2016</v>
          </cell>
          <cell r="P49" t="str">
            <v>BPE</v>
          </cell>
          <cell r="Q49" t="str">
            <v>GSISTE</v>
          </cell>
          <cell r="R49" t="str">
            <v>Superior</v>
          </cell>
          <cell r="S49" t="str">
            <v>SISG - Sistema de Serviços Gerais</v>
          </cell>
          <cell r="T49" t="str">
            <v xml:space="preserve">Portaria nº </v>
          </cell>
          <cell r="U49">
            <v>60</v>
          </cell>
          <cell r="V49" t="str">
            <v>19/06/2009</v>
          </cell>
          <cell r="W49" t="str">
            <v>19/06/2009</v>
          </cell>
          <cell r="X49" t="str">
            <v>BPE</v>
          </cell>
          <cell r="Z49" t="str">
            <v>Sem designação</v>
          </cell>
          <cell r="AF49" t="str">
            <v>Feminino</v>
          </cell>
          <cell r="AG49" t="str">
            <v>Branca</v>
          </cell>
          <cell r="AH49" t="str">
            <v>05/10/1970</v>
          </cell>
          <cell r="AI49">
            <v>50</v>
          </cell>
          <cell r="AJ49">
            <v>18457.66</v>
          </cell>
          <cell r="AL49" t="str">
            <v>FA</v>
          </cell>
          <cell r="AM49">
            <v>18457.66</v>
          </cell>
          <cell r="AN49" t="str">
            <v>andreacris@mme.gov.br</v>
          </cell>
          <cell r="AO49" t="str">
            <v>(61) 2032-5644</v>
          </cell>
          <cell r="AP49" t="str">
            <v>SE48</v>
          </cell>
        </row>
        <row r="50">
          <cell r="A50" t="str">
            <v>ANDREA CRISTINA GOMES PEREIRA</v>
          </cell>
          <cell r="B50" t="str">
            <v>429.021.501-72</v>
          </cell>
          <cell r="C50">
            <v>2637600</v>
          </cell>
          <cell r="D50" t="str">
            <v>Sem Cargo/Emprego</v>
          </cell>
          <cell r="E50" t="str">
            <v>Sem Vínculo</v>
          </cell>
          <cell r="F50" t="str">
            <v>Sem Vínculo</v>
          </cell>
          <cell r="G50" t="str">
            <v>SPE / CHEFIA DE GABINETE SPE</v>
          </cell>
          <cell r="H50" t="str">
            <v>10.100.000</v>
          </cell>
          <cell r="I50" t="str">
            <v>Assessora da Secretaria de Planejamento e Desenvolvimento Energético</v>
          </cell>
          <cell r="J50" t="str">
            <v>DAS</v>
          </cell>
          <cell r="K50" t="str">
            <v>102.4</v>
          </cell>
          <cell r="L50" t="str">
            <v xml:space="preserve">Portaria nº </v>
          </cell>
          <cell r="M50">
            <v>524</v>
          </cell>
          <cell r="N50" t="str">
            <v>03/11/2016</v>
          </cell>
          <cell r="O50" t="str">
            <v>04/11/2016</v>
          </cell>
          <cell r="P50" t="str">
            <v>BPE</v>
          </cell>
          <cell r="Z50" t="str">
            <v>Sem designação</v>
          </cell>
          <cell r="AF50" t="str">
            <v>Feminino</v>
          </cell>
          <cell r="AG50" t="str">
            <v>Parda</v>
          </cell>
          <cell r="AH50" t="str">
            <v>03/11/1969</v>
          </cell>
          <cell r="AI50">
            <v>51</v>
          </cell>
          <cell r="AJ50">
            <v>10373.299999999999</v>
          </cell>
          <cell r="AL50" t="str">
            <v>FA</v>
          </cell>
          <cell r="AM50">
            <v>10373.299999999999</v>
          </cell>
          <cell r="AN50" t="str">
            <v>andrea.pereira@mme.gov.br</v>
          </cell>
          <cell r="AO50" t="str">
            <v>(61) 2032-5059</v>
          </cell>
          <cell r="AP50" t="str">
            <v>SPE03</v>
          </cell>
        </row>
        <row r="51">
          <cell r="A51" t="str">
            <v>ANDREIA ALVES NASCIMENTO FRAGA</v>
          </cell>
          <cell r="B51" t="str">
            <v>906.562.881-91</v>
          </cell>
          <cell r="C51">
            <v>3373715</v>
          </cell>
          <cell r="D51" t="str">
            <v>Sem Cargo/Emprego</v>
          </cell>
          <cell r="E51" t="str">
            <v>Sem Vínculo</v>
          </cell>
          <cell r="F51" t="str">
            <v>Sem Vínculo</v>
          </cell>
          <cell r="G51" t="str">
            <v>GABINETE DO MINISTRO - GM</v>
          </cell>
          <cell r="H51" t="str">
            <v>2.000.000</v>
          </cell>
          <cell r="I51" t="str">
            <v>Assessora do Ministro</v>
          </cell>
          <cell r="J51" t="str">
            <v>DAS</v>
          </cell>
          <cell r="K51" t="str">
            <v>102.4</v>
          </cell>
          <cell r="L51" t="str">
            <v xml:space="preserve">Portaria nº </v>
          </cell>
          <cell r="M51">
            <v>238</v>
          </cell>
          <cell r="N51" t="str">
            <v>03/06/2019</v>
          </cell>
          <cell r="O51" t="str">
            <v>06/06/2019</v>
          </cell>
          <cell r="P51" t="str">
            <v>DOU</v>
          </cell>
          <cell r="Z51" t="str">
            <v>Sem designação</v>
          </cell>
          <cell r="AF51" t="str">
            <v>Feminino</v>
          </cell>
          <cell r="AG51" t="str">
            <v>Branca</v>
          </cell>
          <cell r="AH51" t="str">
            <v>24/02/1980</v>
          </cell>
          <cell r="AI51">
            <v>40</v>
          </cell>
          <cell r="AJ51">
            <v>10373.299999999999</v>
          </cell>
          <cell r="AL51" t="str">
            <v>FA</v>
          </cell>
          <cell r="AM51">
            <v>10373.299999999999</v>
          </cell>
          <cell r="AN51" t="str">
            <v>andreia.nascimento@mme.gov.br</v>
          </cell>
          <cell r="AO51" t="str">
            <v>(61) 2032-5401</v>
          </cell>
          <cell r="AP51" t="str">
            <v>GM10</v>
          </cell>
        </row>
        <row r="52">
          <cell r="A52" t="str">
            <v>ANGELITA SIQUEIRA FAUSTINO</v>
          </cell>
          <cell r="B52" t="str">
            <v>305.237.371-49</v>
          </cell>
          <cell r="C52">
            <v>451563</v>
          </cell>
          <cell r="D52" t="str">
            <v>Agente Administrativo</v>
          </cell>
          <cell r="E52" t="str">
            <v>Ativo Permanente</v>
          </cell>
          <cell r="F52" t="str">
            <v>MME - Ministério de Minas e Energia</v>
          </cell>
          <cell r="G52" t="str">
            <v>SE / SPOA / CGRL / COORDENAÇÃO DE ATIVIDADES GERAIS - COAGE</v>
          </cell>
          <cell r="H52" t="str">
            <v>8.105.120</v>
          </cell>
          <cell r="Z52" t="str">
            <v>Sem designação</v>
          </cell>
          <cell r="AF52" t="str">
            <v>Feminino</v>
          </cell>
          <cell r="AG52" t="str">
            <v>Preta</v>
          </cell>
          <cell r="AH52" t="str">
            <v>13/03/1964</v>
          </cell>
          <cell r="AI52">
            <v>56</v>
          </cell>
          <cell r="AJ52">
            <v>6488.39</v>
          </cell>
          <cell r="AL52" t="str">
            <v>FA</v>
          </cell>
          <cell r="AM52">
            <v>6488.39</v>
          </cell>
          <cell r="AN52" t="str">
            <v>angelita.faustino@mme.gov.br</v>
          </cell>
          <cell r="AO52" t="str">
            <v>(61) 2032-5220</v>
          </cell>
        </row>
        <row r="53">
          <cell r="A53" t="str">
            <v>ANTONIA GONCALVES FILHA PEREIRA</v>
          </cell>
          <cell r="B53" t="str">
            <v>289.882.991-91</v>
          </cell>
          <cell r="C53">
            <v>455918</v>
          </cell>
          <cell r="D53" t="str">
            <v>Agente Administrativo</v>
          </cell>
          <cell r="E53" t="str">
            <v>Ativo Permanente</v>
          </cell>
          <cell r="F53" t="str">
            <v>MME - Ministério de Minas e Energia</v>
          </cell>
          <cell r="G53" t="str">
            <v>SE / SUBSECRETARIA DE PLANEJAMENTO, ORÇAMENTO E ADMINISTRAÇÃO - SPOA</v>
          </cell>
          <cell r="H53" t="str">
            <v>8.105.000</v>
          </cell>
          <cell r="I53" t="str">
            <v>Função Comissionada Técnica - Técnico de Sistemas Operacionais e Administrativos</v>
          </cell>
          <cell r="J53" t="str">
            <v>FCT</v>
          </cell>
          <cell r="K53">
            <v>10</v>
          </cell>
          <cell r="L53" t="str">
            <v xml:space="preserve">Portaria nº </v>
          </cell>
          <cell r="M53">
            <v>412</v>
          </cell>
          <cell r="N53" t="str">
            <v>16/10/2017</v>
          </cell>
          <cell r="O53" t="str">
            <v>18/10/2017</v>
          </cell>
          <cell r="P53" t="str">
            <v>DOU</v>
          </cell>
          <cell r="Q53" t="str">
            <v>GSISTE</v>
          </cell>
          <cell r="R53" t="str">
            <v>Intermediário</v>
          </cell>
          <cell r="S53" t="str">
            <v>SISG - Sistema de Serviços Gerais</v>
          </cell>
          <cell r="T53" t="str">
            <v xml:space="preserve">Portaria nº </v>
          </cell>
          <cell r="U53">
            <v>76</v>
          </cell>
          <cell r="V53" t="str">
            <v>14/07/2017</v>
          </cell>
          <cell r="W53" t="str">
            <v>14/07/2017</v>
          </cell>
          <cell r="X53" t="str">
            <v>BPE</v>
          </cell>
          <cell r="Z53" t="str">
            <v>Sem designação</v>
          </cell>
          <cell r="AF53" t="str">
            <v>Feminino</v>
          </cell>
          <cell r="AG53" t="str">
            <v>Branca</v>
          </cell>
          <cell r="AH53" t="str">
            <v>08/05/1960</v>
          </cell>
          <cell r="AI53">
            <v>60</v>
          </cell>
          <cell r="AJ53">
            <v>8430.93</v>
          </cell>
          <cell r="AL53" t="str">
            <v>FA</v>
          </cell>
          <cell r="AM53">
            <v>8430.93</v>
          </cell>
          <cell r="AN53" t="str">
            <v>antonia@mme.gov.br</v>
          </cell>
          <cell r="AO53" t="str">
            <v>(61) 2032-5370</v>
          </cell>
        </row>
        <row r="54">
          <cell r="A54" t="str">
            <v>ANTONIA TRIPODI</v>
          </cell>
          <cell r="B54" t="str">
            <v>096.836.821-20</v>
          </cell>
          <cell r="C54">
            <v>1669595</v>
          </cell>
          <cell r="D54" t="str">
            <v>Escriturário III</v>
          </cell>
          <cell r="E54" t="str">
            <v>Anistiado MME</v>
          </cell>
          <cell r="F54" t="str">
            <v>MME - Ministério de Minas e Energia</v>
          </cell>
          <cell r="G54" t="str">
            <v>SE / SPOA / CGRH / COORDENAÇÃO DE DESENVOLVIMENTO E SEGURIDADE SOCIAL - CODES</v>
          </cell>
          <cell r="H54" t="str">
            <v>8.105.220</v>
          </cell>
          <cell r="Z54" t="str">
            <v>Sem designação</v>
          </cell>
          <cell r="AF54" t="str">
            <v>Feminino</v>
          </cell>
          <cell r="AG54" t="str">
            <v>Branca</v>
          </cell>
          <cell r="AH54" t="str">
            <v>12/06/1953</v>
          </cell>
          <cell r="AI54">
            <v>67</v>
          </cell>
          <cell r="AJ54">
            <v>4275.71</v>
          </cell>
          <cell r="AL54" t="str">
            <v>FA</v>
          </cell>
          <cell r="AM54">
            <v>4275.71</v>
          </cell>
          <cell r="AN54" t="str">
            <v>antonia.carneiro@mme.gov.br</v>
          </cell>
          <cell r="AO54" t="str">
            <v>(61) 2032-5553</v>
          </cell>
        </row>
        <row r="55">
          <cell r="A55" t="str">
            <v>ANTONIELA BRAGGIO STAMM</v>
          </cell>
          <cell r="B55" t="str">
            <v>550.069.491-04</v>
          </cell>
          <cell r="C55">
            <v>1836721</v>
          </cell>
          <cell r="D55" t="str">
            <v>Agente Administrativo</v>
          </cell>
          <cell r="E55" t="str">
            <v>Requisitado de Órgãos</v>
          </cell>
          <cell r="F55" t="str">
            <v>ME - Ministério da Economia</v>
          </cell>
          <cell r="G55" t="str">
            <v>SE / SPOA / CGRL / COORDENAÇÃO DE ATIVIDADES GERAIS - COAGE</v>
          </cell>
          <cell r="H55" t="str">
            <v>8.105.120</v>
          </cell>
          <cell r="I55" t="str">
            <v>Assistente Técnico da Chefia de Gabinete da Secretaria Executiva</v>
          </cell>
          <cell r="J55" t="str">
            <v>FCPE</v>
          </cell>
          <cell r="K55" t="str">
            <v>102.1</v>
          </cell>
          <cell r="L55" t="str">
            <v xml:space="preserve">Portaria nº </v>
          </cell>
          <cell r="M55">
            <v>99</v>
          </cell>
          <cell r="N55" t="str">
            <v>01/02/2019</v>
          </cell>
          <cell r="O55" t="str">
            <v>05/02/2019</v>
          </cell>
          <cell r="P55" t="str">
            <v>DOU</v>
          </cell>
          <cell r="Q55" t="str">
            <v>GSISTE</v>
          </cell>
          <cell r="R55" t="str">
            <v>Intermediário</v>
          </cell>
          <cell r="S55" t="str">
            <v>SISG - Sistema de Serviços Gerais</v>
          </cell>
          <cell r="T55" t="str">
            <v xml:space="preserve">Portaria nº </v>
          </cell>
          <cell r="U55">
            <v>93</v>
          </cell>
          <cell r="V55" t="str">
            <v>11/08/2017</v>
          </cell>
          <cell r="W55" t="str">
            <v>15/08/2017</v>
          </cell>
          <cell r="X55" t="str">
            <v>BP</v>
          </cell>
          <cell r="Z55" t="str">
            <v>Sem designação</v>
          </cell>
          <cell r="AF55" t="str">
            <v>Feminino</v>
          </cell>
          <cell r="AG55" t="str">
            <v>Branca</v>
          </cell>
          <cell r="AH55" t="str">
            <v>28/10/1971</v>
          </cell>
          <cell r="AI55">
            <v>49</v>
          </cell>
          <cell r="AJ55">
            <v>3642.89</v>
          </cell>
          <cell r="AK55">
            <v>4832.93</v>
          </cell>
          <cell r="AL55" t="str">
            <v>FA</v>
          </cell>
          <cell r="AM55">
            <v>8475.82</v>
          </cell>
          <cell r="AN55" t="str">
            <v>antoniela.stamm@mme.gov.br</v>
          </cell>
          <cell r="AO55" t="str">
            <v>(61) 2032-5942</v>
          </cell>
          <cell r="AP55" t="str">
            <v>SE18</v>
          </cell>
        </row>
        <row r="56">
          <cell r="A56" t="str">
            <v>ANTONIO BENEDITO CAMARGOS</v>
          </cell>
          <cell r="B56" t="str">
            <v>128.201.211-87</v>
          </cell>
          <cell r="C56">
            <v>1670894</v>
          </cell>
          <cell r="D56" t="str">
            <v>Desenhista</v>
          </cell>
          <cell r="E56" t="str">
            <v>Anistiado MME</v>
          </cell>
          <cell r="F56" t="str">
            <v>MME - Ministério de Minas e Energia</v>
          </cell>
          <cell r="G56" t="str">
            <v>SE / SPOA / CGRL / COORDENAÇÃO DE ADMINISTRAÇÃO DE MATERIAL E EXECUÇÃO FINANCEIRA - COMEF</v>
          </cell>
          <cell r="H56" t="str">
            <v>8.105.110</v>
          </cell>
          <cell r="Z56" t="str">
            <v>Sem designação</v>
          </cell>
          <cell r="AF56" t="str">
            <v>Masculino</v>
          </cell>
          <cell r="AG56" t="str">
            <v>Parda</v>
          </cell>
          <cell r="AH56" t="str">
            <v>01/07/1944</v>
          </cell>
          <cell r="AI56">
            <v>76</v>
          </cell>
          <cell r="AJ56">
            <v>4275.71</v>
          </cell>
          <cell r="AL56" t="str">
            <v>FA</v>
          </cell>
          <cell r="AM56">
            <v>4275.71</v>
          </cell>
          <cell r="AN56" t="str">
            <v>antonio.camargos@mme.gov.br</v>
          </cell>
          <cell r="AO56" t="str">
            <v>(61) 2032-5374</v>
          </cell>
        </row>
        <row r="57">
          <cell r="A57" t="str">
            <v>ANTONIO CARLOS ACIOLY FILHO</v>
          </cell>
          <cell r="B57" t="str">
            <v>039.089.574-19</v>
          </cell>
          <cell r="C57">
            <v>2378913</v>
          </cell>
          <cell r="D57" t="str">
            <v>Analista de Licitação</v>
          </cell>
          <cell r="E57" t="str">
            <v>Contrato Temporário</v>
          </cell>
          <cell r="F57" t="str">
            <v>MME - Ministério de Minas e Energia</v>
          </cell>
          <cell r="G57" t="str">
            <v>SE / AEGP / CGGP / COORDENAÇÃO DE LICITAÇÃO</v>
          </cell>
          <cell r="H57" t="str">
            <v>8.103.210</v>
          </cell>
          <cell r="Z57" t="str">
            <v>Sem designação</v>
          </cell>
          <cell r="AF57" t="str">
            <v>Masculino</v>
          </cell>
          <cell r="AG57" t="str">
            <v>Branca</v>
          </cell>
          <cell r="AH57" t="str">
            <v>31/05/1981</v>
          </cell>
          <cell r="AI57">
            <v>39</v>
          </cell>
          <cell r="AJ57">
            <v>6648.28</v>
          </cell>
          <cell r="AK57">
            <v>0</v>
          </cell>
          <cell r="AL57" t="str">
            <v>FA</v>
          </cell>
          <cell r="AM57">
            <v>6648.28</v>
          </cell>
          <cell r="AN57" t="str">
            <v>antonio.acioly@mme.gov.br</v>
          </cell>
          <cell r="AO57" t="str">
            <v>(61) 2032-5342</v>
          </cell>
        </row>
        <row r="58">
          <cell r="A58" t="str">
            <v>ANTONIO CARLOS DA SILVA LIMA</v>
          </cell>
          <cell r="B58" t="str">
            <v>151.432.281-15</v>
          </cell>
          <cell r="C58">
            <v>1586232</v>
          </cell>
          <cell r="D58" t="str">
            <v>Agente Administrativo</v>
          </cell>
          <cell r="E58" t="str">
            <v>Anistiado MME</v>
          </cell>
          <cell r="F58" t="str">
            <v>MME - Ministério de Minas e Energia</v>
          </cell>
          <cell r="G58" t="str">
            <v>Aguardando Lotação/Exercício</v>
          </cell>
          <cell r="H58" t="str">
            <v>88.000.000</v>
          </cell>
          <cell r="Z58" t="str">
            <v>Sem designação</v>
          </cell>
          <cell r="AF58" t="str">
            <v>Masculino</v>
          </cell>
          <cell r="AG58" t="str">
            <v>Branca</v>
          </cell>
          <cell r="AH58" t="str">
            <v>08/03/1959</v>
          </cell>
          <cell r="AI58">
            <v>61</v>
          </cell>
          <cell r="AJ58">
            <v>4275.71</v>
          </cell>
          <cell r="AL58" t="str">
            <v>FA</v>
          </cell>
          <cell r="AM58">
            <v>4275.71</v>
          </cell>
        </row>
        <row r="59">
          <cell r="A59" t="str">
            <v>ANTONIO CARLOS DE ANDRADE REZENDE</v>
          </cell>
          <cell r="B59" t="str">
            <v>406.301.967-53</v>
          </cell>
          <cell r="C59">
            <v>778828</v>
          </cell>
          <cell r="D59" t="str">
            <v>Sem Cargo/Emprego</v>
          </cell>
          <cell r="E59" t="str">
            <v>Sem Vínculo</v>
          </cell>
          <cell r="F59" t="str">
            <v>Sem Vínculo</v>
          </cell>
          <cell r="G59" t="str">
            <v>SGM / DDM / COORDENAÇÃO GERAL DE DESENVOLVIMENTO SOCIOAMBIENTAL NA MINERAÇÃO</v>
          </cell>
          <cell r="H59" t="str">
            <v>9.104.100</v>
          </cell>
          <cell r="I59" t="str">
            <v>Assistente da Coordenação Geral de Desenvolvimento Sócio Ambiental na Mineração do Departamento de Desenvolvimento Sustentável na Mineração</v>
          </cell>
          <cell r="J59" t="str">
            <v>DAS</v>
          </cell>
          <cell r="K59" t="str">
            <v>102.2</v>
          </cell>
          <cell r="L59" t="str">
            <v xml:space="preserve">Portaria nº </v>
          </cell>
          <cell r="M59">
            <v>524</v>
          </cell>
          <cell r="N59" t="str">
            <v>03/11/2016</v>
          </cell>
          <cell r="O59" t="str">
            <v>04/11/2016</v>
          </cell>
          <cell r="P59" t="str">
            <v>BPE</v>
          </cell>
          <cell r="Z59" t="str">
            <v>Sem designação</v>
          </cell>
          <cell r="AF59" t="str">
            <v>Masculino</v>
          </cell>
          <cell r="AG59" t="str">
            <v>Branca</v>
          </cell>
          <cell r="AH59" t="str">
            <v>04/04/1953</v>
          </cell>
          <cell r="AI59">
            <v>67</v>
          </cell>
          <cell r="AJ59">
            <v>3440.75</v>
          </cell>
          <cell r="AL59" t="str">
            <v>FA</v>
          </cell>
          <cell r="AM59">
            <v>3440.75</v>
          </cell>
          <cell r="AN59" t="str">
            <v>antonio.rezende@mme.gov.br</v>
          </cell>
          <cell r="AO59" t="str">
            <v>(61) 2032-5271</v>
          </cell>
          <cell r="AP59" t="str">
            <v>SGM28</v>
          </cell>
        </row>
        <row r="60">
          <cell r="A60" t="str">
            <v>ANTONIO CARLOS RAMOS DE BARROS MELLO</v>
          </cell>
          <cell r="B60" t="str">
            <v>128.764.967-04</v>
          </cell>
          <cell r="C60">
            <v>7455789</v>
          </cell>
          <cell r="D60" t="str">
            <v>Sem Cargo/Emprego</v>
          </cell>
          <cell r="E60" t="str">
            <v>Sem Vínculo</v>
          </cell>
          <cell r="F60" t="str">
            <v>Sem Vínculo</v>
          </cell>
          <cell r="G60" t="str">
            <v>GABINETE DO MINISTRO - GM</v>
          </cell>
          <cell r="H60" t="str">
            <v>2.000.000</v>
          </cell>
          <cell r="I60" t="str">
            <v>Assessor Especial do Ministro</v>
          </cell>
          <cell r="J60" t="str">
            <v>DAS</v>
          </cell>
          <cell r="K60" t="str">
            <v>102.5</v>
          </cell>
          <cell r="L60" t="str">
            <v xml:space="preserve">Portaria nº </v>
          </cell>
          <cell r="M60">
            <v>524</v>
          </cell>
          <cell r="N60" t="str">
            <v>03/11/2016</v>
          </cell>
          <cell r="O60" t="str">
            <v>04/11/2016</v>
          </cell>
          <cell r="P60" t="str">
            <v>DOU</v>
          </cell>
          <cell r="Y60" t="str">
            <v>Chefe de Gabinete do Ministro</v>
          </cell>
          <cell r="Z60" t="str">
            <v>Eventual</v>
          </cell>
          <cell r="AA60" t="str">
            <v xml:space="preserve">Portaria nº </v>
          </cell>
          <cell r="AB60">
            <v>332</v>
          </cell>
          <cell r="AC60" t="str">
            <v>29/07/2005</v>
          </cell>
          <cell r="AD60" t="str">
            <v>01/08/2005</v>
          </cell>
          <cell r="AE60" t="str">
            <v>DOU</v>
          </cell>
          <cell r="AF60" t="str">
            <v>Masculino</v>
          </cell>
          <cell r="AG60" t="str">
            <v>Branca</v>
          </cell>
          <cell r="AH60" t="str">
            <v>12/05/1949</v>
          </cell>
          <cell r="AI60">
            <v>71</v>
          </cell>
          <cell r="AJ60">
            <v>13623.39</v>
          </cell>
          <cell r="AL60" t="str">
            <v>FA</v>
          </cell>
          <cell r="AM60">
            <v>13623.39</v>
          </cell>
          <cell r="AN60" t="str">
            <v>ramos@mme.gov.br</v>
          </cell>
          <cell r="AO60" t="str">
            <v>(61) 2032-5039</v>
          </cell>
          <cell r="AP60" t="str">
            <v>GM01</v>
          </cell>
          <cell r="AQ60" t="str">
            <v>GM03S</v>
          </cell>
        </row>
        <row r="61">
          <cell r="A61" t="str">
            <v>ANTONIO DANTAS DE ALENCAR</v>
          </cell>
          <cell r="B61" t="str">
            <v>020.384.043-72</v>
          </cell>
          <cell r="C61">
            <v>1439176</v>
          </cell>
          <cell r="D61" t="str">
            <v>Analista de Infraestrutura</v>
          </cell>
          <cell r="E61" t="str">
            <v>Exercício Descentralizado</v>
          </cell>
          <cell r="F61" t="str">
            <v>ME - Ministério da Economia</v>
          </cell>
          <cell r="G61" t="str">
            <v>SPE / DOC / COORDENAÇÃO GERAL DE OUTORGAS DE GERAÇÃO DE ENERGIA ELÉTRICA</v>
          </cell>
          <cell r="H61" t="str">
            <v>10.103.100</v>
          </cell>
          <cell r="Y61" t="str">
            <v>Coordenação Geral de Outorgas de Geração de Energia Elétrica</v>
          </cell>
          <cell r="Z61" t="str">
            <v>Eventual</v>
          </cell>
          <cell r="AA61" t="str">
            <v xml:space="preserve">Portaria nº </v>
          </cell>
          <cell r="AB61">
            <v>327</v>
          </cell>
          <cell r="AC61" t="str">
            <v>10/08/2018</v>
          </cell>
          <cell r="AD61" t="str">
            <v>15/08/2018</v>
          </cell>
          <cell r="AE61" t="str">
            <v>DOU</v>
          </cell>
          <cell r="AF61" t="str">
            <v>Masculino</v>
          </cell>
          <cell r="AG61" t="str">
            <v>Branca</v>
          </cell>
          <cell r="AH61" t="str">
            <v>17/12/1947</v>
          </cell>
          <cell r="AI61">
            <v>72</v>
          </cell>
          <cell r="AJ61">
            <v>0</v>
          </cell>
          <cell r="AK61">
            <v>14823.28</v>
          </cell>
          <cell r="AL61" t="str">
            <v>FA</v>
          </cell>
          <cell r="AM61">
            <v>14823.28</v>
          </cell>
          <cell r="AN61" t="str">
            <v>antonio.alencar@mme.gov.br</v>
          </cell>
          <cell r="AO61" t="str">
            <v>(61) 2032-5600</v>
          </cell>
          <cell r="AQ61" t="str">
            <v>SPE12S</v>
          </cell>
        </row>
        <row r="62">
          <cell r="A62" t="str">
            <v>ANTONIO HENRIQUE GODOY RAMOS</v>
          </cell>
          <cell r="B62" t="str">
            <v>266.533.111-04</v>
          </cell>
          <cell r="C62">
            <v>3364613</v>
          </cell>
          <cell r="D62" t="str">
            <v>Especialista em Política Pública e Gestão Governamental</v>
          </cell>
          <cell r="E62" t="str">
            <v>Exercício Descentralizado</v>
          </cell>
          <cell r="F62" t="str">
            <v>ME - Ministério da Economia</v>
          </cell>
          <cell r="G62" t="str">
            <v>SPG / DEPARTAMENTO DE POLÍTICA DE EXPLORAÇÃO E PRODUÇÃO DE PETRÓLEO E GÁS NATURAL - DPGN</v>
          </cell>
          <cell r="H62" t="str">
            <v>11.101.000</v>
          </cell>
          <cell r="Y62" t="str">
            <v>Coordenação Geral de Reserva, Exploração e Produçãode Petróleo e Gás Natural</v>
          </cell>
          <cell r="Z62" t="str">
            <v>Eventual</v>
          </cell>
          <cell r="AA62" t="str">
            <v xml:space="preserve">Portaria nº </v>
          </cell>
          <cell r="AB62">
            <v>715</v>
          </cell>
          <cell r="AC62" t="str">
            <v>27/12/2016</v>
          </cell>
          <cell r="AD62" t="str">
            <v>28/12/2016</v>
          </cell>
          <cell r="AE62" t="str">
            <v>DOU</v>
          </cell>
          <cell r="AF62" t="str">
            <v>Masculino</v>
          </cell>
          <cell r="AG62" t="str">
            <v>Parda</v>
          </cell>
          <cell r="AH62" t="str">
            <v>23/05/1966</v>
          </cell>
          <cell r="AI62">
            <v>54</v>
          </cell>
          <cell r="AJ62">
            <v>0</v>
          </cell>
          <cell r="AK62">
            <v>27827.67</v>
          </cell>
          <cell r="AL62" t="str">
            <v>FA</v>
          </cell>
          <cell r="AM62">
            <v>27827.67</v>
          </cell>
          <cell r="AN62" t="str">
            <v>antonio.ramos@mme.gov.br</v>
          </cell>
          <cell r="AO62" t="str">
            <v>(61) 2032-5707</v>
          </cell>
          <cell r="AQ62" t="str">
            <v>SPG05S</v>
          </cell>
        </row>
        <row r="63">
          <cell r="A63" t="str">
            <v>ANTONIO JOSE GADELHA ALVES</v>
          </cell>
          <cell r="B63" t="str">
            <v>203.752.476-53</v>
          </cell>
          <cell r="C63">
            <v>1076077</v>
          </cell>
          <cell r="D63" t="str">
            <v>Engenheiro IV</v>
          </cell>
          <cell r="E63" t="str">
            <v>Anistiado MME</v>
          </cell>
          <cell r="F63" t="str">
            <v>MME - Ministério de Minas e Energia</v>
          </cell>
          <cell r="G63" t="str">
            <v>SGM / DEPARTAMENTO DE TRANSFORMAÇÃO E TECNOLOGIA MINERAL - DTTM</v>
          </cell>
          <cell r="H63" t="str">
            <v>9.103.000</v>
          </cell>
          <cell r="Z63" t="str">
            <v>Sem designação</v>
          </cell>
          <cell r="AF63" t="str">
            <v>Masculino</v>
          </cell>
          <cell r="AG63" t="str">
            <v>Branca</v>
          </cell>
          <cell r="AH63" t="str">
            <v>11/01/1950</v>
          </cell>
          <cell r="AI63">
            <v>70</v>
          </cell>
          <cell r="AJ63">
            <v>7230.2</v>
          </cell>
          <cell r="AL63" t="str">
            <v>FA</v>
          </cell>
          <cell r="AM63">
            <v>7230.2</v>
          </cell>
          <cell r="AN63" t="str">
            <v>antonio.alves@mme.gov.br</v>
          </cell>
          <cell r="AO63" t="str">
            <v>(61) 2032-5320</v>
          </cell>
        </row>
        <row r="64">
          <cell r="A64" t="str">
            <v>ANTONIO JOSE IRMAO</v>
          </cell>
          <cell r="B64" t="str">
            <v>275.388421-87</v>
          </cell>
          <cell r="C64">
            <v>1314171</v>
          </cell>
          <cell r="D64" t="str">
            <v>Agente de Portaria</v>
          </cell>
          <cell r="E64" t="str">
            <v>Ativo Permanente</v>
          </cell>
          <cell r="F64" t="str">
            <v>MME - Ministério de Minas e Energia</v>
          </cell>
          <cell r="G64" t="str">
            <v>GM / ASTAD / COORDENAÇÃO DE ATIVIDADES ADMINISTRATIVAS</v>
          </cell>
          <cell r="H64" t="str">
            <v>2.100.101</v>
          </cell>
          <cell r="I64" t="str">
            <v>Função Gratificada</v>
          </cell>
          <cell r="J64" t="str">
            <v>FGR</v>
          </cell>
          <cell r="K64">
            <v>1</v>
          </cell>
          <cell r="L64" t="str">
            <v xml:space="preserve">Portaria nº </v>
          </cell>
          <cell r="M64">
            <v>457</v>
          </cell>
          <cell r="N64" t="str">
            <v>09/12/2019</v>
          </cell>
          <cell r="O64" t="str">
            <v>10/12/2019</v>
          </cell>
          <cell r="P64" t="str">
            <v>DOU</v>
          </cell>
          <cell r="Z64" t="str">
            <v>Sem designação</v>
          </cell>
          <cell r="AF64" t="str">
            <v>Masculino</v>
          </cell>
          <cell r="AG64" t="str">
            <v>Parda</v>
          </cell>
          <cell r="AH64" t="str">
            <v>07/01/1962</v>
          </cell>
          <cell r="AI64">
            <v>58</v>
          </cell>
          <cell r="AJ64">
            <v>5439.41</v>
          </cell>
          <cell r="AL64" t="str">
            <v>FA</v>
          </cell>
          <cell r="AM64">
            <v>5439.41</v>
          </cell>
          <cell r="AN64" t="str">
            <v>antonio.irmao@mme.gov.br</v>
          </cell>
          <cell r="AO64" t="str">
            <v>(61) 2032-5179</v>
          </cell>
        </row>
        <row r="65">
          <cell r="A65" t="str">
            <v>ANTONIO LISBOA DE OLIVEIRA</v>
          </cell>
          <cell r="B65" t="str">
            <v>428.290.201-97</v>
          </cell>
          <cell r="C65">
            <v>451592</v>
          </cell>
          <cell r="D65" t="str">
            <v>Agente Administrativo</v>
          </cell>
          <cell r="E65" t="str">
            <v>Ativo Permanente</v>
          </cell>
          <cell r="F65" t="str">
            <v>MME - Ministério de Minas e Energia</v>
          </cell>
          <cell r="G65" t="str">
            <v>Aguardando Lotação/Exercício</v>
          </cell>
          <cell r="H65" t="str">
            <v>88.000.000</v>
          </cell>
          <cell r="Z65" t="str">
            <v>Sem designação</v>
          </cell>
          <cell r="AF65" t="str">
            <v>Masculino</v>
          </cell>
          <cell r="AG65" t="str">
            <v>Parda</v>
          </cell>
          <cell r="AH65" t="str">
            <v>12/06/1964</v>
          </cell>
          <cell r="AI65">
            <v>56</v>
          </cell>
          <cell r="AJ65">
            <v>5802.49</v>
          </cell>
          <cell r="AL65" t="str">
            <v>FA</v>
          </cell>
          <cell r="AM65">
            <v>5802.49</v>
          </cell>
          <cell r="AN65" t="str">
            <v>antonio.lisboa@mme.gov.br</v>
          </cell>
          <cell r="AO65" t="str">
            <v>(61) 2032-5496</v>
          </cell>
        </row>
        <row r="66">
          <cell r="A66" t="str">
            <v>ANTONIO ROBERTO COIMBRA</v>
          </cell>
          <cell r="B66" t="str">
            <v>087.968.821-15</v>
          </cell>
          <cell r="C66">
            <v>2393047</v>
          </cell>
          <cell r="D66" t="str">
            <v>Sem Cargo/Emprego</v>
          </cell>
          <cell r="E66" t="str">
            <v>Sem Vínculo</v>
          </cell>
          <cell r="F66" t="str">
            <v>Sem Vínculo</v>
          </cell>
          <cell r="G66" t="str">
            <v>SPE / DPE / COORDENAÇÃO GERAL DE PLANEJAMENTO DA TRANSMISSÃO</v>
          </cell>
          <cell r="H66" t="str">
            <v>10.101.100</v>
          </cell>
          <cell r="I66" t="str">
            <v>Coordenador Geral de Planejamento da Transmissão do Departamento de Planejamento Energético</v>
          </cell>
          <cell r="J66" t="str">
            <v>DAS</v>
          </cell>
          <cell r="K66" t="str">
            <v>101.4</v>
          </cell>
          <cell r="L66" t="str">
            <v xml:space="preserve">Portaria nº </v>
          </cell>
          <cell r="M66">
            <v>157</v>
          </cell>
          <cell r="N66" t="str">
            <v>07/03/2019</v>
          </cell>
          <cell r="O66" t="str">
            <v>11/03/2019</v>
          </cell>
          <cell r="P66" t="str">
            <v>DOU</v>
          </cell>
          <cell r="Z66" t="str">
            <v>Sem designação</v>
          </cell>
          <cell r="AF66" t="str">
            <v>Masculino</v>
          </cell>
          <cell r="AG66" t="str">
            <v>Parda</v>
          </cell>
          <cell r="AH66" t="str">
            <v>17/06/1951</v>
          </cell>
          <cell r="AI66">
            <v>69</v>
          </cell>
          <cell r="AJ66">
            <v>10373.299999999999</v>
          </cell>
          <cell r="AL66" t="str">
            <v>FA</v>
          </cell>
          <cell r="AM66">
            <v>10373.299999999999</v>
          </cell>
          <cell r="AN66" t="str">
            <v>antonio.coimbra@mme.gov.br</v>
          </cell>
          <cell r="AO66" t="str">
            <v>(61) 2032-5835</v>
          </cell>
          <cell r="AP66" t="str">
            <v>SPE13</v>
          </cell>
        </row>
        <row r="67">
          <cell r="A67" t="str">
            <v>ANTONIO RODRIGUES MONTEIRO</v>
          </cell>
          <cell r="B67" t="str">
            <v>579.292.891-68</v>
          </cell>
          <cell r="C67">
            <v>1096296</v>
          </cell>
          <cell r="D67" t="str">
            <v>Agente de Vigilância</v>
          </cell>
          <cell r="E67" t="str">
            <v>Ativo Permanente</v>
          </cell>
          <cell r="F67" t="str">
            <v>MME - Ministério de Minas e Energia</v>
          </cell>
          <cell r="G67" t="str">
            <v>SE / SPOA / CGRL / COORDENAÇÃO DE ATIVIDADES GERAIS - COAGE</v>
          </cell>
          <cell r="H67" t="str">
            <v>8.105.120</v>
          </cell>
          <cell r="I67" t="str">
            <v>Função Gratificada</v>
          </cell>
          <cell r="J67" t="str">
            <v>FGR</v>
          </cell>
          <cell r="K67">
            <v>1</v>
          </cell>
          <cell r="L67" t="str">
            <v xml:space="preserve">Portaria nº </v>
          </cell>
          <cell r="M67">
            <v>524</v>
          </cell>
          <cell r="N67" t="str">
            <v>03/11/2016</v>
          </cell>
          <cell r="O67" t="str">
            <v>04/11/2016</v>
          </cell>
          <cell r="P67" t="str">
            <v>BPE</v>
          </cell>
          <cell r="Z67" t="str">
            <v>Sem designação</v>
          </cell>
          <cell r="AF67" t="str">
            <v>Masculino</v>
          </cell>
          <cell r="AG67" t="str">
            <v>Branca</v>
          </cell>
          <cell r="AH67" t="str">
            <v>05/02/1972</v>
          </cell>
          <cell r="AI67">
            <v>48</v>
          </cell>
          <cell r="AJ67">
            <v>5137.58</v>
          </cell>
          <cell r="AL67" t="str">
            <v>FA</v>
          </cell>
          <cell r="AM67">
            <v>5137.58</v>
          </cell>
          <cell r="AN67" t="str">
            <v>antoniomonteiro@mme.gov.br</v>
          </cell>
          <cell r="AO67" t="str">
            <v>(61) 2032-5488</v>
          </cell>
        </row>
        <row r="68">
          <cell r="A68" t="str">
            <v>AZENIO GONCALVES DOS SANTOS</v>
          </cell>
          <cell r="B68" t="str">
            <v>154.026.141-72</v>
          </cell>
          <cell r="C68">
            <v>452190</v>
          </cell>
          <cell r="D68" t="str">
            <v>Agente de Vigilância</v>
          </cell>
          <cell r="E68" t="str">
            <v>Ativo Permanente</v>
          </cell>
          <cell r="F68" t="str">
            <v>MME - Ministério de Minas e Energia</v>
          </cell>
          <cell r="G68" t="str">
            <v>SE / SPOA / CGRL / COORDENAÇÃO DE ATIVIDADES GERAIS - COAGE</v>
          </cell>
          <cell r="H68" t="str">
            <v>8.105.120</v>
          </cell>
          <cell r="I68" t="str">
            <v>Função Gratificada</v>
          </cell>
          <cell r="J68" t="str">
            <v>FGR</v>
          </cell>
          <cell r="K68">
            <v>1</v>
          </cell>
          <cell r="L68" t="str">
            <v xml:space="preserve">Portaria nº </v>
          </cell>
          <cell r="M68">
            <v>524</v>
          </cell>
          <cell r="N68" t="str">
            <v>03/11/2016</v>
          </cell>
          <cell r="O68" t="str">
            <v>04/11/2016</v>
          </cell>
          <cell r="P68" t="str">
            <v>BPE</v>
          </cell>
          <cell r="Z68" t="str">
            <v>Sem designação</v>
          </cell>
          <cell r="AF68" t="str">
            <v>Masculino</v>
          </cell>
          <cell r="AG68" t="str">
            <v>Parda</v>
          </cell>
          <cell r="AH68" t="str">
            <v>10/06/1956</v>
          </cell>
          <cell r="AI68">
            <v>64</v>
          </cell>
          <cell r="AJ68">
            <v>5857.89</v>
          </cell>
          <cell r="AL68" t="str">
            <v>FA</v>
          </cell>
          <cell r="AM68">
            <v>5857.89</v>
          </cell>
          <cell r="AN68" t="str">
            <v>azeniosantos@mme.gov.br</v>
          </cell>
          <cell r="AO68" t="str">
            <v>(61) 2032-5242</v>
          </cell>
        </row>
        <row r="69">
          <cell r="A69" t="str">
            <v>BÁRBARA BÉLKIOR DE SOUZA E SILVA</v>
          </cell>
          <cell r="B69" t="str">
            <v>072.949.387-33</v>
          </cell>
          <cell r="C69">
            <v>1338161</v>
          </cell>
          <cell r="D69" t="str">
            <v>Conselheiro</v>
          </cell>
          <cell r="E69" t="str">
            <v>Requisitado de Órgãos</v>
          </cell>
          <cell r="F69" t="str">
            <v>MRE - Ministério das Relações Exteriores</v>
          </cell>
          <cell r="G69" t="str">
            <v>GM / ASSESSORIA DE APOIO AO MINISTRO - AAM</v>
          </cell>
          <cell r="H69" t="str">
            <v>2.100.400</v>
          </cell>
          <cell r="I69" t="str">
            <v>Chefe da Assessoria de Apoio ao Ministro</v>
          </cell>
          <cell r="J69" t="str">
            <v>DAS</v>
          </cell>
          <cell r="K69" t="str">
            <v>101.4</v>
          </cell>
          <cell r="L69" t="str">
            <v xml:space="preserve">Portaria nº </v>
          </cell>
          <cell r="M69">
            <v>8</v>
          </cell>
          <cell r="N69" t="str">
            <v>08/01/2020</v>
          </cell>
          <cell r="O69" t="str">
            <v>10/01/2020</v>
          </cell>
          <cell r="P69" t="str">
            <v>DOU</v>
          </cell>
          <cell r="Y69" t="str">
            <v>Chefe da ASSINT</v>
          </cell>
          <cell r="Z69" t="str">
            <v>Eventual</v>
          </cell>
          <cell r="AA69" t="str">
            <v xml:space="preserve">Portaria nº </v>
          </cell>
          <cell r="AB69">
            <v>28</v>
          </cell>
          <cell r="AC69" t="str">
            <v>04/02/2020</v>
          </cell>
          <cell r="AD69" t="str">
            <v>10/02/2020</v>
          </cell>
          <cell r="AE69" t="str">
            <v>DOU</v>
          </cell>
          <cell r="AF69" t="str">
            <v>Feminino</v>
          </cell>
          <cell r="AG69" t="str">
            <v>Branca</v>
          </cell>
          <cell r="AH69" t="str">
            <v>14/07/1977</v>
          </cell>
          <cell r="AI69">
            <v>43</v>
          </cell>
          <cell r="AJ69">
            <v>4356.79</v>
          </cell>
          <cell r="AK69">
            <v>24958.44</v>
          </cell>
          <cell r="AL69" t="str">
            <v>FA</v>
          </cell>
          <cell r="AM69">
            <v>29315.23</v>
          </cell>
          <cell r="AN69" t="str">
            <v>barbara.silva@mme.gov.br</v>
          </cell>
          <cell r="AO69" t="str">
            <v>(61) 2032-5308</v>
          </cell>
          <cell r="AP69" t="str">
            <v>GM37</v>
          </cell>
          <cell r="AQ69" t="str">
            <v>ASSINT01S</v>
          </cell>
        </row>
        <row r="70">
          <cell r="A70" t="str">
            <v>BEATRIZ BARBOSA DE MELO</v>
          </cell>
          <cell r="B70" t="str">
            <v>991.746.421-20</v>
          </cell>
          <cell r="C70">
            <v>1658236</v>
          </cell>
          <cell r="D70" t="str">
            <v>Sem Cargo/Emprego</v>
          </cell>
          <cell r="E70" t="str">
            <v>Sem Vínculo</v>
          </cell>
          <cell r="F70" t="str">
            <v>Sem Vínculo</v>
          </cell>
          <cell r="G70" t="str">
            <v>SEE / DEPARTAMENTO DE MONITORAMENTO DO SISTEMA ELÉTRICO - DMSE</v>
          </cell>
          <cell r="H70" t="str">
            <v>12.102.000</v>
          </cell>
          <cell r="I70" t="str">
            <v>Assistente do Departamento de Monitoramento do Sistema Elétrico</v>
          </cell>
          <cell r="J70" t="str">
            <v>DAS</v>
          </cell>
          <cell r="K70" t="str">
            <v>102.2</v>
          </cell>
          <cell r="L70" t="str">
            <v xml:space="preserve">Portaria nº </v>
          </cell>
          <cell r="M70">
            <v>524</v>
          </cell>
          <cell r="N70" t="str">
            <v>03/11/2016</v>
          </cell>
          <cell r="O70" t="str">
            <v>04/11/2016</v>
          </cell>
          <cell r="P70" t="str">
            <v>BPE</v>
          </cell>
          <cell r="Z70" t="str">
            <v>Sem designação</v>
          </cell>
          <cell r="AF70" t="str">
            <v>Feminino</v>
          </cell>
          <cell r="AG70" t="str">
            <v>Parda</v>
          </cell>
          <cell r="AH70" t="str">
            <v>12/02/1984</v>
          </cell>
          <cell r="AI70">
            <v>36</v>
          </cell>
          <cell r="AJ70">
            <v>3440.75</v>
          </cell>
          <cell r="AL70" t="str">
            <v>FA</v>
          </cell>
          <cell r="AM70">
            <v>3440.75</v>
          </cell>
          <cell r="AN70" t="str">
            <v>beatriz.melo@mme.gov.br</v>
          </cell>
          <cell r="AO70" t="str">
            <v>(61) 2032-5510</v>
          </cell>
          <cell r="AP70" t="str">
            <v>SEE17</v>
          </cell>
        </row>
        <row r="71">
          <cell r="A71" t="str">
            <v>BENILDE DOS SANTOS GONCALVES</v>
          </cell>
          <cell r="B71" t="str">
            <v>184.969.201-78</v>
          </cell>
          <cell r="C71">
            <v>451845</v>
          </cell>
          <cell r="D71" t="str">
            <v>Agente Administrativo</v>
          </cell>
          <cell r="E71" t="str">
            <v>Ativo Permanente</v>
          </cell>
          <cell r="F71" t="str">
            <v>MME - Ministério de Minas e Energia</v>
          </cell>
          <cell r="G71" t="str">
            <v>Aguardando Lotação/Exercício</v>
          </cell>
          <cell r="H71" t="str">
            <v>88.000.000</v>
          </cell>
          <cell r="I71" t="str">
            <v>Função Gratificada</v>
          </cell>
          <cell r="J71" t="str">
            <v>FGR</v>
          </cell>
          <cell r="K71">
            <v>1</v>
          </cell>
          <cell r="L71" t="str">
            <v xml:space="preserve">Portaria nº </v>
          </cell>
          <cell r="M71">
            <v>524</v>
          </cell>
          <cell r="N71" t="str">
            <v>03/11/2016</v>
          </cell>
          <cell r="O71" t="str">
            <v>04/11/2016</v>
          </cell>
          <cell r="P71" t="str">
            <v>BPE</v>
          </cell>
          <cell r="Z71" t="str">
            <v>Sem designação</v>
          </cell>
          <cell r="AF71" t="str">
            <v>Feminino</v>
          </cell>
          <cell r="AG71" t="str">
            <v>Parda</v>
          </cell>
          <cell r="AH71" t="str">
            <v>24/02/1959</v>
          </cell>
          <cell r="AI71">
            <v>61</v>
          </cell>
          <cell r="AJ71">
            <v>4900.37</v>
          </cell>
          <cell r="AL71" t="str">
            <v>FA</v>
          </cell>
          <cell r="AM71">
            <v>4900.37</v>
          </cell>
        </row>
        <row r="72">
          <cell r="A72" t="str">
            <v>BENTO COSTA LIMA LEITE DE ALBUQUERQUE JUNIOR</v>
          </cell>
          <cell r="B72" t="str">
            <v>388.593.277-68</v>
          </cell>
          <cell r="C72">
            <v>1315936</v>
          </cell>
          <cell r="D72" t="str">
            <v>Ministro de Estado</v>
          </cell>
          <cell r="E72" t="str">
            <v>Sem Vínculo</v>
          </cell>
          <cell r="F72" t="str">
            <v>Marinha</v>
          </cell>
          <cell r="G72" t="str">
            <v>MINISTRO</v>
          </cell>
          <cell r="H72" t="str">
            <v>1.000.000</v>
          </cell>
          <cell r="I72" t="str">
            <v>Ministro de Estado</v>
          </cell>
          <cell r="J72" t="str">
            <v>NES</v>
          </cell>
          <cell r="K72" t="str">
            <v>NES</v>
          </cell>
          <cell r="L72" t="str">
            <v xml:space="preserve">Decreto nº </v>
          </cell>
          <cell r="M72" t="str">
            <v>s/n</v>
          </cell>
          <cell r="N72" t="str">
            <v>01/01/2019</v>
          </cell>
          <cell r="O72" t="str">
            <v>01/01/2019</v>
          </cell>
          <cell r="P72" t="str">
            <v>DOU</v>
          </cell>
          <cell r="Z72" t="str">
            <v>Sem designação</v>
          </cell>
          <cell r="AF72" t="str">
            <v>Masculino</v>
          </cell>
          <cell r="AG72" t="str">
            <v>Branca</v>
          </cell>
          <cell r="AH72" t="str">
            <v>03/08/1958</v>
          </cell>
          <cell r="AI72">
            <v>62</v>
          </cell>
          <cell r="AJ72">
            <v>18560.82</v>
          </cell>
          <cell r="AL72" t="str">
            <v>FA</v>
          </cell>
          <cell r="AM72">
            <v>18560.82</v>
          </cell>
          <cell r="AN72" t="str">
            <v>bento.albuquerque@mme.gov.br</v>
          </cell>
          <cell r="AO72" t="str">
            <v>(61) 2032-5401</v>
          </cell>
          <cell r="AP72" t="str">
            <v>MIN01</v>
          </cell>
        </row>
        <row r="73">
          <cell r="A73" t="str">
            <v>BIANCA MAGALHAES</v>
          </cell>
          <cell r="B73" t="str">
            <v>472.921.721-72</v>
          </cell>
          <cell r="C73">
            <v>1467247</v>
          </cell>
          <cell r="D73" t="str">
            <v>Sem Cargo/Emprego</v>
          </cell>
          <cell r="E73" t="str">
            <v>Sem Vínculo</v>
          </cell>
          <cell r="F73" t="str">
            <v>Sem Vínculo</v>
          </cell>
          <cell r="G73" t="str">
            <v>CONJUR / CHEFIA DE GABINETE CONJUR</v>
          </cell>
          <cell r="H73" t="str">
            <v>7.100.000</v>
          </cell>
          <cell r="I73" t="str">
            <v>Assistente da Consultoria Jurídica</v>
          </cell>
          <cell r="J73" t="str">
            <v>DAS</v>
          </cell>
          <cell r="K73" t="str">
            <v>102.2</v>
          </cell>
          <cell r="L73" t="str">
            <v xml:space="preserve">Portaria nº </v>
          </cell>
          <cell r="M73">
            <v>524</v>
          </cell>
          <cell r="N73" t="str">
            <v>03/11/2016</v>
          </cell>
          <cell r="O73" t="str">
            <v>04/11/2016</v>
          </cell>
          <cell r="P73" t="str">
            <v>BPE</v>
          </cell>
          <cell r="Z73" t="str">
            <v>Sem designação</v>
          </cell>
          <cell r="AF73" t="str">
            <v>Feminino</v>
          </cell>
          <cell r="AG73" t="str">
            <v>Branca</v>
          </cell>
          <cell r="AH73" t="str">
            <v>24/01/1969</v>
          </cell>
          <cell r="AI73">
            <v>51</v>
          </cell>
          <cell r="AJ73">
            <v>3440.75</v>
          </cell>
          <cell r="AL73" t="str">
            <v>FA</v>
          </cell>
          <cell r="AM73">
            <v>3440.75</v>
          </cell>
          <cell r="AN73" t="str">
            <v>bianca.magalhaes@mme.gov.br</v>
          </cell>
          <cell r="AO73" t="str">
            <v>(61) 2032-5032</v>
          </cell>
          <cell r="AP73" t="str">
            <v>CONJUR07</v>
          </cell>
        </row>
        <row r="74">
          <cell r="A74" t="str">
            <v>BIANCA MARIA MATOS DE ALENCAR BRAGA</v>
          </cell>
          <cell r="B74" t="str">
            <v>006.208.241-82</v>
          </cell>
          <cell r="C74">
            <v>4974375</v>
          </cell>
          <cell r="D74" t="str">
            <v>Analista de Infraestrutura</v>
          </cell>
          <cell r="E74" t="str">
            <v>Exercício Descentralizado</v>
          </cell>
          <cell r="F74" t="str">
            <v>ME - Ministério da Economia</v>
          </cell>
          <cell r="G74" t="str">
            <v>SEE / DMSE / COORDENAÇÃO GERAL DE MONITORAMENTO DO DESEMPENHO DO SISTEMA ELÉTRICO</v>
          </cell>
          <cell r="H74" t="str">
            <v>12.102.400</v>
          </cell>
          <cell r="I74" t="str">
            <v>Coordenadora Geral de Monitoramento da Expansão da Geração</v>
          </cell>
          <cell r="J74" t="str">
            <v>DAS</v>
          </cell>
          <cell r="K74" t="str">
            <v>101.4</v>
          </cell>
          <cell r="L74" t="str">
            <v xml:space="preserve">Portaria nº </v>
          </cell>
          <cell r="M74">
            <v>242</v>
          </cell>
          <cell r="N74" t="str">
            <v>12/06/2020</v>
          </cell>
          <cell r="O74" t="str">
            <v>15/06/2020</v>
          </cell>
          <cell r="P74" t="str">
            <v>DOU</v>
          </cell>
          <cell r="Z74" t="str">
            <v>Sem designação</v>
          </cell>
          <cell r="AF74" t="str">
            <v>Feminino</v>
          </cell>
          <cell r="AG74" t="str">
            <v>Parda</v>
          </cell>
          <cell r="AH74" t="str">
            <v>25/02/1987</v>
          </cell>
          <cell r="AI74">
            <v>33</v>
          </cell>
          <cell r="AJ74">
            <v>6223.98</v>
          </cell>
          <cell r="AK74">
            <v>14823.28</v>
          </cell>
          <cell r="AL74" t="str">
            <v>FA</v>
          </cell>
          <cell r="AM74">
            <v>21047.260000000002</v>
          </cell>
          <cell r="AN74" t="str">
            <v>bianca.alencar@mme.gov.br</v>
          </cell>
          <cell r="AO74" t="str">
            <v>(61) 2032-5733</v>
          </cell>
          <cell r="AP74" t="str">
            <v>SEE19</v>
          </cell>
        </row>
        <row r="75">
          <cell r="A75" t="str">
            <v>BRENNA KAREN DE OLIVEIRA</v>
          </cell>
          <cell r="B75" t="str">
            <v>095.114.107-41</v>
          </cell>
          <cell r="C75">
            <v>2617601</v>
          </cell>
          <cell r="D75" t="str">
            <v>Analista Técnico Administrativo</v>
          </cell>
          <cell r="E75" t="str">
            <v>Requisitado de Órgãos</v>
          </cell>
          <cell r="F75" t="str">
            <v>MDR - Ministério do Desenvolvimento Regional</v>
          </cell>
          <cell r="G75" t="str">
            <v>SE / SPOA / CGRH / COORDENAÇÃO DE ADMINISTRAÇÃO DE PESSOAL - CAPES</v>
          </cell>
          <cell r="H75" t="str">
            <v>8.105.210</v>
          </cell>
          <cell r="I75" t="str">
            <v>Função Gratificada</v>
          </cell>
          <cell r="J75" t="str">
            <v>FGR</v>
          </cell>
          <cell r="K75">
            <v>1</v>
          </cell>
          <cell r="L75" t="str">
            <v xml:space="preserve">Portaria nº </v>
          </cell>
          <cell r="M75">
            <v>84</v>
          </cell>
          <cell r="N75" t="str">
            <v>12/03/2018</v>
          </cell>
          <cell r="O75" t="str">
            <v>14/03/2018</v>
          </cell>
          <cell r="P75" t="str">
            <v>DOU</v>
          </cell>
          <cell r="Q75" t="str">
            <v>GSISTE</v>
          </cell>
          <cell r="R75" t="str">
            <v>Superior</v>
          </cell>
          <cell r="S75" t="str">
            <v>SISG - Sistema de Serviços Gerais</v>
          </cell>
          <cell r="T75" t="str">
            <v xml:space="preserve">Portaria nº </v>
          </cell>
          <cell r="U75">
            <v>116</v>
          </cell>
          <cell r="V75" t="str">
            <v>02/10/2017</v>
          </cell>
          <cell r="W75" t="str">
            <v>02/10/2017</v>
          </cell>
          <cell r="X75" t="str">
            <v>BP</v>
          </cell>
          <cell r="Z75" t="str">
            <v>Sem designação</v>
          </cell>
          <cell r="AF75" t="str">
            <v>Feminino</v>
          </cell>
          <cell r="AG75" t="str">
            <v>Branca</v>
          </cell>
          <cell r="AH75" t="str">
            <v>08/01/1981</v>
          </cell>
          <cell r="AI75">
            <v>39</v>
          </cell>
          <cell r="AJ75">
            <v>3695.55</v>
          </cell>
          <cell r="AK75">
            <v>7581.41</v>
          </cell>
          <cell r="AL75" t="str">
            <v>FA</v>
          </cell>
          <cell r="AM75">
            <v>11276.96</v>
          </cell>
          <cell r="AN75" t="str">
            <v>brenna.oliveira@mme.gov.br</v>
          </cell>
          <cell r="AO75" t="str">
            <v>(61) 2032-5350</v>
          </cell>
        </row>
        <row r="76">
          <cell r="A76" t="str">
            <v>BRENNO LEOPOLDO CAVALCANTE DE PAULA</v>
          </cell>
          <cell r="B76" t="str">
            <v>027.856.524-79</v>
          </cell>
          <cell r="C76">
            <v>1821871</v>
          </cell>
          <cell r="D76" t="str">
            <v>Sem Cargo/Emprego</v>
          </cell>
          <cell r="E76" t="str">
            <v>Sem Vínculo</v>
          </cell>
          <cell r="F76" t="str">
            <v>Sem Vínculo</v>
          </cell>
          <cell r="G76" t="str">
            <v>GM / ASSESSORIA TÉCNICA E ADMINISTRATIVA - ASTAD</v>
          </cell>
          <cell r="H76" t="str">
            <v>2.100.100</v>
          </cell>
          <cell r="I76" t="str">
            <v>Chefe da Assessoria Técnica e Administrativa do Gabinete do Ministro</v>
          </cell>
          <cell r="J76" t="str">
            <v>DAS</v>
          </cell>
          <cell r="K76" t="str">
            <v>101.4</v>
          </cell>
          <cell r="L76" t="str">
            <v xml:space="preserve">Portaria nº </v>
          </cell>
          <cell r="M76">
            <v>450</v>
          </cell>
          <cell r="N76" t="str">
            <v>23/11/2017</v>
          </cell>
          <cell r="O76" t="str">
            <v>27/11/2017</v>
          </cell>
          <cell r="P76" t="str">
            <v>DOU</v>
          </cell>
          <cell r="Z76" t="str">
            <v>Sem designação</v>
          </cell>
          <cell r="AF76" t="str">
            <v>Masculino</v>
          </cell>
          <cell r="AG76" t="str">
            <v>Branca</v>
          </cell>
          <cell r="AH76" t="str">
            <v>02/05/1978</v>
          </cell>
          <cell r="AI76">
            <v>42</v>
          </cell>
          <cell r="AJ76">
            <v>10373.299999999999</v>
          </cell>
          <cell r="AL76" t="str">
            <v>FA</v>
          </cell>
          <cell r="AM76">
            <v>10373.299999999999</v>
          </cell>
          <cell r="AN76" t="str">
            <v>brenno.depaula@mme.gov.br</v>
          </cell>
          <cell r="AO76" t="str">
            <v>(61) 2032-5982</v>
          </cell>
          <cell r="AP76" t="str">
            <v>GM17</v>
          </cell>
        </row>
        <row r="77">
          <cell r="A77" t="str">
            <v>BRUNA RODRIGUES DE OLIVEIRA</v>
          </cell>
          <cell r="B77" t="str">
            <v>055.312.873-64</v>
          </cell>
          <cell r="C77">
            <v>2839362</v>
          </cell>
          <cell r="D77" t="str">
            <v>Sem Cargo/Emprego</v>
          </cell>
          <cell r="E77" t="str">
            <v>Sem Vínculo</v>
          </cell>
          <cell r="F77" t="str">
            <v>Sem Vínculo</v>
          </cell>
          <cell r="G77" t="str">
            <v>SPE / CHEFIA DE GABINETE SPE</v>
          </cell>
          <cell r="H77" t="str">
            <v>10.100.000</v>
          </cell>
          <cell r="I77" t="str">
            <v>Assistente da Secretaria de Planejamento e Desenvolvimento Energético</v>
          </cell>
          <cell r="J77" t="str">
            <v>DAS</v>
          </cell>
          <cell r="K77" t="str">
            <v>102.2</v>
          </cell>
          <cell r="L77" t="str">
            <v xml:space="preserve">Portaria nº </v>
          </cell>
          <cell r="M77">
            <v>566</v>
          </cell>
          <cell r="N77" t="str">
            <v>03/11/2016</v>
          </cell>
          <cell r="O77" t="str">
            <v>04/11/2016</v>
          </cell>
          <cell r="P77" t="str">
            <v>DOU</v>
          </cell>
          <cell r="Z77" t="str">
            <v>Sem designação</v>
          </cell>
          <cell r="AF77" t="str">
            <v>Feminino</v>
          </cell>
          <cell r="AG77" t="str">
            <v>Parda</v>
          </cell>
          <cell r="AH77" t="str">
            <v>23/12/1993</v>
          </cell>
          <cell r="AI77">
            <v>26</v>
          </cell>
          <cell r="AJ77">
            <v>3440.75</v>
          </cell>
          <cell r="AL77" t="str">
            <v>FA</v>
          </cell>
          <cell r="AM77">
            <v>3440.75</v>
          </cell>
          <cell r="AN77" t="str">
            <v>bruna.oliveira@mme.gov.br</v>
          </cell>
          <cell r="AO77" t="str">
            <v>(61) 2032-5713</v>
          </cell>
          <cell r="AP77" t="str">
            <v>SPE08</v>
          </cell>
        </row>
        <row r="78">
          <cell r="A78" t="str">
            <v>BRUNO CESAR SPADA</v>
          </cell>
          <cell r="B78" t="str">
            <v>821.025.621-15</v>
          </cell>
          <cell r="C78">
            <v>3117873</v>
          </cell>
          <cell r="D78" t="str">
            <v>Sem Cargo/Emprego</v>
          </cell>
          <cell r="E78" t="str">
            <v>Sem Vínculo</v>
          </cell>
          <cell r="F78" t="str">
            <v>Sem Vínculo</v>
          </cell>
          <cell r="G78" t="str">
            <v>GM / ASSESSORIA DE COMUNICAÇÃO SOCIAL - ASCOM</v>
          </cell>
          <cell r="H78" t="str">
            <v>2.100.300</v>
          </cell>
          <cell r="I78" t="str">
            <v>Assessor Técnico da Assessoria de Comunicação Social do Gabinete do Ministro</v>
          </cell>
          <cell r="J78" t="str">
            <v>DAS</v>
          </cell>
          <cell r="K78" t="str">
            <v>102.3</v>
          </cell>
          <cell r="L78" t="str">
            <v xml:space="preserve">Portaria nº </v>
          </cell>
          <cell r="M78">
            <v>195</v>
          </cell>
          <cell r="N78" t="str">
            <v>11/04/2019</v>
          </cell>
          <cell r="O78" t="str">
            <v>16/04/2019</v>
          </cell>
          <cell r="P78" t="str">
            <v>DOU</v>
          </cell>
          <cell r="Z78" t="str">
            <v>Sem designação</v>
          </cell>
          <cell r="AF78" t="str">
            <v>Masculino</v>
          </cell>
          <cell r="AG78" t="str">
            <v>Parda</v>
          </cell>
          <cell r="AH78" t="str">
            <v>15/08/1978</v>
          </cell>
          <cell r="AI78">
            <v>42</v>
          </cell>
          <cell r="AJ78">
            <v>5685.55</v>
          </cell>
          <cell r="AL78" t="str">
            <v>FA</v>
          </cell>
          <cell r="AM78">
            <v>5685.55</v>
          </cell>
          <cell r="AN78" t="str">
            <v>bruno.spada@mme.gov.br</v>
          </cell>
          <cell r="AO78" t="str">
            <v>(61) 2032-5620</v>
          </cell>
          <cell r="AP78" t="str">
            <v>GM33</v>
          </cell>
        </row>
        <row r="79">
          <cell r="A79" t="str">
            <v>BRUNO EUSTÁQUIO FERREIRA CASTRO DE CARVALHO</v>
          </cell>
          <cell r="B79" t="str">
            <v>053.965.606-22</v>
          </cell>
          <cell r="C79">
            <v>1671760</v>
          </cell>
          <cell r="D79" t="str">
            <v>Analista de Infraestrutura</v>
          </cell>
          <cell r="E79" t="str">
            <v>Requisitado de Órgãos</v>
          </cell>
          <cell r="F79" t="str">
            <v>ME - Ministério da Economia</v>
          </cell>
          <cell r="G79" t="str">
            <v>SE / CHEFIA DE GABINETE SE</v>
          </cell>
          <cell r="H79" t="str">
            <v>8.100.000</v>
          </cell>
          <cell r="I79" t="str">
            <v>Secretário-Executivo Adjunto</v>
          </cell>
          <cell r="J79" t="str">
            <v>DAS</v>
          </cell>
          <cell r="K79" t="str">
            <v>101.6</v>
          </cell>
          <cell r="L79" t="str">
            <v xml:space="preserve">Portaria nº </v>
          </cell>
          <cell r="M79">
            <v>592</v>
          </cell>
          <cell r="N79" t="str">
            <v>16/01/2019</v>
          </cell>
          <cell r="O79" t="str">
            <v>17/01/2019</v>
          </cell>
          <cell r="P79" t="str">
            <v>DOU</v>
          </cell>
          <cell r="Y79" t="str">
            <v>Secretário-Executivo</v>
          </cell>
          <cell r="Z79" t="str">
            <v>Eventual</v>
          </cell>
          <cell r="AA79" t="str">
            <v xml:space="preserve">Portaria nº </v>
          </cell>
          <cell r="AB79" t="str">
            <v>108 - Anexo II, Art. 55,IV do RI da SE</v>
          </cell>
          <cell r="AC79" t="str">
            <v>14/03/2017</v>
          </cell>
          <cell r="AD79" t="str">
            <v>16/03/2017 - Ret. 17/03/2017</v>
          </cell>
          <cell r="AE79" t="str">
            <v>DOU</v>
          </cell>
          <cell r="AF79" t="str">
            <v>Masculino</v>
          </cell>
          <cell r="AG79" t="str">
            <v>Parda</v>
          </cell>
          <cell r="AH79" t="str">
            <v>03/07/1981</v>
          </cell>
          <cell r="AI79">
            <v>39</v>
          </cell>
          <cell r="AJ79">
            <v>10166.94</v>
          </cell>
          <cell r="AK79">
            <v>18488.990000000002</v>
          </cell>
          <cell r="AL79" t="str">
            <v>FA</v>
          </cell>
          <cell r="AM79">
            <v>28655.93</v>
          </cell>
          <cell r="AN79" t="str">
            <v>bruno.carvalho@mme.gov.br</v>
          </cell>
          <cell r="AO79" t="str">
            <v>(61) 2032-5211</v>
          </cell>
          <cell r="AP79" t="str">
            <v>SE02</v>
          </cell>
          <cell r="AQ79" t="str">
            <v>SE01S</v>
          </cell>
        </row>
        <row r="80">
          <cell r="A80" t="str">
            <v>CAMILLA DE ANDRADE GONÇALVES FERNANDES</v>
          </cell>
          <cell r="B80" t="str">
            <v>955.425.741-49</v>
          </cell>
          <cell r="C80">
            <v>1559017</v>
          </cell>
          <cell r="D80" t="str">
            <v>Especialista em Regulamentação em Energia Elétrica</v>
          </cell>
          <cell r="E80" t="str">
            <v>Requisitado de Órgãos</v>
          </cell>
          <cell r="F80" t="str">
            <v>ANEEL - Agência Nacional de Energia Elétrica</v>
          </cell>
          <cell r="G80" t="str">
            <v>SE / CHEFIA DE GABINETE SE</v>
          </cell>
          <cell r="H80" t="str">
            <v>8.100.000</v>
          </cell>
          <cell r="I80" t="str">
            <v>Diretora de Programa da Secretaria Executiva</v>
          </cell>
          <cell r="J80" t="str">
            <v>DAS</v>
          </cell>
          <cell r="K80" t="str">
            <v>101.5</v>
          </cell>
          <cell r="L80" t="str">
            <v xml:space="preserve">Portaria nº </v>
          </cell>
          <cell r="M80">
            <v>301</v>
          </cell>
          <cell r="N80" t="str">
            <v>31/07/2020</v>
          </cell>
          <cell r="O80" t="str">
            <v>04/08/2020</v>
          </cell>
          <cell r="P80" t="str">
            <v>DOU</v>
          </cell>
          <cell r="Z80" t="str">
            <v>Sem designação</v>
          </cell>
          <cell r="AF80" t="str">
            <v>Feminino</v>
          </cell>
          <cell r="AG80" t="str">
            <v>Branca</v>
          </cell>
          <cell r="AH80" t="str">
            <v>24/08/1982</v>
          </cell>
          <cell r="AI80">
            <v>38</v>
          </cell>
          <cell r="AJ80">
            <v>8174.03</v>
          </cell>
          <cell r="AK80">
            <v>20320.88</v>
          </cell>
          <cell r="AL80" t="str">
            <v>FA</v>
          </cell>
          <cell r="AM80">
            <v>28494.91</v>
          </cell>
          <cell r="AN80" t="str">
            <v>camilla.fernandes@mme.gov.br</v>
          </cell>
          <cell r="AO80" t="str">
            <v>(612) 2032-5160</v>
          </cell>
          <cell r="AP80" t="str">
            <v>SE04</v>
          </cell>
        </row>
        <row r="81">
          <cell r="A81" t="str">
            <v>CANDICE SOUSA COSTA</v>
          </cell>
          <cell r="B81" t="str">
            <v>900.110.583-15</v>
          </cell>
          <cell r="C81">
            <v>1553178</v>
          </cell>
          <cell r="D81" t="str">
            <v>Procuradora Federal</v>
          </cell>
          <cell r="E81" t="str">
            <v>Exercício Descentralizado</v>
          </cell>
          <cell r="F81" t="str">
            <v>AGU - Advocacia Geral da União</v>
          </cell>
          <cell r="G81" t="str">
            <v>CONJUR / COORDENAÇÃO GERAL DE ASSUNTOS DE ENERGIA</v>
          </cell>
          <cell r="H81" t="str">
            <v>7.100.100</v>
          </cell>
          <cell r="I81" t="str">
            <v>Coordenadora Geral de Assuntos de Energia da Consultoria Jurídica</v>
          </cell>
          <cell r="J81" t="str">
            <v>FCPE</v>
          </cell>
          <cell r="K81" t="str">
            <v>101.4</v>
          </cell>
          <cell r="L81" t="str">
            <v xml:space="preserve">Portaria nº </v>
          </cell>
          <cell r="M81">
            <v>19</v>
          </cell>
          <cell r="N81" t="str">
            <v>09/01/2019</v>
          </cell>
          <cell r="O81" t="str">
            <v>14/01/2019</v>
          </cell>
          <cell r="P81" t="str">
            <v>DOU</v>
          </cell>
          <cell r="Z81" t="str">
            <v>Sem designação</v>
          </cell>
          <cell r="AF81" t="str">
            <v>Feminino</v>
          </cell>
          <cell r="AG81" t="str">
            <v>Parda</v>
          </cell>
          <cell r="AH81" t="str">
            <v>01/02/1982</v>
          </cell>
          <cell r="AI81">
            <v>38</v>
          </cell>
          <cell r="AJ81">
            <v>6223.99</v>
          </cell>
          <cell r="AK81">
            <v>27761.7</v>
          </cell>
          <cell r="AL81" t="str">
            <v>FA</v>
          </cell>
          <cell r="AM81">
            <v>33985.69</v>
          </cell>
          <cell r="AN81" t="str">
            <v>candice.costa@mme.gov.br</v>
          </cell>
          <cell r="AO81" t="str">
            <v>(61) 2032-5272</v>
          </cell>
          <cell r="AP81" t="str">
            <v>CONJUR11</v>
          </cell>
        </row>
        <row r="82">
          <cell r="A82" t="str">
            <v>CARLOS AGENOR ONOFRE CABRAL</v>
          </cell>
          <cell r="B82" t="str">
            <v>753.346.154-15</v>
          </cell>
          <cell r="C82">
            <v>1650109</v>
          </cell>
          <cell r="D82" t="str">
            <v>Especialista em Regulamentação de Petróleo e Der Alc Com e Gás Natural</v>
          </cell>
          <cell r="E82" t="str">
            <v>Requisitado de Órgãos</v>
          </cell>
          <cell r="F82" t="str">
            <v>ANP - Agência Nacional do Petróleo, Gás Natural e Biocombustíveis</v>
          </cell>
          <cell r="G82" t="str">
            <v>SPG / DEPARTAMENTO DE POLÍTICA DE EXPLORAÇÃO E PRODUÇÃO DE PETRÓLEO E GÁS NATURAL - DPGN</v>
          </cell>
          <cell r="H82" t="str">
            <v>11.101.000</v>
          </cell>
          <cell r="I82" t="str">
            <v>Gerente de Projeto do Departamento de Política de Exploração e Produção de Petróleo e Gás Natural</v>
          </cell>
          <cell r="J82" t="str">
            <v>DAS</v>
          </cell>
          <cell r="K82" t="str">
            <v>101.4</v>
          </cell>
          <cell r="L82" t="str">
            <v xml:space="preserve">Portaria nº </v>
          </cell>
          <cell r="M82">
            <v>473</v>
          </cell>
          <cell r="N82" t="str">
            <v>18/12/2019</v>
          </cell>
          <cell r="O82" t="str">
            <v>23/12/2019</v>
          </cell>
          <cell r="P82" t="str">
            <v>DOU</v>
          </cell>
          <cell r="Y82" t="str">
            <v>Departamento de Política de Exploração e Produção de Petróleo e Gás Natural</v>
          </cell>
          <cell r="Z82" t="str">
            <v>Eventual</v>
          </cell>
          <cell r="AA82" t="str">
            <v xml:space="preserve">Portaria nº </v>
          </cell>
          <cell r="AB82">
            <v>36</v>
          </cell>
          <cell r="AC82" t="str">
            <v>10/02/2020</v>
          </cell>
          <cell r="AD82" t="str">
            <v>12/02/2020</v>
          </cell>
          <cell r="AE82" t="str">
            <v>DOU</v>
          </cell>
          <cell r="AF82" t="str">
            <v>Masculino</v>
          </cell>
          <cell r="AG82" t="str">
            <v>Parda</v>
          </cell>
          <cell r="AH82" t="str">
            <v>19/05/1969</v>
          </cell>
          <cell r="AI82">
            <v>51</v>
          </cell>
          <cell r="AJ82">
            <v>6223.98</v>
          </cell>
          <cell r="AK82">
            <v>19999.88</v>
          </cell>
          <cell r="AL82" t="str">
            <v>FA</v>
          </cell>
          <cell r="AM82">
            <v>26223.86</v>
          </cell>
          <cell r="AN82" t="str">
            <v>carlos.cabral@mme.gov.br</v>
          </cell>
          <cell r="AO82" t="str">
            <v>(61) 2032-5514</v>
          </cell>
          <cell r="AP82" t="str">
            <v>SPG10</v>
          </cell>
          <cell r="AQ82" t="str">
            <v>SPG03S</v>
          </cell>
        </row>
        <row r="83">
          <cell r="A83" t="str">
            <v>CARLOS ALBERTO DE OLIVEIRA</v>
          </cell>
          <cell r="B83" t="str">
            <v>084.189.771-91</v>
          </cell>
          <cell r="C83">
            <v>6451596</v>
          </cell>
          <cell r="D83" t="str">
            <v>Arquivista</v>
          </cell>
          <cell r="E83" t="str">
            <v>Ativo Permanente</v>
          </cell>
          <cell r="F83" t="str">
            <v>MME - Ministério de Minas e Energia</v>
          </cell>
          <cell r="G83" t="str">
            <v>SE / AEGP / COORDENAÇÃO GERAL DE GESTÃO DE PROJETOS - CGGP</v>
          </cell>
          <cell r="H83" t="str">
            <v>8.103.200</v>
          </cell>
          <cell r="I83" t="str">
            <v>Função Gratificada</v>
          </cell>
          <cell r="J83" t="str">
            <v>FGR</v>
          </cell>
          <cell r="K83">
            <v>1</v>
          </cell>
          <cell r="L83" t="str">
            <v xml:space="preserve">Portaria nº </v>
          </cell>
          <cell r="M83">
            <v>524</v>
          </cell>
          <cell r="N83" t="str">
            <v>03/11/2016</v>
          </cell>
          <cell r="O83" t="str">
            <v>04/11/2016</v>
          </cell>
          <cell r="P83" t="str">
            <v>BPE</v>
          </cell>
          <cell r="Z83" t="str">
            <v>Sem designação</v>
          </cell>
          <cell r="AF83" t="str">
            <v>Masculino</v>
          </cell>
          <cell r="AG83" t="str">
            <v>Branca</v>
          </cell>
          <cell r="AH83" t="str">
            <v>22/07/1952</v>
          </cell>
          <cell r="AI83">
            <v>68</v>
          </cell>
          <cell r="AJ83">
            <v>11017.09</v>
          </cell>
          <cell r="AL83" t="str">
            <v>FA</v>
          </cell>
          <cell r="AM83">
            <v>11017.09</v>
          </cell>
          <cell r="AN83" t="str">
            <v>carlosoliveira@mme.gov.br</v>
          </cell>
          <cell r="AO83" t="str">
            <v>(61) 2032-5601</v>
          </cell>
        </row>
        <row r="84">
          <cell r="A84" t="str">
            <v>CARLOS ALEXANDRE PRINCIPE PIRES</v>
          </cell>
          <cell r="B84" t="str">
            <v>023.923.117-14</v>
          </cell>
          <cell r="C84">
            <v>2438064</v>
          </cell>
          <cell r="D84" t="str">
            <v>Especialista em Política Pública e Gestão Governamental</v>
          </cell>
          <cell r="E84" t="str">
            <v>Requisitado de Órgãos</v>
          </cell>
          <cell r="F84" t="str">
            <v>ME - Ministério da Economia</v>
          </cell>
          <cell r="G84" t="str">
            <v>SPE / DEPARTAMENTO DE DESENVOLVIMENTO ENERGÉTICO - DDE</v>
          </cell>
          <cell r="H84" t="str">
            <v>10.102.000</v>
          </cell>
          <cell r="I84" t="str">
            <v>Diretor do Departamento de Desenvolvimento Energético</v>
          </cell>
          <cell r="J84" t="str">
            <v>DAS</v>
          </cell>
          <cell r="K84" t="str">
            <v>101.5</v>
          </cell>
          <cell r="L84" t="str">
            <v xml:space="preserve">Portaria nº </v>
          </cell>
          <cell r="M84">
            <v>2234</v>
          </cell>
          <cell r="N84" t="str">
            <v>24/11/2016</v>
          </cell>
          <cell r="O84" t="str">
            <v>25/11/2016</v>
          </cell>
          <cell r="P84" t="str">
            <v>DOU</v>
          </cell>
          <cell r="Z84" t="str">
            <v>Sem designação</v>
          </cell>
          <cell r="AF84" t="str">
            <v>Masculino</v>
          </cell>
          <cell r="AG84" t="str">
            <v>Branca</v>
          </cell>
          <cell r="AH84" t="str">
            <v>24/11/1971</v>
          </cell>
          <cell r="AI84">
            <v>48</v>
          </cell>
          <cell r="AJ84">
            <v>8174.03</v>
          </cell>
          <cell r="AK84">
            <v>27827.67</v>
          </cell>
          <cell r="AL84" t="str">
            <v>FA</v>
          </cell>
          <cell r="AM84">
            <v>36001.699999999997</v>
          </cell>
          <cell r="AN84" t="str">
            <v>carlos.pires@mme.gov.br</v>
          </cell>
          <cell r="AO84" t="str">
            <v>(61) 2032-5593</v>
          </cell>
          <cell r="AP84" t="str">
            <v>SPE16</v>
          </cell>
        </row>
        <row r="85">
          <cell r="A85" t="str">
            <v>CARLOS ANTONIO DE ABREU</v>
          </cell>
          <cell r="B85" t="str">
            <v>240.018.301-59</v>
          </cell>
          <cell r="C85">
            <v>161427</v>
          </cell>
          <cell r="D85" t="str">
            <v>Agente de Vigilância</v>
          </cell>
          <cell r="E85" t="str">
            <v>Ativo Permanente</v>
          </cell>
          <cell r="F85" t="str">
            <v>MME - Ministério de Minas e Energia</v>
          </cell>
          <cell r="G85" t="str">
            <v>SE / SPOA / CGRL / COORDENAÇÃO DE ATIVIDADES GERAIS - COAGE</v>
          </cell>
          <cell r="H85" t="str">
            <v>8.105.120</v>
          </cell>
          <cell r="Z85" t="str">
            <v>Sem designação</v>
          </cell>
          <cell r="AF85" t="str">
            <v>Masculino</v>
          </cell>
          <cell r="AG85" t="str">
            <v>Parda</v>
          </cell>
          <cell r="AH85" t="str">
            <v>16/03/1961</v>
          </cell>
          <cell r="AI85">
            <v>59</v>
          </cell>
          <cell r="AJ85">
            <v>4814.5600000000004</v>
          </cell>
          <cell r="AL85" t="str">
            <v>FA</v>
          </cell>
          <cell r="AM85">
            <v>4814.5600000000004</v>
          </cell>
          <cell r="AN85" t="str">
            <v>CarlosAbreu@mme.gov.br</v>
          </cell>
          <cell r="AO85" t="str">
            <v>(61) 2032-5242</v>
          </cell>
        </row>
        <row r="86">
          <cell r="A86" t="str">
            <v>CARLOS AUGUSTO FURTADO DE OLIVEIRA NOVAES</v>
          </cell>
          <cell r="B86" t="str">
            <v>010.371.668-84</v>
          </cell>
          <cell r="C86">
            <v>1547827</v>
          </cell>
          <cell r="D86" t="str">
            <v>Analista de Infraestrutura</v>
          </cell>
          <cell r="E86" t="str">
            <v>Exercício Descentralizado</v>
          </cell>
          <cell r="F86" t="str">
            <v>ME - Ministério da Economia</v>
          </cell>
          <cell r="G86" t="str">
            <v>SEE / DMSE / COORDENAÇÃO GERAL DE MONITORAMENTO DO DESEMPENHO DO SISTEMA ELÉTRICO</v>
          </cell>
          <cell r="H86" t="str">
            <v>12.102.400</v>
          </cell>
          <cell r="Z86" t="str">
            <v>Sem designação</v>
          </cell>
          <cell r="AF86" t="str">
            <v>Masculino</v>
          </cell>
          <cell r="AG86" t="str">
            <v>Branca</v>
          </cell>
          <cell r="AH86" t="str">
            <v>17/09/1954</v>
          </cell>
          <cell r="AI86">
            <v>66</v>
          </cell>
          <cell r="AJ86">
            <v>0</v>
          </cell>
          <cell r="AK86">
            <v>20327.93</v>
          </cell>
          <cell r="AL86" t="str">
            <v>FA</v>
          </cell>
          <cell r="AM86">
            <v>20327.93</v>
          </cell>
        </row>
        <row r="87">
          <cell r="A87" t="str">
            <v>CARLOS EDUARDO MENDES GALVAO</v>
          </cell>
          <cell r="B87" t="str">
            <v>316.274.201-34</v>
          </cell>
          <cell r="C87">
            <v>454695</v>
          </cell>
          <cell r="D87" t="str">
            <v>Agente Administrativo</v>
          </cell>
          <cell r="E87" t="str">
            <v>Ativo Permanente</v>
          </cell>
          <cell r="F87" t="str">
            <v>MME - Ministério de Minas e Energia</v>
          </cell>
          <cell r="G87" t="str">
            <v>SE / SPOA / COORDENAÇÃO GERAL DE RECURSOS HUMANOS - CGRH</v>
          </cell>
          <cell r="H87" t="str">
            <v>8.105.200</v>
          </cell>
          <cell r="I87" t="str">
            <v>Coordenador Geral de Recursos Humanos</v>
          </cell>
          <cell r="J87" t="str">
            <v>DAS</v>
          </cell>
          <cell r="K87" t="str">
            <v>101.4</v>
          </cell>
          <cell r="L87" t="str">
            <v xml:space="preserve">Portaria nº </v>
          </cell>
          <cell r="M87">
            <v>524</v>
          </cell>
          <cell r="N87" t="str">
            <v>03/11/2016</v>
          </cell>
          <cell r="O87" t="str">
            <v>04/11/2016</v>
          </cell>
          <cell r="P87" t="str">
            <v>BPE</v>
          </cell>
          <cell r="Q87" t="str">
            <v>GSISTE</v>
          </cell>
          <cell r="R87" t="str">
            <v>Intermediário</v>
          </cell>
          <cell r="S87" t="str">
            <v>SIPEC  - Sistema de Pessoal Civil da Administração Federal</v>
          </cell>
          <cell r="T87" t="str">
            <v xml:space="preserve">Portaria nº </v>
          </cell>
          <cell r="U87">
            <v>60</v>
          </cell>
          <cell r="V87" t="str">
            <v>19/06/2009</v>
          </cell>
          <cell r="W87" t="str">
            <v>19/06/2009</v>
          </cell>
          <cell r="X87" t="str">
            <v>BPE</v>
          </cell>
          <cell r="Z87" t="str">
            <v>Sem designação</v>
          </cell>
          <cell r="AF87" t="str">
            <v>Masculino</v>
          </cell>
          <cell r="AG87" t="str">
            <v>Branca</v>
          </cell>
          <cell r="AH87" t="str">
            <v>12/10/1963</v>
          </cell>
          <cell r="AI87">
            <v>57</v>
          </cell>
          <cell r="AJ87">
            <v>14049.7</v>
          </cell>
          <cell r="AL87" t="str">
            <v>FA</v>
          </cell>
          <cell r="AM87">
            <v>14049.7</v>
          </cell>
          <cell r="AN87" t="str">
            <v>carlosgalvao@mme.gov.br</v>
          </cell>
          <cell r="AO87" t="str">
            <v>(61) 2032-5168</v>
          </cell>
          <cell r="AP87" t="str">
            <v>SE60</v>
          </cell>
        </row>
        <row r="88">
          <cell r="A88" t="str">
            <v>CARLOS GERARDO DE MESQUITA</v>
          </cell>
          <cell r="B88" t="str">
            <v>325.029.821-20</v>
          </cell>
          <cell r="C88">
            <v>454390</v>
          </cell>
          <cell r="D88" t="str">
            <v>Agente de Portaria</v>
          </cell>
          <cell r="E88" t="str">
            <v>Ativo Permanente</v>
          </cell>
          <cell r="F88" t="str">
            <v>MME - Ministério de Minas e Energia</v>
          </cell>
          <cell r="G88" t="str">
            <v>CONJUR / CGAA / COORDENAÇÃO DE APOIO ADMINISTRATIVO</v>
          </cell>
          <cell r="H88" t="str">
            <v>7.100.310</v>
          </cell>
          <cell r="I88" t="str">
            <v>Função Gratificada</v>
          </cell>
          <cell r="J88" t="str">
            <v>FGR</v>
          </cell>
          <cell r="K88">
            <v>1</v>
          </cell>
          <cell r="L88" t="str">
            <v xml:space="preserve">Portaria nº </v>
          </cell>
          <cell r="M88">
            <v>524</v>
          </cell>
          <cell r="N88" t="str">
            <v>03/11/2016</v>
          </cell>
          <cell r="O88" t="str">
            <v>04/11/2016</v>
          </cell>
          <cell r="P88" t="str">
            <v>BPE</v>
          </cell>
          <cell r="Z88" t="str">
            <v>Sem designação</v>
          </cell>
          <cell r="AF88" t="str">
            <v>Masculino</v>
          </cell>
          <cell r="AG88" t="str">
            <v>Branca</v>
          </cell>
          <cell r="AH88" t="str">
            <v>12/10/1965</v>
          </cell>
          <cell r="AI88">
            <v>55</v>
          </cell>
          <cell r="AJ88">
            <v>5388.12</v>
          </cell>
          <cell r="AL88" t="str">
            <v>FA</v>
          </cell>
          <cell r="AM88">
            <v>5388.12</v>
          </cell>
          <cell r="AN88" t="str">
            <v>carlosmesquita@mme.gov.br</v>
          </cell>
          <cell r="AO88" t="str">
            <v>(61) 2032-5323</v>
          </cell>
        </row>
        <row r="89">
          <cell r="A89" t="str">
            <v>CARLOS JORGE PAVAO DIAS</v>
          </cell>
          <cell r="B89" t="str">
            <v>054.034.707-86</v>
          </cell>
          <cell r="C89">
            <v>1482723</v>
          </cell>
          <cell r="D89" t="str">
            <v>Sem Cargo/Emprego</v>
          </cell>
          <cell r="E89" t="str">
            <v>Sem Vínculo</v>
          </cell>
          <cell r="F89" t="str">
            <v>Sem Vínculo</v>
          </cell>
          <cell r="G89" t="str">
            <v>SPG / CHEFIA DE GABINETE SPG</v>
          </cell>
          <cell r="H89" t="str">
            <v>11.100.000</v>
          </cell>
          <cell r="I89" t="str">
            <v>Assessor Técnico da Secretaria de Petróleo, Gás Natural e Biocombustíveis</v>
          </cell>
          <cell r="J89" t="str">
            <v>DAS</v>
          </cell>
          <cell r="K89" t="str">
            <v>102.3</v>
          </cell>
          <cell r="L89" t="str">
            <v xml:space="preserve">Portaria nº </v>
          </cell>
          <cell r="M89">
            <v>289</v>
          </cell>
          <cell r="N89" t="str">
            <v>03/07/2018</v>
          </cell>
          <cell r="O89" t="str">
            <v>05/07/2018</v>
          </cell>
          <cell r="P89" t="str">
            <v>DOU</v>
          </cell>
          <cell r="Z89" t="str">
            <v>Sem designação</v>
          </cell>
          <cell r="AF89" t="str">
            <v>Masculino</v>
          </cell>
          <cell r="AG89" t="str">
            <v>Parda</v>
          </cell>
          <cell r="AH89" t="str">
            <v>21/09/1981</v>
          </cell>
          <cell r="AI89">
            <v>39</v>
          </cell>
          <cell r="AJ89">
            <v>5685.55</v>
          </cell>
          <cell r="AL89" t="str">
            <v>FA</v>
          </cell>
          <cell r="AM89">
            <v>5685.55</v>
          </cell>
          <cell r="AN89" t="str">
            <v>carlos.jorge@mme.gov.br</v>
          </cell>
          <cell r="AO89" t="str">
            <v>(61) 2032-5188</v>
          </cell>
          <cell r="AP89" t="str">
            <v>SPG05</v>
          </cell>
        </row>
        <row r="90">
          <cell r="A90" t="str">
            <v>CARLOS MODESTO DE ARAUJO</v>
          </cell>
          <cell r="B90" t="str">
            <v>473.312.591-72</v>
          </cell>
          <cell r="C90">
            <v>1092793</v>
          </cell>
          <cell r="D90" t="str">
            <v>Agente Administrativo</v>
          </cell>
          <cell r="E90" t="str">
            <v>Ativo Permanente</v>
          </cell>
          <cell r="F90" t="str">
            <v>MME - Ministério de Minas e Energia</v>
          </cell>
          <cell r="G90" t="str">
            <v>Aguardando Lotação/Exercício</v>
          </cell>
          <cell r="H90" t="str">
            <v>88.000.000</v>
          </cell>
          <cell r="Z90" t="str">
            <v>Sem designação</v>
          </cell>
          <cell r="AF90" t="str">
            <v>Masculino</v>
          </cell>
          <cell r="AG90" t="str">
            <v>Parda</v>
          </cell>
          <cell r="AH90" t="str">
            <v>07/08/1969</v>
          </cell>
          <cell r="AI90">
            <v>51</v>
          </cell>
          <cell r="AJ90">
            <v>4600.03</v>
          </cell>
          <cell r="AL90" t="str">
            <v>FA</v>
          </cell>
          <cell r="AM90">
            <v>4600.03</v>
          </cell>
          <cell r="AN90" t="str">
            <v>CarlosAraujo@mme.gov.br</v>
          </cell>
          <cell r="AO90" t="str">
            <v>(61) 2032-5490</v>
          </cell>
        </row>
        <row r="91">
          <cell r="A91" t="str">
            <v>CARLOS ROBERTO NOVAIS DE ALMEIDA</v>
          </cell>
          <cell r="B91" t="str">
            <v>209.774.681-00</v>
          </cell>
          <cell r="C91">
            <v>455044</v>
          </cell>
          <cell r="D91" t="str">
            <v>Agente Administrativo</v>
          </cell>
          <cell r="E91" t="str">
            <v>Ativo Permanente</v>
          </cell>
          <cell r="F91" t="str">
            <v>MME - Ministério de Minas e Energia</v>
          </cell>
          <cell r="G91" t="str">
            <v>GM / ASTAD / COORDENAÇÃO DE ATIVIDADES ADMINISTRATIVAS</v>
          </cell>
          <cell r="H91" t="str">
            <v>2.100.101</v>
          </cell>
          <cell r="I91" t="str">
            <v>Coordenador da Coordenação de Atividades Administrativas do Gabinete do Ministro</v>
          </cell>
          <cell r="J91" t="str">
            <v>FCPE</v>
          </cell>
          <cell r="K91" t="str">
            <v>101.3</v>
          </cell>
          <cell r="L91" t="str">
            <v xml:space="preserve">Portaria nº </v>
          </cell>
          <cell r="M91">
            <v>524</v>
          </cell>
          <cell r="N91" t="str">
            <v>03/11/2016</v>
          </cell>
          <cell r="O91" t="str">
            <v>04/11/2016</v>
          </cell>
          <cell r="P91" t="str">
            <v>BPE</v>
          </cell>
          <cell r="Y91" t="str">
            <v>Chefe da ASTAD</v>
          </cell>
          <cell r="Z91" t="str">
            <v>Eventual</v>
          </cell>
          <cell r="AA91" t="str">
            <v xml:space="preserve">Portaria nº </v>
          </cell>
          <cell r="AB91">
            <v>484</v>
          </cell>
          <cell r="AC91" t="str">
            <v>04/10/2005</v>
          </cell>
          <cell r="AD91" t="str">
            <v>05/10/2005</v>
          </cell>
          <cell r="AE91" t="str">
            <v>DOU</v>
          </cell>
          <cell r="AF91" t="str">
            <v>Masculino</v>
          </cell>
          <cell r="AG91" t="str">
            <v>Parda</v>
          </cell>
          <cell r="AH91" t="str">
            <v>02/09/1959</v>
          </cell>
          <cell r="AI91">
            <v>61</v>
          </cell>
          <cell r="AJ91">
            <v>9825.49</v>
          </cell>
          <cell r="AL91" t="str">
            <v>FA</v>
          </cell>
          <cell r="AM91">
            <v>9825.49</v>
          </cell>
          <cell r="AN91" t="str">
            <v>CarlosNovais@mme.gov.br</v>
          </cell>
          <cell r="AO91" t="str">
            <v>(61) 2032-5684</v>
          </cell>
          <cell r="AP91" t="str">
            <v>GM19</v>
          </cell>
          <cell r="AQ91" t="str">
            <v>GM04S</v>
          </cell>
        </row>
        <row r="92">
          <cell r="A92" t="str">
            <v>CASSIO GIULIANI CARVALHO</v>
          </cell>
          <cell r="B92" t="str">
            <v>007.393.430-50</v>
          </cell>
          <cell r="C92">
            <v>5660896</v>
          </cell>
          <cell r="D92" t="str">
            <v>Especialista em Regulamentação de Aviação Civil</v>
          </cell>
          <cell r="E92" t="str">
            <v>Requisitado de Órgãos</v>
          </cell>
          <cell r="F92" t="str">
            <v>ANAC - Agência Nacional de Aviação Civil</v>
          </cell>
          <cell r="G92" t="str">
            <v>SPE / DPE / COORDENAÇÃO GERAL DA EXPANSÃO ELETROENERGÉTICA</v>
          </cell>
          <cell r="H92" t="str">
            <v>10.101.300</v>
          </cell>
          <cell r="I92" t="str">
            <v>Coordenador Geral da Expansão Eletroenergética do Departamento de Planejamento Energético</v>
          </cell>
          <cell r="J92" t="str">
            <v>DAS</v>
          </cell>
          <cell r="K92" t="str">
            <v>101.4</v>
          </cell>
          <cell r="L92" t="str">
            <v xml:space="preserve">Portaria nº </v>
          </cell>
          <cell r="M92">
            <v>156</v>
          </cell>
          <cell r="N92" t="str">
            <v>07/03/2019</v>
          </cell>
          <cell r="O92" t="str">
            <v>11/03/2019</v>
          </cell>
          <cell r="P92" t="str">
            <v>DOU</v>
          </cell>
          <cell r="Z92" t="str">
            <v>Sem designação</v>
          </cell>
          <cell r="AF92" t="str">
            <v>Masculino</v>
          </cell>
          <cell r="AG92" t="str">
            <v>Branca</v>
          </cell>
          <cell r="AH92" t="str">
            <v>13/01/1986</v>
          </cell>
          <cell r="AI92">
            <v>34</v>
          </cell>
          <cell r="AJ92">
            <v>6288.98</v>
          </cell>
          <cell r="AK92">
            <v>18007.09</v>
          </cell>
          <cell r="AL92" t="str">
            <v>FA</v>
          </cell>
          <cell r="AM92">
            <v>24296.07</v>
          </cell>
          <cell r="AN92" t="str">
            <v>cassio.carvalho@mme.gov.br</v>
          </cell>
          <cell r="AO92" t="str">
            <v>(61) 2032-5651</v>
          </cell>
          <cell r="AP92" t="str">
            <v>SPE15</v>
          </cell>
        </row>
        <row r="93">
          <cell r="A93" t="str">
            <v>CELIA MARIA BOMTEMPO</v>
          </cell>
          <cell r="B93" t="str">
            <v>209.789.101-25</v>
          </cell>
          <cell r="C93">
            <v>454348</v>
          </cell>
          <cell r="D93" t="str">
            <v>Agente Administrativo</v>
          </cell>
          <cell r="E93" t="str">
            <v>Ativo Permanente</v>
          </cell>
          <cell r="F93" t="str">
            <v>MME - Ministério de Minas e Energia</v>
          </cell>
          <cell r="G93" t="str">
            <v>SE / SPOA / CGOF / COORDENAÇÃO DE CONTABILIDADE - CONT</v>
          </cell>
          <cell r="H93" t="str">
            <v>8.105.520</v>
          </cell>
          <cell r="I93" t="str">
            <v>Função Comissionada Técnica - Assistente Técnico de Orçamento e Finanças</v>
          </cell>
          <cell r="J93" t="str">
            <v>FCT</v>
          </cell>
          <cell r="K93">
            <v>5</v>
          </cell>
          <cell r="L93" t="str">
            <v xml:space="preserve">Portaria nº </v>
          </cell>
          <cell r="M93">
            <v>52</v>
          </cell>
          <cell r="N93" t="str">
            <v>15/02/2013</v>
          </cell>
          <cell r="O93" t="str">
            <v>18/02/2013</v>
          </cell>
          <cell r="P93" t="str">
            <v>DOU</v>
          </cell>
          <cell r="Q93" t="str">
            <v>GSISTE</v>
          </cell>
          <cell r="R93" t="str">
            <v>Intermediário (MPPFS)</v>
          </cell>
          <cell r="S93" t="str">
            <v>SAFE - Sistema de Administração Financeira Federal</v>
          </cell>
          <cell r="T93" t="str">
            <v xml:space="preserve">Portaria nº </v>
          </cell>
          <cell r="U93">
            <v>67</v>
          </cell>
          <cell r="V93" t="str">
            <v>23/07/2009</v>
          </cell>
          <cell r="W93" t="str">
            <v>23/07/2009</v>
          </cell>
          <cell r="X93" t="str">
            <v>BPE</v>
          </cell>
          <cell r="Z93" t="str">
            <v>Sem designação</v>
          </cell>
          <cell r="AF93" t="str">
            <v>Feminino</v>
          </cell>
          <cell r="AG93" t="str">
            <v>Branca</v>
          </cell>
          <cell r="AH93" t="str">
            <v>03/08/1959</v>
          </cell>
          <cell r="AI93">
            <v>61</v>
          </cell>
          <cell r="AJ93">
            <v>8854.2800000000007</v>
          </cell>
          <cell r="AL93" t="str">
            <v>FA</v>
          </cell>
          <cell r="AM93">
            <v>8854.2800000000007</v>
          </cell>
          <cell r="AN93" t="str">
            <v>Celia@mme.gov.br</v>
          </cell>
          <cell r="AO93" t="str">
            <v>(61) 2032-5277</v>
          </cell>
        </row>
        <row r="94">
          <cell r="A94" t="str">
            <v>CESAR FERREIRA BORGES</v>
          </cell>
          <cell r="B94" t="str">
            <v>192.077.277-49</v>
          </cell>
          <cell r="C94">
            <v>1281488</v>
          </cell>
          <cell r="D94" t="str">
            <v>Sem Cargo/Emprego</v>
          </cell>
          <cell r="E94" t="str">
            <v>Sem Vínculo</v>
          </cell>
          <cell r="F94" t="str">
            <v>Sem Vínculo</v>
          </cell>
          <cell r="G94" t="str">
            <v>GM / ASSESSORIA DE COMUNICAÇÃO SOCIAL - ASCOM</v>
          </cell>
          <cell r="H94" t="str">
            <v>2.100.300</v>
          </cell>
          <cell r="I94" t="str">
            <v>Assessor Especial do Ministro</v>
          </cell>
          <cell r="J94" t="str">
            <v>DAS</v>
          </cell>
          <cell r="K94" t="str">
            <v>102.5</v>
          </cell>
          <cell r="L94" t="str">
            <v xml:space="preserve">Portaria nº </v>
          </cell>
          <cell r="M94">
            <v>556</v>
          </cell>
          <cell r="N94" t="str">
            <v>30/05/2017</v>
          </cell>
          <cell r="O94" t="str">
            <v>31/05/2017</v>
          </cell>
          <cell r="P94" t="str">
            <v>DOU</v>
          </cell>
          <cell r="Z94" t="str">
            <v>Sem designação</v>
          </cell>
          <cell r="AF94" t="str">
            <v>Masculino</v>
          </cell>
          <cell r="AG94" t="str">
            <v>Branca</v>
          </cell>
          <cell r="AH94" t="str">
            <v>21/11/1950</v>
          </cell>
          <cell r="AI94">
            <v>69</v>
          </cell>
          <cell r="AJ94">
            <v>13623.39</v>
          </cell>
          <cell r="AL94" t="str">
            <v>FA</v>
          </cell>
          <cell r="AM94">
            <v>13623.39</v>
          </cell>
          <cell r="AN94" t="str">
            <v>cesar.borges@mme.gov.br</v>
          </cell>
          <cell r="AO94" t="str">
            <v>(61) 2032-5620</v>
          </cell>
          <cell r="AP94" t="str">
            <v>GM02</v>
          </cell>
        </row>
        <row r="95">
          <cell r="A95" t="str">
            <v>CHRISTIAN DE OLIVEIRA E FERNANDES</v>
          </cell>
          <cell r="B95" t="str">
            <v>105.815.517-29</v>
          </cell>
          <cell r="C95">
            <v>3355829</v>
          </cell>
          <cell r="D95" t="str">
            <v>Advogado da União</v>
          </cell>
          <cell r="E95" t="str">
            <v>Exercício Descentralizado</v>
          </cell>
          <cell r="F95" t="str">
            <v>AGU - Advocacia Geral da União</v>
          </cell>
          <cell r="G95" t="str">
            <v>CONJUR / COORDENAÇÃO GERAL DE ASSUNTOS DE ENERGIA</v>
          </cell>
          <cell r="H95" t="str">
            <v>7.100.100</v>
          </cell>
          <cell r="Z95" t="str">
            <v>Sem designação</v>
          </cell>
          <cell r="AF95" t="str">
            <v>Masculino</v>
          </cell>
          <cell r="AG95" t="str">
            <v>Branca</v>
          </cell>
          <cell r="AH95" t="str">
            <v>24/12/1984</v>
          </cell>
          <cell r="AI95">
            <v>35</v>
          </cell>
          <cell r="AJ95">
            <v>0</v>
          </cell>
          <cell r="AK95">
            <v>24925.599999999999</v>
          </cell>
          <cell r="AL95" t="str">
            <v>FA</v>
          </cell>
          <cell r="AM95">
            <v>24925.599999999999</v>
          </cell>
          <cell r="AN95" t="str">
            <v>christian.fernandes@mme.gov.br</v>
          </cell>
          <cell r="AO95" t="str">
            <v>(61) 2032-5143</v>
          </cell>
        </row>
        <row r="96">
          <cell r="A96" t="str">
            <v>CHRISTIAN VARGAS</v>
          </cell>
          <cell r="B96" t="str">
            <v>476.171.360-72</v>
          </cell>
          <cell r="D96" t="str">
            <v>Ministro de Segunda Classe</v>
          </cell>
          <cell r="E96" t="str">
            <v>Requisitado de Órgãos</v>
          </cell>
          <cell r="F96" t="str">
            <v>MRE - Ministério das Relações Exteriores</v>
          </cell>
          <cell r="G96" t="str">
            <v>ASSESSORIA ESPECIAL DE RELAÇÕES INTERNACIONAIS - ASSINT</v>
          </cell>
          <cell r="H96" t="str">
            <v>3.000.000</v>
          </cell>
          <cell r="I96" t="str">
            <v>Chefe da Assessoria Especial de Relações Internacionais</v>
          </cell>
          <cell r="J96" t="str">
            <v>DAS</v>
          </cell>
          <cell r="K96" t="str">
            <v>101.5</v>
          </cell>
          <cell r="L96" t="str">
            <v xml:space="preserve">Portaria nº </v>
          </cell>
          <cell r="M96">
            <v>357</v>
          </cell>
          <cell r="N96" t="str">
            <v>28/09/2020</v>
          </cell>
          <cell r="O96" t="str">
            <v>30/09/2020</v>
          </cell>
          <cell r="P96" t="str">
            <v>DOU</v>
          </cell>
          <cell r="AF96" t="str">
            <v>Masculino</v>
          </cell>
          <cell r="AG96" t="str">
            <v>Branca</v>
          </cell>
          <cell r="AH96" t="str">
            <v>16/12/1967</v>
          </cell>
          <cell r="AI96">
            <v>52</v>
          </cell>
          <cell r="AJ96">
            <v>8174.03</v>
          </cell>
          <cell r="AK96">
            <v>0</v>
          </cell>
          <cell r="AL96" t="str">
            <v>FA</v>
          </cell>
          <cell r="AM96">
            <v>8174.03</v>
          </cell>
          <cell r="AN96" t="str">
            <v>christian.vargas@mme.gov.br</v>
          </cell>
          <cell r="AO96" t="str">
            <v>(61) 2032-5501</v>
          </cell>
          <cell r="AP96" t="str">
            <v>ASSINT01</v>
          </cell>
        </row>
        <row r="97">
          <cell r="A97" t="str">
            <v>CHRISTIANY SALGADO FARIA</v>
          </cell>
          <cell r="B97" t="str">
            <v>858.463.761-34</v>
          </cell>
          <cell r="C97">
            <v>1453978</v>
          </cell>
          <cell r="D97" t="str">
            <v>Analista de Infraestrutura</v>
          </cell>
          <cell r="E97" t="str">
            <v>Requisitado de Órgãos</v>
          </cell>
          <cell r="F97" t="str">
            <v>ME - Ministério da Economia</v>
          </cell>
          <cell r="G97" t="str">
            <v>ASSESSORIA ESPECIAL DE ASSUNTOS ECONÔMICOS - ASSEC</v>
          </cell>
          <cell r="H97" t="str">
            <v>6.000.000</v>
          </cell>
          <cell r="I97" t="str">
            <v>Assessora do Chefe de Assessoria Especial de Assuntos Econômicos</v>
          </cell>
          <cell r="J97" t="str">
            <v>DAS</v>
          </cell>
          <cell r="K97" t="str">
            <v>102.4</v>
          </cell>
          <cell r="L97" t="str">
            <v xml:space="preserve">Portaria nº </v>
          </cell>
          <cell r="M97">
            <v>323</v>
          </cell>
          <cell r="N97" t="str">
            <v>26/08/2020</v>
          </cell>
          <cell r="O97" t="str">
            <v>28/08/2020</v>
          </cell>
          <cell r="P97" t="str">
            <v>DOU</v>
          </cell>
          <cell r="AF97" t="str">
            <v>Feminino</v>
          </cell>
          <cell r="AG97" t="str">
            <v>Branca</v>
          </cell>
          <cell r="AH97" t="str">
            <v>11/02/1979</v>
          </cell>
          <cell r="AI97">
            <v>41</v>
          </cell>
          <cell r="AJ97">
            <v>6223.98</v>
          </cell>
          <cell r="AK97">
            <v>17485.86</v>
          </cell>
          <cell r="AL97" t="str">
            <v>FA</v>
          </cell>
          <cell r="AM97">
            <v>23709.84</v>
          </cell>
          <cell r="AN97" t="str">
            <v>christiany.faria@mme.gov.br</v>
          </cell>
          <cell r="AO97" t="str">
            <v>(61) 2032-5043</v>
          </cell>
          <cell r="AP97" t="str">
            <v>ASSEC03</v>
          </cell>
        </row>
        <row r="98">
          <cell r="A98" t="str">
            <v>CICERO DA ROSA ROCHA</v>
          </cell>
          <cell r="B98" t="str">
            <v>431.622.580-49</v>
          </cell>
          <cell r="C98">
            <v>1669516</v>
          </cell>
          <cell r="D98" t="str">
            <v>Escriturário II</v>
          </cell>
          <cell r="E98" t="str">
            <v>Anistiado MME</v>
          </cell>
          <cell r="F98" t="str">
            <v>MME - Ministério de Minas e Energia</v>
          </cell>
          <cell r="G98" t="str">
            <v>SE / SPOA / CGRH / COORDENAÇÃO DE DESENVOLVIMENTO E SEGURIDADE SOCIAL - CODES</v>
          </cell>
          <cell r="H98" t="str">
            <v>8.105.220</v>
          </cell>
          <cell r="Z98" t="str">
            <v>Sem designação</v>
          </cell>
          <cell r="AF98" t="str">
            <v>Masculino</v>
          </cell>
          <cell r="AG98" t="str">
            <v>Branca</v>
          </cell>
          <cell r="AH98" t="str">
            <v>10/10/1965</v>
          </cell>
          <cell r="AI98">
            <v>55</v>
          </cell>
          <cell r="AJ98">
            <v>3915.9</v>
          </cell>
          <cell r="AL98" t="str">
            <v>FA</v>
          </cell>
          <cell r="AM98">
            <v>3915.9</v>
          </cell>
          <cell r="AN98" t="str">
            <v>cicero.rocha@mme.gov.br</v>
          </cell>
          <cell r="AO98" t="str">
            <v>(61) 2032-5718</v>
          </cell>
        </row>
        <row r="99">
          <cell r="A99" t="str">
            <v>CICERO RONALDO VIEIRA DA SILVA</v>
          </cell>
          <cell r="B99" t="str">
            <v>345.008.121-72</v>
          </cell>
          <cell r="C99">
            <v>451627</v>
          </cell>
          <cell r="D99" t="str">
            <v>Agente de Portaria</v>
          </cell>
          <cell r="E99" t="str">
            <v>Ativo Permanente</v>
          </cell>
          <cell r="F99" t="str">
            <v>MME - Ministério de Minas e Energia</v>
          </cell>
          <cell r="G99" t="str">
            <v>SE / SPOA / CGRL / COORDENAÇÃO DE ATIVIDADES GERAIS - COAGE</v>
          </cell>
          <cell r="H99" t="str">
            <v>8.105.120</v>
          </cell>
          <cell r="I99" t="str">
            <v>Função Comissionada Técnica - Técnico em Gestão de Pessoas e Técnico em Gestão de Logística</v>
          </cell>
          <cell r="J99" t="str">
            <v>FCT</v>
          </cell>
          <cell r="K99">
            <v>7</v>
          </cell>
          <cell r="L99" t="str">
            <v xml:space="preserve">Portaria nº </v>
          </cell>
          <cell r="M99">
            <v>186</v>
          </cell>
          <cell r="N99" t="str">
            <v>17/09/2004</v>
          </cell>
          <cell r="O99" t="str">
            <v>20/09/2004</v>
          </cell>
          <cell r="P99" t="str">
            <v>DOU</v>
          </cell>
          <cell r="Z99" t="str">
            <v>Sem designação</v>
          </cell>
          <cell r="AF99" t="str">
            <v>Masculino</v>
          </cell>
          <cell r="AG99" t="str">
            <v>Parda</v>
          </cell>
          <cell r="AH99" t="str">
            <v>26/04/1966</v>
          </cell>
          <cell r="AI99">
            <v>54</v>
          </cell>
          <cell r="AJ99">
            <v>5869.44</v>
          </cell>
          <cell r="AL99" t="str">
            <v>FA</v>
          </cell>
          <cell r="AM99">
            <v>5869.44</v>
          </cell>
          <cell r="AN99" t="str">
            <v>cicero.silva@mme.gov.br</v>
          </cell>
          <cell r="AO99" t="str">
            <v>(61) 2032-5087</v>
          </cell>
        </row>
        <row r="100">
          <cell r="A100" t="str">
            <v>CLARA DE JESUS SILVA</v>
          </cell>
          <cell r="B100" t="str">
            <v>128.252.041-53</v>
          </cell>
          <cell r="C100">
            <v>1772834</v>
          </cell>
          <cell r="D100" t="str">
            <v>Auxiliar Administrativo</v>
          </cell>
          <cell r="E100" t="str">
            <v>Anistiado MME</v>
          </cell>
          <cell r="F100" t="str">
            <v>MME - Ministério de Minas e Energia</v>
          </cell>
          <cell r="G100" t="str">
            <v>Aguardando Lotação/Exercício</v>
          </cell>
          <cell r="H100" t="str">
            <v>88.000.000</v>
          </cell>
          <cell r="Z100" t="str">
            <v>Sem designação</v>
          </cell>
          <cell r="AF100" t="str">
            <v>Feminino</v>
          </cell>
          <cell r="AG100" t="str">
            <v>Branca</v>
          </cell>
          <cell r="AH100" t="str">
            <v>19/01/1954</v>
          </cell>
          <cell r="AI100">
            <v>66</v>
          </cell>
          <cell r="AJ100">
            <v>4465.6000000000004</v>
          </cell>
          <cell r="AL100" t="str">
            <v>FA</v>
          </cell>
          <cell r="AM100">
            <v>4465.6000000000004</v>
          </cell>
          <cell r="AO100" t="str">
            <v>(61) 2032-5365</v>
          </cell>
        </row>
        <row r="101">
          <cell r="A101" t="str">
            <v>CLAREN MARCIA DE AZEVEDO</v>
          </cell>
          <cell r="B101" t="str">
            <v>761.960.541-04</v>
          </cell>
          <cell r="C101">
            <v>1340463</v>
          </cell>
          <cell r="D101" t="str">
            <v>Sem Cargo/Emprego</v>
          </cell>
          <cell r="E101" t="str">
            <v>Sem Vínculo</v>
          </cell>
          <cell r="F101" t="str">
            <v>Sem Vínculo</v>
          </cell>
          <cell r="G101" t="str">
            <v>SE / CHEFIA DE GABINETE SE</v>
          </cell>
          <cell r="H101" t="str">
            <v>8.100.000</v>
          </cell>
          <cell r="I101" t="str">
            <v>Assistente da Chefia de Gabinete da Secretaria Executiva</v>
          </cell>
          <cell r="J101" t="str">
            <v>DAS</v>
          </cell>
          <cell r="K101" t="str">
            <v>102.2</v>
          </cell>
          <cell r="L101" t="str">
            <v xml:space="preserve">Portaria nº </v>
          </cell>
          <cell r="M101">
            <v>524</v>
          </cell>
          <cell r="N101" t="str">
            <v>03/11/2016</v>
          </cell>
          <cell r="O101" t="str">
            <v>04/11/2016</v>
          </cell>
          <cell r="P101" t="str">
            <v>BPE</v>
          </cell>
          <cell r="Z101" t="str">
            <v>Sem designação</v>
          </cell>
          <cell r="AF101" t="str">
            <v>Feminino</v>
          </cell>
          <cell r="AG101" t="str">
            <v>Branca</v>
          </cell>
          <cell r="AH101" t="str">
            <v>19/09/1974</v>
          </cell>
          <cell r="AI101">
            <v>46</v>
          </cell>
          <cell r="AJ101">
            <v>3440.75</v>
          </cell>
          <cell r="AL101" t="str">
            <v>FA</v>
          </cell>
          <cell r="AM101">
            <v>3440.75</v>
          </cell>
          <cell r="AN101" t="str">
            <v>clarenazevedo@mme.gov.br</v>
          </cell>
          <cell r="AO101" t="str">
            <v>(61) 2032-5045</v>
          </cell>
          <cell r="AP101" t="str">
            <v>SE16</v>
          </cell>
        </row>
        <row r="102">
          <cell r="A102" t="str">
            <v>CLARICE GOMES DA SILVA</v>
          </cell>
          <cell r="B102" t="str">
            <v>496.507.776-87</v>
          </cell>
          <cell r="C102">
            <v>1696906</v>
          </cell>
          <cell r="D102" t="str">
            <v>Escriturário I</v>
          </cell>
          <cell r="E102" t="str">
            <v>Anistiado MME</v>
          </cell>
          <cell r="F102" t="str">
            <v>MME - Ministério de Minas e Energia</v>
          </cell>
          <cell r="G102" t="str">
            <v>SE / SPOA / CGRL / COORDENAÇÃO DE ATIVIDADES GERAIS - COAGE</v>
          </cell>
          <cell r="H102" t="str">
            <v>8.105.120</v>
          </cell>
          <cell r="I102" t="str">
            <v>Assistente da Subsecretaria de Planejamento, Orçamento e Administração</v>
          </cell>
          <cell r="J102" t="str">
            <v>DAS</v>
          </cell>
          <cell r="K102" t="str">
            <v>102.2</v>
          </cell>
          <cell r="L102" t="str">
            <v xml:space="preserve">Portaria nº </v>
          </cell>
          <cell r="M102">
            <v>112</v>
          </cell>
          <cell r="N102" t="str">
            <v>06/02/2019</v>
          </cell>
          <cell r="O102" t="str">
            <v>08/02/2019</v>
          </cell>
          <cell r="P102" t="str">
            <v>DOU</v>
          </cell>
          <cell r="Z102" t="str">
            <v>Sem designação</v>
          </cell>
          <cell r="AF102" t="str">
            <v>Feminino</v>
          </cell>
          <cell r="AG102" t="str">
            <v>Branca</v>
          </cell>
          <cell r="AH102" t="str">
            <v>09/02/1960</v>
          </cell>
          <cell r="AI102">
            <v>60</v>
          </cell>
          <cell r="AJ102">
            <v>5332.86</v>
          </cell>
          <cell r="AL102" t="str">
            <v>FA</v>
          </cell>
          <cell r="AM102">
            <v>5332.86</v>
          </cell>
          <cell r="AN102" t="str">
            <v>clarice.silva@mme.gov.br</v>
          </cell>
          <cell r="AO102" t="str">
            <v>(61) 2032-5090</v>
          </cell>
          <cell r="AP102" t="str">
            <v>SE41</v>
          </cell>
        </row>
        <row r="103">
          <cell r="A103" t="str">
            <v>CLAUDIA CRISTINA DE OLIVEIRA F SILVA</v>
          </cell>
          <cell r="B103" t="str">
            <v>385.017.241-49</v>
          </cell>
          <cell r="C103">
            <v>455479</v>
          </cell>
          <cell r="D103" t="str">
            <v>Telefonista</v>
          </cell>
          <cell r="E103" t="str">
            <v>Ativo Permanente</v>
          </cell>
          <cell r="F103" t="str">
            <v>MME - Ministério de Minas e Energia</v>
          </cell>
          <cell r="G103" t="str">
            <v>SE / SPOA / CGRH / COORDENAÇÃO DE DESENVOLVIMENTO E SEGURIDADE SOCIAL - CODES</v>
          </cell>
          <cell r="H103" t="str">
            <v>8.105.220</v>
          </cell>
          <cell r="I103" t="str">
            <v>Função Gratificada</v>
          </cell>
          <cell r="J103" t="str">
            <v>FGR</v>
          </cell>
          <cell r="K103">
            <v>1</v>
          </cell>
          <cell r="L103" t="str">
            <v xml:space="preserve">Portaria nº </v>
          </cell>
          <cell r="M103">
            <v>524</v>
          </cell>
          <cell r="N103" t="str">
            <v>03/11/2016</v>
          </cell>
          <cell r="O103" t="str">
            <v>04/11/2016</v>
          </cell>
          <cell r="P103" t="str">
            <v>BPE</v>
          </cell>
          <cell r="Z103" t="str">
            <v>Sem designação</v>
          </cell>
          <cell r="AF103" t="str">
            <v>Feminino</v>
          </cell>
          <cell r="AG103" t="str">
            <v>Branca</v>
          </cell>
          <cell r="AH103" t="str">
            <v>07/09/1968</v>
          </cell>
          <cell r="AI103">
            <v>52</v>
          </cell>
          <cell r="AJ103">
            <v>5266.3</v>
          </cell>
          <cell r="AL103" t="str">
            <v>FA</v>
          </cell>
          <cell r="AM103">
            <v>5266.3</v>
          </cell>
          <cell r="AN103" t="str">
            <v>ClaudiaSilva@mme.gov.br</v>
          </cell>
          <cell r="AO103" t="str">
            <v>(61) 2032-5377</v>
          </cell>
        </row>
        <row r="104">
          <cell r="A104" t="str">
            <v>CLAUDIA MARIA DA SILVA MEIRA</v>
          </cell>
          <cell r="B104" t="str">
            <v>344.231.761-49</v>
          </cell>
          <cell r="C104">
            <v>1783636</v>
          </cell>
          <cell r="D104" t="str">
            <v>Sem Cargo/Emprego</v>
          </cell>
          <cell r="E104" t="str">
            <v>Sem Vínculo</v>
          </cell>
          <cell r="F104" t="str">
            <v>Sem Vínculo</v>
          </cell>
          <cell r="G104" t="str">
            <v>SE / ASSESSORIA ESPECIAL DE GESTÃO ESTRATÉGICA - AEGE</v>
          </cell>
          <cell r="H104" t="str">
            <v>8.101.000</v>
          </cell>
          <cell r="I104" t="str">
            <v>Assistente da Assessoria Especial de Gestão Estratégica</v>
          </cell>
          <cell r="J104" t="str">
            <v>DAS</v>
          </cell>
          <cell r="K104" t="str">
            <v>102.2</v>
          </cell>
          <cell r="L104" t="str">
            <v xml:space="preserve">Portaria nº </v>
          </cell>
          <cell r="M104">
            <v>524</v>
          </cell>
          <cell r="N104" t="str">
            <v>03/11/2016</v>
          </cell>
          <cell r="O104" t="str">
            <v>04/11/2016</v>
          </cell>
          <cell r="P104" t="str">
            <v>BPE</v>
          </cell>
          <cell r="Z104" t="str">
            <v>Sem designação</v>
          </cell>
          <cell r="AF104" t="str">
            <v>Feminino</v>
          </cell>
          <cell r="AG104" t="str">
            <v>Branca</v>
          </cell>
          <cell r="AH104" t="str">
            <v>16/09/1968</v>
          </cell>
          <cell r="AI104">
            <v>52</v>
          </cell>
          <cell r="AJ104">
            <v>3440.75</v>
          </cell>
          <cell r="AL104" t="str">
            <v>FA</v>
          </cell>
          <cell r="AM104">
            <v>3440.75</v>
          </cell>
          <cell r="AN104" t="str">
            <v>claudia.meira@mme.gov.br</v>
          </cell>
          <cell r="AO104" t="str">
            <v>(61) 2032-5458</v>
          </cell>
          <cell r="AP104" t="str">
            <v>SE22</v>
          </cell>
        </row>
        <row r="105">
          <cell r="A105" t="str">
            <v>CLÁUDIA MOTA MONTEIRO</v>
          </cell>
          <cell r="B105" t="str">
            <v>283.130.543-87</v>
          </cell>
          <cell r="C105">
            <v>454709</v>
          </cell>
          <cell r="D105" t="str">
            <v>Agente Administrativo</v>
          </cell>
          <cell r="E105" t="str">
            <v>Ativo Permanente</v>
          </cell>
          <cell r="F105" t="str">
            <v>MME - Ministério de Minas e Energia</v>
          </cell>
          <cell r="G105" t="str">
            <v>SE / SPOA / CGCC / COORDENAÇÃO DE ADMINISTRAÇÃO DE CONTRATOS - CAC</v>
          </cell>
          <cell r="H105" t="str">
            <v>8.105.410</v>
          </cell>
          <cell r="I105" t="str">
            <v>Coordenadora de Administração de Contratos da Coordenação Geral de Compras e Contratos</v>
          </cell>
          <cell r="J105" t="str">
            <v>DAS</v>
          </cell>
          <cell r="K105" t="str">
            <v>101.3</v>
          </cell>
          <cell r="L105" t="str">
            <v xml:space="preserve">Portaria nº </v>
          </cell>
          <cell r="M105">
            <v>201</v>
          </cell>
          <cell r="N105" t="str">
            <v>15/04/2019</v>
          </cell>
          <cell r="O105" t="str">
            <v>16/04/2019</v>
          </cell>
          <cell r="P105" t="str">
            <v>DOU</v>
          </cell>
          <cell r="Q105" t="str">
            <v>GSISTE</v>
          </cell>
          <cell r="R105" t="str">
            <v>Intermediário</v>
          </cell>
          <cell r="S105" t="str">
            <v>SISG - Sistema de Serviços Gerais</v>
          </cell>
          <cell r="T105" t="str">
            <v xml:space="preserve">Portaria nº </v>
          </cell>
          <cell r="U105">
            <v>64</v>
          </cell>
          <cell r="V105" t="str">
            <v>03/07/2017</v>
          </cell>
          <cell r="W105" t="str">
            <v>03/07/2017</v>
          </cell>
          <cell r="X105" t="str">
            <v>BP</v>
          </cell>
          <cell r="Y105" t="str">
            <v>Coordenação Geral de Compras e Contratos</v>
          </cell>
          <cell r="Z105" t="str">
            <v>Eventual</v>
          </cell>
          <cell r="AA105" t="str">
            <v xml:space="preserve">Portaria nº </v>
          </cell>
          <cell r="AB105">
            <v>333</v>
          </cell>
          <cell r="AC105" t="str">
            <v>23/08/2019</v>
          </cell>
          <cell r="AD105" t="str">
            <v>29/08/2019</v>
          </cell>
          <cell r="AE105" t="str">
            <v>DOU</v>
          </cell>
          <cell r="AF105" t="str">
            <v>Feminino</v>
          </cell>
          <cell r="AG105" t="str">
            <v>Parda</v>
          </cell>
          <cell r="AH105" t="str">
            <v>30/06/1967</v>
          </cell>
          <cell r="AI105">
            <v>53</v>
          </cell>
          <cell r="AJ105">
            <v>10270.629999999999</v>
          </cell>
          <cell r="AL105" t="str">
            <v>FA</v>
          </cell>
          <cell r="AM105">
            <v>10270.629999999999</v>
          </cell>
          <cell r="AN105" t="str">
            <v>claudia.monteiro@mme.gov.br</v>
          </cell>
          <cell r="AO105" t="str">
            <v>(61) 2032-5213</v>
          </cell>
          <cell r="AP105" t="str">
            <v>SE85</v>
          </cell>
          <cell r="AQ105" t="str">
            <v>SE48S</v>
          </cell>
        </row>
        <row r="106">
          <cell r="A106" t="str">
            <v>CLAUDIO OLIMAR INATOMI</v>
          </cell>
          <cell r="B106" t="str">
            <v>339.863.041-34</v>
          </cell>
          <cell r="C106">
            <v>455322</v>
          </cell>
          <cell r="D106" t="str">
            <v>Agente Administrativo</v>
          </cell>
          <cell r="E106" t="str">
            <v>Ativo Permanente</v>
          </cell>
          <cell r="F106" t="str">
            <v>MME - Ministério de Minas e Energia</v>
          </cell>
          <cell r="G106" t="str">
            <v>ASSESSORIA ESPECIAL DE RELAÇÕES INTERNACIONAIS - ASSINT</v>
          </cell>
          <cell r="H106" t="str">
            <v>3.000.000</v>
          </cell>
          <cell r="I106" t="str">
            <v>Assistente da Assessoria Especial de Relações Internacionais</v>
          </cell>
          <cell r="J106" t="str">
            <v>FCPE</v>
          </cell>
          <cell r="K106" t="str">
            <v>102.2</v>
          </cell>
          <cell r="L106" t="str">
            <v xml:space="preserve">Portaria nº </v>
          </cell>
          <cell r="M106">
            <v>524</v>
          </cell>
          <cell r="N106" t="str">
            <v>03/11/2016</v>
          </cell>
          <cell r="O106" t="str">
            <v>04/11/2016</v>
          </cell>
          <cell r="P106" t="str">
            <v>BPE</v>
          </cell>
          <cell r="Z106" t="str">
            <v>Sem designação</v>
          </cell>
          <cell r="AF106" t="str">
            <v>Masculino</v>
          </cell>
          <cell r="AG106" t="str">
            <v>Amarela</v>
          </cell>
          <cell r="AH106" t="str">
            <v>23/12/1966</v>
          </cell>
          <cell r="AI106">
            <v>53</v>
          </cell>
          <cell r="AJ106">
            <v>7069.33</v>
          </cell>
          <cell r="AL106" t="str">
            <v>FA</v>
          </cell>
          <cell r="AM106">
            <v>7069.33</v>
          </cell>
          <cell r="AN106" t="str">
            <v>claudiolimar@mme.gov.br</v>
          </cell>
          <cell r="AO106" t="str">
            <v>(61) 2032-5329</v>
          </cell>
          <cell r="AP106" t="str">
            <v>ASSINT03</v>
          </cell>
        </row>
        <row r="107">
          <cell r="A107" t="str">
            <v>CLAUDIO XAVIER PEREIRA</v>
          </cell>
          <cell r="B107" t="str">
            <v>551.418.117-00</v>
          </cell>
          <cell r="C107">
            <v>1202804</v>
          </cell>
          <cell r="D107" t="str">
            <v>Analista de Planejamento e Orçamento</v>
          </cell>
          <cell r="E107" t="str">
            <v>Exercício Descentralizado</v>
          </cell>
          <cell r="F107" t="str">
            <v>ME - Ministério da Economia</v>
          </cell>
          <cell r="G107" t="str">
            <v>SE / SPOA / COORDENAÇÃO GERAL DE ORÇAMENTO E FINANÇAS - CGOF</v>
          </cell>
          <cell r="H107" t="str">
            <v>8.105.500</v>
          </cell>
          <cell r="I107" t="str">
            <v>Coordenador Geral de Orçamento e Finanças</v>
          </cell>
          <cell r="J107" t="str">
            <v>DAS</v>
          </cell>
          <cell r="K107" t="str">
            <v>101.4</v>
          </cell>
          <cell r="L107" t="str">
            <v xml:space="preserve">Portaria nº </v>
          </cell>
          <cell r="M107">
            <v>524</v>
          </cell>
          <cell r="N107" t="str">
            <v>03/11/2016</v>
          </cell>
          <cell r="O107" t="str">
            <v>04/11/2016</v>
          </cell>
          <cell r="P107" t="str">
            <v>BPE</v>
          </cell>
          <cell r="Z107" t="str">
            <v>Sem designação</v>
          </cell>
          <cell r="AF107" t="str">
            <v>Masculino</v>
          </cell>
          <cell r="AG107" t="str">
            <v>Branca</v>
          </cell>
          <cell r="AH107" t="str">
            <v>06/01/1959</v>
          </cell>
          <cell r="AI107">
            <v>61</v>
          </cell>
          <cell r="AJ107">
            <v>6223.98</v>
          </cell>
          <cell r="AK107">
            <v>27827.67</v>
          </cell>
          <cell r="AL107" t="str">
            <v>FA</v>
          </cell>
          <cell r="AM107">
            <v>34051.649999999994</v>
          </cell>
          <cell r="AN107" t="str">
            <v>claudio.pereira@mme.gov.br</v>
          </cell>
          <cell r="AO107" t="str">
            <v>(61) 2032-5162</v>
          </cell>
          <cell r="AP107" t="str">
            <v>SE71</v>
          </cell>
        </row>
        <row r="108">
          <cell r="A108" t="str">
            <v>CLAYTON DE SOUZA PONTES</v>
          </cell>
          <cell r="B108" t="str">
            <v>151.627.021-53</v>
          </cell>
          <cell r="C108">
            <v>3482082</v>
          </cell>
          <cell r="D108" t="str">
            <v>Sem Cargo/Emprego</v>
          </cell>
          <cell r="E108" t="str">
            <v>Sem Vínculo</v>
          </cell>
          <cell r="F108" t="str">
            <v>Sem Vínculo</v>
          </cell>
          <cell r="G108" t="str">
            <v>SPG / DPGN / COORDENAÇÃO GERAL DE POLÍTICA DE CONCESSÃO DE BLOCOS EXPLORATÓRIOS</v>
          </cell>
          <cell r="H108" t="str">
            <v>11.101.200</v>
          </cell>
          <cell r="I108" t="str">
            <v>Coordenador Geral de Política de Concessão de Blocos Exploratórios do Departamento de Política de Exploração e Produção de Petróleo e Gás Natural</v>
          </cell>
          <cell r="J108" t="str">
            <v>DAS</v>
          </cell>
          <cell r="K108" t="str">
            <v>101.4</v>
          </cell>
          <cell r="L108" t="str">
            <v xml:space="preserve">Portaria nº </v>
          </cell>
          <cell r="M108">
            <v>78</v>
          </cell>
          <cell r="N108" t="str">
            <v>28/01/2019</v>
          </cell>
          <cell r="O108" t="str">
            <v>31/01/2019</v>
          </cell>
          <cell r="P108" t="str">
            <v>DOU</v>
          </cell>
          <cell r="Z108" t="str">
            <v>Sem designação</v>
          </cell>
          <cell r="AF108" t="str">
            <v>Masculino</v>
          </cell>
          <cell r="AG108" t="str">
            <v>Branca</v>
          </cell>
          <cell r="AH108" t="str">
            <v>31/03/1960</v>
          </cell>
          <cell r="AI108">
            <v>60</v>
          </cell>
          <cell r="AJ108">
            <v>10373.299999999999</v>
          </cell>
          <cell r="AL108" t="str">
            <v>FA</v>
          </cell>
          <cell r="AM108">
            <v>10373.299999999999</v>
          </cell>
          <cell r="AN108" t="str">
            <v>clayton.pontes@mme.gov.br</v>
          </cell>
          <cell r="AO108" t="str">
            <v>(61) 2032-5852</v>
          </cell>
          <cell r="AP108" t="str">
            <v>SPG13</v>
          </cell>
        </row>
        <row r="109">
          <cell r="A109" t="str">
            <v>CLEONICE DE FREITAS DE ALMEIDA</v>
          </cell>
          <cell r="B109" t="str">
            <v>213.965.071-91</v>
          </cell>
          <cell r="C109">
            <v>2586386</v>
          </cell>
          <cell r="D109" t="str">
            <v>Escriturário II</v>
          </cell>
          <cell r="E109" t="str">
            <v>Anistiado MME</v>
          </cell>
          <cell r="F109" t="str">
            <v>MME - Ministério de Minas e Energia</v>
          </cell>
          <cell r="G109" t="str">
            <v>SE / SPOA / CGRH / COORDENAÇÃO DE DESENVOLVIMENTO E SEGURIDADE SOCIAL - CODES</v>
          </cell>
          <cell r="H109" t="str">
            <v>8.105.220</v>
          </cell>
          <cell r="Z109" t="str">
            <v>Sem designação</v>
          </cell>
          <cell r="AF109" t="str">
            <v>Feminino</v>
          </cell>
          <cell r="AG109" t="str">
            <v>Branca</v>
          </cell>
          <cell r="AH109" t="str">
            <v>16/03/1959</v>
          </cell>
          <cell r="AI109">
            <v>61</v>
          </cell>
          <cell r="AJ109">
            <v>4115.5</v>
          </cell>
          <cell r="AL109" t="str">
            <v>FA</v>
          </cell>
          <cell r="AM109">
            <v>4115.5</v>
          </cell>
          <cell r="AN109" t="str">
            <v>cleonice.almeida@mme.gov.br</v>
          </cell>
          <cell r="AO109" t="str">
            <v>(61) 2032-5398</v>
          </cell>
        </row>
        <row r="110">
          <cell r="A110" t="str">
            <v>CLEUSA COSTA DE JESUS</v>
          </cell>
          <cell r="B110" t="str">
            <v>386.761.251-04</v>
          </cell>
          <cell r="C110">
            <v>454729</v>
          </cell>
          <cell r="D110" t="str">
            <v>Agente Administrativo</v>
          </cell>
          <cell r="E110" t="str">
            <v>Ativo Permanente</v>
          </cell>
          <cell r="F110" t="str">
            <v>MME - Ministério de Minas e Energia</v>
          </cell>
          <cell r="G110" t="str">
            <v>SE / SPOA / CGCC / COORDENAÇÃO DE ADMINISTRAÇÃO DE CONTRATOS - CAC</v>
          </cell>
          <cell r="H110" t="str">
            <v>8.105.410</v>
          </cell>
          <cell r="I110" t="str">
            <v>Função Gratificada</v>
          </cell>
          <cell r="J110" t="str">
            <v>FGR</v>
          </cell>
          <cell r="K110">
            <v>1</v>
          </cell>
          <cell r="L110" t="str">
            <v xml:space="preserve">Portaria nº </v>
          </cell>
          <cell r="M110">
            <v>205</v>
          </cell>
          <cell r="N110" t="str">
            <v>17/04/2019</v>
          </cell>
          <cell r="O110" t="str">
            <v>22/04/2019</v>
          </cell>
          <cell r="P110" t="str">
            <v>DOU</v>
          </cell>
          <cell r="Q110" t="str">
            <v>GSISTE</v>
          </cell>
          <cell r="R110" t="str">
            <v>Intermediário</v>
          </cell>
          <cell r="S110" t="str">
            <v>SISG - Sistema de Serviços Gerais</v>
          </cell>
          <cell r="T110" t="str">
            <v xml:space="preserve">Portaria nº </v>
          </cell>
          <cell r="U110">
            <v>27</v>
          </cell>
          <cell r="V110" t="str">
            <v>15/03/2017</v>
          </cell>
          <cell r="W110" t="str">
            <v>15/03/2017</v>
          </cell>
          <cell r="X110" t="str">
            <v>BPE</v>
          </cell>
          <cell r="Y110" t="str">
            <v>Coordenação de Administração de Contratos</v>
          </cell>
          <cell r="Z110" t="str">
            <v>Pessoal</v>
          </cell>
          <cell r="AA110" t="str">
            <v xml:space="preserve">Portaria nº </v>
          </cell>
          <cell r="AB110">
            <v>257</v>
          </cell>
          <cell r="AC110" t="str">
            <v>18/06/2019</v>
          </cell>
          <cell r="AD110" t="str">
            <v>19/06/2019</v>
          </cell>
          <cell r="AE110" t="str">
            <v>DOU</v>
          </cell>
          <cell r="AF110" t="str">
            <v>Feminino</v>
          </cell>
          <cell r="AG110" t="str">
            <v>Parda</v>
          </cell>
          <cell r="AH110" t="str">
            <v>21/07/1965</v>
          </cell>
          <cell r="AI110">
            <v>55</v>
          </cell>
          <cell r="AJ110">
            <v>8002.36</v>
          </cell>
          <cell r="AL110" t="str">
            <v>FA</v>
          </cell>
          <cell r="AM110">
            <v>8002.36</v>
          </cell>
          <cell r="AN110" t="str">
            <v>Cleusa@mme.gov.br</v>
          </cell>
          <cell r="AO110" t="str">
            <v>(61) 2032-5575</v>
          </cell>
          <cell r="AQ110" t="str">
            <v>SE49S</v>
          </cell>
        </row>
        <row r="111">
          <cell r="A111" t="str">
            <v>CONCEICAO CRISTINA ARAUJO LIMA</v>
          </cell>
          <cell r="B111" t="str">
            <v>488.110.681-34</v>
          </cell>
          <cell r="C111">
            <v>5300147</v>
          </cell>
          <cell r="D111" t="str">
            <v>Sem Cargo/Emprego</v>
          </cell>
          <cell r="E111" t="str">
            <v>Sem Vínculo</v>
          </cell>
          <cell r="F111" t="str">
            <v>Sem Vínculo</v>
          </cell>
          <cell r="G111" t="str">
            <v>SEE / DPUE / COORDENAÇÃO GERAL DE UNIVERSALIZAÇÃO DO ACESSO À ENERGIA</v>
          </cell>
          <cell r="H111" t="str">
            <v>12.103.200</v>
          </cell>
          <cell r="I111" t="str">
            <v>Coordenadora Geral de Universalização do Acesso à Energia do Departamento de Políticas Sociais e Universalização do Acesso à Energia</v>
          </cell>
          <cell r="J111" t="str">
            <v>DAS</v>
          </cell>
          <cell r="K111" t="str">
            <v>101.4</v>
          </cell>
          <cell r="L111" t="str">
            <v xml:space="preserve">Portaria nº </v>
          </cell>
          <cell r="M111">
            <v>619</v>
          </cell>
          <cell r="N111" t="str">
            <v>16/11/2016</v>
          </cell>
          <cell r="O111" t="str">
            <v>17/11/2016</v>
          </cell>
          <cell r="P111" t="str">
            <v>DOU</v>
          </cell>
          <cell r="Z111" t="str">
            <v>Sem designação</v>
          </cell>
          <cell r="AF111" t="str">
            <v>Feminino</v>
          </cell>
          <cell r="AG111" t="str">
            <v>Branca</v>
          </cell>
          <cell r="AH111" t="str">
            <v>08/12/1969</v>
          </cell>
          <cell r="AI111">
            <v>50</v>
          </cell>
          <cell r="AJ111">
            <v>10373.299999999999</v>
          </cell>
          <cell r="AL111" t="str">
            <v>FA</v>
          </cell>
          <cell r="AM111">
            <v>10373.299999999999</v>
          </cell>
          <cell r="AN111" t="str">
            <v>conceicao.lima@mme.gov.br</v>
          </cell>
          <cell r="AO111" t="str">
            <v>(61) 2032-5253</v>
          </cell>
          <cell r="AP111" t="str">
            <v>SEE30</v>
          </cell>
        </row>
        <row r="112">
          <cell r="A112" t="str">
            <v>CONCEICAO DE MARIA OLIVEIRA COSTA</v>
          </cell>
          <cell r="B112" t="str">
            <v>318.708.211-49</v>
          </cell>
          <cell r="C112">
            <v>1094208</v>
          </cell>
          <cell r="D112" t="str">
            <v>Administrador</v>
          </cell>
          <cell r="E112" t="str">
            <v>Ativo Permanente</v>
          </cell>
          <cell r="F112" t="str">
            <v>MME - Ministério de Minas e Energia</v>
          </cell>
          <cell r="G112" t="str">
            <v>SE / SPOA / COORDENAÇÃO DE MODERNIZAÇÃO ADMINISTRATIVA - CMA</v>
          </cell>
          <cell r="H112" t="str">
            <v>8.105.010</v>
          </cell>
          <cell r="I112" t="str">
            <v>Assistente técnico da Coordenação de Modernização Administrativa da Subsecretaria de Planejamento, Orçamento e Administração</v>
          </cell>
          <cell r="J112" t="str">
            <v>FCPE</v>
          </cell>
          <cell r="K112" t="str">
            <v>102.1</v>
          </cell>
          <cell r="L112" t="str">
            <v xml:space="preserve">Portaria nº </v>
          </cell>
          <cell r="M112">
            <v>558</v>
          </cell>
          <cell r="N112" t="str">
            <v>03/11/2016</v>
          </cell>
          <cell r="O112" t="str">
            <v>04/11/2016</v>
          </cell>
          <cell r="P112" t="str">
            <v>DOU</v>
          </cell>
          <cell r="Q112" t="str">
            <v>GSISTE</v>
          </cell>
          <cell r="R112" t="str">
            <v>Superior</v>
          </cell>
          <cell r="S112" t="str">
            <v>SISG - Sistema de Serviços Gerais</v>
          </cell>
          <cell r="T112" t="str">
            <v xml:space="preserve">Portaria nº </v>
          </cell>
          <cell r="U112">
            <v>60</v>
          </cell>
          <cell r="V112" t="str">
            <v>19/06/2009</v>
          </cell>
          <cell r="W112" t="str">
            <v>19/06/2009</v>
          </cell>
          <cell r="X112" t="str">
            <v>BPE</v>
          </cell>
          <cell r="Z112" t="str">
            <v>Sem designação</v>
          </cell>
          <cell r="AF112" t="str">
            <v>Feminino</v>
          </cell>
          <cell r="AG112" t="str">
            <v>Parda</v>
          </cell>
          <cell r="AH112" t="str">
            <v>08/12/1960</v>
          </cell>
          <cell r="AI112">
            <v>59</v>
          </cell>
          <cell r="AJ112">
            <v>13581.25</v>
          </cell>
          <cell r="AL112" t="str">
            <v>FA</v>
          </cell>
          <cell r="AM112">
            <v>13581.25</v>
          </cell>
          <cell r="AN112" t="str">
            <v>conceicao.costa@mme.gov.br</v>
          </cell>
          <cell r="AO112" t="str">
            <v>(61) 2032-5614</v>
          </cell>
          <cell r="AP112" t="str">
            <v>SE45</v>
          </cell>
        </row>
        <row r="113">
          <cell r="A113" t="str">
            <v>CORACY NOGUEIRA LOSSO</v>
          </cell>
          <cell r="B113" t="str">
            <v>299.332.507-87</v>
          </cell>
          <cell r="C113">
            <v>1681461</v>
          </cell>
          <cell r="D113" t="str">
            <v>Programador de Sistema III</v>
          </cell>
          <cell r="E113" t="str">
            <v>Anistiado MME</v>
          </cell>
          <cell r="F113" t="str">
            <v>MME - Ministério de Minas e Energia</v>
          </cell>
          <cell r="G113" t="str">
            <v>Aguardando Lotação/Exercício</v>
          </cell>
          <cell r="H113" t="str">
            <v>88.000.000</v>
          </cell>
          <cell r="Z113" t="str">
            <v>Sem designação</v>
          </cell>
          <cell r="AF113" t="str">
            <v>Feminino</v>
          </cell>
          <cell r="AG113" t="str">
            <v>Branca</v>
          </cell>
          <cell r="AH113" t="str">
            <v>16/01/1953</v>
          </cell>
          <cell r="AI113">
            <v>67</v>
          </cell>
          <cell r="AJ113">
            <v>4127.96</v>
          </cell>
          <cell r="AL113" t="str">
            <v>FA</v>
          </cell>
          <cell r="AM113">
            <v>4127.96</v>
          </cell>
        </row>
        <row r="114">
          <cell r="A114" t="str">
            <v>CRISTIANO MASAYOSHI MENEZES FURUHASHI</v>
          </cell>
          <cell r="B114" t="str">
            <v>694.680.521-68</v>
          </cell>
          <cell r="C114">
            <v>2661367</v>
          </cell>
          <cell r="D114" t="str">
            <v>Analista de Infraestrutura</v>
          </cell>
          <cell r="E114" t="str">
            <v>Exercício Descentralizado</v>
          </cell>
          <cell r="F114" t="str">
            <v>ME - Ministério da Economia</v>
          </cell>
          <cell r="G114" t="str">
            <v>SGM / DEPARTAMENTO DE DESENVOLVIMENTO SUSTENTÁVEL NA MINERAÇÃO - DDM</v>
          </cell>
          <cell r="H114" t="str">
            <v>9.104.000</v>
          </cell>
          <cell r="Y114" t="str">
            <v>Coordenação Geral de Desenvolvimento Sócio Ambiental na Mineração</v>
          </cell>
          <cell r="Z114" t="str">
            <v>Eventual</v>
          </cell>
          <cell r="AA114" t="str">
            <v xml:space="preserve">Portaria nº </v>
          </cell>
          <cell r="AB114">
            <v>606</v>
          </cell>
          <cell r="AC114" t="str">
            <v>24/10/2011</v>
          </cell>
          <cell r="AD114" t="str">
            <v>25/10/2011</v>
          </cell>
          <cell r="AE114" t="str">
            <v>DOU</v>
          </cell>
          <cell r="AF114" t="str">
            <v>Masculino</v>
          </cell>
          <cell r="AG114" t="str">
            <v>Branca</v>
          </cell>
          <cell r="AH114" t="str">
            <v>05/11/1978</v>
          </cell>
          <cell r="AI114">
            <v>42</v>
          </cell>
          <cell r="AJ114">
            <v>2697.05</v>
          </cell>
          <cell r="AK114">
            <v>16205.8</v>
          </cell>
          <cell r="AL114" t="str">
            <v>FA</v>
          </cell>
          <cell r="AM114">
            <v>18902.849999999999</v>
          </cell>
          <cell r="AN114" t="str">
            <v>cristiano.furuhashi@mme.gov.br</v>
          </cell>
          <cell r="AO114" t="str">
            <v>(61) 2032-5642</v>
          </cell>
          <cell r="AQ114" t="str">
            <v>SGM13S</v>
          </cell>
        </row>
        <row r="115">
          <cell r="A115" t="str">
            <v>CRISTOVAO EPAMINONDAS DE LIMA</v>
          </cell>
          <cell r="B115" t="str">
            <v>919.209.491-00</v>
          </cell>
          <cell r="C115">
            <v>2798687</v>
          </cell>
          <cell r="D115" t="str">
            <v>Agente Administrativo</v>
          </cell>
          <cell r="E115" t="str">
            <v>Requisitado de Órgãos</v>
          </cell>
          <cell r="F115" t="str">
            <v>MAPA - Ministério da Agricultura, Pecuário e Abastecimento</v>
          </cell>
          <cell r="G115" t="str">
            <v>SE / SPOA / CGRL / COORDENAÇÃO DE ATIVIDADES GERAIS - COAGE</v>
          </cell>
          <cell r="H115" t="str">
            <v>8.105.120</v>
          </cell>
          <cell r="I115" t="str">
            <v>Função Comissionada Técnica - Técnico de Sistemas Operacionais e Administrativos</v>
          </cell>
          <cell r="J115" t="str">
            <v>FCT</v>
          </cell>
          <cell r="K115">
            <v>10</v>
          </cell>
          <cell r="L115" t="str">
            <v xml:space="preserve">Portaria nº </v>
          </cell>
          <cell r="M115">
            <v>425</v>
          </cell>
          <cell r="N115" t="str">
            <v>21/11/2019</v>
          </cell>
          <cell r="O115" t="str">
            <v>22/11/2019</v>
          </cell>
          <cell r="P115" t="str">
            <v>DOU</v>
          </cell>
          <cell r="Q115" t="str">
            <v>GSISTE</v>
          </cell>
          <cell r="R115" t="str">
            <v>Intermediário</v>
          </cell>
          <cell r="S115" t="str">
            <v>SISG - Sistema de Serviços Gerais</v>
          </cell>
          <cell r="T115" t="str">
            <v xml:space="preserve">Portaria nº </v>
          </cell>
          <cell r="U115">
            <v>86</v>
          </cell>
          <cell r="V115" t="str">
            <v>07/08/2017</v>
          </cell>
          <cell r="W115" t="str">
            <v>07/08/2017</v>
          </cell>
          <cell r="X115" t="str">
            <v>BPE</v>
          </cell>
          <cell r="Z115" t="str">
            <v>Sem designação</v>
          </cell>
          <cell r="AF115" t="str">
            <v>Masculino</v>
          </cell>
          <cell r="AG115" t="str">
            <v>Branca</v>
          </cell>
          <cell r="AH115" t="str">
            <v>10/08/1982</v>
          </cell>
          <cell r="AI115">
            <v>38</v>
          </cell>
          <cell r="AJ115">
            <v>2910.34</v>
          </cell>
          <cell r="AK115">
            <v>5039.3100000000004</v>
          </cell>
          <cell r="AL115" t="str">
            <v>FA</v>
          </cell>
          <cell r="AM115">
            <v>7949.6500000000005</v>
          </cell>
          <cell r="AN115" t="str">
            <v>cristovao.lima@mme.gov.br</v>
          </cell>
          <cell r="AO115" t="str">
            <v>(61) 2032-5183</v>
          </cell>
        </row>
        <row r="116">
          <cell r="A116" t="str">
            <v>CUSTÓDIA OLIVEIRA PEREIRA</v>
          </cell>
          <cell r="B116" t="str">
            <v>001.682.055-05</v>
          </cell>
          <cell r="C116">
            <v>2344185</v>
          </cell>
          <cell r="D116" t="str">
            <v>Sem Cargo/Emprego</v>
          </cell>
          <cell r="E116" t="str">
            <v>Sem Vínculo</v>
          </cell>
          <cell r="F116" t="str">
            <v>Sem Vínculo</v>
          </cell>
          <cell r="G116" t="str">
            <v>SE / SPOA / CGRL / COORDENAÇÃO DE ADMINISTRAÇÃO DE MATERIAL E EXECUÇÃO FINANCEIRA - COMEF</v>
          </cell>
          <cell r="H116" t="str">
            <v>8.105.110</v>
          </cell>
          <cell r="I116" t="str">
            <v>Chefe da Divisão de Execução Orçamentária e Financeira da Coordenação de Administração de Material e Execução Financeira</v>
          </cell>
          <cell r="J116" t="str">
            <v>DAS</v>
          </cell>
          <cell r="K116" t="str">
            <v>101.2</v>
          </cell>
          <cell r="L116" t="str">
            <v xml:space="preserve">Portaria nº </v>
          </cell>
          <cell r="M116">
            <v>297</v>
          </cell>
          <cell r="N116" t="str">
            <v>04/08/2017</v>
          </cell>
          <cell r="O116" t="str">
            <v>08/08/2017</v>
          </cell>
          <cell r="P116" t="str">
            <v>DOU</v>
          </cell>
          <cell r="Y116" t="str">
            <v>Coordenação de Administração de Material e Execução Financeira CGRL</v>
          </cell>
          <cell r="Z116" t="str">
            <v>Eventual</v>
          </cell>
          <cell r="AA116" t="str">
            <v xml:space="preserve">Portaria nº </v>
          </cell>
          <cell r="AB116">
            <v>129</v>
          </cell>
          <cell r="AC116" t="str">
            <v>12/04/2018</v>
          </cell>
          <cell r="AD116" t="str">
            <v>16/04/2018</v>
          </cell>
          <cell r="AE116" t="str">
            <v>DOU</v>
          </cell>
          <cell r="AF116" t="str">
            <v>Feminino</v>
          </cell>
          <cell r="AG116" t="str">
            <v>Branca</v>
          </cell>
          <cell r="AH116" t="str">
            <v>23/02/1981</v>
          </cell>
          <cell r="AI116">
            <v>39</v>
          </cell>
          <cell r="AJ116">
            <v>3814.88</v>
          </cell>
          <cell r="AL116" t="str">
            <v>FA</v>
          </cell>
          <cell r="AM116">
            <v>3814.88</v>
          </cell>
          <cell r="AN116" t="str">
            <v>custodia.pereira@mme.gov.br</v>
          </cell>
          <cell r="AO116" t="str">
            <v>(61) 2032-5570</v>
          </cell>
          <cell r="AP116" t="str">
            <v>SE53</v>
          </cell>
          <cell r="AQ116" t="str">
            <v>SE22S</v>
          </cell>
        </row>
        <row r="117">
          <cell r="A117" t="str">
            <v>DALTON JOSE DE OLIVEIRA</v>
          </cell>
          <cell r="B117" t="str">
            <v>221.944.791-04</v>
          </cell>
          <cell r="C117">
            <v>452266</v>
          </cell>
          <cell r="D117" t="str">
            <v>Administrador</v>
          </cell>
          <cell r="E117" t="str">
            <v>Ativo Permanente</v>
          </cell>
          <cell r="F117" t="str">
            <v>MME - Ministério de Minas e Energia</v>
          </cell>
          <cell r="G117" t="str">
            <v>ASSESSORIA ESPECIAL DE ACOMPANHAMENTO DE POLÍTICAS, ESTRATÉGIAS E DESEMPENHO SETORIAL - AEPED</v>
          </cell>
          <cell r="H117" t="str">
            <v>4.000.000</v>
          </cell>
          <cell r="I117" t="str">
            <v>Assessor Técnico da Assessoria Especial de Acompanhamento de Políticas, Estratégias e Desempenho Setoriais</v>
          </cell>
          <cell r="J117" t="str">
            <v>DAS</v>
          </cell>
          <cell r="K117" t="str">
            <v>102.3</v>
          </cell>
          <cell r="L117" t="str">
            <v xml:space="preserve">Portaria nº </v>
          </cell>
          <cell r="M117">
            <v>38</v>
          </cell>
          <cell r="N117" t="str">
            <v>18/01/2019</v>
          </cell>
          <cell r="O117" t="str">
            <v>24/01/2019</v>
          </cell>
          <cell r="P117" t="str">
            <v>DOU</v>
          </cell>
          <cell r="Z117" t="str">
            <v>Sem designação</v>
          </cell>
          <cell r="AF117" t="str">
            <v>Masculino</v>
          </cell>
          <cell r="AG117" t="str">
            <v>Parda</v>
          </cell>
          <cell r="AH117" t="str">
            <v>14/07/1960</v>
          </cell>
          <cell r="AI117">
            <v>60</v>
          </cell>
          <cell r="AJ117">
            <v>15094.15</v>
          </cell>
          <cell r="AL117" t="str">
            <v>FA</v>
          </cell>
          <cell r="AM117">
            <v>15094.15</v>
          </cell>
          <cell r="AN117" t="str">
            <v>daltonoliveira@mme.gov.br</v>
          </cell>
          <cell r="AO117" t="str">
            <v>(61) 2032-5327</v>
          </cell>
          <cell r="AP117" t="str">
            <v>AEPED04</v>
          </cell>
        </row>
        <row r="118">
          <cell r="A118" t="str">
            <v>DANIEL ALVES LIMA</v>
          </cell>
          <cell r="B118" t="str">
            <v>034.021.276-44</v>
          </cell>
          <cell r="C118">
            <v>3561759</v>
          </cell>
          <cell r="D118" t="str">
            <v>Analista de Infraestrutura</v>
          </cell>
          <cell r="E118" t="str">
            <v>Requisitado de Órgãos</v>
          </cell>
          <cell r="F118" t="str">
            <v>ME - Ministério da Economia</v>
          </cell>
          <cell r="G118" t="str">
            <v>SGM / DPGM / COORDENAÇÃO GERAL DE POLÍTICA E PROGRAMAS PARA MINERAÇÃO</v>
          </cell>
          <cell r="H118" t="str">
            <v>9.101.100</v>
          </cell>
          <cell r="I118" t="str">
            <v>Coordenador Geral de Política e Programas para Mineração do Departamento de Gestão das Políticas de Geologia, Mineração e Transformação Mineral</v>
          </cell>
          <cell r="J118" t="str">
            <v>FCPE</v>
          </cell>
          <cell r="K118" t="str">
            <v>101.4</v>
          </cell>
          <cell r="L118" t="str">
            <v xml:space="preserve">Portaria nº </v>
          </cell>
          <cell r="M118">
            <v>148</v>
          </cell>
          <cell r="N118" t="str">
            <v>28/02/2019</v>
          </cell>
          <cell r="O118" t="str">
            <v>06/03/2019</v>
          </cell>
          <cell r="P118" t="str">
            <v>DOU</v>
          </cell>
          <cell r="Y118" t="str">
            <v>Departamento de Transformação e Tecnologia Mineral</v>
          </cell>
          <cell r="Z118" t="str">
            <v>Eventual</v>
          </cell>
          <cell r="AA118" t="str">
            <v xml:space="preserve">Portaria nº </v>
          </cell>
          <cell r="AB118">
            <v>232</v>
          </cell>
          <cell r="AC118" t="str">
            <v>23/05/2019</v>
          </cell>
          <cell r="AD118" t="str">
            <v>27/05/2019</v>
          </cell>
          <cell r="AE118" t="str">
            <v>DOU</v>
          </cell>
          <cell r="AF118" t="str">
            <v>Masculino</v>
          </cell>
          <cell r="AG118" t="str">
            <v>Branca</v>
          </cell>
          <cell r="AH118" t="str">
            <v>14/08/1977</v>
          </cell>
          <cell r="AI118">
            <v>43</v>
          </cell>
          <cell r="AJ118">
            <v>6548.99</v>
          </cell>
          <cell r="AK118">
            <v>17026.400000000001</v>
          </cell>
          <cell r="AL118" t="str">
            <v>FA</v>
          </cell>
          <cell r="AM118">
            <v>23575.39</v>
          </cell>
          <cell r="AN118" t="str">
            <v>daniel.lima@mme.gov.br</v>
          </cell>
          <cell r="AO118" t="str">
            <v>(61) 2032-5247</v>
          </cell>
          <cell r="AP118" t="str">
            <v>SGM11</v>
          </cell>
          <cell r="AQ118" t="str">
            <v>SGM10S</v>
          </cell>
        </row>
        <row r="119">
          <cell r="A119" t="str">
            <v>DANIEL LOPES PÊGO</v>
          </cell>
          <cell r="B119" t="str">
            <v>985.609.301-59</v>
          </cell>
          <cell r="C119">
            <v>1048617</v>
          </cell>
          <cell r="D119" t="str">
            <v>Analista de Infraestrutura</v>
          </cell>
          <cell r="E119" t="str">
            <v>Exercício Descentralizado</v>
          </cell>
          <cell r="F119" t="str">
            <v>ME - Ministério da Economia</v>
          </cell>
          <cell r="G119" t="str">
            <v>SPG / DEPARTAMENTO DE GÁS NATURAL - DGN</v>
          </cell>
          <cell r="H119" t="str">
            <v>11.102.000</v>
          </cell>
          <cell r="I119" t="str">
            <v>Assistente do Departamento de Gás Natural</v>
          </cell>
          <cell r="J119" t="str">
            <v>FCPE</v>
          </cell>
          <cell r="K119" t="str">
            <v>102.2</v>
          </cell>
          <cell r="L119" t="str">
            <v xml:space="preserve">Portaria nº </v>
          </cell>
          <cell r="M119">
            <v>369</v>
          </cell>
          <cell r="N119" t="str">
            <v>07/10/2020</v>
          </cell>
          <cell r="O119" t="str">
            <v>13/10/2020</v>
          </cell>
          <cell r="P119" t="str">
            <v>DOU</v>
          </cell>
          <cell r="Y119" t="str">
            <v>Gerente de Projeto do Departamento de Gás Natural</v>
          </cell>
          <cell r="Z119" t="str">
            <v>Eventual</v>
          </cell>
          <cell r="AA119" t="str">
            <v xml:space="preserve">Portaria nº </v>
          </cell>
          <cell r="AB119">
            <v>326</v>
          </cell>
          <cell r="AC119" t="str">
            <v>15/08/2019</v>
          </cell>
          <cell r="AD119" t="str">
            <v>16/08/2019</v>
          </cell>
          <cell r="AE119" t="str">
            <v>DOU</v>
          </cell>
          <cell r="AF119" t="str">
            <v>Masculino</v>
          </cell>
          <cell r="AG119" t="str">
            <v>Preta</v>
          </cell>
          <cell r="AH119" t="str">
            <v>20/07/1984</v>
          </cell>
          <cell r="AI119">
            <v>36</v>
          </cell>
          <cell r="AJ119">
            <v>0</v>
          </cell>
          <cell r="AK119">
            <v>14823.28</v>
          </cell>
          <cell r="AL119" t="str">
            <v>FA</v>
          </cell>
          <cell r="AM119">
            <v>14823.28</v>
          </cell>
          <cell r="AN119" t="str">
            <v>daniel.pego@mme.gov.br</v>
          </cell>
          <cell r="AO119" t="str">
            <v>(61) 2032-5805</v>
          </cell>
          <cell r="AP119" t="str">
            <v>SPG16</v>
          </cell>
          <cell r="AQ119" t="str">
            <v>SPG08S</v>
          </cell>
        </row>
        <row r="120">
          <cell r="A120" t="str">
            <v>DANIELE DE OLIVEIRA BANDEIRA</v>
          </cell>
          <cell r="B120" t="str">
            <v>670.042.371-68</v>
          </cell>
          <cell r="C120">
            <v>1433965</v>
          </cell>
          <cell r="D120" t="str">
            <v>Sem Cargo/Emprego</v>
          </cell>
          <cell r="E120" t="str">
            <v>Sem Vínculo</v>
          </cell>
          <cell r="F120" t="str">
            <v>Sem Vínculo</v>
          </cell>
          <cell r="G120" t="str">
            <v>SPE / DIEE / COORDENAÇÃO GERAL DE INFORMAÇÕES ENERGÉTICAS</v>
          </cell>
          <cell r="H120" t="str">
            <v>10.104.100</v>
          </cell>
          <cell r="I120" t="str">
            <v>Assessora Técnica da Coordenação Geral de Informações Energéticas do Departamento de Informações Energéticas</v>
          </cell>
          <cell r="J120" t="str">
            <v>DAS</v>
          </cell>
          <cell r="K120" t="str">
            <v>102.3</v>
          </cell>
          <cell r="L120" t="str">
            <v xml:space="preserve">Portaria nº </v>
          </cell>
          <cell r="M120">
            <v>570</v>
          </cell>
          <cell r="N120" t="str">
            <v>03/11/2016</v>
          </cell>
          <cell r="O120" t="str">
            <v>04/11/2016</v>
          </cell>
          <cell r="P120" t="str">
            <v>DOU</v>
          </cell>
          <cell r="Z120" t="str">
            <v>Sem designação</v>
          </cell>
          <cell r="AF120" t="str">
            <v>Feminino</v>
          </cell>
          <cell r="AG120" t="str">
            <v>Branca</v>
          </cell>
          <cell r="AH120" t="str">
            <v>16/03/1980</v>
          </cell>
          <cell r="AI120">
            <v>40</v>
          </cell>
          <cell r="AJ120">
            <v>5685.55</v>
          </cell>
          <cell r="AL120" t="str">
            <v>FA</v>
          </cell>
          <cell r="AM120">
            <v>5685.55</v>
          </cell>
          <cell r="AN120" t="str">
            <v>daniele.bandeira@mme.gov.br</v>
          </cell>
          <cell r="AO120" t="str">
            <v>(61) 2032-5016</v>
          </cell>
          <cell r="AP120" t="str">
            <v>SPE30</v>
          </cell>
        </row>
        <row r="121">
          <cell r="A121" t="str">
            <v>DANIELLE GONCALVES BRITTO</v>
          </cell>
          <cell r="B121" t="str">
            <v>104.849.977-42</v>
          </cell>
          <cell r="C121">
            <v>3133022</v>
          </cell>
          <cell r="D121" t="str">
            <v>Marinha</v>
          </cell>
          <cell r="E121" t="str">
            <v>Requisitado Militar</v>
          </cell>
          <cell r="F121" t="str">
            <v>Marinha</v>
          </cell>
          <cell r="G121" t="str">
            <v>Escritório Rio de Janeiro/RJ</v>
          </cell>
          <cell r="H121" t="str">
            <v>99.000.000</v>
          </cell>
          <cell r="I121" t="str">
            <v>Assessor Técnico Escritório RJ</v>
          </cell>
          <cell r="J121" t="str">
            <v>DAS</v>
          </cell>
          <cell r="K121" t="str">
            <v>102.3</v>
          </cell>
          <cell r="L121" t="str">
            <v xml:space="preserve">Portaria nº </v>
          </cell>
          <cell r="M121">
            <v>270</v>
          </cell>
          <cell r="N121" t="str">
            <v>01/07/2020</v>
          </cell>
          <cell r="O121" t="str">
            <v>02/07/2020</v>
          </cell>
          <cell r="P121" t="str">
            <v>DOU</v>
          </cell>
          <cell r="Z121" t="str">
            <v>Sem designação</v>
          </cell>
          <cell r="AF121" t="str">
            <v>Feminino</v>
          </cell>
          <cell r="AG121" t="str">
            <v>Branca</v>
          </cell>
          <cell r="AH121" t="str">
            <v>26/05/1984</v>
          </cell>
          <cell r="AI121">
            <v>36</v>
          </cell>
          <cell r="AJ121">
            <v>3411.33</v>
          </cell>
          <cell r="AK121">
            <v>7335.1</v>
          </cell>
          <cell r="AL121" t="str">
            <v>FA</v>
          </cell>
          <cell r="AM121">
            <v>10746.43</v>
          </cell>
          <cell r="AN121" t="str">
            <v>danielle.britto@mme.gov.br</v>
          </cell>
          <cell r="AO121" t="str">
            <v>(61) 2032-5046</v>
          </cell>
          <cell r="AP121" t="str">
            <v>TEMP03</v>
          </cell>
        </row>
        <row r="122">
          <cell r="A122" t="str">
            <v>DANIELLE LANCHARES ORNELAS</v>
          </cell>
          <cell r="B122" t="str">
            <v>090.548.587-45</v>
          </cell>
          <cell r="C122">
            <v>1650027</v>
          </cell>
          <cell r="D122" t="str">
            <v>Especialista em Regulamentação de Petróleo e Der Alc Com e Gás Natural</v>
          </cell>
          <cell r="E122" t="str">
            <v>Requisitado de Órgãos</v>
          </cell>
          <cell r="F122" t="str">
            <v>ANP - Agência Nacional do Petróleo, Gás Natural e Biocombustíveis</v>
          </cell>
          <cell r="G122" t="str">
            <v>SPG / DCDP / COORDENAÇÃO GERAL DE REFINO, ABASTECIMENTO ......</v>
          </cell>
          <cell r="H122" t="str">
            <v>11.103.200</v>
          </cell>
          <cell r="I122" t="str">
            <v>Coordenadora Geral de Refino, Abastecimento e Infraestrutura do Departamento de Combustíveis Derivados de Petróleo</v>
          </cell>
          <cell r="J122" t="str">
            <v>DAS</v>
          </cell>
          <cell r="K122" t="str">
            <v>101.4</v>
          </cell>
          <cell r="L122" t="str">
            <v xml:space="preserve">Portaria nº </v>
          </cell>
          <cell r="M122">
            <v>478</v>
          </cell>
          <cell r="N122" t="str">
            <v>23/12/2019</v>
          </cell>
          <cell r="O122" t="str">
            <v>30/12/2019</v>
          </cell>
          <cell r="P122" t="str">
            <v>DOU</v>
          </cell>
          <cell r="Z122" t="str">
            <v>Sem designação</v>
          </cell>
          <cell r="AF122" t="str">
            <v>Feminino</v>
          </cell>
          <cell r="AG122" t="str">
            <v>Branca</v>
          </cell>
          <cell r="AH122" t="str">
            <v>04/03/1982</v>
          </cell>
          <cell r="AI122">
            <v>38</v>
          </cell>
          <cell r="AJ122">
            <v>5809.05</v>
          </cell>
          <cell r="AK122">
            <v>21550.22</v>
          </cell>
          <cell r="AL122" t="str">
            <v>FA</v>
          </cell>
          <cell r="AM122">
            <v>27359.27</v>
          </cell>
          <cell r="AN122" t="str">
            <v>danielle.ornelas@mme.gov.br</v>
          </cell>
          <cell r="AO122" t="str">
            <v>(61) 2032-5971</v>
          </cell>
          <cell r="AP122" t="str">
            <v>SPG22</v>
          </cell>
        </row>
        <row r="123">
          <cell r="A123" t="str">
            <v>DANIELLE SIMOES GUIMARAES</v>
          </cell>
          <cell r="B123" t="str">
            <v>793.505.261-15</v>
          </cell>
          <cell r="C123">
            <v>2444145</v>
          </cell>
          <cell r="D123" t="str">
            <v>Sem Cargo/Emprego</v>
          </cell>
          <cell r="E123" t="str">
            <v>Sem Vínculo</v>
          </cell>
          <cell r="F123" t="str">
            <v>Sem Vínculo</v>
          </cell>
          <cell r="G123" t="str">
            <v>ASSESSORIA ESPECIAL DE RELAÇÕES INTERNACIONAIS - ASSINT</v>
          </cell>
          <cell r="H123" t="str">
            <v>3.000.000</v>
          </cell>
          <cell r="I123" t="str">
            <v>Assessora da Assessoria Especial de Relações Internacionais</v>
          </cell>
          <cell r="J123" t="str">
            <v>DAS</v>
          </cell>
          <cell r="K123" t="str">
            <v>102.4</v>
          </cell>
          <cell r="L123" t="str">
            <v xml:space="preserve">Portaria nº </v>
          </cell>
          <cell r="M123">
            <v>524</v>
          </cell>
          <cell r="N123" t="str">
            <v>03/11/2016</v>
          </cell>
          <cell r="O123" t="str">
            <v>04/11/2016</v>
          </cell>
          <cell r="P123" t="str">
            <v>BPE</v>
          </cell>
          <cell r="Z123" t="str">
            <v>Sem designação</v>
          </cell>
          <cell r="AF123" t="str">
            <v>Feminino</v>
          </cell>
          <cell r="AG123" t="str">
            <v>Branca</v>
          </cell>
          <cell r="AH123" t="str">
            <v>22/06/1976</v>
          </cell>
          <cell r="AI123">
            <v>44</v>
          </cell>
          <cell r="AJ123">
            <v>10373.299999999999</v>
          </cell>
          <cell r="AL123" t="str">
            <v>FA</v>
          </cell>
          <cell r="AM123">
            <v>10373.299999999999</v>
          </cell>
          <cell r="AN123" t="str">
            <v>danielle.guimaraes@mme.gov.br</v>
          </cell>
          <cell r="AO123" t="str">
            <v>(61) 2032-5204</v>
          </cell>
          <cell r="AP123" t="str">
            <v>ASSINT02</v>
          </cell>
        </row>
        <row r="124">
          <cell r="A124" t="str">
            <v>DARIO SPEGIORIN SILVEIRA</v>
          </cell>
          <cell r="B124" t="str">
            <v>807.768.171-91</v>
          </cell>
          <cell r="C124">
            <v>2499671</v>
          </cell>
          <cell r="D124" t="str">
            <v>Advogado da União</v>
          </cell>
          <cell r="E124" t="str">
            <v>Exercício Descentralizado</v>
          </cell>
          <cell r="F124" t="str">
            <v>AGU - Advocacia Geral da União</v>
          </cell>
          <cell r="G124" t="str">
            <v>CONJUR / CHEFIA DE GABINETE CONJUR</v>
          </cell>
          <cell r="H124" t="str">
            <v>7.100.000</v>
          </cell>
          <cell r="I124" t="str">
            <v>Assessor Técnico da Consultoria Jurídica</v>
          </cell>
          <cell r="J124" t="str">
            <v>FCPE</v>
          </cell>
          <cell r="K124" t="str">
            <v>102.3</v>
          </cell>
          <cell r="L124" t="str">
            <v xml:space="preserve">Portaria nº </v>
          </cell>
          <cell r="M124">
            <v>537</v>
          </cell>
          <cell r="N124" t="str">
            <v>03/11/2016</v>
          </cell>
          <cell r="O124" t="str">
            <v>04/11/2016</v>
          </cell>
          <cell r="P124" t="str">
            <v>DOU</v>
          </cell>
          <cell r="Z124" t="str">
            <v>Sem designação</v>
          </cell>
          <cell r="AF124" t="str">
            <v>Masculino</v>
          </cell>
          <cell r="AG124" t="str">
            <v>Branca</v>
          </cell>
          <cell r="AH124" t="str">
            <v>07/08/1976</v>
          </cell>
          <cell r="AI124">
            <v>44</v>
          </cell>
          <cell r="AJ124">
            <v>3411.34</v>
          </cell>
          <cell r="AK124">
            <v>28582.78</v>
          </cell>
          <cell r="AL124" t="str">
            <v>FA</v>
          </cell>
          <cell r="AM124">
            <v>31994.12</v>
          </cell>
          <cell r="AN124" t="str">
            <v>dario.silveira@mme.gov.br</v>
          </cell>
          <cell r="AO124" t="str">
            <v>(61) 2032-5677</v>
          </cell>
          <cell r="AP124" t="str">
            <v>CONJUR03</v>
          </cell>
        </row>
        <row r="125">
          <cell r="A125" t="str">
            <v>DEIVSON MATOS TIMBÓ</v>
          </cell>
          <cell r="B125" t="str">
            <v>902.966.993-49</v>
          </cell>
          <cell r="C125">
            <v>2661231</v>
          </cell>
          <cell r="D125" t="str">
            <v>Analista de Infraestrutura</v>
          </cell>
          <cell r="E125" t="str">
            <v>Exercício Descentralizado</v>
          </cell>
          <cell r="F125" t="str">
            <v>ME - Ministério da Economia</v>
          </cell>
          <cell r="G125" t="str">
            <v>SPG / DCDP / COORDENAÇÃO GERAL DE ACOMPANHAMENTO DO MERCADO</v>
          </cell>
          <cell r="H125" t="str">
            <v>11.103.100</v>
          </cell>
          <cell r="I125" t="str">
            <v>Coordenador Geral de Acompanhamento do Mercado do Departamento de Combustíveis Derivados de Petróleo</v>
          </cell>
          <cell r="J125" t="str">
            <v>DAS</v>
          </cell>
          <cell r="K125" t="str">
            <v>101.4</v>
          </cell>
          <cell r="L125" t="str">
            <v xml:space="preserve">Portaria nº </v>
          </cell>
          <cell r="M125">
            <v>588</v>
          </cell>
          <cell r="N125" t="str">
            <v>03/11/2016</v>
          </cell>
          <cell r="O125" t="str">
            <v>04/11/2016</v>
          </cell>
          <cell r="P125" t="str">
            <v>DOU</v>
          </cell>
          <cell r="Y125" t="str">
            <v>Departamento de Combustíveis Derivados de Petróleo</v>
          </cell>
          <cell r="Z125" t="str">
            <v>Eventual</v>
          </cell>
          <cell r="AA125" t="str">
            <v xml:space="preserve">Portaria nº </v>
          </cell>
          <cell r="AB125">
            <v>386</v>
          </cell>
          <cell r="AC125" t="str">
            <v>09/10/2019</v>
          </cell>
          <cell r="AD125" t="str">
            <v>14/10/2019</v>
          </cell>
          <cell r="AE125" t="str">
            <v>DOU</v>
          </cell>
          <cell r="AF125" t="str">
            <v>Masculino</v>
          </cell>
          <cell r="AG125" t="str">
            <v>Parda</v>
          </cell>
          <cell r="AH125" t="str">
            <v>15/09/1982</v>
          </cell>
          <cell r="AI125">
            <v>38</v>
          </cell>
          <cell r="AJ125">
            <v>6548.98</v>
          </cell>
          <cell r="AK125">
            <v>16847.8</v>
          </cell>
          <cell r="AL125" t="str">
            <v>FA</v>
          </cell>
          <cell r="AM125">
            <v>23396.78</v>
          </cell>
          <cell r="AN125" t="str">
            <v>deivson.timbo@mme.gov.br</v>
          </cell>
          <cell r="AO125" t="str">
            <v>(61) 2032-5341</v>
          </cell>
          <cell r="AP125" t="str">
            <v>SPG21</v>
          </cell>
          <cell r="AQ125" t="str">
            <v>SPG11S</v>
          </cell>
        </row>
        <row r="126">
          <cell r="A126" t="str">
            <v>DENIS DE MOURA SOARES</v>
          </cell>
          <cell r="B126" t="str">
            <v>213.063.958-52</v>
          </cell>
          <cell r="C126">
            <v>1334799</v>
          </cell>
          <cell r="D126" t="str">
            <v>Analista de Planejamento e Orçamento</v>
          </cell>
          <cell r="E126" t="str">
            <v>Requisitado de Órgãos</v>
          </cell>
          <cell r="F126" t="str">
            <v>ME - Ministério da Economia</v>
          </cell>
          <cell r="G126" t="str">
            <v>SE / ASSESSORIA ESPECIAL DE GESTÃO DE PROJETOS - AEGP</v>
          </cell>
          <cell r="H126" t="str">
            <v>8.103.000</v>
          </cell>
          <cell r="I126" t="str">
            <v>Chefe da Assessoria Especial de Gestão de Projetos</v>
          </cell>
          <cell r="J126" t="str">
            <v>DAS</v>
          </cell>
          <cell r="K126" t="str">
            <v>101.5</v>
          </cell>
          <cell r="L126" t="str">
            <v xml:space="preserve">Portaria nº </v>
          </cell>
          <cell r="M126">
            <v>1740</v>
          </cell>
          <cell r="N126" t="str">
            <v>09/05/2019</v>
          </cell>
          <cell r="O126" t="str">
            <v>10/05/2019</v>
          </cell>
          <cell r="P126" t="str">
            <v>DOU</v>
          </cell>
          <cell r="Z126" t="str">
            <v>Sem designação</v>
          </cell>
          <cell r="AF126" t="str">
            <v>Masculino</v>
          </cell>
          <cell r="AG126" t="str">
            <v>Branca</v>
          </cell>
          <cell r="AH126" t="str">
            <v>28/02/1976</v>
          </cell>
          <cell r="AI126">
            <v>44</v>
          </cell>
          <cell r="AJ126">
            <v>8174.03</v>
          </cell>
          <cell r="AK126">
            <v>25532.240000000002</v>
          </cell>
          <cell r="AL126" t="str">
            <v>FA</v>
          </cell>
          <cell r="AM126">
            <v>33706.270000000004</v>
          </cell>
          <cell r="AN126" t="str">
            <v>denis.soares@mme.gov.br</v>
          </cell>
          <cell r="AO126" t="str">
            <v>(61) 2032-5027</v>
          </cell>
          <cell r="AP126" t="str">
            <v>SE30</v>
          </cell>
        </row>
        <row r="127">
          <cell r="A127" t="str">
            <v>DENIZE VALENTIM</v>
          </cell>
          <cell r="B127" t="str">
            <v>249.154.321-49</v>
          </cell>
          <cell r="C127">
            <v>1678550</v>
          </cell>
          <cell r="D127" t="str">
            <v>Auxiliar Codificação e Conferência</v>
          </cell>
          <cell r="E127" t="str">
            <v>Anistiado MME</v>
          </cell>
          <cell r="F127" t="str">
            <v>MME - Ministério de Minas e Energia</v>
          </cell>
          <cell r="G127" t="str">
            <v>SE / SPOA / COORDENAÇÃO GERAL DE RECURSOS HUMANOS - CGRH</v>
          </cell>
          <cell r="H127" t="str">
            <v>8.105.200</v>
          </cell>
          <cell r="Z127" t="str">
            <v>Sem designação</v>
          </cell>
          <cell r="AF127" t="str">
            <v>Feminino</v>
          </cell>
          <cell r="AG127" t="str">
            <v>Branca</v>
          </cell>
          <cell r="AH127" t="str">
            <v>26/12/1957</v>
          </cell>
          <cell r="AI127">
            <v>62</v>
          </cell>
          <cell r="AJ127">
            <v>3268.41</v>
          </cell>
          <cell r="AL127" t="str">
            <v>FA</v>
          </cell>
          <cell r="AM127">
            <v>3268.41</v>
          </cell>
          <cell r="AN127" t="str">
            <v>denize.valentim@mme.gov.br</v>
          </cell>
          <cell r="AO127" t="str">
            <v>(61) 2032-5702</v>
          </cell>
        </row>
        <row r="128">
          <cell r="A128" t="str">
            <v>DENNIS OTTO CHAMORRO ZELAYA</v>
          </cell>
          <cell r="B128" t="str">
            <v>352.336.301-25</v>
          </cell>
          <cell r="C128">
            <v>1669878</v>
          </cell>
          <cell r="D128" t="str">
            <v>Analista de Sistema</v>
          </cell>
          <cell r="E128" t="str">
            <v>Anistiado MME</v>
          </cell>
          <cell r="F128" t="str">
            <v>MME - Ministério de Minas e Energia</v>
          </cell>
          <cell r="G128" t="str">
            <v>Aguardando Lotação/Exercício</v>
          </cell>
          <cell r="H128" t="str">
            <v>88.000.000</v>
          </cell>
          <cell r="AF128" t="str">
            <v>Masculino</v>
          </cell>
          <cell r="AG128" t="str">
            <v>Branca</v>
          </cell>
          <cell r="AH128" t="str">
            <v>25/01/1955</v>
          </cell>
          <cell r="AI128">
            <v>65</v>
          </cell>
          <cell r="AJ128">
            <v>7367.34</v>
          </cell>
          <cell r="AL128" t="str">
            <v>DIR</v>
          </cell>
          <cell r="AM128">
            <v>7367.34</v>
          </cell>
        </row>
        <row r="129">
          <cell r="A129" t="str">
            <v>DIANA BISPO DE JESUS</v>
          </cell>
          <cell r="D129" t="str">
            <v>Sem Cargo/Emprego</v>
          </cell>
          <cell r="E129" t="str">
            <v>Sem Vínculo</v>
          </cell>
          <cell r="F129" t="str">
            <v>Sem Vínculo</v>
          </cell>
          <cell r="G129" t="str">
            <v>GM / ASSESSORIA DE COMUNICAÇÃO SOCIAL - ASCOM</v>
          </cell>
          <cell r="H129" t="str">
            <v>2.100.300</v>
          </cell>
          <cell r="I129" t="str">
            <v>Assistente da Assessoria de Comunicação Social do Gabinete do Ministro</v>
          </cell>
          <cell r="J129" t="str">
            <v>DAS</v>
          </cell>
          <cell r="K129" t="str">
            <v>102.2</v>
          </cell>
          <cell r="L129" t="str">
            <v xml:space="preserve">Portaria nº </v>
          </cell>
          <cell r="M129">
            <v>360</v>
          </cell>
          <cell r="N129" t="str">
            <v>30/09/2020</v>
          </cell>
          <cell r="O129" t="str">
            <v>02/10/2020</v>
          </cell>
          <cell r="P129" t="str">
            <v>DOU</v>
          </cell>
          <cell r="Z129" t="str">
            <v>Sem designação</v>
          </cell>
          <cell r="AF129" t="str">
            <v>Feminino</v>
          </cell>
          <cell r="AG129" t="str">
            <v>Parda</v>
          </cell>
          <cell r="AH129" t="str">
            <v>07/04/1997</v>
          </cell>
          <cell r="AI129">
            <v>23</v>
          </cell>
          <cell r="AJ129">
            <v>3440.75</v>
          </cell>
          <cell r="AL129" t="str">
            <v>FA</v>
          </cell>
          <cell r="AM129">
            <v>3440.75</v>
          </cell>
          <cell r="AN129" t="str">
            <v>diana.bispo@mme.gov.br</v>
          </cell>
          <cell r="AO129" t="str">
            <v>(61) 2032-5411</v>
          </cell>
          <cell r="AP129" t="str">
            <v>GM36</v>
          </cell>
        </row>
        <row r="130">
          <cell r="A130" t="str">
            <v>DIMAS FIGUEIREDO NOBREGA</v>
          </cell>
          <cell r="B130" t="str">
            <v>222.177.111-72</v>
          </cell>
          <cell r="C130">
            <v>2230294</v>
          </cell>
          <cell r="D130" t="str">
            <v>Codificador de Dados I</v>
          </cell>
          <cell r="E130" t="str">
            <v>Anistiado MME</v>
          </cell>
          <cell r="F130" t="str">
            <v>MME - Ministério de Minas e Energia</v>
          </cell>
          <cell r="G130" t="str">
            <v>SE / SPOA / CGRL / COORDENAÇÃO DE ATIVIDADES GERAIS - COAGE</v>
          </cell>
          <cell r="H130" t="str">
            <v>8.105.120</v>
          </cell>
          <cell r="Z130" t="str">
            <v>Sem designação</v>
          </cell>
          <cell r="AF130" t="str">
            <v>Masculino</v>
          </cell>
          <cell r="AG130" t="str">
            <v>Parda</v>
          </cell>
          <cell r="AH130" t="str">
            <v>15/05/1956</v>
          </cell>
          <cell r="AI130">
            <v>64</v>
          </cell>
          <cell r="AJ130">
            <v>3915.9</v>
          </cell>
          <cell r="AL130" t="str">
            <v>FA</v>
          </cell>
          <cell r="AM130">
            <v>3915.9</v>
          </cell>
          <cell r="AN130" t="str">
            <v>DimasNobrega@mme.gov.br</v>
          </cell>
          <cell r="AO130" t="str">
            <v>(61) 2032-5558</v>
          </cell>
        </row>
        <row r="131">
          <cell r="A131" t="str">
            <v>DINALVA FEIJO DE MELO MENDES</v>
          </cell>
          <cell r="B131" t="str">
            <v>024.110.477-70</v>
          </cell>
          <cell r="C131">
            <v>2083513</v>
          </cell>
          <cell r="D131" t="str">
            <v>Advogado</v>
          </cell>
          <cell r="E131" t="str">
            <v>Anistiado MME</v>
          </cell>
          <cell r="F131" t="str">
            <v>MME - Ministério de Minas e Energia</v>
          </cell>
          <cell r="G131" t="str">
            <v>Aguardando Lotação/Exercício</v>
          </cell>
          <cell r="H131" t="str">
            <v>88.000.000</v>
          </cell>
          <cell r="Z131" t="str">
            <v>Sem designação</v>
          </cell>
          <cell r="AF131" t="str">
            <v>Feminino</v>
          </cell>
          <cell r="AG131" t="str">
            <v>Branca</v>
          </cell>
          <cell r="AH131" t="str">
            <v>10/11/1939</v>
          </cell>
          <cell r="AI131">
            <v>80</v>
          </cell>
          <cell r="AJ131">
            <v>6356.55</v>
          </cell>
          <cell r="AL131" t="str">
            <v>FA</v>
          </cell>
          <cell r="AM131">
            <v>6356.55</v>
          </cell>
        </row>
        <row r="132">
          <cell r="A132" t="str">
            <v>DIOGO SANTOS BALEEIRO</v>
          </cell>
          <cell r="B132" t="str">
            <v>010.990.691-81</v>
          </cell>
          <cell r="C132">
            <v>2659082</v>
          </cell>
          <cell r="D132" t="str">
            <v>Analista de Infraestrutura</v>
          </cell>
          <cell r="E132" t="str">
            <v>Exercício Descentralizado</v>
          </cell>
          <cell r="F132" t="str">
            <v>ME - Ministério da Economia</v>
          </cell>
          <cell r="G132" t="str">
            <v>SPG / DEPARTAMENTO DE POLÍTICA DE EXPLORAÇÃO E PRODUÇÃO DE PETRÓLEO E GÁS NATURAL - DPGN</v>
          </cell>
          <cell r="H132" t="str">
            <v>11.101.000</v>
          </cell>
          <cell r="I132" t="str">
            <v>Assistente do Departamento de Política de Exploração e Produção de Petróleo e Gás Natural</v>
          </cell>
          <cell r="J132" t="str">
            <v>FCPE</v>
          </cell>
          <cell r="K132" t="str">
            <v>102.2</v>
          </cell>
          <cell r="L132" t="str">
            <v xml:space="preserve">Portaria nº </v>
          </cell>
          <cell r="M132">
            <v>524</v>
          </cell>
          <cell r="N132" t="str">
            <v>03/11/2016</v>
          </cell>
          <cell r="O132" t="str">
            <v>04/11/2016</v>
          </cell>
          <cell r="P132" t="str">
            <v>BPE</v>
          </cell>
          <cell r="Y132" t="str">
            <v>Coordenação Geral de Política de Concessão de Blocos Exploratórios</v>
          </cell>
          <cell r="Z132" t="str">
            <v>Eventual</v>
          </cell>
          <cell r="AA132" t="str">
            <v xml:space="preserve">Portaria nº </v>
          </cell>
          <cell r="AB132">
            <v>640</v>
          </cell>
          <cell r="AC132" t="str">
            <v>23/11/2016</v>
          </cell>
          <cell r="AD132" t="str">
            <v>24/11/2016</v>
          </cell>
          <cell r="AE132" t="str">
            <v>DOU</v>
          </cell>
          <cell r="AF132" t="str">
            <v>Masculino</v>
          </cell>
          <cell r="AG132" t="str">
            <v>Branca</v>
          </cell>
          <cell r="AH132" t="str">
            <v>03/12/1984</v>
          </cell>
          <cell r="AI132">
            <v>35</v>
          </cell>
          <cell r="AJ132">
            <v>2064.44</v>
          </cell>
          <cell r="AK132">
            <v>16526.8</v>
          </cell>
          <cell r="AL132" t="str">
            <v>FA</v>
          </cell>
          <cell r="AM132">
            <v>18591.239999999998</v>
          </cell>
          <cell r="AN132" t="str">
            <v>diogo.baleeiro@mme.gov.br</v>
          </cell>
          <cell r="AO132" t="str">
            <v>(61) 2032-5753</v>
          </cell>
          <cell r="AP132" t="str">
            <v>SPG11</v>
          </cell>
          <cell r="AQ132" t="str">
            <v>SPG06S</v>
          </cell>
        </row>
        <row r="133">
          <cell r="A133" t="str">
            <v>DIONE MACEDO</v>
          </cell>
          <cell r="B133" t="str">
            <v>291.942.370-34</v>
          </cell>
          <cell r="C133">
            <v>1583128</v>
          </cell>
          <cell r="D133" t="str">
            <v>Sem Cargo/Emprego</v>
          </cell>
          <cell r="E133" t="str">
            <v>Sem Vínculo</v>
          </cell>
          <cell r="F133" t="str">
            <v>Sem Vínculo</v>
          </cell>
          <cell r="G133" t="str">
            <v>SGM / DDM / COORDENAÇÃO GERAL DE DESENVOLVIMENTO SOCIOAMBIENTAL NA MINERAÇÃO</v>
          </cell>
          <cell r="H133" t="str">
            <v>9.104.100</v>
          </cell>
          <cell r="I133" t="str">
            <v>Coordenadora Geral de Desenvolvimento Sócio Ambiental na Mineração do Departamento de Desenvolvimento Sustentável na Mineração</v>
          </cell>
          <cell r="J133" t="str">
            <v>DAS</v>
          </cell>
          <cell r="K133" t="str">
            <v>101.4</v>
          </cell>
          <cell r="L133" t="str">
            <v xml:space="preserve">Portaria nº </v>
          </cell>
          <cell r="M133">
            <v>524</v>
          </cell>
          <cell r="N133" t="str">
            <v>03/11/2016</v>
          </cell>
          <cell r="O133" t="str">
            <v>04/11/2016</v>
          </cell>
          <cell r="P133" t="str">
            <v>BPE</v>
          </cell>
          <cell r="Y133" t="str">
            <v>Departamento de Desenvolvimento Sustentável na Mineração</v>
          </cell>
          <cell r="Z133" t="str">
            <v>Eventual</v>
          </cell>
          <cell r="AA133" t="str">
            <v xml:space="preserve">Portaria nº </v>
          </cell>
          <cell r="AB133">
            <v>384</v>
          </cell>
          <cell r="AC133" t="str">
            <v>24/03/2010</v>
          </cell>
          <cell r="AD133" t="str">
            <v>26/03/2010</v>
          </cell>
          <cell r="AE133" t="str">
            <v>DOU</v>
          </cell>
          <cell r="AF133" t="str">
            <v>Feminino</v>
          </cell>
          <cell r="AG133" t="str">
            <v>Branca</v>
          </cell>
          <cell r="AH133" t="str">
            <v>07/01/1957</v>
          </cell>
          <cell r="AI133">
            <v>63</v>
          </cell>
          <cell r="AJ133">
            <v>10373.299999999999</v>
          </cell>
          <cell r="AL133" t="str">
            <v>FA</v>
          </cell>
          <cell r="AM133">
            <v>10373.299999999999</v>
          </cell>
          <cell r="AN133" t="str">
            <v>dione.macedo@mme.gov.br</v>
          </cell>
          <cell r="AO133" t="str">
            <v>(61) 2032-5371</v>
          </cell>
          <cell r="AP133" t="str">
            <v>SGM27</v>
          </cell>
          <cell r="AQ133" t="str">
            <v>SGM12S</v>
          </cell>
        </row>
        <row r="134">
          <cell r="A134" t="str">
            <v>DOMINGOS ROMEU ANDREATTA</v>
          </cell>
          <cell r="B134" t="str">
            <v>030.548.069-36</v>
          </cell>
          <cell r="C134">
            <v>1495892</v>
          </cell>
          <cell r="D134" t="str">
            <v>Engenheiro</v>
          </cell>
          <cell r="E134" t="str">
            <v>Requisitado de Empresa</v>
          </cell>
          <cell r="F134" t="str">
            <v>ELETROSUL - Companhia de Geração e Transmissão de Energia Elétrica do Sul do Brasil</v>
          </cell>
          <cell r="G134" t="str">
            <v>SEE / CHEFIA DE GABINETE SEE</v>
          </cell>
          <cell r="H134" t="str">
            <v>12.100.000</v>
          </cell>
          <cell r="I134" t="str">
            <v>Secretário-Adjunto da Secretaria de Energia Elétrica</v>
          </cell>
          <cell r="J134" t="str">
            <v>DAS</v>
          </cell>
          <cell r="K134" t="str">
            <v>101.5</v>
          </cell>
          <cell r="L134" t="str">
            <v xml:space="preserve">Portaria nº </v>
          </cell>
          <cell r="M134">
            <v>569</v>
          </cell>
          <cell r="N134" t="str">
            <v>01/06/2018</v>
          </cell>
          <cell r="O134" t="str">
            <v>04/06/2018</v>
          </cell>
          <cell r="P134" t="str">
            <v>DOU</v>
          </cell>
          <cell r="Y134" t="str">
            <v>Secretário de Energia Elétrica</v>
          </cell>
          <cell r="Z134" t="str">
            <v>Eventual</v>
          </cell>
          <cell r="AA134" t="str">
            <v xml:space="preserve">Portaria nº </v>
          </cell>
          <cell r="AB134" t="str">
            <v>108 - Anexo IX, Art. 18, II do RI da SEE</v>
          </cell>
          <cell r="AC134" t="str">
            <v>14/03/2017</v>
          </cell>
          <cell r="AD134" t="str">
            <v>16/03/2017 - Ret. 17/03/2017</v>
          </cell>
          <cell r="AE134" t="str">
            <v>DOU</v>
          </cell>
          <cell r="AF134" t="str">
            <v>Masculino</v>
          </cell>
          <cell r="AG134" t="str">
            <v>Branca</v>
          </cell>
          <cell r="AH134" t="str">
            <v>13/09/1980</v>
          </cell>
          <cell r="AI134">
            <v>40</v>
          </cell>
          <cell r="AJ134">
            <v>8174.03</v>
          </cell>
          <cell r="AK134">
            <v>29422.53</v>
          </cell>
          <cell r="AL134" t="str">
            <v>FA</v>
          </cell>
          <cell r="AM134">
            <v>37596.559999999998</v>
          </cell>
          <cell r="AN134" t="str">
            <v>domingos.andreatta@mme.gov.br</v>
          </cell>
          <cell r="AO134" t="str">
            <v>(61) 2032-5934/5924/5923</v>
          </cell>
          <cell r="AP134" t="str">
            <v>SEE02</v>
          </cell>
          <cell r="AQ134" t="str">
            <v>SEE01S</v>
          </cell>
        </row>
        <row r="135">
          <cell r="A135" t="str">
            <v>EDNA PATRICIA DE SENA</v>
          </cell>
          <cell r="B135" t="str">
            <v>244.962.861-49</v>
          </cell>
          <cell r="C135">
            <v>1669537</v>
          </cell>
          <cell r="D135" t="str">
            <v>Escriturário III</v>
          </cell>
          <cell r="E135" t="str">
            <v>Anistiado MME</v>
          </cell>
          <cell r="F135" t="str">
            <v>MME - Ministério de Minas e Energia</v>
          </cell>
          <cell r="G135" t="str">
            <v>SE / SPOA / CGRH / COORDENAÇÃO DE DESENVOLVIMENTO E SEGURIDADE SOCIAL - CODES</v>
          </cell>
          <cell r="H135" t="str">
            <v>8.105.220</v>
          </cell>
          <cell r="Z135" t="str">
            <v>Sem designação</v>
          </cell>
          <cell r="AF135" t="str">
            <v>Feminino</v>
          </cell>
          <cell r="AG135" t="str">
            <v>Branca</v>
          </cell>
          <cell r="AH135" t="str">
            <v>07/10/1961</v>
          </cell>
          <cell r="AI135">
            <v>59</v>
          </cell>
          <cell r="AJ135">
            <v>3476.21</v>
          </cell>
          <cell r="AL135" t="str">
            <v>FA</v>
          </cell>
          <cell r="AM135">
            <v>3476.21</v>
          </cell>
          <cell r="AN135" t="str">
            <v>edna.sena@mme.gov.br</v>
          </cell>
          <cell r="AO135" t="str">
            <v>(61) 2032-5553</v>
          </cell>
        </row>
        <row r="136">
          <cell r="A136" t="str">
            <v>EDUARDO JOSÉ FERNANDES PRATA</v>
          </cell>
          <cell r="B136" t="str">
            <v>380.445.107-10</v>
          </cell>
          <cell r="C136">
            <v>455167</v>
          </cell>
          <cell r="D136" t="str">
            <v>Administrador</v>
          </cell>
          <cell r="E136" t="str">
            <v>Ativo Permanente</v>
          </cell>
          <cell r="F136" t="str">
            <v>MME - Ministério de Minas e Energia</v>
          </cell>
          <cell r="G136" t="str">
            <v>SE / SPOA / COORDENAÇÃO DE MODERNIZAÇÃO ADMINISTRATIVA - CMA</v>
          </cell>
          <cell r="H136" t="str">
            <v>8.105.010</v>
          </cell>
          <cell r="I136" t="str">
            <v>Assistente técnico da Coordenação de Modernização Administrativa da Subsecretaria de Planejamento, Orçamento e Administração</v>
          </cell>
          <cell r="J136" t="str">
            <v>FCPE</v>
          </cell>
          <cell r="K136" t="str">
            <v>102.1</v>
          </cell>
          <cell r="L136" t="str">
            <v xml:space="preserve">Portaria nº </v>
          </cell>
          <cell r="M136">
            <v>559</v>
          </cell>
          <cell r="N136" t="str">
            <v>03/11/2016</v>
          </cell>
          <cell r="O136" t="str">
            <v>04/11/2016</v>
          </cell>
          <cell r="P136" t="str">
            <v>DOU</v>
          </cell>
          <cell r="Q136" t="str">
            <v>GSISTE</v>
          </cell>
          <cell r="R136" t="str">
            <v>Superior</v>
          </cell>
          <cell r="S136" t="str">
            <v>SISG - Sistema de Serviços Gerais</v>
          </cell>
          <cell r="T136" t="str">
            <v xml:space="preserve">Portaria nº </v>
          </cell>
          <cell r="U136">
            <v>60</v>
          </cell>
          <cell r="V136" t="str">
            <v>19/06/2009</v>
          </cell>
          <cell r="W136" t="str">
            <v>19/06/2009</v>
          </cell>
          <cell r="X136" t="str">
            <v>BPE</v>
          </cell>
          <cell r="Y136" t="str">
            <v>Coordenação de Modernização Administrativa da SPOA</v>
          </cell>
          <cell r="Z136" t="str">
            <v>Eventual</v>
          </cell>
          <cell r="AA136" t="str">
            <v xml:space="preserve">Portaria nº </v>
          </cell>
          <cell r="AB136">
            <v>174</v>
          </cell>
          <cell r="AC136" t="str">
            <v>10/07/2006</v>
          </cell>
          <cell r="AD136" t="str">
            <v>11/07/2006</v>
          </cell>
          <cell r="AE136" t="str">
            <v>DOU</v>
          </cell>
          <cell r="AF136" t="str">
            <v>Masculino</v>
          </cell>
          <cell r="AG136" t="str">
            <v>Branca</v>
          </cell>
          <cell r="AH136" t="str">
            <v>20/05/1954</v>
          </cell>
          <cell r="AI136">
            <v>66</v>
          </cell>
          <cell r="AJ136">
            <v>15969.68</v>
          </cell>
          <cell r="AL136" t="str">
            <v>FA</v>
          </cell>
          <cell r="AM136">
            <v>15969.68</v>
          </cell>
          <cell r="AN136" t="str">
            <v>eduardoprata@mme.gov.br</v>
          </cell>
          <cell r="AO136" t="str">
            <v>(61) 2032-5460</v>
          </cell>
          <cell r="AP136" t="str">
            <v>SE46</v>
          </cell>
          <cell r="AQ136" t="str">
            <v>SE20S</v>
          </cell>
        </row>
        <row r="137">
          <cell r="A137" t="str">
            <v>EDUARDO SOUZA GRIVOT DE GRAND COURT</v>
          </cell>
          <cell r="B137" t="str">
            <v>381.311.887-87</v>
          </cell>
          <cell r="C137">
            <v>3204382</v>
          </cell>
          <cell r="D137" t="str">
            <v>Sem Cargo/Emprego</v>
          </cell>
          <cell r="E137" t="str">
            <v>Sem Vínculo</v>
          </cell>
          <cell r="F137" t="str">
            <v>S/VÍNCULO</v>
          </cell>
          <cell r="G137" t="str">
            <v>SE / ASSESSORIA ESPECIAL DE GESTÃO ESTRATÉGICA - AEGE</v>
          </cell>
          <cell r="H137" t="str">
            <v>8.101.000</v>
          </cell>
          <cell r="I137" t="str">
            <v>Assessor do Ministro</v>
          </cell>
          <cell r="J137" t="str">
            <v>DAS</v>
          </cell>
          <cell r="K137" t="str">
            <v>102.4</v>
          </cell>
          <cell r="L137" t="str">
            <v xml:space="preserve">Portaria nº </v>
          </cell>
          <cell r="M137">
            <v>325</v>
          </cell>
          <cell r="N137" t="str">
            <v>27/08/2020</v>
          </cell>
          <cell r="O137" t="str">
            <v>31/08/2020</v>
          </cell>
          <cell r="P137" t="str">
            <v>DOU</v>
          </cell>
          <cell r="Z137" t="str">
            <v>Sem designação</v>
          </cell>
          <cell r="AF137" t="str">
            <v>Masculino</v>
          </cell>
          <cell r="AG137" t="str">
            <v>Branca</v>
          </cell>
          <cell r="AH137" t="str">
            <v>24/08/1954</v>
          </cell>
          <cell r="AI137">
            <v>66</v>
          </cell>
          <cell r="AJ137">
            <v>10373.299999999999</v>
          </cell>
          <cell r="AL137" t="str">
            <v>FA</v>
          </cell>
          <cell r="AM137">
            <v>10373.299999999999</v>
          </cell>
          <cell r="AN137" t="str">
            <v>eduardo.court@mme.gov.br</v>
          </cell>
          <cell r="AO137" t="str">
            <v>(61) 2032-5230</v>
          </cell>
          <cell r="AP137" t="str">
            <v>GM45</v>
          </cell>
        </row>
        <row r="138">
          <cell r="A138" t="str">
            <v>EDVANDA BARBOSA DA SILVA MELO</v>
          </cell>
          <cell r="B138" t="str">
            <v>243.863.591-68</v>
          </cell>
          <cell r="C138">
            <v>451530</v>
          </cell>
          <cell r="D138" t="str">
            <v>Datilógrafo</v>
          </cell>
          <cell r="E138" t="str">
            <v>Ativo Permanente</v>
          </cell>
          <cell r="F138" t="str">
            <v>MME - Ministério de Minas e Energia</v>
          </cell>
          <cell r="G138" t="str">
            <v>SE / SPOA / CGRL / COORDENAÇÃO DE ATIVIDADES GERAIS - COAGE</v>
          </cell>
          <cell r="H138" t="str">
            <v>8.105.120</v>
          </cell>
          <cell r="Q138" t="str">
            <v>GSISTE</v>
          </cell>
          <cell r="R138" t="str">
            <v>Intermediário</v>
          </cell>
          <cell r="S138" t="str">
            <v>SISG - Sistema de Serviços Gerais</v>
          </cell>
          <cell r="T138" t="str">
            <v xml:space="preserve">Portaria nº </v>
          </cell>
          <cell r="U138">
            <v>39</v>
          </cell>
          <cell r="V138" t="str">
            <v>10/06/2016</v>
          </cell>
          <cell r="W138" t="str">
            <v>15/06/2016</v>
          </cell>
          <cell r="X138" t="str">
            <v>BPE</v>
          </cell>
          <cell r="Z138" t="str">
            <v>Sem designação</v>
          </cell>
          <cell r="AF138" t="str">
            <v>Feminino</v>
          </cell>
          <cell r="AG138" t="str">
            <v>Parda</v>
          </cell>
          <cell r="AH138" t="str">
            <v>02/05/1960</v>
          </cell>
          <cell r="AI138">
            <v>60</v>
          </cell>
          <cell r="AJ138">
            <v>7418.14</v>
          </cell>
          <cell r="AL138" t="str">
            <v>FA</v>
          </cell>
          <cell r="AM138">
            <v>7418.14</v>
          </cell>
          <cell r="AN138" t="str">
            <v>edvanda.melo@mme.gov.br</v>
          </cell>
          <cell r="AO138" t="str">
            <v>(61) 2032-5710</v>
          </cell>
        </row>
        <row r="139">
          <cell r="A139" t="str">
            <v>ELEAZAR HEPNER</v>
          </cell>
          <cell r="B139" t="str">
            <v>754.964.298-20</v>
          </cell>
          <cell r="C139">
            <v>1800748</v>
          </cell>
          <cell r="D139" t="str">
            <v>Analista de Infraestrutura</v>
          </cell>
          <cell r="E139" t="str">
            <v>Exercício Descentralizado</v>
          </cell>
          <cell r="F139" t="str">
            <v>ME - Ministério da Economia</v>
          </cell>
          <cell r="G139" t="str">
            <v>SPG / DEPARTAMENTO DE GÁS NATURAL - DGN</v>
          </cell>
          <cell r="H139" t="str">
            <v>11.102.000</v>
          </cell>
          <cell r="Z139" t="str">
            <v>Sem designação</v>
          </cell>
          <cell r="AF139" t="str">
            <v>Masculino</v>
          </cell>
          <cell r="AG139" t="str">
            <v>Branca</v>
          </cell>
          <cell r="AH139" t="str">
            <v>05/03/1954</v>
          </cell>
          <cell r="AI139">
            <v>66</v>
          </cell>
          <cell r="AJ139">
            <v>0</v>
          </cell>
          <cell r="AK139">
            <v>15844.67</v>
          </cell>
          <cell r="AL139" t="str">
            <v>FA</v>
          </cell>
          <cell r="AM139">
            <v>15844.67</v>
          </cell>
          <cell r="AN139" t="str">
            <v>eleazar.hepner@mme.gov.br</v>
          </cell>
          <cell r="AO139" t="str">
            <v>(61) 2032-5865</v>
          </cell>
        </row>
        <row r="140">
          <cell r="A140" t="str">
            <v>ELIAS PEREIRA</v>
          </cell>
          <cell r="B140" t="str">
            <v>400.205.681-34</v>
          </cell>
          <cell r="C140">
            <v>455294</v>
          </cell>
          <cell r="D140" t="str">
            <v>Agente de Portaria</v>
          </cell>
          <cell r="E140" t="str">
            <v>Ativo Permanente</v>
          </cell>
          <cell r="F140" t="str">
            <v>MME - Ministério de Minas e Energia</v>
          </cell>
          <cell r="G140" t="str">
            <v>SE / SPOA / CGRH / COORDENAÇÃO DE DESENVOLVIMENTO E SEGURIDADE SOCIAL - CODES</v>
          </cell>
          <cell r="H140" t="str">
            <v>8.105.220</v>
          </cell>
          <cell r="I140" t="str">
            <v>Função Comissionada Técnica - Analista em Gestão de Pessoas</v>
          </cell>
          <cell r="J140" t="str">
            <v>FCT</v>
          </cell>
          <cell r="K140">
            <v>2</v>
          </cell>
          <cell r="L140" t="str">
            <v xml:space="preserve">Portaria nº </v>
          </cell>
          <cell r="M140">
            <v>109</v>
          </cell>
          <cell r="N140" t="str">
            <v>06/02/2019</v>
          </cell>
          <cell r="O140" t="str">
            <v>08/02/2019</v>
          </cell>
          <cell r="P140" t="str">
            <v>DOU</v>
          </cell>
          <cell r="Z140" t="str">
            <v>Sem designação</v>
          </cell>
          <cell r="AF140" t="str">
            <v>Masculino</v>
          </cell>
          <cell r="AG140" t="str">
            <v>Parda</v>
          </cell>
          <cell r="AH140" t="str">
            <v>11/03/1966</v>
          </cell>
          <cell r="AI140">
            <v>54</v>
          </cell>
          <cell r="AJ140">
            <v>6573.61</v>
          </cell>
          <cell r="AL140" t="str">
            <v>FA</v>
          </cell>
          <cell r="AM140">
            <v>6573.61</v>
          </cell>
          <cell r="AN140" t="str">
            <v>eliaspereira@mme.gov.br</v>
          </cell>
          <cell r="AO140" t="str">
            <v>(61) 2032-5139</v>
          </cell>
        </row>
        <row r="141">
          <cell r="A141" t="str">
            <v>ELIS REGINA PIRES GARCIA</v>
          </cell>
          <cell r="B141" t="str">
            <v>239.508.381-04</v>
          </cell>
          <cell r="C141">
            <v>455221</v>
          </cell>
          <cell r="D141" t="str">
            <v>Agente Administrativo</v>
          </cell>
          <cell r="E141" t="str">
            <v>Ativo Permanente</v>
          </cell>
          <cell r="F141" t="str">
            <v>MME - Ministério de Minas e Energia</v>
          </cell>
          <cell r="G141" t="str">
            <v>GM / ASTAD / COORDENAÇÃO DE ATIVIDADES ADMINISTRATIVAS</v>
          </cell>
          <cell r="H141" t="str">
            <v>2.100.101</v>
          </cell>
          <cell r="I141" t="str">
            <v>Assistente do Gabinete do Ministro</v>
          </cell>
          <cell r="J141" t="str">
            <v>FCPE</v>
          </cell>
          <cell r="K141" t="str">
            <v>102.2</v>
          </cell>
          <cell r="L141" t="str">
            <v xml:space="preserve">Portaria nº </v>
          </cell>
          <cell r="M141">
            <v>524</v>
          </cell>
          <cell r="N141" t="str">
            <v>03/11/2016</v>
          </cell>
          <cell r="O141" t="str">
            <v>04/11/2016</v>
          </cell>
          <cell r="P141" t="str">
            <v>BPE</v>
          </cell>
          <cell r="Z141" t="str">
            <v>Sem designação</v>
          </cell>
          <cell r="AF141" t="str">
            <v>Feminino</v>
          </cell>
          <cell r="AG141" t="str">
            <v>Branca</v>
          </cell>
          <cell r="AH141" t="str">
            <v>17/02/1961</v>
          </cell>
          <cell r="AI141">
            <v>59</v>
          </cell>
          <cell r="AJ141">
            <v>7571.88</v>
          </cell>
          <cell r="AL141" t="str">
            <v>DIR</v>
          </cell>
          <cell r="AM141">
            <v>7571.88</v>
          </cell>
          <cell r="AN141" t="str">
            <v>Elis@mme.gov.br</v>
          </cell>
          <cell r="AO141" t="str">
            <v>(61) 2032-5039</v>
          </cell>
          <cell r="AP141" t="str">
            <v>GM15</v>
          </cell>
        </row>
        <row r="142">
          <cell r="A142" t="str">
            <v>ELISANGELA APARECIDA FERNANDES</v>
          </cell>
          <cell r="B142" t="str">
            <v>025.845.209-90</v>
          </cell>
          <cell r="C142">
            <v>1331098</v>
          </cell>
          <cell r="D142" t="str">
            <v>Sem Cargo/Emprego</v>
          </cell>
          <cell r="E142" t="str">
            <v>Sem Vínculo</v>
          </cell>
          <cell r="F142" t="str">
            <v>Sem Vínculo</v>
          </cell>
          <cell r="G142" t="str">
            <v>GM / ASSESSORIA PARLAMENTAR - ASPAR</v>
          </cell>
          <cell r="H142" t="str">
            <v>2.100.200</v>
          </cell>
          <cell r="I142" t="str">
            <v>Assistente Técnica da Assessoria Parlamentar do Gabinete do Ministro</v>
          </cell>
          <cell r="J142" t="str">
            <v>DAS</v>
          </cell>
          <cell r="K142" t="str">
            <v>102.1</v>
          </cell>
          <cell r="L142" t="str">
            <v xml:space="preserve">Portaria nº </v>
          </cell>
          <cell r="M142">
            <v>414</v>
          </cell>
          <cell r="N142" t="str">
            <v>11/11/2019</v>
          </cell>
          <cell r="O142" t="str">
            <v>12/11/2019</v>
          </cell>
          <cell r="P142" t="str">
            <v>DOU</v>
          </cell>
          <cell r="Z142" t="str">
            <v>Sem designação</v>
          </cell>
          <cell r="AF142" t="str">
            <v>Feminino</v>
          </cell>
          <cell r="AG142" t="str">
            <v>Parda</v>
          </cell>
          <cell r="AH142" t="str">
            <v>21/09/1978</v>
          </cell>
          <cell r="AI142">
            <v>42</v>
          </cell>
          <cell r="AJ142">
            <v>2701.46</v>
          </cell>
          <cell r="AL142" t="str">
            <v>FA</v>
          </cell>
          <cell r="AM142">
            <v>2701.46</v>
          </cell>
          <cell r="AN142" t="str">
            <v>elisangela.fernandes@mme.gov.br</v>
          </cell>
          <cell r="AO142" t="str">
            <v>(61) 2032-5442</v>
          </cell>
          <cell r="AP142" t="str">
            <v>GM31</v>
          </cell>
        </row>
        <row r="143">
          <cell r="A143" t="str">
            <v>ELIZABETE TEIXEIRA SA FREIRE DE ABREU</v>
          </cell>
          <cell r="B143" t="str">
            <v>768.398.857-04</v>
          </cell>
          <cell r="C143">
            <v>266924</v>
          </cell>
          <cell r="D143" t="str">
            <v>Enfermeiro</v>
          </cell>
          <cell r="E143" t="str">
            <v>Ativo Permanente</v>
          </cell>
          <cell r="F143" t="str">
            <v>MME - Ministério de Minas e Energia</v>
          </cell>
          <cell r="G143" t="str">
            <v>SE / SPOA / CGRH / COORDENAÇÃO DE DESENVOLVIMENTO E SEGURIDADE SOCIAL - CODES</v>
          </cell>
          <cell r="H143" t="str">
            <v>8.105.220</v>
          </cell>
          <cell r="I143" t="str">
            <v>Função Comissionada Técnica - Analista em Gestão de Logística</v>
          </cell>
          <cell r="J143" t="str">
            <v>FCT</v>
          </cell>
          <cell r="K143">
            <v>3</v>
          </cell>
          <cell r="L143" t="str">
            <v xml:space="preserve">Portaria nº </v>
          </cell>
          <cell r="M143">
            <v>51</v>
          </cell>
          <cell r="N143" t="str">
            <v>15/02/2013</v>
          </cell>
          <cell r="O143" t="str">
            <v>18/02/2013</v>
          </cell>
          <cell r="P143" t="str">
            <v>DOU</v>
          </cell>
          <cell r="Q143" t="str">
            <v>GSISTE</v>
          </cell>
          <cell r="R143" t="str">
            <v>Superior</v>
          </cell>
          <cell r="S143" t="str">
            <v>SIPEC  - Sistema de Pessoal Civil da Administração Federal</v>
          </cell>
          <cell r="T143" t="str">
            <v xml:space="preserve">Portaria nº </v>
          </cell>
          <cell r="U143">
            <v>60</v>
          </cell>
          <cell r="V143" t="str">
            <v>19/06/2009</v>
          </cell>
          <cell r="W143" t="str">
            <v>19/06/2009</v>
          </cell>
          <cell r="X143" t="str">
            <v>BPE</v>
          </cell>
          <cell r="Z143" t="str">
            <v>Sem designação</v>
          </cell>
          <cell r="AF143" t="str">
            <v>Feminino</v>
          </cell>
          <cell r="AG143" t="str">
            <v>Branca</v>
          </cell>
          <cell r="AH143" t="str">
            <v>19/08/1964</v>
          </cell>
          <cell r="AI143">
            <v>56</v>
          </cell>
          <cell r="AJ143">
            <v>15472.83</v>
          </cell>
          <cell r="AL143" t="str">
            <v>FA</v>
          </cell>
          <cell r="AM143">
            <v>15472.83</v>
          </cell>
          <cell r="AN143" t="str">
            <v>elizabeteabreu@mme.gov.br</v>
          </cell>
          <cell r="AO143" t="str">
            <v>(61) 2032-5153</v>
          </cell>
        </row>
        <row r="144">
          <cell r="A144" t="str">
            <v>ELIZABETH NOGUEIRA</v>
          </cell>
          <cell r="B144" t="str">
            <v>183.630.161-87</v>
          </cell>
          <cell r="C144">
            <v>1587079</v>
          </cell>
          <cell r="D144" t="str">
            <v>Escriturário IV</v>
          </cell>
          <cell r="E144" t="str">
            <v>Anistiado MME</v>
          </cell>
          <cell r="F144" t="str">
            <v>MME - Ministério de Minas e Energia</v>
          </cell>
          <cell r="G144" t="str">
            <v>SE / SPOA / CGRH / COORDENAÇÃO DE ADMINISTRAÇÃO DE PESSOAL - CAPES</v>
          </cell>
          <cell r="H144" t="str">
            <v>8.105.210</v>
          </cell>
          <cell r="Y144" t="str">
            <v>Chefe da Divisão de Concessão e Atualização dos Registros de Pagamento de Pensionista</v>
          </cell>
          <cell r="Z144" t="str">
            <v>Eventual</v>
          </cell>
          <cell r="AA144" t="str">
            <v xml:space="preserve">Portaria nº </v>
          </cell>
          <cell r="AB144">
            <v>160</v>
          </cell>
          <cell r="AC144" t="str">
            <v>25/04/2017</v>
          </cell>
          <cell r="AD144" t="str">
            <v>27/04/2017</v>
          </cell>
          <cell r="AE144" t="str">
            <v>DOU</v>
          </cell>
          <cell r="AF144" t="str">
            <v>Feminino</v>
          </cell>
          <cell r="AG144" t="str">
            <v>Branca</v>
          </cell>
          <cell r="AH144" t="str">
            <v>24/05/1951</v>
          </cell>
          <cell r="AI144">
            <v>69</v>
          </cell>
          <cell r="AJ144">
            <v>4963.8599999999997</v>
          </cell>
          <cell r="AL144" t="str">
            <v>FA</v>
          </cell>
          <cell r="AM144">
            <v>4963.8599999999997</v>
          </cell>
          <cell r="AN144" t="str">
            <v>elizabeth.nogueira@mme.gov.br</v>
          </cell>
          <cell r="AO144" t="str">
            <v>(61) 2032-5597</v>
          </cell>
          <cell r="AQ144" t="str">
            <v>SE37S</v>
          </cell>
        </row>
        <row r="145">
          <cell r="A145" t="str">
            <v>ELIZABETH TAYLOR SOUSA MENESES DE AGUIAR</v>
          </cell>
          <cell r="B145" t="str">
            <v>327.877.743-34</v>
          </cell>
          <cell r="C145">
            <v>1494863</v>
          </cell>
          <cell r="D145" t="str">
            <v>Sem Cargo/Emprego</v>
          </cell>
          <cell r="E145" t="str">
            <v>Sem Vínculo</v>
          </cell>
          <cell r="F145" t="str">
            <v>Sem Vínculo</v>
          </cell>
          <cell r="G145" t="str">
            <v>CONJUR / CGAA / COORDENAÇÃO DE APOIO ADMINISTRATIVO</v>
          </cell>
          <cell r="H145" t="str">
            <v>7.100.310</v>
          </cell>
          <cell r="I145" t="str">
            <v>Assistente da Consultoria Jurídica</v>
          </cell>
          <cell r="J145" t="str">
            <v>DAS</v>
          </cell>
          <cell r="K145" t="str">
            <v>102.2</v>
          </cell>
          <cell r="L145" t="str">
            <v xml:space="preserve">Portaria nº </v>
          </cell>
          <cell r="M145">
            <v>524</v>
          </cell>
          <cell r="N145" t="str">
            <v>03/11/2016</v>
          </cell>
          <cell r="O145" t="str">
            <v>04/11/2016</v>
          </cell>
          <cell r="P145" t="str">
            <v>BPE</v>
          </cell>
          <cell r="Z145" t="str">
            <v>Sem designação</v>
          </cell>
          <cell r="AF145" t="str">
            <v>Feminino</v>
          </cell>
          <cell r="AG145" t="str">
            <v>Parda</v>
          </cell>
          <cell r="AH145" t="str">
            <v>24/10/1968</v>
          </cell>
          <cell r="AI145">
            <v>52</v>
          </cell>
          <cell r="AJ145">
            <v>3440.75</v>
          </cell>
          <cell r="AL145" t="str">
            <v>FA</v>
          </cell>
          <cell r="AM145">
            <v>3440.75</v>
          </cell>
          <cell r="AN145" t="str">
            <v>elizabeth.aguiar@mme.gov.br</v>
          </cell>
          <cell r="AO145" t="str">
            <v>(61) 2032-5252</v>
          </cell>
          <cell r="AP145" t="str">
            <v>CONJUR05</v>
          </cell>
        </row>
        <row r="146">
          <cell r="A146" t="str">
            <v>ELIZANE VELOZO COSTA GUEDES</v>
          </cell>
          <cell r="B146" t="str">
            <v>524.514.701-78</v>
          </cell>
          <cell r="C146">
            <v>1095447</v>
          </cell>
          <cell r="D146" t="str">
            <v>Agente Administrativo</v>
          </cell>
          <cell r="E146" t="str">
            <v>Ativo Permanente</v>
          </cell>
          <cell r="F146" t="str">
            <v>MME - Ministério de Minas e Energia</v>
          </cell>
          <cell r="G146" t="str">
            <v>SE / SPOA / CGOF / COORDENAÇÃO DE CONTABILIDADE - CONT</v>
          </cell>
          <cell r="H146" t="str">
            <v>8.105.520</v>
          </cell>
          <cell r="I146" t="str">
            <v>Coordenadora de Contabilidade da Coordenação Geral de Orçamento e Finanças</v>
          </cell>
          <cell r="J146" t="str">
            <v>DAS</v>
          </cell>
          <cell r="K146" t="str">
            <v>101.3</v>
          </cell>
          <cell r="L146" t="str">
            <v xml:space="preserve">Portaria nº </v>
          </cell>
          <cell r="M146">
            <v>524</v>
          </cell>
          <cell r="N146" t="str">
            <v>03/11/2016</v>
          </cell>
          <cell r="O146" t="str">
            <v>04/11/2016</v>
          </cell>
          <cell r="P146" t="str">
            <v>BPE</v>
          </cell>
          <cell r="Q146" t="str">
            <v>GSISTE</v>
          </cell>
          <cell r="R146" t="str">
            <v>Intermediário (MPAAC)</v>
          </cell>
          <cell r="S146" t="str">
            <v>SCF - Sistema de Controle Federal</v>
          </cell>
          <cell r="T146" t="str">
            <v xml:space="preserve">Portaria nº </v>
          </cell>
          <cell r="U146">
            <v>67</v>
          </cell>
          <cell r="V146" t="str">
            <v>23/07/2009</v>
          </cell>
          <cell r="W146" t="str">
            <v>23/07/2009</v>
          </cell>
          <cell r="X146" t="str">
            <v>BPE</v>
          </cell>
          <cell r="Z146" t="str">
            <v>Sem designação</v>
          </cell>
          <cell r="AF146" t="str">
            <v>Feminino</v>
          </cell>
          <cell r="AG146" t="str">
            <v>Branca</v>
          </cell>
          <cell r="AH146" t="str">
            <v>25/01/1971</v>
          </cell>
          <cell r="AI146">
            <v>49</v>
          </cell>
          <cell r="AJ146">
            <v>10033.36</v>
          </cell>
          <cell r="AL146" t="str">
            <v>FA</v>
          </cell>
          <cell r="AM146">
            <v>10033.36</v>
          </cell>
          <cell r="AN146" t="str">
            <v>Elizane@mme.gov.br</v>
          </cell>
          <cell r="AO146" t="str">
            <v>(61) 2032-5235</v>
          </cell>
          <cell r="AP146" t="str">
            <v>SE73</v>
          </cell>
        </row>
        <row r="147">
          <cell r="A147" t="str">
            <v>ELZA MARIA DA ROCHA</v>
          </cell>
          <cell r="B147" t="str">
            <v>224.928.521-72</v>
          </cell>
          <cell r="C147">
            <v>1669651</v>
          </cell>
          <cell r="D147" t="str">
            <v>Auxiliar de Biblioteca</v>
          </cell>
          <cell r="E147" t="str">
            <v>Anistiado MME</v>
          </cell>
          <cell r="F147" t="str">
            <v>MME - Ministério de Minas e Energia</v>
          </cell>
          <cell r="G147" t="str">
            <v>SE / SPOA / CGRH / COORDENAÇÃO DE DESENVOLVIMENTO E SEGURIDADE SOCIAL - CODES</v>
          </cell>
          <cell r="H147" t="str">
            <v>8.105.220</v>
          </cell>
          <cell r="Z147" t="str">
            <v>Sem designação</v>
          </cell>
          <cell r="AF147" t="str">
            <v>Feminino</v>
          </cell>
          <cell r="AG147" t="str">
            <v>Parda</v>
          </cell>
          <cell r="AH147" t="str">
            <v>14/09/1960</v>
          </cell>
          <cell r="AI147">
            <v>60</v>
          </cell>
          <cell r="AJ147">
            <v>3915.9</v>
          </cell>
          <cell r="AL147" t="str">
            <v>FA</v>
          </cell>
          <cell r="AM147">
            <v>3915.9</v>
          </cell>
          <cell r="AN147" t="str">
            <v>elza.rocha@mme.gov.br</v>
          </cell>
          <cell r="AO147" t="str">
            <v>(61) 2032-5685</v>
          </cell>
        </row>
        <row r="148">
          <cell r="A148" t="str">
            <v>EMANOELLE DE OLIVEIRA LIMA</v>
          </cell>
          <cell r="B148" t="str">
            <v>888.393.031-20</v>
          </cell>
          <cell r="C148">
            <v>1461010</v>
          </cell>
          <cell r="D148" t="str">
            <v>Sem Cargo/Emprego</v>
          </cell>
          <cell r="E148" t="str">
            <v>Sem Vínculo</v>
          </cell>
          <cell r="F148" t="str">
            <v>Sem Vínculo</v>
          </cell>
          <cell r="G148" t="str">
            <v>SEE / DMSE / COORDENAÇÃO GERAL DE MONITORAMENTO DA EXPANSÃO DA TRANSMISSÃO</v>
          </cell>
          <cell r="H148" t="str">
            <v>12.102.200</v>
          </cell>
          <cell r="I148" t="str">
            <v>Assessora Técnica da Coordenação Geral de Monitoramento da Expansão da Transmissão do Departamento de Monitoramento do Sistema Elétrico</v>
          </cell>
          <cell r="J148" t="str">
            <v>DAS</v>
          </cell>
          <cell r="K148" t="str">
            <v>102.3</v>
          </cell>
          <cell r="L148" t="str">
            <v xml:space="preserve">Portaria nº </v>
          </cell>
          <cell r="M148">
            <v>524</v>
          </cell>
          <cell r="N148" t="str">
            <v>03/11/2016</v>
          </cell>
          <cell r="O148" t="str">
            <v>04/11/2016</v>
          </cell>
          <cell r="P148" t="str">
            <v>BPE</v>
          </cell>
          <cell r="Z148" t="str">
            <v>Sem designação</v>
          </cell>
          <cell r="AF148" t="str">
            <v>Feminino</v>
          </cell>
          <cell r="AG148" t="str">
            <v>Amarela</v>
          </cell>
          <cell r="AH148" t="str">
            <v>01/12/1978</v>
          </cell>
          <cell r="AI148">
            <v>41</v>
          </cell>
          <cell r="AJ148">
            <v>5685.55</v>
          </cell>
          <cell r="AL148" t="str">
            <v>FA</v>
          </cell>
          <cell r="AM148">
            <v>5685.55</v>
          </cell>
          <cell r="AN148" t="str">
            <v>emanoelle.lima@mme.gov.br</v>
          </cell>
          <cell r="AO148" t="str">
            <v>(61) 2032-5714</v>
          </cell>
          <cell r="AP148" t="str">
            <v>SEE23</v>
          </cell>
        </row>
        <row r="149">
          <cell r="A149" t="str">
            <v>EMIDIO JOSE DA SILVA NETO</v>
          </cell>
          <cell r="B149" t="str">
            <v>051.651.483-00</v>
          </cell>
          <cell r="C149">
            <v>1280722</v>
          </cell>
          <cell r="D149" t="str">
            <v>Escriturário</v>
          </cell>
          <cell r="E149" t="str">
            <v>Anistiado MME</v>
          </cell>
          <cell r="F149" t="str">
            <v>MME - Ministério de Minas e Energia</v>
          </cell>
          <cell r="G149" t="str">
            <v>SEE / DGSE / COORDENAÇÃO GERAL DE GESTÃO DA COMERCIALIZAÇÃO DE ENERGIA</v>
          </cell>
          <cell r="H149" t="str">
            <v>12.101.100</v>
          </cell>
          <cell r="Z149" t="str">
            <v>Sem designação</v>
          </cell>
          <cell r="AF149" t="str">
            <v>Masculino</v>
          </cell>
          <cell r="AG149" t="str">
            <v>Parda</v>
          </cell>
          <cell r="AH149" t="str">
            <v>19/12/1951</v>
          </cell>
          <cell r="AI149">
            <v>68</v>
          </cell>
          <cell r="AJ149">
            <v>5333.42</v>
          </cell>
          <cell r="AL149" t="str">
            <v>FA</v>
          </cell>
          <cell r="AM149">
            <v>5333.42</v>
          </cell>
          <cell r="AN149" t="str">
            <v>emidio.neto@mme.gov.br</v>
          </cell>
          <cell r="AO149" t="str">
            <v>(61) 2032-5151</v>
          </cell>
        </row>
        <row r="150">
          <cell r="A150" t="str">
            <v>ENIR SEBASTIAO MENDES</v>
          </cell>
          <cell r="B150" t="str">
            <v>167.059.121-20</v>
          </cell>
          <cell r="C150">
            <v>2663548</v>
          </cell>
          <cell r="D150" t="str">
            <v>Analista de Infraestrutura</v>
          </cell>
          <cell r="E150" t="str">
            <v>Exercício Descentralizado</v>
          </cell>
          <cell r="F150" t="str">
            <v>ME - Ministério da Economia</v>
          </cell>
          <cell r="G150" t="str">
            <v>SGM / DEPARTAMENTO DE TRANSFORMAÇÃO E TECNOLOGIA MINERAL - DTTM</v>
          </cell>
          <cell r="H150" t="str">
            <v>9.103.000</v>
          </cell>
          <cell r="I150" t="str">
            <v>Diretor do Departamento de Transformação e Tecnologia Mineral</v>
          </cell>
          <cell r="J150" t="str">
            <v>DAS</v>
          </cell>
          <cell r="K150" t="str">
            <v>101.5</v>
          </cell>
          <cell r="L150" t="str">
            <v xml:space="preserve">Portaria nº </v>
          </cell>
          <cell r="M150">
            <v>1794</v>
          </cell>
          <cell r="N150" t="str">
            <v>22/05/2019</v>
          </cell>
          <cell r="O150" t="str">
            <v>23/05/2019</v>
          </cell>
          <cell r="P150" t="str">
            <v>DOU</v>
          </cell>
          <cell r="Z150" t="str">
            <v>Sem designação</v>
          </cell>
          <cell r="AF150" t="str">
            <v>Masculino</v>
          </cell>
          <cell r="AG150" t="str">
            <v>Branca</v>
          </cell>
          <cell r="AH150" t="str">
            <v>16/01/1953</v>
          </cell>
          <cell r="AI150">
            <v>67</v>
          </cell>
          <cell r="AJ150">
            <v>8174.03</v>
          </cell>
          <cell r="AK150">
            <v>17846.990000000002</v>
          </cell>
          <cell r="AL150" t="str">
            <v>FA</v>
          </cell>
          <cell r="AM150">
            <v>26021.02</v>
          </cell>
          <cell r="AN150" t="str">
            <v>enir.mendes@mme.gov.br</v>
          </cell>
          <cell r="AO150" t="str">
            <v>(61) 2032-5936</v>
          </cell>
          <cell r="AP150" t="str">
            <v>SGM20</v>
          </cell>
        </row>
        <row r="151">
          <cell r="A151" t="str">
            <v>ERIKA FLAVIA PFEILSTICKER RIBAS</v>
          </cell>
          <cell r="B151" t="str">
            <v>573.007.471-91</v>
          </cell>
          <cell r="C151">
            <v>1095148</v>
          </cell>
          <cell r="D151" t="str">
            <v>Agente Administrativo</v>
          </cell>
          <cell r="E151" t="str">
            <v>Ativo Permanente</v>
          </cell>
          <cell r="F151" t="str">
            <v>MME - Ministério de Minas e Energia</v>
          </cell>
          <cell r="G151" t="str">
            <v>SE / SPOA / COORDENAÇÃO GERAL DE RECURSOS HUMANOS - CGRH</v>
          </cell>
          <cell r="H151" t="str">
            <v>8.105.200</v>
          </cell>
          <cell r="I151" t="str">
            <v>Função Comissionada Técnica - Analista em Gestão de Pessoas</v>
          </cell>
          <cell r="J151" t="str">
            <v>FCT</v>
          </cell>
          <cell r="K151">
            <v>2</v>
          </cell>
          <cell r="L151" t="str">
            <v xml:space="preserve">Portaria nº </v>
          </cell>
          <cell r="M151">
            <v>636</v>
          </cell>
          <cell r="N151" t="str">
            <v>23/11/2016</v>
          </cell>
          <cell r="O151" t="str">
            <v>24/11/2016</v>
          </cell>
          <cell r="P151" t="str">
            <v>DOU</v>
          </cell>
          <cell r="Q151" t="str">
            <v>GSISTE</v>
          </cell>
          <cell r="R151" t="str">
            <v>Intermediário</v>
          </cell>
          <cell r="S151" t="str">
            <v>SIPEC  - Sistema de Pessoal Civil da Administração Federal</v>
          </cell>
          <cell r="T151" t="str">
            <v xml:space="preserve">Portaria nº </v>
          </cell>
          <cell r="U151">
            <v>74</v>
          </cell>
          <cell r="V151" t="str">
            <v>13/07/2017</v>
          </cell>
          <cell r="W151" t="str">
            <v>13/07/2017</v>
          </cell>
          <cell r="X151" t="str">
            <v>BPE</v>
          </cell>
          <cell r="Z151" t="str">
            <v>Sem designação</v>
          </cell>
          <cell r="AF151" t="str">
            <v>Feminino</v>
          </cell>
          <cell r="AG151" t="str">
            <v>Parda</v>
          </cell>
          <cell r="AH151" t="str">
            <v>25/04/1973</v>
          </cell>
          <cell r="AI151">
            <v>47</v>
          </cell>
          <cell r="AJ151">
            <v>8377.16</v>
          </cell>
          <cell r="AL151" t="str">
            <v>FA</v>
          </cell>
          <cell r="AM151">
            <v>8377.16</v>
          </cell>
          <cell r="AN151" t="str">
            <v>erika@mme.gov.br</v>
          </cell>
          <cell r="AO151" t="str">
            <v>(61) 2032-5748</v>
          </cell>
        </row>
        <row r="152">
          <cell r="A152" t="str">
            <v>ERIKA TAVARES AGUIRRES</v>
          </cell>
          <cell r="B152" t="str">
            <v>940.731.631-91</v>
          </cell>
          <cell r="C152">
            <v>1586382</v>
          </cell>
          <cell r="D152" t="str">
            <v>Sem Cargo/Emprego</v>
          </cell>
          <cell r="E152" t="str">
            <v>Sem Vínculo</v>
          </cell>
          <cell r="F152" t="str">
            <v>Sem Vínculo</v>
          </cell>
          <cell r="G152" t="str">
            <v>SE / SPOA / CGCC / COORDENAÇÃO DE ADMINISTRAÇÃO DE CONTRATOS - CAC</v>
          </cell>
          <cell r="H152" t="str">
            <v>8.105.410</v>
          </cell>
          <cell r="I152" t="str">
            <v>Assistente da Coordenação Geral de Compras e Contratos</v>
          </cell>
          <cell r="J152" t="str">
            <v>DAS</v>
          </cell>
          <cell r="K152" t="str">
            <v>102.2</v>
          </cell>
          <cell r="L152" t="str">
            <v xml:space="preserve">Portaria nº </v>
          </cell>
          <cell r="M152">
            <v>336</v>
          </cell>
          <cell r="N152" t="str">
            <v>23/08/2017</v>
          </cell>
          <cell r="O152" t="str">
            <v>24/08/2017</v>
          </cell>
          <cell r="P152" t="str">
            <v>DOU</v>
          </cell>
          <cell r="Z152" t="str">
            <v>Sem designação</v>
          </cell>
          <cell r="AF152" t="str">
            <v>Feminino</v>
          </cell>
          <cell r="AG152" t="str">
            <v>Branca</v>
          </cell>
          <cell r="AH152" t="str">
            <v>30/10/1978</v>
          </cell>
          <cell r="AI152">
            <v>42</v>
          </cell>
          <cell r="AJ152">
            <v>3440.75</v>
          </cell>
          <cell r="AL152" t="str">
            <v>FA</v>
          </cell>
          <cell r="AM152">
            <v>3440.75</v>
          </cell>
          <cell r="AN152" t="str">
            <v>erika.aguirres@mme.gov.br</v>
          </cell>
          <cell r="AO152" t="str">
            <v>(61) 2032-5817</v>
          </cell>
          <cell r="AP152" t="str">
            <v>SE88</v>
          </cell>
        </row>
        <row r="153">
          <cell r="A153" t="str">
            <v>ERIVELTO FURTADO NEVES</v>
          </cell>
          <cell r="B153" t="str">
            <v>075.426.073-91</v>
          </cell>
          <cell r="C153">
            <v>452971</v>
          </cell>
          <cell r="D153" t="str">
            <v>Técnico de Contabilidade</v>
          </cell>
          <cell r="E153" t="str">
            <v>Ativo Permanente</v>
          </cell>
          <cell r="F153" t="str">
            <v>MME - Ministério de Minas e Energia</v>
          </cell>
          <cell r="G153" t="str">
            <v>GM / ASTAD / COORDENAÇÃO DE ATIVIDADES ADMINISTRATIVAS</v>
          </cell>
          <cell r="H153" t="str">
            <v>2.100.101</v>
          </cell>
          <cell r="I153" t="str">
            <v>Assistente Técnico da Coordenação de Atividades Administrativas do Gabinete do Ministro</v>
          </cell>
          <cell r="J153" t="str">
            <v>FCPE</v>
          </cell>
          <cell r="K153" t="str">
            <v>102.1</v>
          </cell>
          <cell r="L153" t="str">
            <v xml:space="preserve">Portaria nº </v>
          </cell>
          <cell r="M153">
            <v>524</v>
          </cell>
          <cell r="N153" t="str">
            <v>03/11/2016</v>
          </cell>
          <cell r="O153" t="str">
            <v>04/11/2016</v>
          </cell>
          <cell r="P153" t="str">
            <v>BPE</v>
          </cell>
          <cell r="Z153" t="str">
            <v>Sem designação</v>
          </cell>
          <cell r="AF153" t="str">
            <v>Masculino</v>
          </cell>
          <cell r="AG153" t="str">
            <v>Parda</v>
          </cell>
          <cell r="AH153" t="str">
            <v>07/04/1955</v>
          </cell>
          <cell r="AI153">
            <v>65</v>
          </cell>
          <cell r="AJ153">
            <v>7090.9</v>
          </cell>
          <cell r="AL153" t="str">
            <v>DIR</v>
          </cell>
          <cell r="AM153">
            <v>7090.9</v>
          </cell>
          <cell r="AN153" t="str">
            <v>eriveltoneves@mme.gov.br</v>
          </cell>
          <cell r="AO153" t="str">
            <v>(61) 2032-5234</v>
          </cell>
          <cell r="AP153" t="str">
            <v>GM22</v>
          </cell>
        </row>
        <row r="154">
          <cell r="A154" t="str">
            <v>ERLENE MARIA LIMA</v>
          </cell>
          <cell r="B154" t="str">
            <v>276.040.391-20</v>
          </cell>
          <cell r="C154">
            <v>3089519</v>
          </cell>
          <cell r="D154" t="str">
            <v>Sem Cargo/Emprego</v>
          </cell>
          <cell r="E154" t="str">
            <v>Sem Vínculo</v>
          </cell>
          <cell r="F154" t="str">
            <v>Sem Vínculo</v>
          </cell>
          <cell r="G154" t="str">
            <v>SGM / DPGM / COORDENAÇÃO GERAL DE MONITORAMENTO E CONTROLE DA GESTÃO DE PROGRAMA</v>
          </cell>
          <cell r="H154" t="str">
            <v>9.101.200</v>
          </cell>
          <cell r="I154" t="str">
            <v>Coordenadora Geral de Monitoramento e Controle da Gestão de Programa do Departamento de Gestão das Políticas de Geologia, Mineração e Transformação Mineral</v>
          </cell>
          <cell r="J154" t="str">
            <v>DAS</v>
          </cell>
          <cell r="K154" t="str">
            <v>101.4</v>
          </cell>
          <cell r="L154" t="str">
            <v xml:space="preserve">Portaria nº </v>
          </cell>
          <cell r="M154">
            <v>127</v>
          </cell>
          <cell r="N154" t="str">
            <v>12/02/2019</v>
          </cell>
          <cell r="O154" t="str">
            <v>14/02/2019</v>
          </cell>
          <cell r="P154" t="str">
            <v>DOU</v>
          </cell>
          <cell r="Z154" t="str">
            <v>Sem designação</v>
          </cell>
          <cell r="AF154" t="str">
            <v>Feminino</v>
          </cell>
          <cell r="AG154" t="str">
            <v>Branca</v>
          </cell>
          <cell r="AH154" t="str">
            <v>16/08/1964</v>
          </cell>
          <cell r="AI154">
            <v>56</v>
          </cell>
          <cell r="AJ154">
            <v>10373.299999999999</v>
          </cell>
          <cell r="AL154" t="str">
            <v>FA</v>
          </cell>
          <cell r="AM154">
            <v>10373.299999999999</v>
          </cell>
          <cell r="AN154" t="str">
            <v>erlene.lima@mme.gov.br</v>
          </cell>
          <cell r="AO154" t="str">
            <v>(61) 2032-5177</v>
          </cell>
          <cell r="AP154" t="str">
            <v>SGM12</v>
          </cell>
        </row>
        <row r="155">
          <cell r="A155" t="str">
            <v>ESDRAS GODINHO RAMOS</v>
          </cell>
          <cell r="B155" t="str">
            <v>009.635.831-90</v>
          </cell>
          <cell r="C155">
            <v>1901880</v>
          </cell>
          <cell r="D155" t="str">
            <v>Analista de Infraestrutura</v>
          </cell>
          <cell r="E155" t="str">
            <v>Requisitado de Órgãos</v>
          </cell>
          <cell r="F155" t="str">
            <v>ME - Ministério da Economia</v>
          </cell>
          <cell r="G155" t="str">
            <v>SPG / CHEFIA DE GABINETE SPG</v>
          </cell>
          <cell r="H155" t="str">
            <v>11.100.000</v>
          </cell>
          <cell r="I155" t="str">
            <v>Assistente da Secretaria de Petróleo, Gás Natural e Biocombustíveis</v>
          </cell>
          <cell r="J155" t="str">
            <v>DAS</v>
          </cell>
          <cell r="K155" t="str">
            <v>102.2</v>
          </cell>
          <cell r="L155" t="str">
            <v xml:space="preserve">Portaria nº </v>
          </cell>
          <cell r="M155">
            <v>394</v>
          </cell>
          <cell r="N155" t="str">
            <v>21/10/2019</v>
          </cell>
          <cell r="O155" t="str">
            <v>23/10/2019</v>
          </cell>
          <cell r="P155" t="str">
            <v>DOU</v>
          </cell>
          <cell r="Z155" t="str">
            <v>Eventual</v>
          </cell>
          <cell r="AA155" t="str">
            <v xml:space="preserve">Portaria nº </v>
          </cell>
          <cell r="AB155">
            <v>338</v>
          </cell>
          <cell r="AC155" t="str">
            <v>10/09/2020</v>
          </cell>
          <cell r="AD155" t="str">
            <v>16/09/2020</v>
          </cell>
          <cell r="AE155" t="str">
            <v>DOU</v>
          </cell>
          <cell r="AF155" t="str">
            <v>Masculino</v>
          </cell>
          <cell r="AG155" t="str">
            <v>Branca</v>
          </cell>
          <cell r="AH155" t="str">
            <v>03/07/1985</v>
          </cell>
          <cell r="AI155">
            <v>35</v>
          </cell>
          <cell r="AJ155">
            <v>2064.4499999999998</v>
          </cell>
          <cell r="AK155">
            <v>14503.55</v>
          </cell>
          <cell r="AL155" t="str">
            <v>FA</v>
          </cell>
          <cell r="AM155">
            <v>16568</v>
          </cell>
          <cell r="AN155" t="str">
            <v>esdras.ramos@mme.gov.br</v>
          </cell>
          <cell r="AO155" t="str">
            <v>(61) 2032-5917</v>
          </cell>
          <cell r="AP155" t="str">
            <v>SPG06</v>
          </cell>
          <cell r="AQ155" t="str">
            <v>SPG04S</v>
          </cell>
        </row>
        <row r="156">
          <cell r="A156" t="str">
            <v>EUCIMAR KWIATKOWSKI AUGUSTINHAK</v>
          </cell>
          <cell r="B156" t="str">
            <v>054.509.059-80</v>
          </cell>
          <cell r="C156">
            <v>4878036</v>
          </cell>
          <cell r="D156" t="str">
            <v>Analista de Infraestrutura</v>
          </cell>
          <cell r="E156" t="str">
            <v>Exercício Descentralizado</v>
          </cell>
          <cell r="F156" t="str">
            <v>ME - Ministério da Economia</v>
          </cell>
          <cell r="G156" t="str">
            <v>SEE / DMSE / COORDENAÇÃO GERAL DE MONITORAMENTO DA EXPANSÃO DA TRANSMISSÃO</v>
          </cell>
          <cell r="H156" t="str">
            <v>12.102.200</v>
          </cell>
          <cell r="I156" t="str">
            <v>Função Gratificada</v>
          </cell>
          <cell r="J156" t="str">
            <v>FGR</v>
          </cell>
          <cell r="K156">
            <v>1</v>
          </cell>
          <cell r="L156" t="str">
            <v xml:space="preserve">Portaria nº </v>
          </cell>
          <cell r="M156">
            <v>352</v>
          </cell>
          <cell r="N156" t="str">
            <v>11/09/2019</v>
          </cell>
          <cell r="O156" t="str">
            <v>13/09/2019</v>
          </cell>
          <cell r="P156" t="str">
            <v>DOU</v>
          </cell>
          <cell r="Y156" t="str">
            <v>Coordenador Geral de Monitoramento da Distribuição</v>
          </cell>
          <cell r="Z156" t="str">
            <v>Eventual</v>
          </cell>
          <cell r="AA156" t="str">
            <v xml:space="preserve">Portaria nº </v>
          </cell>
          <cell r="AB156">
            <v>256</v>
          </cell>
          <cell r="AC156" t="str">
            <v>24/06/2020</v>
          </cell>
          <cell r="AD156" t="str">
            <v>25/06/2020</v>
          </cell>
          <cell r="AE156" t="str">
            <v>DOU</v>
          </cell>
          <cell r="AF156" t="str">
            <v>Masculino</v>
          </cell>
          <cell r="AG156" t="str">
            <v>Branca</v>
          </cell>
          <cell r="AH156" t="str">
            <v>13/04/1985</v>
          </cell>
          <cell r="AI156">
            <v>35</v>
          </cell>
          <cell r="AJ156">
            <v>537.54999999999995</v>
          </cell>
          <cell r="AK156">
            <v>20501.54</v>
          </cell>
          <cell r="AL156" t="str">
            <v>FA</v>
          </cell>
          <cell r="AM156">
            <v>21039.09</v>
          </cell>
          <cell r="AN156" t="str">
            <v>eucimar.augustinhak@mme.gov.br</v>
          </cell>
          <cell r="AO156" t="str">
            <v>(61) 2032-5239</v>
          </cell>
          <cell r="AQ156" t="str">
            <v>SEE11S</v>
          </cell>
        </row>
        <row r="157">
          <cell r="A157" t="str">
            <v>EVERALDO FERNANDES DE MEDEIROS</v>
          </cell>
          <cell r="B157" t="str">
            <v>185.518.661-68</v>
          </cell>
          <cell r="C157">
            <v>451511</v>
          </cell>
          <cell r="D157" t="str">
            <v>Agente de Portaria</v>
          </cell>
          <cell r="E157" t="str">
            <v>Ativo Permanente</v>
          </cell>
          <cell r="F157" t="str">
            <v>MME - Ministério de Minas e Energia</v>
          </cell>
          <cell r="G157" t="str">
            <v>SE / SPOA / COORDENAÇÃO GERAL DE RECURSOS LOGÍSTICOS - CGRL</v>
          </cell>
          <cell r="H157" t="str">
            <v>8.105.100</v>
          </cell>
          <cell r="I157" t="str">
            <v>Função Comissionada Técnica - Auxilar de Sistemas Operacionais e Administrativos</v>
          </cell>
          <cell r="J157" t="str">
            <v>FCT</v>
          </cell>
          <cell r="K157">
            <v>11</v>
          </cell>
          <cell r="L157" t="str">
            <v xml:space="preserve">Portaria nº </v>
          </cell>
          <cell r="M157">
            <v>302</v>
          </cell>
          <cell r="N157" t="str">
            <v>23/05/2012</v>
          </cell>
          <cell r="O157" t="str">
            <v>25/05/2012</v>
          </cell>
          <cell r="P157" t="str">
            <v>DOU</v>
          </cell>
          <cell r="Z157" t="str">
            <v>Sem designação</v>
          </cell>
          <cell r="AF157" t="str">
            <v>Masculino</v>
          </cell>
          <cell r="AG157" t="str">
            <v>Branca</v>
          </cell>
          <cell r="AH157" t="str">
            <v>02/02/1957</v>
          </cell>
          <cell r="AI157">
            <v>63</v>
          </cell>
          <cell r="AJ157">
            <v>6374.35</v>
          </cell>
          <cell r="AL157" t="str">
            <v>FA</v>
          </cell>
          <cell r="AM157">
            <v>6374.35</v>
          </cell>
          <cell r="AN157" t="str">
            <v>everaldo.medeiros@mme.gov.br</v>
          </cell>
          <cell r="AO157" t="str">
            <v>(61) 2032-5610</v>
          </cell>
        </row>
        <row r="158">
          <cell r="A158" t="str">
            <v>FABIAN DIE MENEZES CARVALHO</v>
          </cell>
          <cell r="B158" t="str">
            <v>025.676.751-32</v>
          </cell>
          <cell r="C158">
            <v>2209139</v>
          </cell>
          <cell r="D158" t="str">
            <v>Sem Cargo/Emprego</v>
          </cell>
          <cell r="E158" t="str">
            <v>Sem Vínculo</v>
          </cell>
          <cell r="F158" t="str">
            <v>Sem Vínculo</v>
          </cell>
          <cell r="G158" t="str">
            <v>ASSESSORIA ESPECIAL DE RELAÇÕES INTERNACIONAIS - ASSINT</v>
          </cell>
          <cell r="H158" t="str">
            <v>3.000.000</v>
          </cell>
          <cell r="I158" t="str">
            <v>Assistente da Assessoria Especial de Relações Internacionais</v>
          </cell>
          <cell r="J158" t="str">
            <v>DAS</v>
          </cell>
          <cell r="K158" t="str">
            <v>102.2</v>
          </cell>
          <cell r="L158" t="str">
            <v xml:space="preserve">Portaria nº </v>
          </cell>
          <cell r="M158">
            <v>534</v>
          </cell>
          <cell r="N158" t="str">
            <v>03/11/2016</v>
          </cell>
          <cell r="O158" t="str">
            <v>04/11/2016</v>
          </cell>
          <cell r="P158" t="str">
            <v>DOU</v>
          </cell>
          <cell r="Z158" t="str">
            <v>Sem designação</v>
          </cell>
          <cell r="AF158" t="str">
            <v>Masculino</v>
          </cell>
          <cell r="AG158" t="str">
            <v>Branca</v>
          </cell>
          <cell r="AH158" t="str">
            <v>08/06/1988</v>
          </cell>
          <cell r="AI158">
            <v>32</v>
          </cell>
          <cell r="AJ158">
            <v>3340.75</v>
          </cell>
          <cell r="AL158" t="str">
            <v>FA</v>
          </cell>
          <cell r="AM158">
            <v>3340.75</v>
          </cell>
          <cell r="AN158" t="str">
            <v>fabian.carvalho@mme.gov.br</v>
          </cell>
          <cell r="AO158" t="str">
            <v>(61) 2032-5355</v>
          </cell>
          <cell r="AP158" t="str">
            <v>ASSINT04</v>
          </cell>
        </row>
        <row r="159">
          <cell r="A159" t="str">
            <v>FABIANA ANGELICA AIRES</v>
          </cell>
          <cell r="B159" t="str">
            <v>041.886.136-61</v>
          </cell>
          <cell r="C159">
            <v>1339230</v>
          </cell>
          <cell r="D159" t="str">
            <v>Sem Cargo/Emprego</v>
          </cell>
          <cell r="E159" t="str">
            <v>Sem Vínculo</v>
          </cell>
          <cell r="F159" t="str">
            <v>Sem Vínculo</v>
          </cell>
          <cell r="G159" t="str">
            <v>SEE / DEPARTAMENTO DE MONITORAMENTO DO SISTEMA ELÉTRICO - DMSE</v>
          </cell>
          <cell r="H159" t="str">
            <v>12.102.000</v>
          </cell>
          <cell r="I159" t="str">
            <v>Assistente do Departamento de Monitoramento do Sistema Elétrico</v>
          </cell>
          <cell r="J159" t="str">
            <v>DAS</v>
          </cell>
          <cell r="K159" t="str">
            <v>102.2</v>
          </cell>
          <cell r="L159" t="str">
            <v xml:space="preserve">Portaria nº </v>
          </cell>
          <cell r="M159">
            <v>524</v>
          </cell>
          <cell r="N159" t="str">
            <v>03/11/2016</v>
          </cell>
          <cell r="O159" t="str">
            <v>04/11/2016</v>
          </cell>
          <cell r="P159" t="str">
            <v>BPE</v>
          </cell>
          <cell r="Z159" t="str">
            <v>Sem designação</v>
          </cell>
          <cell r="AF159" t="str">
            <v>Feminino</v>
          </cell>
          <cell r="AG159" t="str">
            <v>Branca</v>
          </cell>
          <cell r="AH159" t="str">
            <v>06/10/1977</v>
          </cell>
          <cell r="AI159">
            <v>43</v>
          </cell>
          <cell r="AJ159">
            <v>3440.75</v>
          </cell>
          <cell r="AL159" t="str">
            <v>FA</v>
          </cell>
          <cell r="AM159">
            <v>3440.75</v>
          </cell>
          <cell r="AN159" t="str">
            <v>fabiana.aires@mme.gov.br</v>
          </cell>
          <cell r="AO159" t="str">
            <v>(61) 2032-5925</v>
          </cell>
          <cell r="AP159" t="str">
            <v>SEE18</v>
          </cell>
        </row>
        <row r="160">
          <cell r="A160" t="str">
            <v>FABIANA GAZZONI CEPEDA</v>
          </cell>
          <cell r="B160" t="str">
            <v>584.648.321-68</v>
          </cell>
          <cell r="C160">
            <v>3090896</v>
          </cell>
          <cell r="D160" t="str">
            <v>Especialista em Política Pública e Gestão Governamental</v>
          </cell>
          <cell r="E160" t="str">
            <v>Exercício Descentralizado</v>
          </cell>
          <cell r="F160" t="str">
            <v>ME - Ministério da Economia</v>
          </cell>
          <cell r="G160" t="str">
            <v>SEE / DEPARTAMENTO DE GESTÃO DO SETOR ELÉTRICO - DGSE</v>
          </cell>
          <cell r="H160" t="str">
            <v>12.101.000</v>
          </cell>
          <cell r="I160" t="str">
            <v xml:space="preserve">Diretora do Departamento de Gestão do Setor Elétrico </v>
          </cell>
          <cell r="J160" t="str">
            <v>DAS</v>
          </cell>
          <cell r="K160" t="str">
            <v>101.5</v>
          </cell>
          <cell r="L160" t="str">
            <v xml:space="preserve">Portaria nº </v>
          </cell>
          <cell r="M160">
            <v>50</v>
          </cell>
          <cell r="N160" t="str">
            <v>18/01/2018</v>
          </cell>
          <cell r="O160" t="str">
            <v>19/01/2018</v>
          </cell>
          <cell r="P160" t="str">
            <v>DOU</v>
          </cell>
          <cell r="Z160" t="str">
            <v>Sem designação</v>
          </cell>
          <cell r="AF160" t="str">
            <v>Feminino</v>
          </cell>
          <cell r="AG160" t="str">
            <v>Branca</v>
          </cell>
          <cell r="AH160" t="str">
            <v>05/12/1974</v>
          </cell>
          <cell r="AI160">
            <v>45</v>
          </cell>
          <cell r="AJ160">
            <v>8174.03</v>
          </cell>
          <cell r="AK160">
            <v>28148.67</v>
          </cell>
          <cell r="AL160" t="str">
            <v>FA</v>
          </cell>
          <cell r="AM160">
            <v>36322.699999999997</v>
          </cell>
          <cell r="AN160" t="str">
            <v>fabiana.cepeda@mme.gov.br</v>
          </cell>
          <cell r="AO160" t="str">
            <v>(61) 2032-5507</v>
          </cell>
          <cell r="AP160" t="str">
            <v>SEE10</v>
          </cell>
        </row>
        <row r="161">
          <cell r="A161" t="str">
            <v>FABIO SKAF NACFUR</v>
          </cell>
          <cell r="B161" t="str">
            <v>392.430.281-20</v>
          </cell>
          <cell r="C161">
            <v>1047866</v>
          </cell>
          <cell r="D161" t="str">
            <v>Sem Cargo/Emprego</v>
          </cell>
          <cell r="E161" t="str">
            <v>Sem Vínculo</v>
          </cell>
          <cell r="F161" t="str">
            <v>Sem Vínculo</v>
          </cell>
          <cell r="G161" t="str">
            <v>GM / OUVIDORIA GERAL - OUVIR</v>
          </cell>
          <cell r="H161" t="str">
            <v>2.100.500</v>
          </cell>
          <cell r="I161" t="str">
            <v>Assistente da Ouvidora Geral do Gabinete do Ministro</v>
          </cell>
          <cell r="J161" t="str">
            <v>DAS</v>
          </cell>
          <cell r="K161" t="str">
            <v>102.2</v>
          </cell>
          <cell r="L161" t="str">
            <v xml:space="preserve">Portaria nº </v>
          </cell>
          <cell r="M161">
            <v>33</v>
          </cell>
          <cell r="N161" t="str">
            <v>17/01/2019</v>
          </cell>
          <cell r="O161" t="str">
            <v>23/01/2019</v>
          </cell>
          <cell r="P161" t="str">
            <v>DOU</v>
          </cell>
          <cell r="Z161" t="str">
            <v>Sem designação</v>
          </cell>
          <cell r="AF161" t="str">
            <v>Masculino</v>
          </cell>
          <cell r="AG161" t="str">
            <v>Parda</v>
          </cell>
          <cell r="AH161" t="str">
            <v>03/03/1968</v>
          </cell>
          <cell r="AI161">
            <v>52</v>
          </cell>
          <cell r="AJ161">
            <v>3440.75</v>
          </cell>
          <cell r="AL161" t="str">
            <v>FA</v>
          </cell>
          <cell r="AM161">
            <v>3440.75</v>
          </cell>
          <cell r="AN161" t="str">
            <v>fabio.skaf@mme.gov.br</v>
          </cell>
          <cell r="AO161" t="str">
            <v>(61) 2032-5363</v>
          </cell>
          <cell r="AP161" t="str">
            <v>GM43</v>
          </cell>
        </row>
        <row r="162">
          <cell r="A162" t="str">
            <v>FÁBIO SOUSA DO VALE</v>
          </cell>
          <cell r="B162" t="str">
            <v>005.452.461-05</v>
          </cell>
          <cell r="C162">
            <v>1126019</v>
          </cell>
          <cell r="D162" t="str">
            <v>Assistente em Administração</v>
          </cell>
          <cell r="E162" t="str">
            <v>Requisitado de Órgãos</v>
          </cell>
          <cell r="F162" t="str">
            <v>FUB - Fundação Universidade de Brasília</v>
          </cell>
          <cell r="G162" t="str">
            <v>SE / SPOA / CGRH / COORDENAÇÃO DE ADMINISTRAÇÃO DE PESSOAL - CAPES</v>
          </cell>
          <cell r="H162" t="str">
            <v>8.105.210</v>
          </cell>
          <cell r="I162" t="str">
            <v>Chefe da Divisão de Concessão e Atualização dos Registros de Pagamento de Aposentados da Coordenação de Administração de Pessoal</v>
          </cell>
          <cell r="J162" t="str">
            <v>DAS</v>
          </cell>
          <cell r="K162" t="str">
            <v>101.2</v>
          </cell>
          <cell r="L162" t="str">
            <v xml:space="preserve">Portaria nº </v>
          </cell>
          <cell r="M162">
            <v>293</v>
          </cell>
          <cell r="N162" t="str">
            <v>23/07/2019</v>
          </cell>
          <cell r="O162" t="str">
            <v>29/07/2019</v>
          </cell>
          <cell r="P162" t="str">
            <v>DOU</v>
          </cell>
          <cell r="Y162" t="str">
            <v>Coordenação de Administração de Pessoal</v>
          </cell>
          <cell r="Z162" t="str">
            <v>Pessoal</v>
          </cell>
          <cell r="AA162" t="str">
            <v xml:space="preserve">Portaria nº </v>
          </cell>
          <cell r="AB162">
            <v>161</v>
          </cell>
          <cell r="AC162" t="str">
            <v>07/04/2020</v>
          </cell>
          <cell r="AD162" t="str">
            <v>13/04/2020</v>
          </cell>
          <cell r="AE162" t="str">
            <v>DOU</v>
          </cell>
          <cell r="AF162" t="str">
            <v>Masculino</v>
          </cell>
          <cell r="AG162" t="str">
            <v>Parda</v>
          </cell>
          <cell r="AH162" t="str">
            <v>06/07/1985</v>
          </cell>
          <cell r="AI162">
            <v>35</v>
          </cell>
          <cell r="AJ162">
            <v>2064.4499999999998</v>
          </cell>
          <cell r="AK162">
            <v>5743.79</v>
          </cell>
          <cell r="AL162" t="str">
            <v>FA</v>
          </cell>
          <cell r="AM162">
            <v>7808.24</v>
          </cell>
          <cell r="AN162" t="str">
            <v>fabio.vale@mme.gov.br</v>
          </cell>
          <cell r="AO162" t="str">
            <v>(61) 2032-5394</v>
          </cell>
          <cell r="AP162" t="str">
            <v>SE66</v>
          </cell>
          <cell r="AQ162" t="str">
            <v>SE32S</v>
          </cell>
        </row>
        <row r="163">
          <cell r="A163" t="str">
            <v>FABRICCIO QUIXADA STEINDORFER PROENCA</v>
          </cell>
          <cell r="B163" t="str">
            <v>463.780.573-20</v>
          </cell>
          <cell r="C163">
            <v>1200330</v>
          </cell>
          <cell r="D163" t="str">
            <v>Advogado da União</v>
          </cell>
          <cell r="E163" t="str">
            <v>Exercício Descentralizado</v>
          </cell>
          <cell r="F163" t="str">
            <v>AGU - Advocacia Geral da União</v>
          </cell>
          <cell r="G163" t="str">
            <v>CONJUR / COORDENAÇÃO GERAL DE ASSSUNTOS ADMINISTRATIVOS - CGAA</v>
          </cell>
          <cell r="H163" t="str">
            <v>7.100.300</v>
          </cell>
          <cell r="Z163" t="str">
            <v>Sem designação</v>
          </cell>
          <cell r="AF163" t="str">
            <v>Masculino</v>
          </cell>
          <cell r="AG163" t="str">
            <v>Branca</v>
          </cell>
          <cell r="AH163" t="str">
            <v>18/11/1973</v>
          </cell>
          <cell r="AI163">
            <v>46</v>
          </cell>
          <cell r="AJ163">
            <v>0</v>
          </cell>
          <cell r="AK163">
            <v>28082.7</v>
          </cell>
          <cell r="AL163" t="str">
            <v>FA</v>
          </cell>
          <cell r="AM163">
            <v>28082.7</v>
          </cell>
          <cell r="AN163" t="str">
            <v>fabriccio.proenca@mme.gov.br</v>
          </cell>
          <cell r="AO163" t="str">
            <v>(61) 2032-5522</v>
          </cell>
        </row>
        <row r="164">
          <cell r="A164" t="str">
            <v>FABRÍCIO DAIREL DE CAMPOS LACERDA</v>
          </cell>
          <cell r="B164" t="str">
            <v>036.538.996-05</v>
          </cell>
          <cell r="C164">
            <v>3708809</v>
          </cell>
          <cell r="D164" t="str">
            <v>Analista de Infraestrutura</v>
          </cell>
          <cell r="E164" t="str">
            <v>Exercício Descentralizado</v>
          </cell>
          <cell r="F164" t="str">
            <v>ME - Ministério da Economia</v>
          </cell>
          <cell r="G164" t="str">
            <v>SEE / DGSE / COORDENAÇÃO GERAL DE GESTÃO DA COMERCIALIZAÇÃO DE ENERGIA</v>
          </cell>
          <cell r="H164" t="str">
            <v>12.101.100</v>
          </cell>
          <cell r="I164" t="str">
            <v xml:space="preserve">Coordenador Geral de Gestão da Comercialização de Energia do Departamento de Gestão do Setor Elétrico </v>
          </cell>
          <cell r="J164" t="str">
            <v>DAS</v>
          </cell>
          <cell r="K164" t="str">
            <v>101.4</v>
          </cell>
          <cell r="L164" t="str">
            <v xml:space="preserve">Portaria nº </v>
          </cell>
          <cell r="M164">
            <v>12</v>
          </cell>
          <cell r="N164" t="str">
            <v>15/01/2018</v>
          </cell>
          <cell r="O164" t="str">
            <v>16/01/2018</v>
          </cell>
          <cell r="P164" t="str">
            <v>DOU</v>
          </cell>
          <cell r="Y164" t="str">
            <v>Departamento de Gestão do Setor Elétrico</v>
          </cell>
          <cell r="Z164" t="str">
            <v>Eventual</v>
          </cell>
          <cell r="AA164" t="str">
            <v xml:space="preserve">Portaria nº </v>
          </cell>
          <cell r="AB164">
            <v>167</v>
          </cell>
          <cell r="AC164" t="str">
            <v>18/03/2019</v>
          </cell>
          <cell r="AD164" t="str">
            <v>20/03/2019</v>
          </cell>
          <cell r="AE164" t="str">
            <v>DOU</v>
          </cell>
          <cell r="AF164" t="str">
            <v>Masculino</v>
          </cell>
          <cell r="AG164" t="str">
            <v>Parda</v>
          </cell>
          <cell r="AH164" t="str">
            <v>31/01/1979</v>
          </cell>
          <cell r="AI164">
            <v>41</v>
          </cell>
          <cell r="AJ164">
            <v>6223.98</v>
          </cell>
          <cell r="AK164">
            <v>17026.400000000001</v>
          </cell>
          <cell r="AL164" t="str">
            <v>FA</v>
          </cell>
          <cell r="AM164">
            <v>23250.38</v>
          </cell>
          <cell r="AN164" t="str">
            <v>fabricio.lacerda@mme.gov.br</v>
          </cell>
          <cell r="AO164" t="str">
            <v>(61) 2032-5569</v>
          </cell>
          <cell r="AP164" t="str">
            <v>SEE12</v>
          </cell>
          <cell r="AQ164" t="str">
            <v>SEE04S</v>
          </cell>
        </row>
        <row r="165">
          <cell r="A165" t="str">
            <v>FATIMA ROSA TEIXEIRA</v>
          </cell>
          <cell r="B165" t="str">
            <v>258.179.221-34</v>
          </cell>
          <cell r="C165">
            <v>1867203</v>
          </cell>
          <cell r="D165" t="str">
            <v>Técnico Industrial Especializado</v>
          </cell>
          <cell r="E165" t="str">
            <v>Anistiado outros Órgãos</v>
          </cell>
          <cell r="F165" t="str">
            <v>IMBEL - Indústria de Material Bélico do Brasil</v>
          </cell>
          <cell r="G165" t="str">
            <v>SE / SPOA / COORDENAÇÃO GERAL DE RECURSOS HUMANOS - CGRH</v>
          </cell>
          <cell r="H165" t="str">
            <v>8.105.200</v>
          </cell>
          <cell r="Z165" t="str">
            <v>Sem designação</v>
          </cell>
          <cell r="AF165" t="str">
            <v>Feminino</v>
          </cell>
          <cell r="AG165" t="str">
            <v>Branca</v>
          </cell>
          <cell r="AH165" t="str">
            <v>08/08/1964</v>
          </cell>
          <cell r="AI165">
            <v>56</v>
          </cell>
          <cell r="AJ165">
            <v>0</v>
          </cell>
          <cell r="AK165">
            <v>1875.3</v>
          </cell>
          <cell r="AL165" t="str">
            <v>FA</v>
          </cell>
          <cell r="AM165">
            <v>1875.3</v>
          </cell>
          <cell r="AN165" t="str">
            <v>fatima.teixeira@mme.gov.br</v>
          </cell>
          <cell r="AO165" t="str">
            <v>(61) 2032-5429</v>
          </cell>
        </row>
        <row r="166">
          <cell r="A166" t="str">
            <v>FERNANDA DE ANDRADE NOVAES</v>
          </cell>
          <cell r="B166" t="str">
            <v>831.347.001-15</v>
          </cell>
          <cell r="C166">
            <v>1568546</v>
          </cell>
          <cell r="D166" t="str">
            <v>Técnico Comunicação Social</v>
          </cell>
          <cell r="E166" t="str">
            <v>Requisitado de Órgãos</v>
          </cell>
          <cell r="F166" t="str">
            <v>MDR - Ministério do Desenvolvimento Regional</v>
          </cell>
          <cell r="G166" t="str">
            <v>SE / SPOA / CGRH / COORDENAÇÃO DE ADMINISTRAÇÃO DE PESSOAL - CAPES</v>
          </cell>
          <cell r="H166" t="str">
            <v>8.105.210</v>
          </cell>
          <cell r="Q166" t="str">
            <v>GSISTE</v>
          </cell>
          <cell r="R166" t="str">
            <v>Superior</v>
          </cell>
          <cell r="S166" t="str">
            <v>SISG - Sistema de Serviços Gerais</v>
          </cell>
          <cell r="T166" t="str">
            <v xml:space="preserve">Portaria nº </v>
          </cell>
          <cell r="U166">
            <v>108</v>
          </cell>
          <cell r="V166" t="str">
            <v>20/09/2018</v>
          </cell>
          <cell r="W166" t="str">
            <v>20/09/2018</v>
          </cell>
          <cell r="X166" t="str">
            <v>BPE</v>
          </cell>
          <cell r="Z166" t="str">
            <v>Sem designação</v>
          </cell>
          <cell r="AF166" t="str">
            <v>Feminino</v>
          </cell>
          <cell r="AG166" t="str">
            <v>Branca</v>
          </cell>
          <cell r="AH166" t="str">
            <v>25/07/1977</v>
          </cell>
          <cell r="AI166">
            <v>43</v>
          </cell>
          <cell r="AJ166">
            <v>3158</v>
          </cell>
          <cell r="AK166">
            <v>7173.78</v>
          </cell>
          <cell r="AL166" t="str">
            <v>FA</v>
          </cell>
          <cell r="AM166">
            <v>10331.779999999999</v>
          </cell>
          <cell r="AN166" t="str">
            <v>fernanda.novaes@mme.gov.br</v>
          </cell>
          <cell r="AO166" t="str">
            <v>(61) 2032-5582</v>
          </cell>
        </row>
        <row r="167">
          <cell r="A167" t="str">
            <v>FERNANDA MARIA DE MELO SILVA MARRA</v>
          </cell>
          <cell r="B167" t="str">
            <v>275.409.361-34</v>
          </cell>
          <cell r="C167">
            <v>6184178</v>
          </cell>
          <cell r="D167" t="str">
            <v>Administrador</v>
          </cell>
          <cell r="E167" t="str">
            <v>Ativo Permanente</v>
          </cell>
          <cell r="F167" t="str">
            <v>MME - Ministério de Minas e Energia</v>
          </cell>
          <cell r="G167" t="str">
            <v>SE / SPOA / COORDENAÇÃO DE MODERNIZAÇÃO ADMINISTRATIVA - CMA</v>
          </cell>
          <cell r="H167" t="str">
            <v>8.105.010</v>
          </cell>
          <cell r="I167" t="str">
            <v>Assistente técnico da Coordenação de Modernização Administrativa da Subsecretaria de Planejamento, Orçamento e Administração</v>
          </cell>
          <cell r="J167" t="str">
            <v>FCPE</v>
          </cell>
          <cell r="K167" t="str">
            <v>102.1</v>
          </cell>
          <cell r="L167" t="str">
            <v xml:space="preserve">Portaria nº </v>
          </cell>
          <cell r="M167">
            <v>560</v>
          </cell>
          <cell r="N167" t="str">
            <v>03/11/2016</v>
          </cell>
          <cell r="O167" t="str">
            <v>04/11/2016</v>
          </cell>
          <cell r="P167" t="str">
            <v>DOU</v>
          </cell>
          <cell r="Q167" t="str">
            <v>GSISTE</v>
          </cell>
          <cell r="R167" t="str">
            <v>Superior</v>
          </cell>
          <cell r="S167" t="str">
            <v>SISG - Sistema de Serviços Gerais</v>
          </cell>
          <cell r="T167" t="str">
            <v xml:space="preserve">Portaria nº </v>
          </cell>
          <cell r="U167">
            <v>60</v>
          </cell>
          <cell r="V167" t="str">
            <v>19/06/2009</v>
          </cell>
          <cell r="W167" t="str">
            <v>19/06/2009</v>
          </cell>
          <cell r="X167" t="str">
            <v>BPE</v>
          </cell>
          <cell r="Z167" t="str">
            <v>Sem designação</v>
          </cell>
          <cell r="AF167" t="str">
            <v>Feminino</v>
          </cell>
          <cell r="AG167" t="str">
            <v>Parda</v>
          </cell>
          <cell r="AH167" t="str">
            <v>09/10/1962</v>
          </cell>
          <cell r="AI167">
            <v>58</v>
          </cell>
          <cell r="AJ167">
            <v>16509.22</v>
          </cell>
          <cell r="AL167" t="str">
            <v>FA</v>
          </cell>
          <cell r="AM167">
            <v>16509.22</v>
          </cell>
          <cell r="AN167" t="str">
            <v>fernanda@mme.gov.br</v>
          </cell>
          <cell r="AO167" t="str">
            <v>(61) 2032-5176</v>
          </cell>
          <cell r="AP167" t="str">
            <v>SE47</v>
          </cell>
        </row>
        <row r="168">
          <cell r="A168" t="str">
            <v>FERNANDO ANTONIO GIFFONI NORONHA LUZ</v>
          </cell>
          <cell r="B168" t="str">
            <v>286.095.656-53</v>
          </cell>
          <cell r="C168">
            <v>3333896</v>
          </cell>
          <cell r="D168" t="str">
            <v>Sem Cargo/Emprego</v>
          </cell>
          <cell r="E168" t="str">
            <v>Sem Vínculo</v>
          </cell>
          <cell r="F168" t="str">
            <v>Sem Vínculo</v>
          </cell>
          <cell r="G168" t="str">
            <v>SEE / DMSE / COORDENAÇÃO GERAL DE MONITORAMENTO DA EXPANSÃO DA GERAÇÃO</v>
          </cell>
          <cell r="H168" t="str">
            <v>12.102.100</v>
          </cell>
          <cell r="I168" t="str">
            <v>Gerente de Projeto da Coordenação Geral de Monitoramento da Expansão da Geração do Departamento de Monitoramento do Sistema Elétrico</v>
          </cell>
          <cell r="J168" t="str">
            <v>DAS</v>
          </cell>
          <cell r="K168" t="str">
            <v>101.4</v>
          </cell>
          <cell r="L168" t="str">
            <v xml:space="preserve">Portaria nº </v>
          </cell>
          <cell r="M168">
            <v>578</v>
          </cell>
          <cell r="N168" t="str">
            <v>03/11/2016</v>
          </cell>
          <cell r="O168" t="str">
            <v>04/11/2016</v>
          </cell>
          <cell r="P168" t="str">
            <v>DOU</v>
          </cell>
          <cell r="Z168" t="str">
            <v>Sem designação</v>
          </cell>
          <cell r="AF168" t="str">
            <v>Masculino</v>
          </cell>
          <cell r="AG168" t="str">
            <v>Branca</v>
          </cell>
          <cell r="AH168" t="str">
            <v>30/03/1955</v>
          </cell>
          <cell r="AI168">
            <v>65</v>
          </cell>
          <cell r="AJ168">
            <v>10373.299999999999</v>
          </cell>
          <cell r="AL168" t="str">
            <v>FA</v>
          </cell>
          <cell r="AM168">
            <v>10373.299999999999</v>
          </cell>
          <cell r="AN168" t="str">
            <v>fernando.giffoni@mme.gov.br</v>
          </cell>
          <cell r="AO168" t="str">
            <v>(61) 2032-5801</v>
          </cell>
          <cell r="AP168" t="str">
            <v>SEE20</v>
          </cell>
        </row>
        <row r="169">
          <cell r="A169" t="str">
            <v>FERNANDO MASSAHARU MATSUMOTO</v>
          </cell>
          <cell r="B169" t="str">
            <v>129.184.038-90</v>
          </cell>
          <cell r="C169">
            <v>3799409</v>
          </cell>
          <cell r="D169" t="str">
            <v>Auditor Federal de Finanças e Controle</v>
          </cell>
          <cell r="E169" t="str">
            <v>Requisitado de Órgãos</v>
          </cell>
          <cell r="F169" t="str">
            <v>ME - Ministério da Economia</v>
          </cell>
          <cell r="G169" t="str">
            <v>SPG / DEPARTAMENTO DE GÁS NATURAL - DGN</v>
          </cell>
          <cell r="H169" t="str">
            <v>11.102.000</v>
          </cell>
          <cell r="I169" t="str">
            <v>Gerente de Projeto do Departamento de Gás Natural</v>
          </cell>
          <cell r="J169" t="str">
            <v>DAS</v>
          </cell>
          <cell r="K169" t="str">
            <v>101.4</v>
          </cell>
          <cell r="L169" t="str">
            <v xml:space="preserve">Portaria nº </v>
          </cell>
          <cell r="M169">
            <v>524</v>
          </cell>
          <cell r="N169" t="str">
            <v>03/11/2016</v>
          </cell>
          <cell r="O169" t="str">
            <v>04/11/2016</v>
          </cell>
          <cell r="P169" t="str">
            <v>BPE</v>
          </cell>
          <cell r="Z169" t="str">
            <v>Sem designação</v>
          </cell>
          <cell r="AF169" t="str">
            <v>Masculino</v>
          </cell>
          <cell r="AG169" t="str">
            <v>Amarela</v>
          </cell>
          <cell r="AH169" t="str">
            <v>31/08/1970</v>
          </cell>
          <cell r="AI169">
            <v>50</v>
          </cell>
          <cell r="AJ169">
            <v>6223.98</v>
          </cell>
          <cell r="AK169">
            <v>24044.03</v>
          </cell>
          <cell r="AL169" t="str">
            <v>FA</v>
          </cell>
          <cell r="AM169">
            <v>30268.01</v>
          </cell>
          <cell r="AN169" t="str">
            <v>fernando.matsumoto@mme.gov.br</v>
          </cell>
          <cell r="AO169" t="str">
            <v>(61) 2032-5249</v>
          </cell>
          <cell r="AP169" t="str">
            <v>SPG15</v>
          </cell>
        </row>
        <row r="170">
          <cell r="A170" t="str">
            <v>FERNANDO PORTELLA ROSA</v>
          </cell>
          <cell r="B170" t="str">
            <v>310.284.891-53</v>
          </cell>
          <cell r="C170">
            <v>2393116</v>
          </cell>
          <cell r="D170" t="str">
            <v>Gerente de Projeto</v>
          </cell>
          <cell r="E170" t="str">
            <v>Contrato Temporário</v>
          </cell>
          <cell r="F170" t="str">
            <v>MME - Ministério de Minas e Energia</v>
          </cell>
          <cell r="G170" t="str">
            <v>SE / AEGP / COORDENAÇÃO GERAL DE GESTÃO DE PROJETOS - CGGP</v>
          </cell>
          <cell r="H170" t="str">
            <v>8.103.200</v>
          </cell>
          <cell r="Z170" t="str">
            <v>Sem designação</v>
          </cell>
          <cell r="AF170" t="str">
            <v>Masculino</v>
          </cell>
          <cell r="AG170" t="str">
            <v>Branca</v>
          </cell>
          <cell r="AH170" t="str">
            <v>21/05/1960</v>
          </cell>
          <cell r="AI170">
            <v>60</v>
          </cell>
          <cell r="AJ170">
            <v>8758</v>
          </cell>
          <cell r="AK170">
            <v>0</v>
          </cell>
          <cell r="AL170" t="str">
            <v>FA</v>
          </cell>
          <cell r="AM170">
            <v>8758</v>
          </cell>
          <cell r="AN170" t="str">
            <v>fernando.rosa@mme.gov.br</v>
          </cell>
          <cell r="AO170" t="str">
            <v>(61) 2032-5574</v>
          </cell>
        </row>
        <row r="171">
          <cell r="A171" t="str">
            <v>FERNANDO YAMASHITA</v>
          </cell>
          <cell r="B171" t="str">
            <v>276.595.918-86</v>
          </cell>
          <cell r="C171">
            <v>2085644</v>
          </cell>
          <cell r="D171" t="str">
            <v>Assistente Técnico Administrativo</v>
          </cell>
          <cell r="E171" t="str">
            <v>Requisitado de Órgãos</v>
          </cell>
          <cell r="F171" t="str">
            <v>MDR - Ministério do Desenvolvimento Regional</v>
          </cell>
          <cell r="G171" t="str">
            <v>SE / SPOA / CGRL / COORDENAÇÃO DE ADMINISTRAÇÃO DE MATERIAL E EXECUÇÃO FINANCEIRA - COMEF</v>
          </cell>
          <cell r="H171" t="str">
            <v>8.105.110</v>
          </cell>
          <cell r="I171" t="str">
            <v>Coordenador de Administração de Material e Execução Financeira da Coordenação Geral de Recursos Logísticos</v>
          </cell>
          <cell r="J171" t="str">
            <v>DAS</v>
          </cell>
          <cell r="K171" t="str">
            <v>101.3</v>
          </cell>
          <cell r="L171" t="str">
            <v xml:space="preserve">Portaria nº </v>
          </cell>
          <cell r="M171">
            <v>246</v>
          </cell>
          <cell r="N171" t="str">
            <v>28/06/2017</v>
          </cell>
          <cell r="O171" t="str">
            <v>29/06/2017</v>
          </cell>
          <cell r="P171" t="str">
            <v>DOU</v>
          </cell>
          <cell r="Q171" t="str">
            <v>GSISTE</v>
          </cell>
          <cell r="R171" t="str">
            <v>Intermediário</v>
          </cell>
          <cell r="S171" t="str">
            <v>SISG - Sistema de Serviços Gerais</v>
          </cell>
          <cell r="T171" t="str">
            <v xml:space="preserve">Portaria nº </v>
          </cell>
          <cell r="U171">
            <v>29</v>
          </cell>
          <cell r="V171" t="str">
            <v>20/03/2017</v>
          </cell>
          <cell r="W171" t="str">
            <v>20/03/2017</v>
          </cell>
          <cell r="X171" t="str">
            <v>BPE</v>
          </cell>
          <cell r="Z171" t="str">
            <v>Sem designação</v>
          </cell>
          <cell r="AF171" t="str">
            <v>Masculino</v>
          </cell>
          <cell r="AG171" t="str">
            <v>Amarela</v>
          </cell>
          <cell r="AH171" t="str">
            <v>13/01/1977</v>
          </cell>
          <cell r="AI171">
            <v>43</v>
          </cell>
          <cell r="AJ171">
            <v>5433.33</v>
          </cell>
          <cell r="AK171">
            <v>5585.78</v>
          </cell>
          <cell r="AL171" t="str">
            <v>FA</v>
          </cell>
          <cell r="AM171">
            <v>11019.11</v>
          </cell>
          <cell r="AN171" t="str">
            <v>fernando.yamashita@mme.gov.br</v>
          </cell>
          <cell r="AO171" t="str">
            <v>(61) 2032-5107</v>
          </cell>
          <cell r="AP171" t="str">
            <v>SE49</v>
          </cell>
        </row>
        <row r="172">
          <cell r="A172" t="str">
            <v>FLAMARION SOUZA MATOS</v>
          </cell>
          <cell r="B172" t="str">
            <v>078.725.775-34</v>
          </cell>
          <cell r="C172">
            <v>6028993</v>
          </cell>
          <cell r="D172" t="str">
            <v>Sem Cargo/Emprego</v>
          </cell>
          <cell r="E172" t="str">
            <v>Sem Vínculo</v>
          </cell>
          <cell r="F172" t="str">
            <v>Sem Vínculo</v>
          </cell>
          <cell r="G172" t="str">
            <v>SEE / DEPARTAMENTO DE POLÍTICAS SOCIAIS E UNIVERSALIZAÇÃO DO ACESSO À ENERGIA ELÉTRICA - DPUE</v>
          </cell>
          <cell r="H172" t="str">
            <v>12.103.000</v>
          </cell>
          <cell r="I172" t="str">
            <v>Assessor da Assessoria Especial de Acompanhamento de Políticas, Estratégias e Desempenho Setoriais</v>
          </cell>
          <cell r="J172" t="str">
            <v>DAS</v>
          </cell>
          <cell r="K172" t="str">
            <v>101.5</v>
          </cell>
          <cell r="L172" t="str">
            <v xml:space="preserve">Portaria nº </v>
          </cell>
          <cell r="M172">
            <v>391</v>
          </cell>
          <cell r="N172" t="str">
            <v>15/10/2019</v>
          </cell>
          <cell r="O172" t="str">
            <v>23/10/2019</v>
          </cell>
          <cell r="P172" t="str">
            <v>DOU</v>
          </cell>
          <cell r="Z172" t="str">
            <v>Sem designação</v>
          </cell>
          <cell r="AF172" t="str">
            <v>Masculino</v>
          </cell>
          <cell r="AG172" t="str">
            <v>Parda</v>
          </cell>
          <cell r="AH172" t="str">
            <v>12/03/1949</v>
          </cell>
          <cell r="AI172">
            <v>71</v>
          </cell>
          <cell r="AJ172">
            <v>10373.299999999999</v>
          </cell>
          <cell r="AL172" t="str">
            <v>FA</v>
          </cell>
          <cell r="AM172">
            <v>10373.299999999999</v>
          </cell>
          <cell r="AN172" t="str">
            <v>flamarion.matos@mme.gov.br</v>
          </cell>
          <cell r="AO172" t="str">
            <v>(61) 2032-5541</v>
          </cell>
          <cell r="AP172" t="str">
            <v>AEPED02</v>
          </cell>
        </row>
        <row r="173">
          <cell r="A173" t="str">
            <v>FLAVIO ALVES CARDOSO</v>
          </cell>
          <cell r="B173" t="str">
            <v>010.951.536-68</v>
          </cell>
          <cell r="C173">
            <v>2280405</v>
          </cell>
          <cell r="D173" t="str">
            <v>Advogado</v>
          </cell>
          <cell r="E173" t="str">
            <v>Anistiado MME</v>
          </cell>
          <cell r="F173" t="str">
            <v>MME - Ministério de Minas e Energia</v>
          </cell>
          <cell r="G173" t="str">
            <v>SPE / DEPARTAMENTO DE OUTORGAS DE CONCESSÕES, PERMISSÕES E AUTORIZAÇÕES - DOC</v>
          </cell>
          <cell r="H173" t="str">
            <v>10.103.000</v>
          </cell>
          <cell r="Z173" t="str">
            <v>Sem designação</v>
          </cell>
          <cell r="AF173" t="str">
            <v>Masculino</v>
          </cell>
          <cell r="AG173" t="str">
            <v>Parda</v>
          </cell>
          <cell r="AH173" t="str">
            <v>10/02/1940</v>
          </cell>
          <cell r="AI173">
            <v>80</v>
          </cell>
          <cell r="AJ173">
            <v>8117.05</v>
          </cell>
          <cell r="AL173" t="str">
            <v>FA</v>
          </cell>
          <cell r="AM173">
            <v>8117.05</v>
          </cell>
          <cell r="AN173" t="str">
            <v>flavio.cardoso@mme.gov.br</v>
          </cell>
          <cell r="AO173" t="str">
            <v>(61) 2032-5953</v>
          </cell>
        </row>
        <row r="174">
          <cell r="A174" t="str">
            <v>FRANCIMAR SOUSA DE LIMA SAKAMOTO</v>
          </cell>
          <cell r="B174" t="str">
            <v>666.404.581-87</v>
          </cell>
          <cell r="C174">
            <v>2069736</v>
          </cell>
          <cell r="D174" t="str">
            <v>Sem Cargo/Emprego</v>
          </cell>
          <cell r="E174" t="str">
            <v>Sem Vínculo</v>
          </cell>
          <cell r="F174" t="str">
            <v>Sem Vínculo</v>
          </cell>
          <cell r="G174" t="str">
            <v>SGM / CHEFIA DE GABINETE SGM</v>
          </cell>
          <cell r="H174" t="str">
            <v>9.100.000</v>
          </cell>
          <cell r="I174" t="str">
            <v>Assistente Técnico da Secretaria de Geologia, Mineração e Transformação Mineral</v>
          </cell>
          <cell r="J174" t="str">
            <v>DAS</v>
          </cell>
          <cell r="K174" t="str">
            <v>102.1</v>
          </cell>
          <cell r="L174" t="str">
            <v xml:space="preserve">Portaria nº </v>
          </cell>
          <cell r="M174">
            <v>524</v>
          </cell>
          <cell r="N174" t="str">
            <v>03/11/2016</v>
          </cell>
          <cell r="O174" t="str">
            <v>04/11/2016</v>
          </cell>
          <cell r="P174" t="str">
            <v>BPE</v>
          </cell>
          <cell r="Z174" t="str">
            <v>Sem designação</v>
          </cell>
          <cell r="AF174" t="str">
            <v>Feminino</v>
          </cell>
          <cell r="AG174" t="str">
            <v>Branca</v>
          </cell>
          <cell r="AH174" t="str">
            <v>30/03/1975</v>
          </cell>
          <cell r="AI174">
            <v>45</v>
          </cell>
          <cell r="AJ174">
            <v>2701.46</v>
          </cell>
          <cell r="AL174" t="str">
            <v>FA</v>
          </cell>
          <cell r="AM174">
            <v>2701.46</v>
          </cell>
          <cell r="AN174" t="str">
            <v>francimar.sakamoto@mme.gov.br</v>
          </cell>
          <cell r="AO174" t="str">
            <v>(61) 2032-5175</v>
          </cell>
          <cell r="AP174" t="str">
            <v>SGM07</v>
          </cell>
        </row>
        <row r="175">
          <cell r="A175" t="str">
            <v>FRANCISCA DE FATIMA SOARES DE SOUZA</v>
          </cell>
          <cell r="B175" t="str">
            <v>243.878.601-97</v>
          </cell>
          <cell r="C175">
            <v>451566</v>
          </cell>
          <cell r="D175" t="str">
            <v>Agente Administrativo</v>
          </cell>
          <cell r="E175" t="str">
            <v>Ativo Permanente</v>
          </cell>
          <cell r="F175" t="str">
            <v>MME - Ministério de Minas e Energia</v>
          </cell>
          <cell r="G175" t="str">
            <v>SE / SPOA / CGRL / COORDENAÇÃO DE ATIVIDADES GERAIS - COAGE</v>
          </cell>
          <cell r="H175" t="str">
            <v>8.105.120</v>
          </cell>
          <cell r="I175" t="str">
            <v>Função Comissionada Técnica - Auxilar de Sistemas Operacionais e Administrativos</v>
          </cell>
          <cell r="J175" t="str">
            <v>FCT</v>
          </cell>
          <cell r="K175">
            <v>11</v>
          </cell>
          <cell r="L175" t="str">
            <v xml:space="preserve">Portaria nº </v>
          </cell>
          <cell r="M175">
            <v>105</v>
          </cell>
          <cell r="N175" t="str">
            <v>13/03/2017</v>
          </cell>
          <cell r="O175" t="str">
            <v>15/03/2017</v>
          </cell>
          <cell r="P175" t="str">
            <v>DOU</v>
          </cell>
          <cell r="Z175" t="str">
            <v>Sem designação</v>
          </cell>
          <cell r="AF175" t="str">
            <v>Feminino</v>
          </cell>
          <cell r="AG175" t="str">
            <v>Parda</v>
          </cell>
          <cell r="AH175" t="str">
            <v>25/12/1959</v>
          </cell>
          <cell r="AI175">
            <v>60</v>
          </cell>
          <cell r="AJ175">
            <v>6292.04</v>
          </cell>
          <cell r="AL175" t="str">
            <v>FA</v>
          </cell>
          <cell r="AM175">
            <v>6292.04</v>
          </cell>
          <cell r="AN175" t="str">
            <v>francisca.souza@mme.gov.br</v>
          </cell>
          <cell r="AO175" t="str">
            <v>(61) 2032-5741</v>
          </cell>
        </row>
        <row r="176">
          <cell r="A176" t="str">
            <v>FRANCISCO ALEXANDRE STECHER DE OLIVEIRA</v>
          </cell>
          <cell r="B176" t="str">
            <v>183.689.641-72</v>
          </cell>
          <cell r="C176">
            <v>1586720</v>
          </cell>
          <cell r="D176" t="str">
            <v>Programador de Sistemas</v>
          </cell>
          <cell r="E176" t="str">
            <v>Anistiado MME</v>
          </cell>
          <cell r="F176" t="str">
            <v>MME - Ministério de Minas e Energia</v>
          </cell>
          <cell r="G176" t="str">
            <v xml:space="preserve">SE / SPOA / CGTI / COORDENAÇÃO DE INFRAESTRUTURA TECNOLÓGICA - </v>
          </cell>
          <cell r="H176" t="str">
            <v>8.105.310</v>
          </cell>
          <cell r="I176" t="str">
            <v>Assistente da Coordenação Geral de Tecnologia da Informação</v>
          </cell>
          <cell r="J176" t="str">
            <v>DAS</v>
          </cell>
          <cell r="K176" t="str">
            <v>102.2</v>
          </cell>
          <cell r="L176" t="str">
            <v xml:space="preserve">Portaria nº </v>
          </cell>
          <cell r="M176">
            <v>45</v>
          </cell>
          <cell r="N176" t="str">
            <v>13/02/2020</v>
          </cell>
          <cell r="O176" t="str">
            <v>14/02/2020</v>
          </cell>
          <cell r="P176" t="str">
            <v>DOU</v>
          </cell>
          <cell r="Z176" t="str">
            <v>Sem designação</v>
          </cell>
          <cell r="AF176" t="str">
            <v>Masculino</v>
          </cell>
          <cell r="AG176" t="str">
            <v>Branca</v>
          </cell>
          <cell r="AH176" t="str">
            <v>10/03/1958</v>
          </cell>
          <cell r="AI176">
            <v>62</v>
          </cell>
          <cell r="AJ176">
            <v>3101.09</v>
          </cell>
          <cell r="AL176" t="str">
            <v>FA</v>
          </cell>
          <cell r="AM176">
            <v>3101.09</v>
          </cell>
          <cell r="AN176" t="str">
            <v>alexandre.stecher@mme.gov.br</v>
          </cell>
          <cell r="AO176" t="str">
            <v>(61) 2032-5709</v>
          </cell>
          <cell r="AP176" t="str">
            <v>SE82</v>
          </cell>
        </row>
        <row r="177">
          <cell r="A177" t="str">
            <v>FRANCISCO AUGUSTO NOGUEIRA DA SILVA</v>
          </cell>
          <cell r="B177" t="str">
            <v>289.695.101-68</v>
          </cell>
          <cell r="C177">
            <v>1669854</v>
          </cell>
          <cell r="D177" t="str">
            <v>Auxiliar Codificação e Conferência</v>
          </cell>
          <cell r="E177" t="str">
            <v>Anistiado MME</v>
          </cell>
          <cell r="F177" t="str">
            <v>MME - Ministério de Minas e Energia</v>
          </cell>
          <cell r="G177" t="str">
            <v>GM / ASTAD / COORDENAÇÃO DE ATIVIDADES ADMINISTRATIVAS</v>
          </cell>
          <cell r="H177" t="str">
            <v>2.100.101</v>
          </cell>
          <cell r="Z177" t="str">
            <v>Sem designação</v>
          </cell>
          <cell r="AF177" t="str">
            <v>Masculino</v>
          </cell>
          <cell r="AG177" t="str">
            <v>Branca</v>
          </cell>
          <cell r="AH177" t="str">
            <v>13/07/1964</v>
          </cell>
          <cell r="AI177">
            <v>56</v>
          </cell>
          <cell r="AJ177">
            <v>3101.09</v>
          </cell>
          <cell r="AL177" t="str">
            <v>FA</v>
          </cell>
          <cell r="AM177">
            <v>3101.09</v>
          </cell>
          <cell r="AN177" t="str">
            <v>francisco.silva@mme.gov.br</v>
          </cell>
          <cell r="AO177" t="str">
            <v>(61) 2032-5178</v>
          </cell>
        </row>
        <row r="178">
          <cell r="A178" t="str">
            <v>FRANCISCO BARBOSA DE MORAIS</v>
          </cell>
          <cell r="B178" t="str">
            <v>020.195.231-91</v>
          </cell>
          <cell r="C178">
            <v>1669557</v>
          </cell>
          <cell r="D178" t="str">
            <v>Advogado</v>
          </cell>
          <cell r="E178" t="str">
            <v>Anistiado MME</v>
          </cell>
          <cell r="F178" t="str">
            <v>MME - Ministério de Minas e Energia</v>
          </cell>
          <cell r="G178" t="str">
            <v>Aguardando Lotação/Exercício</v>
          </cell>
          <cell r="H178" t="str">
            <v>88.000.000</v>
          </cell>
          <cell r="Z178" t="str">
            <v>Sem designação</v>
          </cell>
          <cell r="AF178" t="str">
            <v>Masculino</v>
          </cell>
          <cell r="AG178" t="str">
            <v>Parda</v>
          </cell>
          <cell r="AH178" t="str">
            <v>12/06/1941</v>
          </cell>
          <cell r="AI178">
            <v>79</v>
          </cell>
          <cell r="AJ178">
            <v>8117.05</v>
          </cell>
          <cell r="AL178" t="str">
            <v>FA</v>
          </cell>
          <cell r="AM178">
            <v>8117.05</v>
          </cell>
          <cell r="AN178" t="str">
            <v>francisco.morais@mme.gov.br</v>
          </cell>
          <cell r="AO178" t="str">
            <v>(61) 2032-5472</v>
          </cell>
        </row>
        <row r="179">
          <cell r="A179" t="str">
            <v>FRANCISCO CARLOS FERREIRA RIBEIRO</v>
          </cell>
          <cell r="B179" t="str">
            <v>293.849.903-53</v>
          </cell>
          <cell r="C179">
            <v>451646</v>
          </cell>
          <cell r="D179" t="str">
            <v>Agente Administrativo</v>
          </cell>
          <cell r="E179" t="str">
            <v>Ativo Permanente</v>
          </cell>
          <cell r="F179" t="str">
            <v>MME - Ministério de Minas e Energia</v>
          </cell>
          <cell r="G179" t="str">
            <v>SE / SPOA / CGRL / COORDENAÇÃO DE ATIVIDADES GERAIS - COAGE</v>
          </cell>
          <cell r="H179" t="str">
            <v>8.105.120</v>
          </cell>
          <cell r="I179" t="str">
            <v>Função Comissionada Técnica - Técnico em Gestão de Pessoas e Técnico em Gestão de Logística</v>
          </cell>
          <cell r="J179" t="str">
            <v>FCT</v>
          </cell>
          <cell r="K179">
            <v>7</v>
          </cell>
          <cell r="L179" t="str">
            <v xml:space="preserve">Portaria nº </v>
          </cell>
          <cell r="M179">
            <v>99</v>
          </cell>
          <cell r="N179" t="str">
            <v>27/04/2006</v>
          </cell>
          <cell r="O179" t="str">
            <v>28/04/2006</v>
          </cell>
          <cell r="P179" t="str">
            <v>DOU</v>
          </cell>
          <cell r="Q179" t="str">
            <v>GSISTE</v>
          </cell>
          <cell r="R179" t="str">
            <v>Intermediário</v>
          </cell>
          <cell r="S179" t="str">
            <v>SISG - Sistema de Serviços Gerais</v>
          </cell>
          <cell r="T179" t="str">
            <v xml:space="preserve">Portaria nº </v>
          </cell>
          <cell r="U179">
            <v>93</v>
          </cell>
          <cell r="V179" t="str">
            <v>11/08/2017</v>
          </cell>
          <cell r="W179" t="str">
            <v>15/08/2017</v>
          </cell>
          <cell r="X179" t="str">
            <v>BP</v>
          </cell>
          <cell r="Z179" t="str">
            <v>Sem designação</v>
          </cell>
          <cell r="AF179" t="str">
            <v>Masculino</v>
          </cell>
          <cell r="AG179" t="str">
            <v>Parda</v>
          </cell>
          <cell r="AH179" t="str">
            <v>27/02/1963</v>
          </cell>
          <cell r="AI179">
            <v>57</v>
          </cell>
          <cell r="AJ179">
            <v>7848.54</v>
          </cell>
          <cell r="AL179" t="str">
            <v>FA</v>
          </cell>
          <cell r="AM179">
            <v>7848.54</v>
          </cell>
          <cell r="AN179" t="str">
            <v>franciscocarlos@mme.gov.br</v>
          </cell>
          <cell r="AO179" t="str">
            <v>(61) 2032-5092</v>
          </cell>
        </row>
        <row r="180">
          <cell r="A180" t="str">
            <v>FRANCISCO DAS CHAGAS FONTELE</v>
          </cell>
          <cell r="B180" t="str">
            <v>401.063.571-15</v>
          </cell>
          <cell r="C180">
            <v>6001438</v>
          </cell>
          <cell r="D180" t="str">
            <v>Agente de Portaria</v>
          </cell>
          <cell r="E180" t="str">
            <v>Ativo Permanente</v>
          </cell>
          <cell r="F180" t="str">
            <v>MME - Ministério de Minas e Energia</v>
          </cell>
          <cell r="G180" t="str">
            <v>SE / SPOA / CGRL / COORDENAÇÃO DE ATIVIDADES GERAIS - COAGE</v>
          </cell>
          <cell r="H180" t="str">
            <v>8.105.120</v>
          </cell>
          <cell r="I180" t="str">
            <v>Função Gratificada</v>
          </cell>
          <cell r="J180" t="str">
            <v>FGR</v>
          </cell>
          <cell r="K180">
            <v>1</v>
          </cell>
          <cell r="L180" t="str">
            <v xml:space="preserve">Portaria nº </v>
          </cell>
          <cell r="M180">
            <v>524</v>
          </cell>
          <cell r="N180" t="str">
            <v>03/11/2016</v>
          </cell>
          <cell r="O180" t="str">
            <v>04/11/2016</v>
          </cell>
          <cell r="P180" t="str">
            <v>BPE</v>
          </cell>
          <cell r="Z180" t="str">
            <v>Sem designação</v>
          </cell>
          <cell r="AF180" t="str">
            <v>Masculino</v>
          </cell>
          <cell r="AG180" t="str">
            <v>Parda</v>
          </cell>
          <cell r="AH180" t="str">
            <v>02/04/1954</v>
          </cell>
          <cell r="AI180">
            <v>66</v>
          </cell>
          <cell r="AJ180">
            <v>5857.89</v>
          </cell>
          <cell r="AL180" t="str">
            <v>FA</v>
          </cell>
          <cell r="AM180">
            <v>5857.89</v>
          </cell>
        </row>
        <row r="181">
          <cell r="A181" t="str">
            <v>FRANCISCO DAS CHAGAS GOMES DE BRITO</v>
          </cell>
          <cell r="B181" t="str">
            <v>114.141.621-20</v>
          </cell>
          <cell r="C181">
            <v>452175</v>
          </cell>
          <cell r="D181" t="str">
            <v>Agente de Portaria</v>
          </cell>
          <cell r="E181" t="str">
            <v>Ativo Permanente</v>
          </cell>
          <cell r="F181" t="str">
            <v>MME - Ministério de Minas e Energia</v>
          </cell>
          <cell r="G181" t="str">
            <v>SE / SPOA / CGRL / COORDENAÇÃO DE ATIVIDADES GERAIS - COAGE</v>
          </cell>
          <cell r="H181" t="str">
            <v>8.105.120</v>
          </cell>
          <cell r="I181" t="str">
            <v>Função Gratificada</v>
          </cell>
          <cell r="J181" t="str">
            <v>FGR</v>
          </cell>
          <cell r="K181">
            <v>1</v>
          </cell>
          <cell r="L181" t="str">
            <v xml:space="preserve">Portaria nº </v>
          </cell>
          <cell r="M181">
            <v>524</v>
          </cell>
          <cell r="N181" t="str">
            <v>03/11/2016</v>
          </cell>
          <cell r="O181" t="str">
            <v>04/11/2016</v>
          </cell>
          <cell r="P181" t="str">
            <v>BPE</v>
          </cell>
          <cell r="Z181" t="str">
            <v>Sem designação</v>
          </cell>
          <cell r="AF181" t="str">
            <v>Masculino</v>
          </cell>
          <cell r="AG181" t="str">
            <v>Parda</v>
          </cell>
          <cell r="AH181" t="str">
            <v>25/09/1950</v>
          </cell>
          <cell r="AI181">
            <v>70</v>
          </cell>
          <cell r="AJ181">
            <v>5881.71</v>
          </cell>
          <cell r="AL181" t="str">
            <v>FA</v>
          </cell>
          <cell r="AM181">
            <v>5881.71</v>
          </cell>
          <cell r="AN181" t="str">
            <v>francisco.brito@mme.gov.br</v>
          </cell>
          <cell r="AO181" t="str">
            <v>(61) 2032-5242</v>
          </cell>
        </row>
        <row r="182">
          <cell r="A182" t="str">
            <v>FRANCISCO GOMES DE MATOS</v>
          </cell>
          <cell r="B182" t="str">
            <v>098.070.041-87</v>
          </cell>
          <cell r="C182">
            <v>454825</v>
          </cell>
          <cell r="D182" t="str">
            <v>Motorista Oficial</v>
          </cell>
          <cell r="E182" t="str">
            <v>Ativo Permanente</v>
          </cell>
          <cell r="F182" t="str">
            <v>MME - Ministério de Minas e Energia</v>
          </cell>
          <cell r="G182" t="str">
            <v>SE / SPOA / CGRL / COORDENAÇÃO DE ATIVIDADES GERAIS - COAGE</v>
          </cell>
          <cell r="H182" t="str">
            <v>8.105.120</v>
          </cell>
          <cell r="I182" t="str">
            <v>Assistente Técnico da Coordenação Geral de Orçamento e Finanças</v>
          </cell>
          <cell r="J182" t="str">
            <v>FCPE</v>
          </cell>
          <cell r="K182" t="str">
            <v>102.1</v>
          </cell>
          <cell r="L182" t="str">
            <v xml:space="preserve">Portaria nº </v>
          </cell>
          <cell r="M182">
            <v>41</v>
          </cell>
          <cell r="N182" t="str">
            <v>11/02/2020</v>
          </cell>
          <cell r="O182" t="str">
            <v>13/02/2020</v>
          </cell>
          <cell r="P182" t="str">
            <v>DOU</v>
          </cell>
          <cell r="Z182" t="str">
            <v>Sem designação</v>
          </cell>
          <cell r="AF182" t="str">
            <v>Masculino</v>
          </cell>
          <cell r="AG182" t="str">
            <v>Parda</v>
          </cell>
          <cell r="AH182" t="str">
            <v>15/02/1952</v>
          </cell>
          <cell r="AI182">
            <v>68</v>
          </cell>
          <cell r="AJ182">
            <v>600.77</v>
          </cell>
          <cell r="AL182" t="str">
            <v>FA</v>
          </cell>
          <cell r="AM182">
            <v>600.77</v>
          </cell>
          <cell r="AN182" t="str">
            <v>francisco.matos@mme.gov.br</v>
          </cell>
          <cell r="AO182" t="str">
            <v>(61) 2032-5114</v>
          </cell>
          <cell r="AP182" t="str">
            <v>SE78</v>
          </cell>
        </row>
        <row r="183">
          <cell r="A183" t="str">
            <v>FRANCISCO PAULO RUBINO</v>
          </cell>
          <cell r="B183" t="str">
            <v>597.575.587-53</v>
          </cell>
          <cell r="C183">
            <v>2839155</v>
          </cell>
          <cell r="D183" t="str">
            <v>Analista de Programação Controle Obras</v>
          </cell>
          <cell r="E183" t="str">
            <v>Anistiado outros Órgãos</v>
          </cell>
          <cell r="F183" t="str">
            <v>ANM - Agência Nacional de Mineração</v>
          </cell>
          <cell r="G183" t="str">
            <v>SGM / DPGM / COORDENAÇÃO GERAL DE ECONOMIA MINERAL</v>
          </cell>
          <cell r="H183" t="str">
            <v>9.101.300</v>
          </cell>
          <cell r="Z183" t="str">
            <v>Sem designação</v>
          </cell>
          <cell r="AF183" t="str">
            <v>Masculino</v>
          </cell>
          <cell r="AG183" t="str">
            <v>Branca</v>
          </cell>
          <cell r="AH183" t="str">
            <v>16/11/1957</v>
          </cell>
          <cell r="AI183">
            <v>62</v>
          </cell>
          <cell r="AJ183">
            <v>0</v>
          </cell>
          <cell r="AK183">
            <v>5193.6099999999997</v>
          </cell>
          <cell r="AL183" t="str">
            <v>FA</v>
          </cell>
          <cell r="AM183">
            <v>5193.6099999999997</v>
          </cell>
          <cell r="AN183" t="str">
            <v>francisco.rubino@mme.gov.br</v>
          </cell>
          <cell r="AO183" t="str">
            <v>(61) 2032-5419</v>
          </cell>
        </row>
        <row r="184">
          <cell r="A184" t="str">
            <v>FRANCISCO SALES DA SILVA</v>
          </cell>
          <cell r="B184" t="str">
            <v>245.115.441-15</v>
          </cell>
          <cell r="C184">
            <v>455378</v>
          </cell>
          <cell r="D184" t="str">
            <v>Auxiliar Operacional de Serviços Diversos</v>
          </cell>
          <cell r="E184" t="str">
            <v>Ativo Permanente</v>
          </cell>
          <cell r="F184" t="str">
            <v>MME - Ministério de Minas e Energia</v>
          </cell>
          <cell r="G184" t="str">
            <v>SPG / CHEFIA DE GABINETE SPG</v>
          </cell>
          <cell r="H184" t="str">
            <v>11.100.000</v>
          </cell>
          <cell r="I184" t="str">
            <v>Função Comissionada Técnica - Técnico de Sistemas Operacionais e Administrativos</v>
          </cell>
          <cell r="J184" t="str">
            <v>FCT</v>
          </cell>
          <cell r="K184">
            <v>10</v>
          </cell>
          <cell r="L184" t="str">
            <v xml:space="preserve">Portaria nº </v>
          </cell>
          <cell r="M184">
            <v>144</v>
          </cell>
          <cell r="N184" t="str">
            <v>11/04/2017</v>
          </cell>
          <cell r="O184" t="str">
            <v>12/04/2017</v>
          </cell>
          <cell r="P184" t="str">
            <v>DOU</v>
          </cell>
          <cell r="Z184" t="str">
            <v>Sem designação</v>
          </cell>
          <cell r="AF184" t="str">
            <v>Masculino</v>
          </cell>
          <cell r="AG184" t="str">
            <v>Parda</v>
          </cell>
          <cell r="AH184" t="str">
            <v>12/09/1961</v>
          </cell>
          <cell r="AI184">
            <v>59</v>
          </cell>
          <cell r="AJ184">
            <v>4166.6899999999996</v>
          </cell>
          <cell r="AL184" t="str">
            <v>FA</v>
          </cell>
          <cell r="AM184">
            <v>4166.6899999999996</v>
          </cell>
          <cell r="AN184" t="str">
            <v>Sales@mme.gov.br</v>
          </cell>
          <cell r="AO184" t="str">
            <v>(61) 2032-5915</v>
          </cell>
        </row>
        <row r="185">
          <cell r="A185" t="str">
            <v>FRANCISCO SANTANA PEREIRA</v>
          </cell>
          <cell r="B185" t="str">
            <v>152.096.361-00</v>
          </cell>
          <cell r="C185">
            <v>452270</v>
          </cell>
          <cell r="D185" t="str">
            <v>Agente Administrativo</v>
          </cell>
          <cell r="E185" t="str">
            <v>Ativo Permanente</v>
          </cell>
          <cell r="F185" t="str">
            <v>MME - Ministério de Minas e Energia</v>
          </cell>
          <cell r="G185" t="str">
            <v>GM / ASSESSORIA DE COMUNICAÇÃO SOCIAL - ASCOM</v>
          </cell>
          <cell r="H185" t="str">
            <v>2.100.300</v>
          </cell>
          <cell r="I185" t="str">
            <v>Assistente Técnico da Assessoria Parlamentar do Gabinete do Ministro</v>
          </cell>
          <cell r="J185" t="str">
            <v>DAS</v>
          </cell>
          <cell r="K185" t="str">
            <v>102.1</v>
          </cell>
          <cell r="L185" t="str">
            <v xml:space="preserve">Portaria nº </v>
          </cell>
          <cell r="M185">
            <v>66</v>
          </cell>
          <cell r="N185" t="str">
            <v>28/02/2020</v>
          </cell>
          <cell r="O185" t="str">
            <v>02/03/2020</v>
          </cell>
          <cell r="P185" t="str">
            <v>DOU</v>
          </cell>
          <cell r="Z185" t="str">
            <v>Sem designação</v>
          </cell>
          <cell r="AF185" t="str">
            <v>Masculino</v>
          </cell>
          <cell r="AG185" t="str">
            <v>Branca</v>
          </cell>
          <cell r="AH185" t="str">
            <v>10/10/1957</v>
          </cell>
          <cell r="AI185">
            <v>63</v>
          </cell>
          <cell r="AJ185">
            <v>5953.14</v>
          </cell>
          <cell r="AL185" t="str">
            <v>FA</v>
          </cell>
          <cell r="AM185">
            <v>5953.14</v>
          </cell>
          <cell r="AN185" t="str">
            <v>franciscopereira@mme.gov.br</v>
          </cell>
          <cell r="AO185" t="str">
            <v>(61) 2032-5928</v>
          </cell>
          <cell r="AP185" t="str">
            <v>GM28</v>
          </cell>
        </row>
        <row r="186">
          <cell r="A186" t="str">
            <v>FREDERICO BEDRAN OLIVEIRA</v>
          </cell>
          <cell r="B186" t="str">
            <v>991.125.901-34</v>
          </cell>
          <cell r="C186">
            <v>2530526</v>
          </cell>
          <cell r="D186" t="str">
            <v>Analista de Infraestrutura</v>
          </cell>
          <cell r="E186" t="str">
            <v>Exercício Descentralizado</v>
          </cell>
          <cell r="F186" t="str">
            <v>ME - Ministério da Economia</v>
          </cell>
          <cell r="G186" t="str">
            <v>SGM / DEPARTAMENTO DE GEOLOGIA E PRODUÇÃO MINERAL - DGPM</v>
          </cell>
          <cell r="H186" t="str">
            <v>9.102.000</v>
          </cell>
          <cell r="I186" t="str">
            <v>Diretor do Departamento de Geologia e Produção Mineral</v>
          </cell>
          <cell r="J186" t="str">
            <v>DAS</v>
          </cell>
          <cell r="K186" t="str">
            <v>101.5</v>
          </cell>
          <cell r="L186" t="str">
            <v xml:space="preserve">Portaria nº </v>
          </cell>
          <cell r="M186">
            <v>1255</v>
          </cell>
          <cell r="N186" t="str">
            <v>19/02/2019</v>
          </cell>
          <cell r="O186" t="str">
            <v>20/02/2019</v>
          </cell>
          <cell r="P186" t="str">
            <v>DOU</v>
          </cell>
          <cell r="Z186" t="str">
            <v>Sem designação</v>
          </cell>
          <cell r="AF186" t="str">
            <v>Masculino</v>
          </cell>
          <cell r="AG186" t="str">
            <v>Parda</v>
          </cell>
          <cell r="AH186" t="str">
            <v>25/09/1982</v>
          </cell>
          <cell r="AI186">
            <v>38</v>
          </cell>
          <cell r="AJ186">
            <v>8174.03</v>
          </cell>
          <cell r="AK186">
            <v>17846.990000000002</v>
          </cell>
          <cell r="AL186" t="str">
            <v>FA</v>
          </cell>
          <cell r="AM186">
            <v>26021.02</v>
          </cell>
          <cell r="AN186" t="str">
            <v>frederico.oliveira@mme.gov.br</v>
          </cell>
          <cell r="AO186" t="str">
            <v>(61) 2032-5480</v>
          </cell>
          <cell r="AP186" t="str">
            <v>SGM15</v>
          </cell>
        </row>
        <row r="187">
          <cell r="A187" t="str">
            <v>FREDERICO DE ARAUJO TELES</v>
          </cell>
          <cell r="B187" t="str">
            <v>006.305.681-03</v>
          </cell>
          <cell r="C187">
            <v>1558450</v>
          </cell>
          <cell r="D187" t="str">
            <v>Especialista em Regulação de Serv Púb de Energia</v>
          </cell>
          <cell r="E187" t="str">
            <v>Requisitado de Órgãos</v>
          </cell>
          <cell r="F187" t="str">
            <v>ANEEL - Agência Nacional de Energia Elétrica</v>
          </cell>
          <cell r="G187" t="str">
            <v>ASSESSORIA ESPECIAL DE ASSUNTOS ECONÔMICOS - ASSEC</v>
          </cell>
          <cell r="H187" t="str">
            <v>6.000.000</v>
          </cell>
          <cell r="I187" t="str">
            <v>Assessor da Assessoria Especial de Acompanhamento de Políticas, Estratégias e Desempenho Setoriais</v>
          </cell>
          <cell r="J187" t="str">
            <v>FCPE</v>
          </cell>
          <cell r="K187" t="str">
            <v>102.4</v>
          </cell>
          <cell r="L187" t="str">
            <v xml:space="preserve">Portaria nº </v>
          </cell>
          <cell r="M187">
            <v>39</v>
          </cell>
          <cell r="N187" t="str">
            <v>18/01/2019</v>
          </cell>
          <cell r="O187" t="str">
            <v>24/01/2019</v>
          </cell>
          <cell r="P187" t="str">
            <v>DOU</v>
          </cell>
          <cell r="Z187" t="str">
            <v>Sem designação</v>
          </cell>
          <cell r="AF187" t="str">
            <v>Masculino</v>
          </cell>
          <cell r="AG187" t="str">
            <v>Branca</v>
          </cell>
          <cell r="AH187" t="str">
            <v>14/12/1983</v>
          </cell>
          <cell r="AI187">
            <v>36</v>
          </cell>
          <cell r="AJ187">
            <v>6223.99</v>
          </cell>
          <cell r="AK187">
            <v>19999.88</v>
          </cell>
          <cell r="AL187" t="str">
            <v>FA</v>
          </cell>
          <cell r="AM187">
            <v>26223.870000000003</v>
          </cell>
          <cell r="AN187" t="str">
            <v>frederico.teles@mme.gov.br</v>
          </cell>
          <cell r="AO187" t="str">
            <v>(61) 2032-5795</v>
          </cell>
          <cell r="AP187" t="str">
            <v>AEPED03</v>
          </cell>
        </row>
        <row r="188">
          <cell r="A188" t="str">
            <v>FRUTUOSO DA SILVA LOREGA NETO</v>
          </cell>
          <cell r="B188" t="str">
            <v>863.375.564-53</v>
          </cell>
          <cell r="C188">
            <v>3085966</v>
          </cell>
          <cell r="D188" t="str">
            <v>Marinha</v>
          </cell>
          <cell r="E188" t="str">
            <v>Requisitado Militar</v>
          </cell>
          <cell r="F188" t="str">
            <v>Marinha</v>
          </cell>
          <cell r="G188" t="str">
            <v>GABINETE DO MINISTRO - GM</v>
          </cell>
          <cell r="H188" t="str">
            <v>2.000.000</v>
          </cell>
          <cell r="I188" t="str">
            <v>Assistente do Gabinete do Ministro</v>
          </cell>
          <cell r="J188" t="str">
            <v>DAS</v>
          </cell>
          <cell r="K188" t="str">
            <v>102.2</v>
          </cell>
          <cell r="L188" t="str">
            <v xml:space="preserve">Portaria nº </v>
          </cell>
          <cell r="M188">
            <v>65</v>
          </cell>
          <cell r="N188" t="str">
            <v>24/01/2019</v>
          </cell>
          <cell r="O188" t="str">
            <v>29/01/2019</v>
          </cell>
          <cell r="P188" t="str">
            <v>DOU</v>
          </cell>
          <cell r="Z188" t="str">
            <v>Sem designação</v>
          </cell>
          <cell r="AF188" t="str">
            <v>Masculino</v>
          </cell>
          <cell r="AG188" t="str">
            <v>Parda</v>
          </cell>
          <cell r="AH188" t="str">
            <v>25/06/1972</v>
          </cell>
          <cell r="AI188">
            <v>48</v>
          </cell>
          <cell r="AJ188">
            <v>2064.4499999999998</v>
          </cell>
          <cell r="AK188">
            <v>9031.2000000000007</v>
          </cell>
          <cell r="AL188" t="str">
            <v>FA</v>
          </cell>
          <cell r="AM188">
            <v>11095.650000000001</v>
          </cell>
          <cell r="AN188" t="str">
            <v>frutuoso.neto@mme.gov.br</v>
          </cell>
          <cell r="AO188" t="str">
            <v>(61) 2032-5064</v>
          </cell>
          <cell r="AP188" t="str">
            <v>GM13</v>
          </cell>
        </row>
        <row r="189">
          <cell r="A189" t="str">
            <v>GABRIEL MOTA MALDONADO</v>
          </cell>
          <cell r="B189" t="str">
            <v>068.112.826-73</v>
          </cell>
          <cell r="C189">
            <v>3090889</v>
          </cell>
          <cell r="D189" t="str">
            <v>Sem Cargo/Emprego</v>
          </cell>
          <cell r="E189" t="str">
            <v>Sem Vínculo</v>
          </cell>
          <cell r="F189" t="str">
            <v>Sem Vínculo</v>
          </cell>
          <cell r="G189" t="str">
            <v>SGM / DEPARTAMENTO DE DESENVOLVIMENTO SUSTENTÁVEL NA MINERAÇÃO - DDM</v>
          </cell>
          <cell r="H189" t="str">
            <v>9.104.000</v>
          </cell>
          <cell r="I189" t="str">
            <v>Diretor do Departamento de Desenvolvimento Sustentável na Mineração</v>
          </cell>
          <cell r="J189" t="str">
            <v>DAS</v>
          </cell>
          <cell r="K189" t="str">
            <v>101.5</v>
          </cell>
          <cell r="L189" t="str">
            <v xml:space="preserve">Portaria nº </v>
          </cell>
          <cell r="M189">
            <v>1254</v>
          </cell>
          <cell r="N189" t="str">
            <v>19/02/2019</v>
          </cell>
          <cell r="O189" t="str">
            <v>20/02/2019</v>
          </cell>
          <cell r="P189" t="str">
            <v>DOU</v>
          </cell>
          <cell r="Z189" t="str">
            <v>Sem designação</v>
          </cell>
          <cell r="AF189" t="str">
            <v>Masculino</v>
          </cell>
          <cell r="AG189" t="str">
            <v>Branca</v>
          </cell>
          <cell r="AH189" t="str">
            <v>24/05/1987</v>
          </cell>
          <cell r="AI189">
            <v>33</v>
          </cell>
          <cell r="AJ189">
            <v>13623.39</v>
          </cell>
          <cell r="AL189" t="str">
            <v>FA</v>
          </cell>
          <cell r="AM189">
            <v>13623.39</v>
          </cell>
          <cell r="AN189" t="str">
            <v>gabriel.maldonado@mme.gov.br</v>
          </cell>
          <cell r="AO189" t="str">
            <v>(61) 2032-5681</v>
          </cell>
          <cell r="AP189" t="str">
            <v>SGM25</v>
          </cell>
        </row>
        <row r="190">
          <cell r="A190" t="str">
            <v>GABRIELA PEREIRA GONCALVES</v>
          </cell>
          <cell r="B190" t="str">
            <v>003.631.271-19</v>
          </cell>
          <cell r="C190">
            <v>1844328</v>
          </cell>
          <cell r="D190" t="str">
            <v>Sem Cargo/Emprego</v>
          </cell>
          <cell r="E190" t="str">
            <v>Sem Vínculo</v>
          </cell>
          <cell r="F190" t="str">
            <v>Sem Vínculo</v>
          </cell>
          <cell r="G190" t="str">
            <v>GM / ASSESSORIA PARLAMENTAR - ASPAR</v>
          </cell>
          <cell r="H190" t="str">
            <v>2.100.200</v>
          </cell>
          <cell r="I190" t="str">
            <v>Assessora Técnica da Assessoria Parlamentar do Gabinete do Ministro</v>
          </cell>
          <cell r="J190" t="str">
            <v>DAS</v>
          </cell>
          <cell r="K190" t="str">
            <v>102.3</v>
          </cell>
          <cell r="L190" t="str">
            <v xml:space="preserve">Portaria nº </v>
          </cell>
          <cell r="M190">
            <v>524</v>
          </cell>
          <cell r="N190" t="str">
            <v>03/11/2016</v>
          </cell>
          <cell r="O190" t="str">
            <v>04/11/2016</v>
          </cell>
          <cell r="P190" t="str">
            <v>BPE</v>
          </cell>
          <cell r="Z190" t="str">
            <v>Sem designação</v>
          </cell>
          <cell r="AF190" t="str">
            <v>Feminino</v>
          </cell>
          <cell r="AG190" t="str">
            <v>Parda</v>
          </cell>
          <cell r="AH190" t="str">
            <v>26/07/1984</v>
          </cell>
          <cell r="AI190">
            <v>36</v>
          </cell>
          <cell r="AJ190">
            <v>5685.55</v>
          </cell>
          <cell r="AL190" t="str">
            <v>FA</v>
          </cell>
          <cell r="AM190">
            <v>5685.55</v>
          </cell>
          <cell r="AN190" t="str">
            <v>gabriela.goncalves@mme.gov.br</v>
          </cell>
          <cell r="AO190" t="str">
            <v>(61) 2032-5901</v>
          </cell>
          <cell r="AP190" t="str">
            <v>GM27</v>
          </cell>
        </row>
        <row r="191">
          <cell r="A191" t="str">
            <v>GENESIO SOARES DE OLIVEIRA</v>
          </cell>
          <cell r="B191" t="str">
            <v>000.373.541-91</v>
          </cell>
          <cell r="C191">
            <v>6460451</v>
          </cell>
          <cell r="D191" t="str">
            <v>Sem Cargo/Emprego</v>
          </cell>
          <cell r="E191" t="str">
            <v>Sem Vínculo</v>
          </cell>
          <cell r="F191" t="str">
            <v>Sem Vínculo</v>
          </cell>
          <cell r="G191" t="str">
            <v>GM / ASTAD / COORDENAÇÃO DE ATIVIDADES ADMINISTRATIVAS</v>
          </cell>
          <cell r="H191" t="str">
            <v>2.100.101</v>
          </cell>
          <cell r="I191" t="str">
            <v>Assistente Técnico da Coordenação de Atividades Administrativas do Gabinete do Ministro</v>
          </cell>
          <cell r="J191" t="str">
            <v>DAS</v>
          </cell>
          <cell r="K191" t="str">
            <v>102.1</v>
          </cell>
          <cell r="L191" t="str">
            <v xml:space="preserve">Portaria nº </v>
          </cell>
          <cell r="M191">
            <v>528</v>
          </cell>
          <cell r="N191" t="str">
            <v>03/11/2016</v>
          </cell>
          <cell r="O191" t="str">
            <v>04/11/2016</v>
          </cell>
          <cell r="P191" t="str">
            <v>DOU</v>
          </cell>
          <cell r="Z191" t="str">
            <v>Sem designação</v>
          </cell>
          <cell r="AF191" t="str">
            <v>Masculino</v>
          </cell>
          <cell r="AG191" t="str">
            <v>Branca</v>
          </cell>
          <cell r="AH191" t="str">
            <v>18/11/1940</v>
          </cell>
          <cell r="AI191">
            <v>79</v>
          </cell>
          <cell r="AJ191">
            <v>2701.46</v>
          </cell>
          <cell r="AL191" t="str">
            <v>DIR</v>
          </cell>
          <cell r="AM191">
            <v>2701.46</v>
          </cell>
          <cell r="AN191" t="str">
            <v>GenesioOliveira@mme.gov.br</v>
          </cell>
          <cell r="AO191" t="str">
            <v>(61) 2032-5629</v>
          </cell>
          <cell r="AP191" t="str">
            <v>GM21</v>
          </cell>
        </row>
        <row r="192">
          <cell r="A192" t="str">
            <v>GERALDO DEOCLECIANO DE AZEVEDO</v>
          </cell>
          <cell r="B192" t="str">
            <v>150.546.914-72</v>
          </cell>
          <cell r="C192">
            <v>455338</v>
          </cell>
          <cell r="D192" t="str">
            <v>Agente de Portaria</v>
          </cell>
          <cell r="E192" t="str">
            <v>Ativo Permanente</v>
          </cell>
          <cell r="F192" t="str">
            <v>MME - Ministério de Minas e Energia</v>
          </cell>
          <cell r="G192" t="str">
            <v>SE / SPOA / CGRL / COORDENAÇÃO DE ATIVIDADES GERAIS - COAGE</v>
          </cell>
          <cell r="H192" t="str">
            <v>8.105.120</v>
          </cell>
          <cell r="I192" t="str">
            <v>Função Gratificada</v>
          </cell>
          <cell r="J192" t="str">
            <v>FGR</v>
          </cell>
          <cell r="K192">
            <v>1</v>
          </cell>
          <cell r="L192" t="str">
            <v xml:space="preserve">Portaria nº </v>
          </cell>
          <cell r="M192">
            <v>524</v>
          </cell>
          <cell r="N192" t="str">
            <v>03/11/2016</v>
          </cell>
          <cell r="O192" t="str">
            <v>04/11/2016</v>
          </cell>
          <cell r="P192" t="str">
            <v>BPE</v>
          </cell>
          <cell r="Z192" t="str">
            <v>Sem designação</v>
          </cell>
          <cell r="AF192" t="str">
            <v>Masculino</v>
          </cell>
          <cell r="AG192" t="str">
            <v>Branca</v>
          </cell>
          <cell r="AH192" t="str">
            <v>03/07/1953</v>
          </cell>
          <cell r="AI192">
            <v>67</v>
          </cell>
          <cell r="AJ192">
            <v>5834.08</v>
          </cell>
          <cell r="AL192" t="str">
            <v>FA</v>
          </cell>
          <cell r="AM192">
            <v>5834.08</v>
          </cell>
          <cell r="AN192" t="str">
            <v>geraldo.azevedo@mme.gov.br</v>
          </cell>
          <cell r="AO192" t="str">
            <v>(61) 2032-5242</v>
          </cell>
        </row>
        <row r="193">
          <cell r="A193" t="str">
            <v>GERALDO RIBEIRO DOS SANTOS</v>
          </cell>
          <cell r="B193" t="str">
            <v>214.408.831-49</v>
          </cell>
          <cell r="C193">
            <v>451522</v>
          </cell>
          <cell r="D193" t="str">
            <v>Datilógrafo</v>
          </cell>
          <cell r="E193" t="str">
            <v>Ativo Permanente</v>
          </cell>
          <cell r="F193" t="str">
            <v>MME - Ministério de Minas e Energia</v>
          </cell>
          <cell r="G193" t="str">
            <v>SE / SPOA / CGRL / COORDENAÇÃO DE ATIVIDADES GERAIS - COAGE</v>
          </cell>
          <cell r="H193" t="str">
            <v>8.105.120</v>
          </cell>
          <cell r="I193" t="str">
            <v>Função Comissionada Técnica - Técnico em Gestão de Pessoas e Técnico em Gestão de Logística</v>
          </cell>
          <cell r="J193" t="str">
            <v>FCT</v>
          </cell>
          <cell r="K193">
            <v>7</v>
          </cell>
          <cell r="L193" t="str">
            <v xml:space="preserve">Portaria nº </v>
          </cell>
          <cell r="M193">
            <v>187</v>
          </cell>
          <cell r="N193" t="str">
            <v>17/09/2004</v>
          </cell>
          <cell r="O193" t="str">
            <v>20/09/2004</v>
          </cell>
          <cell r="P193" t="str">
            <v>DOU</v>
          </cell>
          <cell r="Y193" t="str">
            <v>Chefe de Serviço de Gestão de Patrimônio</v>
          </cell>
          <cell r="Z193" t="str">
            <v>Eventual</v>
          </cell>
          <cell r="AA193" t="str">
            <v xml:space="preserve">Portaria nº </v>
          </cell>
          <cell r="AB193">
            <v>225</v>
          </cell>
          <cell r="AC193" t="str">
            <v>07/06/2018</v>
          </cell>
          <cell r="AD193" t="str">
            <v>11/06/2018</v>
          </cell>
          <cell r="AE193" t="str">
            <v>DOU</v>
          </cell>
          <cell r="AF193" t="str">
            <v>Masculino</v>
          </cell>
          <cell r="AG193" t="str">
            <v>Parda</v>
          </cell>
          <cell r="AH193" t="str">
            <v>20/07/1955</v>
          </cell>
          <cell r="AI193">
            <v>65</v>
          </cell>
          <cell r="AJ193">
            <v>8738.8700000000008</v>
          </cell>
          <cell r="AL193" t="str">
            <v>FA</v>
          </cell>
          <cell r="AM193">
            <v>8738.8700000000008</v>
          </cell>
          <cell r="AN193" t="str">
            <v>geraldosantos@mme.gov.br</v>
          </cell>
          <cell r="AO193" t="str">
            <v>(61) 2032-5674</v>
          </cell>
          <cell r="AQ193" t="str">
            <v>SE23S</v>
          </cell>
        </row>
        <row r="194">
          <cell r="A194" t="str">
            <v>GEVALTER DE FREITAS NEVES</v>
          </cell>
          <cell r="B194" t="str">
            <v>398.293.914-34</v>
          </cell>
          <cell r="C194">
            <v>451635</v>
          </cell>
          <cell r="D194" t="str">
            <v>Agente Administrativo</v>
          </cell>
          <cell r="E194" t="str">
            <v>Ativo Permanente</v>
          </cell>
          <cell r="F194" t="str">
            <v>MME - Ministério de Minas e Energia</v>
          </cell>
          <cell r="G194" t="str">
            <v>SPE / CHEFIA DE GABINETE SPE</v>
          </cell>
          <cell r="H194" t="str">
            <v>10.100.000</v>
          </cell>
          <cell r="I194" t="str">
            <v>Assessor Técnico da Secretaria de Planejamento e Desenvolvimento Energético</v>
          </cell>
          <cell r="J194" t="str">
            <v>FCPE</v>
          </cell>
          <cell r="K194" t="str">
            <v>102.3</v>
          </cell>
          <cell r="L194" t="str">
            <v xml:space="preserve">Portaria nº </v>
          </cell>
          <cell r="M194">
            <v>572</v>
          </cell>
          <cell r="N194" t="str">
            <v>03/11/2016</v>
          </cell>
          <cell r="O194" t="str">
            <v>04/11/2016</v>
          </cell>
          <cell r="P194" t="str">
            <v>DOU</v>
          </cell>
          <cell r="Z194" t="str">
            <v>Sem designação</v>
          </cell>
          <cell r="AF194" t="str">
            <v>Masculino</v>
          </cell>
          <cell r="AG194" t="str">
            <v>Branca</v>
          </cell>
          <cell r="AH194" t="str">
            <v>22/08/1965</v>
          </cell>
          <cell r="AI194">
            <v>55</v>
          </cell>
          <cell r="AJ194">
            <v>8284.99</v>
          </cell>
          <cell r="AL194" t="str">
            <v>FA</v>
          </cell>
          <cell r="AM194">
            <v>8284.99</v>
          </cell>
          <cell r="AN194" t="str">
            <v>gevalterneves@mme.gov.br</v>
          </cell>
          <cell r="AO194" t="str">
            <v>(61) 2032-5667</v>
          </cell>
          <cell r="AP194" t="str">
            <v>SPE05</v>
          </cell>
        </row>
        <row r="195">
          <cell r="A195" t="str">
            <v>GIACOMO PERROTTA</v>
          </cell>
          <cell r="B195" t="str">
            <v>603.604.707-00</v>
          </cell>
          <cell r="C195">
            <v>2662515</v>
          </cell>
          <cell r="D195" t="str">
            <v>Analista de Infraestrutura</v>
          </cell>
          <cell r="E195" t="str">
            <v>Exercício Descentralizado</v>
          </cell>
          <cell r="F195" t="str">
            <v>ME - Ministério da Economia</v>
          </cell>
          <cell r="G195" t="str">
            <v>SPE / DPE / COORDENAÇÃO GERAL DE PLANEJAMENTO DA TRANSMISSÃO</v>
          </cell>
          <cell r="H195" t="str">
            <v>10.101.100</v>
          </cell>
          <cell r="Z195" t="str">
            <v>Sem designação</v>
          </cell>
          <cell r="AF195" t="str">
            <v>Masculino</v>
          </cell>
          <cell r="AG195" t="str">
            <v>Branca</v>
          </cell>
          <cell r="AH195" t="str">
            <v>29/11/1957</v>
          </cell>
          <cell r="AI195">
            <v>62</v>
          </cell>
          <cell r="AJ195">
            <v>0</v>
          </cell>
          <cell r="AK195">
            <v>18848.919999999998</v>
          </cell>
          <cell r="AL195" t="str">
            <v>FA</v>
          </cell>
          <cell r="AM195">
            <v>18848.919999999998</v>
          </cell>
          <cell r="AN195" t="str">
            <v>giacomo.perrotta@mme.gov.br</v>
          </cell>
          <cell r="AO195" t="str">
            <v>(61) 2032-5426</v>
          </cell>
        </row>
        <row r="196">
          <cell r="A196" t="str">
            <v>GILBERTO KWITKO RIBEIRO</v>
          </cell>
          <cell r="B196" t="str">
            <v>709.816.557-34</v>
          </cell>
          <cell r="C196">
            <v>3310644</v>
          </cell>
          <cell r="D196" t="str">
            <v>Especialista em Política Pública e Gestão Governamental</v>
          </cell>
          <cell r="E196" t="str">
            <v>Exercício Descentralizado</v>
          </cell>
          <cell r="F196" t="str">
            <v>ME - Ministério da Economia</v>
          </cell>
          <cell r="G196" t="str">
            <v>SPE / DIEE / COORDENAÇÃO GERAL DE INFORMAÇÕES ENERGÉTICAS</v>
          </cell>
          <cell r="H196" t="str">
            <v>10.104.100</v>
          </cell>
          <cell r="Z196" t="str">
            <v>Sem designação</v>
          </cell>
          <cell r="AF196" t="str">
            <v>Masculino</v>
          </cell>
          <cell r="AG196" t="str">
            <v>Branca</v>
          </cell>
          <cell r="AH196" t="str">
            <v>19/05/1958</v>
          </cell>
          <cell r="AI196">
            <v>62</v>
          </cell>
          <cell r="AJ196">
            <v>0</v>
          </cell>
          <cell r="AK196">
            <v>27827.67</v>
          </cell>
          <cell r="AL196" t="str">
            <v>FA</v>
          </cell>
          <cell r="AM196">
            <v>27827.67</v>
          </cell>
          <cell r="AN196" t="str">
            <v>gilberto.ribeiro@mme.gov.br</v>
          </cell>
          <cell r="AO196" t="str">
            <v>(61) 2032-5206</v>
          </cell>
        </row>
        <row r="197">
          <cell r="A197" t="str">
            <v>GILDA MARIA LEITE DA FONSECA</v>
          </cell>
          <cell r="B197" t="str">
            <v>244.146.111-72</v>
          </cell>
          <cell r="C197">
            <v>452261</v>
          </cell>
          <cell r="D197" t="str">
            <v>Datilógrafo</v>
          </cell>
          <cell r="E197" t="str">
            <v>Ativo Permanente</v>
          </cell>
          <cell r="F197" t="str">
            <v>MME - Ministério de Minas e Energia</v>
          </cell>
          <cell r="G197" t="str">
            <v>SPE / DEPARTAMENTO DE PLANEJAMENTO ENERGÉTICO - DPE</v>
          </cell>
          <cell r="H197" t="str">
            <v>10.101.000</v>
          </cell>
          <cell r="I197" t="str">
            <v>Assistente do Departamento de Planejamento e Desenvolvimento Energético</v>
          </cell>
          <cell r="J197" t="str">
            <v>FCPE</v>
          </cell>
          <cell r="K197" t="str">
            <v>102.2</v>
          </cell>
          <cell r="L197" t="str">
            <v xml:space="preserve">Portaria nº </v>
          </cell>
          <cell r="M197">
            <v>524</v>
          </cell>
          <cell r="N197" t="str">
            <v>03/11/2016</v>
          </cell>
          <cell r="O197" t="str">
            <v>04/11/2016</v>
          </cell>
          <cell r="P197" t="str">
            <v>BPE</v>
          </cell>
          <cell r="Z197" t="str">
            <v>Sem designação</v>
          </cell>
          <cell r="AF197" t="str">
            <v>Feminino</v>
          </cell>
          <cell r="AG197" t="str">
            <v>Parda</v>
          </cell>
          <cell r="AH197" t="str">
            <v>01/07/1961</v>
          </cell>
          <cell r="AI197">
            <v>59</v>
          </cell>
          <cell r="AJ197">
            <v>7685.5</v>
          </cell>
          <cell r="AL197" t="str">
            <v>FA</v>
          </cell>
          <cell r="AM197">
            <v>7685.5</v>
          </cell>
          <cell r="AN197" t="str">
            <v>gildafonseca@mme.gov.br</v>
          </cell>
          <cell r="AO197" t="str">
            <v>(61) 2032-5651</v>
          </cell>
          <cell r="AP197" t="str">
            <v>SPE12</v>
          </cell>
        </row>
        <row r="198">
          <cell r="A198" t="str">
            <v>GILVAN DE BARROS COELHO</v>
          </cell>
          <cell r="B198" t="str">
            <v>003.710.094-72</v>
          </cell>
          <cell r="C198">
            <v>1680740</v>
          </cell>
          <cell r="D198" t="str">
            <v>Administrador</v>
          </cell>
          <cell r="E198" t="str">
            <v>Anistiado MME</v>
          </cell>
          <cell r="F198" t="str">
            <v>MME - Ministério de Minas e Energia</v>
          </cell>
          <cell r="G198" t="str">
            <v>Aguardando Lotação/Exercício</v>
          </cell>
          <cell r="H198" t="str">
            <v>88.000.000</v>
          </cell>
          <cell r="Z198" t="str">
            <v>Sem designação</v>
          </cell>
          <cell r="AF198" t="str">
            <v>Masculino</v>
          </cell>
          <cell r="AG198" t="str">
            <v>Branca</v>
          </cell>
          <cell r="AH198" t="str">
            <v>29/03/1935</v>
          </cell>
          <cell r="AI198">
            <v>85</v>
          </cell>
          <cell r="AJ198">
            <v>5117.78</v>
          </cell>
          <cell r="AL198" t="str">
            <v>FA</v>
          </cell>
          <cell r="AM198">
            <v>5117.78</v>
          </cell>
        </row>
        <row r="199">
          <cell r="A199" t="str">
            <v>GILVAN DE CASTRO ARARUNA</v>
          </cell>
          <cell r="B199" t="str">
            <v>153.120.891-68</v>
          </cell>
          <cell r="C199">
            <v>452342</v>
          </cell>
          <cell r="D199" t="str">
            <v>Datilógrafo</v>
          </cell>
          <cell r="E199" t="str">
            <v>Ativo Permanente</v>
          </cell>
          <cell r="F199" t="str">
            <v>MME - Ministério de Minas e Energia</v>
          </cell>
          <cell r="G199" t="str">
            <v>GM / ASTAD / COORDENAÇÃO DE ATIVIDADES ADMINISTRATIVAS</v>
          </cell>
          <cell r="H199" t="str">
            <v>2.100.101</v>
          </cell>
          <cell r="I199" t="str">
            <v>Função Comissionada Técnica - Técnico de Sistemas Operacionais e Administrativos</v>
          </cell>
          <cell r="J199" t="str">
            <v>FCT</v>
          </cell>
          <cell r="K199">
            <v>10</v>
          </cell>
          <cell r="L199" t="str">
            <v xml:space="preserve">Portaria nº </v>
          </cell>
          <cell r="M199">
            <v>514</v>
          </cell>
          <cell r="N199" t="str">
            <v>31/10/2016</v>
          </cell>
          <cell r="O199" t="str">
            <v>04/11/2016</v>
          </cell>
          <cell r="P199" t="str">
            <v>DOU</v>
          </cell>
          <cell r="Z199" t="str">
            <v>Sem designação</v>
          </cell>
          <cell r="AF199" t="str">
            <v>Masculino</v>
          </cell>
          <cell r="AG199" t="str">
            <v>Branca</v>
          </cell>
          <cell r="AH199" t="str">
            <v>10/09/1958</v>
          </cell>
          <cell r="AI199">
            <v>62</v>
          </cell>
          <cell r="AJ199">
            <v>6612.05</v>
          </cell>
          <cell r="AL199" t="str">
            <v>FA</v>
          </cell>
          <cell r="AM199">
            <v>6612.05</v>
          </cell>
          <cell r="AN199" t="str">
            <v>GilvanAraruna@mme.gov.br</v>
          </cell>
          <cell r="AO199" t="str">
            <v>(61) 2032-5493</v>
          </cell>
        </row>
        <row r="200">
          <cell r="A200" t="str">
            <v>GILVAN MARQUES TEODORO</v>
          </cell>
          <cell r="B200" t="str">
            <v>312.562.364-20</v>
          </cell>
          <cell r="C200">
            <v>1105547</v>
          </cell>
          <cell r="D200" t="str">
            <v>Médico</v>
          </cell>
          <cell r="E200" t="str">
            <v>Ativo Permanente</v>
          </cell>
          <cell r="F200" t="str">
            <v>MME - Ministério de Minas e Energia</v>
          </cell>
          <cell r="G200" t="str">
            <v>SE / SPOA / CGRH / COORDENAÇÃO DE DESENVOLVIMENTO E SEGURIDADE SOCIAL - CODES</v>
          </cell>
          <cell r="H200" t="str">
            <v>8.105.220</v>
          </cell>
          <cell r="Q200" t="str">
            <v>GSISTE</v>
          </cell>
          <cell r="R200" t="str">
            <v>Superior</v>
          </cell>
          <cell r="S200" t="str">
            <v>SIPEC  - Sistema de Pessoal Civil da Administração Federal</v>
          </cell>
          <cell r="T200" t="str">
            <v xml:space="preserve">Portaria nº </v>
          </cell>
          <cell r="U200">
            <v>60</v>
          </cell>
          <cell r="V200" t="str">
            <v>19/06/2009</v>
          </cell>
          <cell r="W200" t="str">
            <v>19/06/2009</v>
          </cell>
          <cell r="X200" t="str">
            <v>BPE</v>
          </cell>
          <cell r="Z200" t="str">
            <v>Sem designação</v>
          </cell>
          <cell r="AF200" t="str">
            <v>Masculino</v>
          </cell>
          <cell r="AG200" t="str">
            <v>Parda</v>
          </cell>
          <cell r="AH200" t="str">
            <v>07/12/1963</v>
          </cell>
          <cell r="AI200">
            <v>56</v>
          </cell>
          <cell r="AJ200">
            <v>10470.58</v>
          </cell>
          <cell r="AL200" t="str">
            <v>FA</v>
          </cell>
          <cell r="AM200">
            <v>10470.58</v>
          </cell>
          <cell r="AN200" t="str">
            <v>gilvanteodoro@mme.gov.br</v>
          </cell>
          <cell r="AO200" t="str">
            <v>(61) 2032-5440</v>
          </cell>
        </row>
        <row r="201">
          <cell r="A201" t="str">
            <v>GISELIA MARQUES DE SOUZA</v>
          </cell>
          <cell r="B201" t="str">
            <v>385.113.041-34</v>
          </cell>
          <cell r="C201">
            <v>451712</v>
          </cell>
          <cell r="D201" t="str">
            <v>Agente Administrativo</v>
          </cell>
          <cell r="E201" t="str">
            <v>Ativo Permanente</v>
          </cell>
          <cell r="F201" t="str">
            <v>MME - Ministério de Minas e Energia</v>
          </cell>
          <cell r="G201" t="str">
            <v xml:space="preserve">SE / SPOA / CGTI / COORDENAÇÃO DE INFRAESTRUTURA TECNOLÓGICA - </v>
          </cell>
          <cell r="H201" t="str">
            <v>8.105.310</v>
          </cell>
          <cell r="I201" t="str">
            <v>Função Comissionada Técnica - Técnico em Modernização e Tecnologia da Informação</v>
          </cell>
          <cell r="J201" t="str">
            <v>FCT</v>
          </cell>
          <cell r="K201">
            <v>9</v>
          </cell>
          <cell r="L201" t="str">
            <v xml:space="preserve">Portaria nº </v>
          </cell>
          <cell r="M201">
            <v>443</v>
          </cell>
          <cell r="N201" t="str">
            <v>26/08/2014</v>
          </cell>
          <cell r="O201" t="str">
            <v>27/08/2014</v>
          </cell>
          <cell r="P201" t="str">
            <v>DOU</v>
          </cell>
          <cell r="Q201" t="str">
            <v>GSISP</v>
          </cell>
          <cell r="R201" t="str">
            <v>Intermediário</v>
          </cell>
          <cell r="S201" t="str">
            <v>SISP - Sistema dos Recursos de Informação e Informática</v>
          </cell>
          <cell r="T201" t="str">
            <v xml:space="preserve">Portaria nº </v>
          </cell>
          <cell r="U201">
            <v>100</v>
          </cell>
          <cell r="V201" t="str">
            <v>19/11/2009</v>
          </cell>
          <cell r="W201" t="str">
            <v>19/11/2009</v>
          </cell>
          <cell r="X201" t="str">
            <v>BPE</v>
          </cell>
          <cell r="Z201" t="str">
            <v>Sem designação</v>
          </cell>
          <cell r="AF201" t="str">
            <v>Feminino</v>
          </cell>
          <cell r="AG201" t="str">
            <v>Branca</v>
          </cell>
          <cell r="AH201" t="str">
            <v>15/12/1965</v>
          </cell>
          <cell r="AI201">
            <v>54</v>
          </cell>
          <cell r="AJ201">
            <v>9188.74</v>
          </cell>
          <cell r="AL201" t="str">
            <v>FA</v>
          </cell>
          <cell r="AM201">
            <v>9188.74</v>
          </cell>
          <cell r="AN201" t="str">
            <v>Giselia@mme.gov.br</v>
          </cell>
          <cell r="AO201" t="str">
            <v>(61) 2032-5919</v>
          </cell>
        </row>
        <row r="202">
          <cell r="A202" t="str">
            <v>GLAUCIA MARIA DE MEIRELES</v>
          </cell>
          <cell r="B202" t="str">
            <v>855.638.626-15</v>
          </cell>
          <cell r="C202">
            <v>1479945</v>
          </cell>
          <cell r="D202" t="str">
            <v>Sem Cargo/Emprego</v>
          </cell>
          <cell r="E202" t="str">
            <v>Sem Vínculo</v>
          </cell>
          <cell r="F202" t="str">
            <v>Sem Vínculo</v>
          </cell>
          <cell r="G202" t="str">
            <v>SE / CHEFIA DE GABINETE SE</v>
          </cell>
          <cell r="H202" t="str">
            <v>8.100.000</v>
          </cell>
          <cell r="I202" t="str">
            <v>Assessora Técnica da Secretaria Executiva</v>
          </cell>
          <cell r="J202" t="str">
            <v>DAS</v>
          </cell>
          <cell r="K202" t="str">
            <v>102.3</v>
          </cell>
          <cell r="L202" t="str">
            <v xml:space="preserve">Portaria nº </v>
          </cell>
          <cell r="M202">
            <v>35</v>
          </cell>
          <cell r="N202" t="str">
            <v>17/01/2019</v>
          </cell>
          <cell r="O202" t="str">
            <v>21/01/2019</v>
          </cell>
          <cell r="P202" t="str">
            <v>DOU</v>
          </cell>
          <cell r="Z202" t="str">
            <v>Sem designação</v>
          </cell>
          <cell r="AF202" t="str">
            <v>Feminino</v>
          </cell>
          <cell r="AG202" t="str">
            <v>Parda</v>
          </cell>
          <cell r="AH202" t="str">
            <v>04/11/1968</v>
          </cell>
          <cell r="AI202">
            <v>52</v>
          </cell>
          <cell r="AJ202">
            <v>5685.55</v>
          </cell>
          <cell r="AL202" t="str">
            <v>FA</v>
          </cell>
          <cell r="AM202">
            <v>5685.55</v>
          </cell>
          <cell r="AN202" t="str">
            <v>glaucia.meireles@mme.gov.br</v>
          </cell>
          <cell r="AO202" t="str">
            <v>(61) 2032-5011</v>
          </cell>
          <cell r="AP202" t="str">
            <v>SE10</v>
          </cell>
        </row>
        <row r="203">
          <cell r="A203" t="str">
            <v>GLEYSIELEN CARDOSO NEVES</v>
          </cell>
          <cell r="B203" t="str">
            <v>034.127.611-17</v>
          </cell>
          <cell r="C203">
            <v>2675984</v>
          </cell>
          <cell r="D203" t="str">
            <v>Sem Cargo/Emprego</v>
          </cell>
          <cell r="E203" t="str">
            <v>Sem Vínculo</v>
          </cell>
          <cell r="F203" t="str">
            <v>Sem Vínculo</v>
          </cell>
          <cell r="G203" t="str">
            <v>SE / SPOA / CGRL / COORDENAÇÃO DE ATIVIDADES GERAIS - COAGE</v>
          </cell>
          <cell r="H203" t="str">
            <v>8.105.120</v>
          </cell>
          <cell r="I203" t="str">
            <v xml:space="preserve">Chefe da Divisão de Gestão de Documentos e Informação Bibliográfica da Coordenação de Atividades Gerais </v>
          </cell>
          <cell r="J203" t="str">
            <v>DAS</v>
          </cell>
          <cell r="K203" t="str">
            <v>101.2</v>
          </cell>
          <cell r="L203" t="str">
            <v xml:space="preserve">Portaria nº </v>
          </cell>
          <cell r="M203">
            <v>549</v>
          </cell>
          <cell r="N203" t="str">
            <v>03/11/2016</v>
          </cell>
          <cell r="O203" t="str">
            <v>04/11/2016</v>
          </cell>
          <cell r="P203" t="str">
            <v>DOU</v>
          </cell>
          <cell r="Z203" t="str">
            <v>Sem designação</v>
          </cell>
          <cell r="AF203" t="str">
            <v>Feminino</v>
          </cell>
          <cell r="AG203" t="str">
            <v>Parda</v>
          </cell>
          <cell r="AH203" t="str">
            <v>20/05/1990</v>
          </cell>
          <cell r="AI203">
            <v>30</v>
          </cell>
          <cell r="AJ203">
            <v>3440.75</v>
          </cell>
          <cell r="AL203" t="str">
            <v>FA</v>
          </cell>
          <cell r="AM203">
            <v>3440.75</v>
          </cell>
          <cell r="AN203" t="str">
            <v>gleysielen.neves@mme.gov.br</v>
          </cell>
          <cell r="AO203" t="str">
            <v>(61) 2032-5223</v>
          </cell>
          <cell r="AP203" t="str">
            <v>SE55</v>
          </cell>
        </row>
        <row r="204">
          <cell r="A204" t="str">
            <v>GRAYCE MARTINS DA SILVA GONCALVES</v>
          </cell>
          <cell r="B204" t="str">
            <v>813.020.881-49</v>
          </cell>
          <cell r="C204">
            <v>1804230</v>
          </cell>
          <cell r="D204" t="str">
            <v>Analista Técnico Administrativo</v>
          </cell>
          <cell r="E204" t="str">
            <v>Requisitado de Órgãos</v>
          </cell>
          <cell r="F204" t="str">
            <v>MDR - Ministério do Desenvolvimento Regional</v>
          </cell>
          <cell r="G204" t="str">
            <v>GM / OUVIDORIA GERAL - OUVIR</v>
          </cell>
          <cell r="H204" t="str">
            <v>2.100.500</v>
          </cell>
          <cell r="I204" t="str">
            <v>Ouvidora Geral do Gabinete do Ministro</v>
          </cell>
          <cell r="J204" t="str">
            <v>FCPE</v>
          </cell>
          <cell r="K204" t="str">
            <v>101.4</v>
          </cell>
          <cell r="L204" t="str">
            <v xml:space="preserve">Portaria nº </v>
          </cell>
          <cell r="M204">
            <v>268</v>
          </cell>
          <cell r="N204" t="str">
            <v>13/07/2017</v>
          </cell>
          <cell r="O204" t="str">
            <v>18/07/2017</v>
          </cell>
          <cell r="P204" t="str">
            <v>DOU</v>
          </cell>
          <cell r="Z204" t="str">
            <v>Sem designação</v>
          </cell>
          <cell r="AF204" t="str">
            <v>Feminino</v>
          </cell>
          <cell r="AG204" t="str">
            <v>Branca</v>
          </cell>
          <cell r="AH204" t="str">
            <v>03/04/1978</v>
          </cell>
          <cell r="AI204">
            <v>42</v>
          </cell>
          <cell r="AJ204">
            <v>6223.99</v>
          </cell>
          <cell r="AK204">
            <v>7959.35</v>
          </cell>
          <cell r="AL204" t="str">
            <v>FA</v>
          </cell>
          <cell r="AM204">
            <v>14183.34</v>
          </cell>
          <cell r="AN204" t="str">
            <v>grayce.goncalves@mme.gov.br</v>
          </cell>
          <cell r="AO204" t="str">
            <v>(61) 2032-5258</v>
          </cell>
          <cell r="AP204" t="str">
            <v>GM42</v>
          </cell>
        </row>
        <row r="205">
          <cell r="A205" t="str">
            <v>GUALTER DE CARVALHO MENDES</v>
          </cell>
          <cell r="B205" t="str">
            <v>021.439.331-34</v>
          </cell>
          <cell r="C205">
            <v>5293689</v>
          </cell>
          <cell r="D205" t="str">
            <v>Sem Cargo/Emprego</v>
          </cell>
          <cell r="E205" t="str">
            <v>Sem Vínculo</v>
          </cell>
          <cell r="F205" t="str">
            <v>Sem Vínculo</v>
          </cell>
          <cell r="G205" t="str">
            <v>SEE / CHEFIA DE GABINETE SEE</v>
          </cell>
          <cell r="H205" t="str">
            <v>12.100.000</v>
          </cell>
          <cell r="I205" t="str">
            <v>Assessor da Assessoria Especial de Assuntos Econômicos</v>
          </cell>
          <cell r="J205" t="str">
            <v>DAS</v>
          </cell>
          <cell r="K205" t="str">
            <v>102.4</v>
          </cell>
          <cell r="L205" t="str">
            <v xml:space="preserve">Portaria nº </v>
          </cell>
          <cell r="M205">
            <v>117</v>
          </cell>
          <cell r="N205" t="str">
            <v>07/02/2019</v>
          </cell>
          <cell r="O205" t="str">
            <v>08/02/2019</v>
          </cell>
          <cell r="P205" t="str">
            <v>DOU</v>
          </cell>
          <cell r="Y205" t="str">
            <v>Secretário-Adjunto da SEE</v>
          </cell>
          <cell r="Z205" t="str">
            <v>Eventual</v>
          </cell>
          <cell r="AA205" t="str">
            <v xml:space="preserve">Portaria nº </v>
          </cell>
          <cell r="AB205">
            <v>432</v>
          </cell>
          <cell r="AC205" t="str">
            <v>27/11/2019</v>
          </cell>
          <cell r="AD205" t="str">
            <v>29/11/2019</v>
          </cell>
          <cell r="AE205" t="str">
            <v>DOU</v>
          </cell>
          <cell r="AF205" t="str">
            <v>Masculino</v>
          </cell>
          <cell r="AG205" t="str">
            <v>Parda</v>
          </cell>
          <cell r="AH205" t="str">
            <v>11/06/1941</v>
          </cell>
          <cell r="AI205">
            <v>79</v>
          </cell>
          <cell r="AJ205">
            <v>10373.299999999999</v>
          </cell>
          <cell r="AL205" t="str">
            <v>FA</v>
          </cell>
          <cell r="AM205">
            <v>10373.299999999999</v>
          </cell>
          <cell r="AN205" t="str">
            <v>gualtermendes@mme.gov.br</v>
          </cell>
          <cell r="AO205" t="str">
            <v>(61) 2032-5023</v>
          </cell>
          <cell r="AP205" t="str">
            <v>ASSEC05</v>
          </cell>
          <cell r="AQ205" t="str">
            <v>SEE02S</v>
          </cell>
        </row>
        <row r="206">
          <cell r="A206" t="str">
            <v>GUILHERME BRUM DE ALMEIDA</v>
          </cell>
          <cell r="B206" t="str">
            <v>075.459.337-10</v>
          </cell>
          <cell r="C206">
            <v>1507340</v>
          </cell>
          <cell r="D206" t="str">
            <v>Advogado da União</v>
          </cell>
          <cell r="E206" t="str">
            <v>Exercício Descentralizado</v>
          </cell>
          <cell r="F206" t="str">
            <v>AGU - Advocacia Geral da União</v>
          </cell>
          <cell r="G206" t="str">
            <v>CONJUR / COORDENAÇÃO GERAL DE ASSSUNTOS ADMINISTRATIVOS - CGAA</v>
          </cell>
          <cell r="H206" t="str">
            <v>7.100.300</v>
          </cell>
          <cell r="I206" t="str">
            <v>Coordenador Geral de Assuntos Administrativos da Consultoria Jurídica</v>
          </cell>
          <cell r="J206" t="str">
            <v>FCPE</v>
          </cell>
          <cell r="K206" t="str">
            <v>101.4</v>
          </cell>
          <cell r="L206" t="str">
            <v xml:space="preserve">Portaria nº </v>
          </cell>
          <cell r="M206">
            <v>192</v>
          </cell>
          <cell r="N206" t="str">
            <v>10/04/2019</v>
          </cell>
          <cell r="O206" t="str">
            <v>12/04/2019</v>
          </cell>
          <cell r="P206" t="str">
            <v>DOU</v>
          </cell>
          <cell r="Z206" t="str">
            <v>Sem designação</v>
          </cell>
          <cell r="AF206" t="str">
            <v>Masculino</v>
          </cell>
          <cell r="AG206" t="str">
            <v>Branca</v>
          </cell>
          <cell r="AH206" t="str">
            <v>06/12/1976</v>
          </cell>
          <cell r="AI206">
            <v>43</v>
          </cell>
          <cell r="AJ206">
            <v>6223.99</v>
          </cell>
          <cell r="AK206">
            <v>28146.9</v>
          </cell>
          <cell r="AL206" t="str">
            <v>FA</v>
          </cell>
          <cell r="AM206">
            <v>34370.89</v>
          </cell>
          <cell r="AN206" t="str">
            <v>guilherme.almeida@mme.gov.br</v>
          </cell>
          <cell r="AO206" t="str">
            <v>(61) 2032-5383</v>
          </cell>
          <cell r="AP206" t="str">
            <v>CONJUR12</v>
          </cell>
        </row>
        <row r="207">
          <cell r="A207" t="str">
            <v>GUILHERME SILVA DE GODOI</v>
          </cell>
          <cell r="B207" t="str">
            <v>008.344.451-31</v>
          </cell>
          <cell r="C207">
            <v>3688550</v>
          </cell>
          <cell r="D207" t="str">
            <v>Analista de Infraestrutura</v>
          </cell>
          <cell r="E207" t="str">
            <v>Exercício Descentralizado</v>
          </cell>
          <cell r="F207" t="str">
            <v>ME - Ministério da Economia</v>
          </cell>
          <cell r="G207" t="str">
            <v>SEE / DEPARTAMENTO DE MONITORAMENTO DO SISTEMA ELÉTRICO - DMSE</v>
          </cell>
          <cell r="H207" t="str">
            <v>12.102.000</v>
          </cell>
          <cell r="I207" t="str">
            <v>Diretor do Departamento de Monitoramento do Sistema Elétrico</v>
          </cell>
          <cell r="J207" t="str">
            <v>DAS</v>
          </cell>
          <cell r="K207" t="str">
            <v>101.5</v>
          </cell>
          <cell r="L207" t="str">
            <v xml:space="preserve">Portaria nº </v>
          </cell>
          <cell r="M207">
            <v>570</v>
          </cell>
          <cell r="N207" t="str">
            <v>01/06/2018</v>
          </cell>
          <cell r="O207" t="str">
            <v>04/06/2018</v>
          </cell>
          <cell r="P207" t="str">
            <v>DOU</v>
          </cell>
          <cell r="Z207" t="str">
            <v>Sem designação</v>
          </cell>
          <cell r="AF207" t="str">
            <v>Masculino</v>
          </cell>
          <cell r="AG207" t="str">
            <v>Branca</v>
          </cell>
          <cell r="AH207" t="str">
            <v>15/06/1985</v>
          </cell>
          <cell r="AI207">
            <v>35</v>
          </cell>
          <cell r="AJ207">
            <v>8174.03</v>
          </cell>
          <cell r="AK207">
            <v>16205.8</v>
          </cell>
          <cell r="AL207" t="str">
            <v>FA</v>
          </cell>
          <cell r="AM207">
            <v>24379.829999999998</v>
          </cell>
          <cell r="AN207" t="str">
            <v>guilherme.godoi@mme.gov.br</v>
          </cell>
          <cell r="AO207" t="str">
            <v>(61) 2032-5925</v>
          </cell>
          <cell r="AP207" t="str">
            <v>SEE16</v>
          </cell>
        </row>
        <row r="208">
          <cell r="A208" t="str">
            <v>GUILHERME ZANETTI ROSA</v>
          </cell>
          <cell r="B208" t="str">
            <v>984.601.961-00</v>
          </cell>
          <cell r="C208">
            <v>2799234</v>
          </cell>
          <cell r="D208" t="str">
            <v>Analista de Infraestrutura</v>
          </cell>
          <cell r="E208" t="str">
            <v>Exercício Descentralizado</v>
          </cell>
          <cell r="F208" t="str">
            <v>ME - Ministério da Economia</v>
          </cell>
          <cell r="G208" t="str">
            <v>SPE / DPE / COORDENAÇÃO GERAL DE PLANEJAMENTO DA TRANSMISSÃO</v>
          </cell>
          <cell r="H208" t="str">
            <v>10.101.100</v>
          </cell>
          <cell r="I208" t="str">
            <v>Assessor Técnico do Departamento de Desenvolvimento Energético</v>
          </cell>
          <cell r="J208" t="str">
            <v>DAS</v>
          </cell>
          <cell r="K208" t="str">
            <v>102.3</v>
          </cell>
          <cell r="L208" t="str">
            <v xml:space="preserve">Portaria nº </v>
          </cell>
          <cell r="M208">
            <v>32</v>
          </cell>
          <cell r="N208" t="str">
            <v>29/01/2018</v>
          </cell>
          <cell r="O208" t="str">
            <v>30/01/2018</v>
          </cell>
          <cell r="P208" t="str">
            <v>DOU</v>
          </cell>
          <cell r="Z208" t="str">
            <v>Sem designação</v>
          </cell>
          <cell r="AF208" t="str">
            <v>Masculino</v>
          </cell>
          <cell r="AG208" t="str">
            <v>Parda</v>
          </cell>
          <cell r="AH208" t="str">
            <v>03/06/1985</v>
          </cell>
          <cell r="AI208">
            <v>35</v>
          </cell>
          <cell r="AJ208">
            <v>4536.3900000000003</v>
          </cell>
          <cell r="AK208">
            <v>16986.27</v>
          </cell>
          <cell r="AL208" t="str">
            <v>FA</v>
          </cell>
          <cell r="AM208">
            <v>21522.66</v>
          </cell>
          <cell r="AN208" t="str">
            <v>guilherme.rosa@mme.gov.br</v>
          </cell>
          <cell r="AO208" t="str">
            <v>(61) 2032-5892</v>
          </cell>
          <cell r="AP208" t="str">
            <v>SPE11</v>
          </cell>
        </row>
        <row r="209">
          <cell r="A209" t="str">
            <v>GUSTAVO CERQUEIRA ATAIDE</v>
          </cell>
          <cell r="B209" t="str">
            <v>688.277.921-04</v>
          </cell>
          <cell r="C209">
            <v>1653173</v>
          </cell>
          <cell r="D209" t="str">
            <v>Analista de Infraestrutura</v>
          </cell>
          <cell r="E209" t="str">
            <v>Requisitado de Órgãos</v>
          </cell>
          <cell r="F209" t="str">
            <v>ME - Ministério da Economia</v>
          </cell>
          <cell r="G209" t="str">
            <v>SPE / DEPARTAMENTO DE PLANEJAMENTO ENERGÉTICO - DPE</v>
          </cell>
          <cell r="H209" t="str">
            <v>10.101.000</v>
          </cell>
          <cell r="I209" t="str">
            <v>Assessor do Ministro</v>
          </cell>
          <cell r="J209" t="str">
            <v>DAS</v>
          </cell>
          <cell r="K209" t="str">
            <v>102.4</v>
          </cell>
          <cell r="L209" t="str">
            <v xml:space="preserve">Portaria nº </v>
          </cell>
          <cell r="M209">
            <v>366</v>
          </cell>
          <cell r="N209" t="str">
            <v>01/10/2020</v>
          </cell>
          <cell r="O209" t="str">
            <v>08/10/2020</v>
          </cell>
          <cell r="P209" t="str">
            <v>DOU</v>
          </cell>
          <cell r="Y209" t="str">
            <v>Coordenador Geral de Expansão Eletroenergética</v>
          </cell>
          <cell r="Z209" t="str">
            <v>Eventual</v>
          </cell>
          <cell r="AA209" t="str">
            <v xml:space="preserve">Portaria nº </v>
          </cell>
          <cell r="AB209">
            <v>381</v>
          </cell>
          <cell r="AC209" t="str">
            <v>21/10/2020</v>
          </cell>
          <cell r="AD209" t="str">
            <v>22/10/2020</v>
          </cell>
          <cell r="AE209" t="str">
            <v>DOU</v>
          </cell>
          <cell r="AF209" t="str">
            <v>Masculino</v>
          </cell>
          <cell r="AG209" t="str">
            <v>Branca</v>
          </cell>
          <cell r="AH209" t="str">
            <v>12/05/1987</v>
          </cell>
          <cell r="AI209">
            <v>33</v>
          </cell>
          <cell r="AJ209">
            <v>6223.98</v>
          </cell>
          <cell r="AK209">
            <v>15844.67</v>
          </cell>
          <cell r="AL209" t="str">
            <v>FA</v>
          </cell>
          <cell r="AM209">
            <v>22068.65</v>
          </cell>
          <cell r="AN209" t="str">
            <v>gustavo.ataide@mme.gov.br</v>
          </cell>
          <cell r="AO209" t="str">
            <v>(61) 2032-5432</v>
          </cell>
          <cell r="AP209" t="str">
            <v>GM46</v>
          </cell>
          <cell r="AQ209" t="str">
            <v>SPE06S</v>
          </cell>
        </row>
        <row r="210">
          <cell r="A210" t="str">
            <v>GUSTAVO LUIS DE SOUZA MOTTA</v>
          </cell>
          <cell r="B210" t="str">
            <v>819.128.701-34</v>
          </cell>
          <cell r="C210">
            <v>2983503</v>
          </cell>
          <cell r="D210" t="str">
            <v>Especialista em Política Pública e Gestão Governamental</v>
          </cell>
          <cell r="E210" t="str">
            <v>Exercício Descentralizado</v>
          </cell>
          <cell r="F210" t="str">
            <v>ME - Ministério da Economia</v>
          </cell>
          <cell r="G210" t="str">
            <v>SPG / DBIO / COORDENAÇÃO GERAL DE BIODIESEL E OUTROS BIOCOMBUSTÍVEIS</v>
          </cell>
          <cell r="H210" t="str">
            <v>11.104.100</v>
          </cell>
          <cell r="I210" t="str">
            <v>Assistente do Departamento de Biocombustíveis</v>
          </cell>
          <cell r="J210" t="str">
            <v>FCPE</v>
          </cell>
          <cell r="K210" t="str">
            <v>102.2</v>
          </cell>
          <cell r="L210" t="str">
            <v xml:space="preserve">Portaria nº </v>
          </cell>
          <cell r="M210">
            <v>318</v>
          </cell>
          <cell r="N210" t="str">
            <v>15/08/2019</v>
          </cell>
          <cell r="O210" t="str">
            <v>16/08/2019</v>
          </cell>
          <cell r="P210" t="str">
            <v>DOU</v>
          </cell>
          <cell r="Y210" t="str">
            <v>Departamento de Biocombustíveis</v>
          </cell>
          <cell r="Z210" t="str">
            <v>Eventual</v>
          </cell>
          <cell r="AA210" t="str">
            <v xml:space="preserve">Portaria nº </v>
          </cell>
          <cell r="AB210">
            <v>319</v>
          </cell>
          <cell r="AC210" t="str">
            <v>15/08/2019</v>
          </cell>
          <cell r="AD210" t="str">
            <v>16/08/2019</v>
          </cell>
          <cell r="AE210" t="str">
            <v>DOU</v>
          </cell>
          <cell r="AF210" t="str">
            <v>Masculino</v>
          </cell>
          <cell r="AG210" t="str">
            <v>Branca</v>
          </cell>
          <cell r="AH210" t="str">
            <v>31/08/1974</v>
          </cell>
          <cell r="AI210">
            <v>46</v>
          </cell>
          <cell r="AJ210">
            <v>2064.44</v>
          </cell>
          <cell r="AK210">
            <v>24188.33</v>
          </cell>
          <cell r="AL210" t="str">
            <v>FA</v>
          </cell>
          <cell r="AM210">
            <v>26252.77</v>
          </cell>
          <cell r="AN210" t="str">
            <v>gustavo.motta@mme.gov.br</v>
          </cell>
          <cell r="AO210" t="str">
            <v>(61) 2032-5973</v>
          </cell>
          <cell r="AP210" t="str">
            <v>SPG24</v>
          </cell>
          <cell r="AQ210" t="str">
            <v>SPG14S</v>
          </cell>
        </row>
        <row r="211">
          <cell r="A211" t="str">
            <v>GUSTAVO SANTOS MASILI</v>
          </cell>
          <cell r="B211" t="str">
            <v>288.639.138-70</v>
          </cell>
          <cell r="C211">
            <v>3663022</v>
          </cell>
          <cell r="D211" t="str">
            <v>Auditor Federal de Finanças e Controle</v>
          </cell>
          <cell r="E211" t="str">
            <v>Requisitado de Órgãos</v>
          </cell>
          <cell r="F211" t="str">
            <v>ME - Ministério da Economia</v>
          </cell>
          <cell r="G211" t="str">
            <v>SE / AEGP / COORDENAÇÃO GERAL DE PLANEJAMENTO, FINANÇAS E CONTROLE - CGPF</v>
          </cell>
          <cell r="H211" t="str">
            <v>8.103.100</v>
          </cell>
          <cell r="I211" t="str">
            <v>Coordenador Geral de Planejamento, Finanças e Controle da Assessoria Especial de Gestão de Projetos</v>
          </cell>
          <cell r="J211" t="str">
            <v>FCPE</v>
          </cell>
          <cell r="K211" t="str">
            <v>101.4</v>
          </cell>
          <cell r="L211" t="str">
            <v xml:space="preserve">Portaria nº </v>
          </cell>
          <cell r="M211">
            <v>544</v>
          </cell>
          <cell r="N211" t="str">
            <v>03/11/2016</v>
          </cell>
          <cell r="O211" t="str">
            <v>04/11/2016</v>
          </cell>
          <cell r="P211" t="str">
            <v>DOU</v>
          </cell>
          <cell r="Z211" t="str">
            <v>Sem designação</v>
          </cell>
          <cell r="AF211" t="str">
            <v>Masculino</v>
          </cell>
          <cell r="AG211" t="str">
            <v>Branca</v>
          </cell>
          <cell r="AH211" t="str">
            <v>03/12/1979</v>
          </cell>
          <cell r="AI211">
            <v>40</v>
          </cell>
          <cell r="AJ211">
            <v>6223.99</v>
          </cell>
          <cell r="AK211">
            <v>22389.59</v>
          </cell>
          <cell r="AL211" t="str">
            <v>FA</v>
          </cell>
          <cell r="AM211">
            <v>28613.58</v>
          </cell>
          <cell r="AN211" t="str">
            <v>gustavo.masili@mme.gov.br</v>
          </cell>
          <cell r="AO211" t="str">
            <v>(61) 2032-5017</v>
          </cell>
          <cell r="AP211" t="str">
            <v>SE31</v>
          </cell>
        </row>
        <row r="212">
          <cell r="A212" t="str">
            <v>HAILTON MADUREIRA DE ALMEIDA</v>
          </cell>
          <cell r="B212" t="str">
            <v>074.981.417-95</v>
          </cell>
          <cell r="C212">
            <v>1370766</v>
          </cell>
          <cell r="D212" t="str">
            <v>Auditor Federal de Finanças e Controle</v>
          </cell>
          <cell r="E212" t="str">
            <v>Requisitado de Órgãos</v>
          </cell>
          <cell r="F212" t="str">
            <v>ME - Ministério da Economia</v>
          </cell>
          <cell r="G212" t="str">
            <v>ASSESSORIA ESPECIAL DE ASSUNTOS ECONÔMICOS - ASSEC</v>
          </cell>
          <cell r="H212" t="str">
            <v>6.000.000</v>
          </cell>
          <cell r="I212" t="str">
            <v>Chefe da Assessoria Especial de Assuntos Econômicos</v>
          </cell>
          <cell r="J212" t="str">
            <v>DAS</v>
          </cell>
          <cell r="K212" t="str">
            <v>101.5</v>
          </cell>
          <cell r="L212" t="str">
            <v xml:space="preserve">Portaria nº </v>
          </cell>
          <cell r="M212">
            <v>322</v>
          </cell>
          <cell r="N212" t="str">
            <v>26/08/2020</v>
          </cell>
          <cell r="O212" t="str">
            <v>28/08/2020</v>
          </cell>
          <cell r="P212" t="str">
            <v>DOU</v>
          </cell>
          <cell r="Z212" t="str">
            <v>Sem designação</v>
          </cell>
          <cell r="AF212" t="str">
            <v>Masculino</v>
          </cell>
          <cell r="AG212" t="str">
            <v>Branca</v>
          </cell>
          <cell r="AH212" t="str">
            <v>03/01/1976</v>
          </cell>
          <cell r="AI212">
            <v>44</v>
          </cell>
          <cell r="AJ212">
            <v>6223.99</v>
          </cell>
          <cell r="AK212">
            <v>28365.11</v>
          </cell>
          <cell r="AL212" t="str">
            <v>FA</v>
          </cell>
          <cell r="AM212">
            <v>34589.1</v>
          </cell>
          <cell r="AN212" t="str">
            <v>hailton.almeida@mme.gov.br</v>
          </cell>
          <cell r="AO212" t="str">
            <v>(61) 2032-5893</v>
          </cell>
          <cell r="AP212" t="str">
            <v>ASSEC01</v>
          </cell>
        </row>
        <row r="213">
          <cell r="A213" t="str">
            <v>HAMILTON CHIARINI DE ALCÂNTARA</v>
          </cell>
          <cell r="B213" t="str">
            <v>054.818.991-91</v>
          </cell>
          <cell r="C213">
            <v>4499226</v>
          </cell>
          <cell r="D213" t="str">
            <v>Analista de Infraestrutura</v>
          </cell>
          <cell r="E213" t="str">
            <v>Exercício Descentralizado</v>
          </cell>
          <cell r="F213" t="str">
            <v>ME - Ministério da Economia</v>
          </cell>
          <cell r="G213" t="str">
            <v>SEE / DPUE / COORDENAÇÃO GERAL DE DESENVOLVIMENTO DE POLÍTICAS SOCIAIS</v>
          </cell>
          <cell r="H213" t="str">
            <v>12.103.100</v>
          </cell>
          <cell r="I213" t="str">
            <v>Função Gratificada</v>
          </cell>
          <cell r="J213" t="str">
            <v>FGR</v>
          </cell>
          <cell r="K213">
            <v>1</v>
          </cell>
          <cell r="L213" t="str">
            <v xml:space="preserve">Portaria nº </v>
          </cell>
          <cell r="M213">
            <v>356</v>
          </cell>
          <cell r="N213" t="str">
            <v>11/09/2019</v>
          </cell>
          <cell r="O213" t="str">
            <v>13/09/2019</v>
          </cell>
          <cell r="P213" t="str">
            <v>DOU</v>
          </cell>
          <cell r="Y213" t="str">
            <v>Coordenação Geral de Universalização do Acesso à Energia Elétrica</v>
          </cell>
          <cell r="Z213" t="str">
            <v>Eventual</v>
          </cell>
          <cell r="AA213" t="str">
            <v xml:space="preserve">Portaria nº </v>
          </cell>
          <cell r="AB213">
            <v>677</v>
          </cell>
          <cell r="AC213" t="str">
            <v>05/12/2016</v>
          </cell>
          <cell r="AD213" t="str">
            <v>06/12/2016</v>
          </cell>
          <cell r="AE213" t="str">
            <v>DOU</v>
          </cell>
          <cell r="AF213" t="str">
            <v>Masculino</v>
          </cell>
          <cell r="AG213" t="str">
            <v>Branca</v>
          </cell>
          <cell r="AH213" t="str">
            <v>16/02/1952</v>
          </cell>
          <cell r="AI213">
            <v>68</v>
          </cell>
          <cell r="AJ213">
            <v>3949.41</v>
          </cell>
          <cell r="AK213">
            <v>16205.8</v>
          </cell>
          <cell r="AL213" t="str">
            <v>FA</v>
          </cell>
          <cell r="AM213">
            <v>20155.21</v>
          </cell>
          <cell r="AN213" t="str">
            <v>hamilton.alcantara@mme.gov.br</v>
          </cell>
          <cell r="AO213" t="str">
            <v>(61) 2032-5375</v>
          </cell>
          <cell r="AQ213" t="str">
            <v>SEE16S</v>
          </cell>
        </row>
        <row r="214">
          <cell r="A214" t="str">
            <v>HELIO MAURO FRANCA</v>
          </cell>
          <cell r="B214" t="str">
            <v>116.605.701-15</v>
          </cell>
          <cell r="C214">
            <v>6439807</v>
          </cell>
          <cell r="D214" t="str">
            <v>Advogado I</v>
          </cell>
          <cell r="E214" t="str">
            <v>Anistiado MME</v>
          </cell>
          <cell r="F214" t="str">
            <v>MME - Ministério de Minas e Energia</v>
          </cell>
          <cell r="G214" t="str">
            <v>SGM / DEPARTAMENTO DE GESTÃO DAS POLÍTICAS DE GEOLOGIA, MINERAÇÃOE TRANSFORMAÇÃO - DPGM</v>
          </cell>
          <cell r="H214" t="str">
            <v>9.101.000</v>
          </cell>
          <cell r="Z214" t="str">
            <v>Sem designação</v>
          </cell>
          <cell r="AF214" t="str">
            <v>Masculino</v>
          </cell>
          <cell r="AG214" t="str">
            <v>Branca</v>
          </cell>
          <cell r="AH214" t="str">
            <v>20/04/1956</v>
          </cell>
          <cell r="AI214">
            <v>64</v>
          </cell>
          <cell r="AJ214">
            <v>8117.05</v>
          </cell>
          <cell r="AL214" t="str">
            <v>FA</v>
          </cell>
          <cell r="AM214">
            <v>8117.05</v>
          </cell>
          <cell r="AN214" t="str">
            <v>helio.franca@mme.gov.br</v>
          </cell>
          <cell r="AO214" t="str">
            <v>(61) 2032-5477</v>
          </cell>
        </row>
        <row r="215">
          <cell r="A215" t="str">
            <v>HELIO MOURINHO GARCIA JUNIOR</v>
          </cell>
          <cell r="B215" t="str">
            <v>434.241.047-87</v>
          </cell>
          <cell r="C215">
            <v>1243343</v>
          </cell>
          <cell r="D215" t="str">
            <v>Sem Cargo/Emprego</v>
          </cell>
          <cell r="E215" t="str">
            <v>Sem Vínculo</v>
          </cell>
          <cell r="F215" t="str">
            <v>Sem Vínculo</v>
          </cell>
          <cell r="G215" t="str">
            <v>SE / SUBSECRETARIA DE PLANEJAMENTO, ORÇAMENTO E ADMINISTRAÇÃO - SPOA</v>
          </cell>
          <cell r="H215" t="str">
            <v>8.105.000</v>
          </cell>
          <cell r="I215" t="str">
            <v>Subsecretário de Planejamento, Orçamento e Administração da Subsecretaria de Planejamento, Orçamento e Administração</v>
          </cell>
          <cell r="J215" t="str">
            <v>DAS</v>
          </cell>
          <cell r="K215" t="str">
            <v>101.5</v>
          </cell>
          <cell r="L215" t="str">
            <v xml:space="preserve">Portaria nº </v>
          </cell>
          <cell r="M215">
            <v>655</v>
          </cell>
          <cell r="N215" t="str">
            <v>17/01/2019</v>
          </cell>
          <cell r="O215" t="str">
            <v>18/01/2019</v>
          </cell>
          <cell r="P215" t="str">
            <v>DOU</v>
          </cell>
          <cell r="Z215" t="str">
            <v>Sem designação</v>
          </cell>
          <cell r="AF215" t="str">
            <v>Masculino</v>
          </cell>
          <cell r="AG215" t="str">
            <v>Branca</v>
          </cell>
          <cell r="AH215" t="str">
            <v>20/06/1958</v>
          </cell>
          <cell r="AI215">
            <v>62</v>
          </cell>
          <cell r="AJ215">
            <v>13623.39</v>
          </cell>
          <cell r="AL215" t="str">
            <v>FA</v>
          </cell>
          <cell r="AM215">
            <v>13623.39</v>
          </cell>
          <cell r="AN215" t="str">
            <v>helio.garcia@mme.gov.br</v>
          </cell>
          <cell r="AO215" t="str">
            <v>(61) 2032-5010</v>
          </cell>
          <cell r="AP215" t="str">
            <v>SE39</v>
          </cell>
        </row>
        <row r="216">
          <cell r="A216" t="str">
            <v>HELITON SABINO BRIGLIA FERREIRA</v>
          </cell>
          <cell r="B216" t="str">
            <v>926.642.021-20</v>
          </cell>
          <cell r="C216">
            <v>3139070</v>
          </cell>
          <cell r="D216" t="str">
            <v>Marinha</v>
          </cell>
          <cell r="E216" t="str">
            <v>Requisitado Militar</v>
          </cell>
          <cell r="F216" t="str">
            <v>Marinha</v>
          </cell>
          <cell r="G216" t="str">
            <v>SE / SPOA / COORDENAÇÃO GERAL DE TECNOLOGIA E INFORMAÇÃO - CGTI</v>
          </cell>
          <cell r="H216" t="str">
            <v>8.105.300</v>
          </cell>
          <cell r="I216" t="str">
            <v>Coordenador Geral de Tecnologia da Informação</v>
          </cell>
          <cell r="J216" t="str">
            <v>DAS</v>
          </cell>
          <cell r="K216" t="str">
            <v>101.4</v>
          </cell>
          <cell r="L216" t="str">
            <v xml:space="preserve">Portaria nº </v>
          </cell>
          <cell r="M216">
            <v>288</v>
          </cell>
          <cell r="N216" t="str">
            <v>19/07/2019</v>
          </cell>
          <cell r="O216" t="str">
            <v>22/07/2019</v>
          </cell>
          <cell r="P216" t="str">
            <v>DOU</v>
          </cell>
          <cell r="Z216" t="str">
            <v>Sem designação</v>
          </cell>
          <cell r="AF216" t="str">
            <v>Masculino</v>
          </cell>
          <cell r="AG216" t="str">
            <v>Parda</v>
          </cell>
          <cell r="AH216" t="str">
            <v>08/02/1982</v>
          </cell>
          <cell r="AI216">
            <v>38</v>
          </cell>
          <cell r="AJ216">
            <v>6223.98</v>
          </cell>
          <cell r="AK216">
            <v>11460.55</v>
          </cell>
          <cell r="AL216" t="str">
            <v>FA</v>
          </cell>
          <cell r="AM216">
            <v>17684.53</v>
          </cell>
          <cell r="AN216" t="str">
            <v>heliton.briglia@mme.gov.br</v>
          </cell>
          <cell r="AO216" t="str">
            <v>(61) 2032-5095</v>
          </cell>
          <cell r="AP216" t="str">
            <v>SE79</v>
          </cell>
        </row>
        <row r="217">
          <cell r="A217" t="str">
            <v>HÉLVIO NEVES GUERRA</v>
          </cell>
          <cell r="B217" t="str">
            <v>973.011.248-72</v>
          </cell>
          <cell r="C217">
            <v>399946</v>
          </cell>
          <cell r="D217" t="str">
            <v>Sem Cargo/Emprego</v>
          </cell>
          <cell r="E217" t="str">
            <v>Sem Vínculo</v>
          </cell>
          <cell r="F217" t="str">
            <v>Sem Vínculo</v>
          </cell>
          <cell r="G217" t="str">
            <v>SPE / CHEFIA DE GABINETE SPE</v>
          </cell>
          <cell r="H217" t="str">
            <v>10.100.000</v>
          </cell>
          <cell r="I217" t="str">
            <v>Secretário-Adjunto da Secretaria de Planejamento e Desenvolvimento Energético</v>
          </cell>
          <cell r="J217" t="str">
            <v>DAS</v>
          </cell>
          <cell r="K217" t="str">
            <v>101.5</v>
          </cell>
          <cell r="L217" t="str">
            <v xml:space="preserve">Portaria nº </v>
          </cell>
          <cell r="M217">
            <v>1402</v>
          </cell>
          <cell r="N217" t="str">
            <v>11/03/2019</v>
          </cell>
          <cell r="O217" t="str">
            <v>11/03/2019</v>
          </cell>
          <cell r="P217" t="str">
            <v>DOU</v>
          </cell>
          <cell r="Y217" t="str">
            <v>Secretário de Planejamento e Desenvolvimento Energético</v>
          </cell>
          <cell r="Z217" t="str">
            <v>Eventual</v>
          </cell>
          <cell r="AA217" t="str">
            <v xml:space="preserve">Portaria nº </v>
          </cell>
          <cell r="AB217" t="str">
            <v>108 - Anexo VIII, Art. 19, II do RI da SPE</v>
          </cell>
          <cell r="AC217" t="str">
            <v>14/03/2017</v>
          </cell>
          <cell r="AD217" t="str">
            <v>16/03/2017 - Ret. 17/03/2017</v>
          </cell>
          <cell r="AE217" t="str">
            <v>DOU</v>
          </cell>
          <cell r="AF217" t="str">
            <v>Masculino</v>
          </cell>
          <cell r="AG217" t="str">
            <v>Branca</v>
          </cell>
          <cell r="AH217" t="str">
            <v>01/06/1955</v>
          </cell>
          <cell r="AI217">
            <v>65</v>
          </cell>
          <cell r="AJ217">
            <v>13623.39</v>
          </cell>
          <cell r="AL217" t="str">
            <v>FA</v>
          </cell>
          <cell r="AM217">
            <v>13623.39</v>
          </cell>
          <cell r="AN217" t="str">
            <v>helvio.guerra@mme.gov.br</v>
          </cell>
          <cell r="AO217" t="str">
            <v>(61) 2032-5802</v>
          </cell>
          <cell r="AP217" t="str">
            <v>SPE02</v>
          </cell>
          <cell r="AQ217" t="str">
            <v>SPE01S</v>
          </cell>
        </row>
        <row r="218">
          <cell r="A218" t="str">
            <v>HENRIQUE LIBANIO PINHEIRO ROCHA</v>
          </cell>
          <cell r="B218" t="str">
            <v>981.373.361-68</v>
          </cell>
          <cell r="C218">
            <v>1995580</v>
          </cell>
          <cell r="D218" t="str">
            <v>Sem Cargo/Emprego</v>
          </cell>
          <cell r="E218" t="str">
            <v>Sem Vínculo</v>
          </cell>
          <cell r="F218" t="str">
            <v>Sem Vínculo</v>
          </cell>
          <cell r="G218" t="str">
            <v>SGM / DEPARTAMENTO DE DESENVOLVIMENTO SUSTENTÁVEL NA MINERAÇÃO - DDM</v>
          </cell>
          <cell r="H218" t="str">
            <v>9.104.000</v>
          </cell>
          <cell r="I218" t="str">
            <v>Assistente do Departamento de Desenvolvimento Sustentável na Mineração</v>
          </cell>
          <cell r="J218" t="str">
            <v>DAS</v>
          </cell>
          <cell r="K218" t="str">
            <v>102.2</v>
          </cell>
          <cell r="L218" t="str">
            <v xml:space="preserve">Portaria nº </v>
          </cell>
          <cell r="M218">
            <v>524</v>
          </cell>
          <cell r="N218" t="str">
            <v>03/11/2016</v>
          </cell>
          <cell r="O218" t="str">
            <v>04/11/2016</v>
          </cell>
          <cell r="P218" t="str">
            <v>BPE</v>
          </cell>
          <cell r="Z218" t="str">
            <v>Sem designação</v>
          </cell>
          <cell r="AF218" t="str">
            <v>Masculino</v>
          </cell>
          <cell r="AG218" t="str">
            <v>Branca</v>
          </cell>
          <cell r="AH218" t="str">
            <v>05/08/1982</v>
          </cell>
          <cell r="AI218">
            <v>38</v>
          </cell>
          <cell r="AJ218">
            <v>3440.75</v>
          </cell>
          <cell r="AL218" t="str">
            <v>FA</v>
          </cell>
          <cell r="AM218">
            <v>3440.75</v>
          </cell>
          <cell r="AN218" t="str">
            <v>henrique.rocha@mme.gov.br</v>
          </cell>
          <cell r="AO218" t="str">
            <v>(61) 2032-5173</v>
          </cell>
          <cell r="AP218" t="str">
            <v>SGM26</v>
          </cell>
        </row>
        <row r="219">
          <cell r="A219" t="str">
            <v>HENRYETTE PATRICE CRUZ</v>
          </cell>
          <cell r="B219" t="str">
            <v>634.936.831-20</v>
          </cell>
          <cell r="C219">
            <v>1280619</v>
          </cell>
          <cell r="D219" t="str">
            <v>Analista de Infraestrutura</v>
          </cell>
          <cell r="E219" t="str">
            <v>Exercício Descentralizado</v>
          </cell>
          <cell r="F219" t="str">
            <v>ME - Ministério da Economia</v>
          </cell>
          <cell r="G219" t="str">
            <v xml:space="preserve">SE / AESA / COORDENAÇÃO GERAL DE ARTICULAÇÃO INSTITUCIONAL EM MEIO AMBIENTE - </v>
          </cell>
          <cell r="H219" t="str">
            <v>8.104.200</v>
          </cell>
          <cell r="Z219" t="str">
            <v>Sem designação</v>
          </cell>
          <cell r="AF219" t="str">
            <v>Feminino</v>
          </cell>
          <cell r="AG219" t="str">
            <v>Branca</v>
          </cell>
          <cell r="AH219" t="str">
            <v>01/01/1974</v>
          </cell>
          <cell r="AI219">
            <v>46</v>
          </cell>
          <cell r="AJ219">
            <v>0</v>
          </cell>
          <cell r="AK219">
            <v>14503.55</v>
          </cell>
          <cell r="AL219" t="str">
            <v>FA</v>
          </cell>
          <cell r="AM219">
            <v>14503.55</v>
          </cell>
          <cell r="AN219" t="str">
            <v>henryette.cruz@mme.gov.br</v>
          </cell>
          <cell r="AO219" t="str">
            <v>(61) 2032-5916</v>
          </cell>
        </row>
        <row r="220">
          <cell r="A220" t="str">
            <v>HILDETE DE NAZARE CORREA KUBOTA</v>
          </cell>
          <cell r="B220" t="str">
            <v>268.709.081-68</v>
          </cell>
          <cell r="C220">
            <v>1670470</v>
          </cell>
          <cell r="D220" t="str">
            <v>Datilógrafo</v>
          </cell>
          <cell r="E220" t="str">
            <v>Anistiado MME</v>
          </cell>
          <cell r="F220" t="str">
            <v>MME - Ministério de Minas e Energia</v>
          </cell>
          <cell r="G220" t="str">
            <v>SE / SPOA / CGRH / COORDENAÇÃO DE DESENVOLVIMENTO E SEGURIDADE SOCIAL - CODES</v>
          </cell>
          <cell r="H220" t="str">
            <v>8.105.220</v>
          </cell>
          <cell r="Z220" t="str">
            <v>Sem designação</v>
          </cell>
          <cell r="AF220" t="str">
            <v>Feminino</v>
          </cell>
          <cell r="AG220" t="str">
            <v>Branca</v>
          </cell>
          <cell r="AH220" t="str">
            <v>08/10/1961</v>
          </cell>
          <cell r="AI220">
            <v>59</v>
          </cell>
          <cell r="AJ220">
            <v>3268.41</v>
          </cell>
          <cell r="AL220" t="str">
            <v>FA</v>
          </cell>
          <cell r="AM220">
            <v>3268.41</v>
          </cell>
          <cell r="AN220" t="str">
            <v>hildete.kubota@mme.gov.br</v>
          </cell>
          <cell r="AO220" t="str">
            <v>(61) 2032-5198</v>
          </cell>
        </row>
        <row r="221">
          <cell r="A221" t="str">
            <v>HIRAM COSTA BOTELHO</v>
          </cell>
          <cell r="B221" t="str">
            <v>221.797.471-87</v>
          </cell>
          <cell r="C221">
            <v>451570</v>
          </cell>
          <cell r="D221" t="str">
            <v>Agente Administrativo</v>
          </cell>
          <cell r="E221" t="str">
            <v>Ativo Permanente</v>
          </cell>
          <cell r="F221" t="str">
            <v>MME - Ministério de Minas e Energia</v>
          </cell>
          <cell r="G221" t="str">
            <v xml:space="preserve">SE / SPOA / CGTI / COORDENAÇÃO DE INFRAESTRUTURA TECNOLÓGICA - </v>
          </cell>
          <cell r="H221" t="str">
            <v>8.105.310</v>
          </cell>
          <cell r="I221" t="str">
            <v>Função Comissionada Técnica - Técnico de Sistemas Operacionais e Administrativos</v>
          </cell>
          <cell r="J221" t="str">
            <v>FCT</v>
          </cell>
          <cell r="K221">
            <v>10</v>
          </cell>
          <cell r="L221" t="str">
            <v xml:space="preserve">Portaria nº </v>
          </cell>
          <cell r="M221">
            <v>152</v>
          </cell>
          <cell r="N221" t="str">
            <v>06/04/2020</v>
          </cell>
          <cell r="O221" t="str">
            <v>13/04/2020</v>
          </cell>
          <cell r="P221" t="str">
            <v>DOU</v>
          </cell>
          <cell r="Q221" t="str">
            <v>GSISTE</v>
          </cell>
          <cell r="R221" t="str">
            <v>Intermediário</v>
          </cell>
          <cell r="S221" t="str">
            <v>SPO - Sistema de Planejamento e Orçamento Federal</v>
          </cell>
          <cell r="T221" t="str">
            <v xml:space="preserve">Portaria nº </v>
          </cell>
          <cell r="U221">
            <v>55</v>
          </cell>
          <cell r="V221" t="str">
            <v>15/05/2018</v>
          </cell>
          <cell r="W221" t="str">
            <v>15/05/2018</v>
          </cell>
          <cell r="X221" t="str">
            <v>BPE</v>
          </cell>
          <cell r="Y221" t="str">
            <v>Coordenação de Tecnologia de Sistemas de Informação / Coordenador Geral de Tecnologica da Informação</v>
          </cell>
          <cell r="Z221" t="str">
            <v>Pessoal</v>
          </cell>
          <cell r="AA221" t="str">
            <v xml:space="preserve">Portaria nº </v>
          </cell>
          <cell r="AB221">
            <v>138</v>
          </cell>
          <cell r="AC221" t="str">
            <v>29/03/2020</v>
          </cell>
          <cell r="AD221" t="str">
            <v>31/03/2020</v>
          </cell>
          <cell r="AE221" t="str">
            <v>DOU</v>
          </cell>
          <cell r="AF221" t="str">
            <v>Masculino</v>
          </cell>
          <cell r="AG221" t="str">
            <v>Parda</v>
          </cell>
          <cell r="AH221" t="str">
            <v>16/07/1960</v>
          </cell>
          <cell r="AI221">
            <v>60</v>
          </cell>
          <cell r="AJ221">
            <v>8071.87</v>
          </cell>
          <cell r="AL221" t="str">
            <v>FA</v>
          </cell>
          <cell r="AM221">
            <v>8071.87</v>
          </cell>
          <cell r="AN221" t="str">
            <v>hiram@mme.gov.br</v>
          </cell>
          <cell r="AO221" t="str">
            <v>(61) 2032-5052</v>
          </cell>
          <cell r="AQ221" t="str">
            <v>SE47S</v>
          </cell>
        </row>
        <row r="222">
          <cell r="A222" t="str">
            <v>HISAO FUJIMOTO</v>
          </cell>
          <cell r="B222" t="str">
            <v>101.661.731-34</v>
          </cell>
          <cell r="C222">
            <v>1314219</v>
          </cell>
          <cell r="D222" t="str">
            <v>Analista de Sistema</v>
          </cell>
          <cell r="E222" t="str">
            <v>Ativo Permanente</v>
          </cell>
          <cell r="F222" t="str">
            <v>MME - Ministério de Minas e Energia</v>
          </cell>
          <cell r="G222" t="str">
            <v xml:space="preserve">SE / SPOA / CGTI / COORDENAÇÃO DE INFRAESTRUTURA TECNOLÓGICA - </v>
          </cell>
          <cell r="H222" t="str">
            <v>8.105.310</v>
          </cell>
          <cell r="I222" t="str">
            <v>Função Gratificada</v>
          </cell>
          <cell r="J222" t="str">
            <v>FGR</v>
          </cell>
          <cell r="K222">
            <v>1</v>
          </cell>
          <cell r="L222" t="str">
            <v xml:space="preserve">Portaria nº </v>
          </cell>
          <cell r="M222">
            <v>37</v>
          </cell>
          <cell r="N222" t="str">
            <v>02/02/2017</v>
          </cell>
          <cell r="O222" t="str">
            <v>06/02/2017</v>
          </cell>
          <cell r="P222" t="str">
            <v>DOU</v>
          </cell>
          <cell r="Q222" t="str">
            <v>GSISTE</v>
          </cell>
          <cell r="R222" t="str">
            <v>Superior</v>
          </cell>
          <cell r="S222" t="str">
            <v>SISG - Sistema de Serviços Gerais</v>
          </cell>
          <cell r="T222" t="str">
            <v xml:space="preserve">Portaria nº </v>
          </cell>
          <cell r="U222">
            <v>69</v>
          </cell>
          <cell r="V222" t="str">
            <v>14/07/2001</v>
          </cell>
          <cell r="W222" t="str">
            <v>15/07/2001</v>
          </cell>
          <cell r="X222" t="str">
            <v>BP</v>
          </cell>
          <cell r="Z222" t="str">
            <v>Sem designação</v>
          </cell>
          <cell r="AF222" t="str">
            <v>Masculino</v>
          </cell>
          <cell r="AG222" t="str">
            <v>Amarela</v>
          </cell>
          <cell r="AH222" t="str">
            <v>30/04/1954</v>
          </cell>
          <cell r="AI222">
            <v>66</v>
          </cell>
          <cell r="AJ222">
            <v>14230.33</v>
          </cell>
          <cell r="AL222" t="str">
            <v>FA</v>
          </cell>
          <cell r="AM222">
            <v>14230.33</v>
          </cell>
          <cell r="AN222" t="str">
            <v>hisaofujimoto@mme.gov.br</v>
          </cell>
          <cell r="AO222" t="str">
            <v>(61) 2032-5186</v>
          </cell>
        </row>
        <row r="223">
          <cell r="A223" t="str">
            <v>IARA LEMOS GIANI</v>
          </cell>
          <cell r="B223" t="str">
            <v>281.823.241-49</v>
          </cell>
          <cell r="C223">
            <v>3610351</v>
          </cell>
          <cell r="D223" t="str">
            <v>Sem Cargo/Emprego</v>
          </cell>
          <cell r="E223" t="str">
            <v>Sem Vínculo</v>
          </cell>
          <cell r="F223" t="str">
            <v>Sem Vínculo</v>
          </cell>
          <cell r="G223" t="str">
            <v>SE / SPOA / COORDENAÇÃO GERAL DE COMPRAS E CONTRATOS - CGCC</v>
          </cell>
          <cell r="H223" t="str">
            <v>8.105.400</v>
          </cell>
          <cell r="I223" t="str">
            <v>Coordenadora Geral de Compras e Contratos</v>
          </cell>
          <cell r="J223" t="str">
            <v>DAS</v>
          </cell>
          <cell r="K223" t="str">
            <v>101.4</v>
          </cell>
          <cell r="L223" t="str">
            <v xml:space="preserve">Portaria nº </v>
          </cell>
          <cell r="M223">
            <v>524</v>
          </cell>
          <cell r="N223" t="str">
            <v>03/11/2016</v>
          </cell>
          <cell r="O223" t="str">
            <v>04/11/2016</v>
          </cell>
          <cell r="P223" t="str">
            <v>BPE</v>
          </cell>
          <cell r="Z223" t="str">
            <v>Sem designação</v>
          </cell>
          <cell r="AF223" t="str">
            <v>Feminino</v>
          </cell>
          <cell r="AG223" t="str">
            <v>Branca</v>
          </cell>
          <cell r="AH223" t="str">
            <v>09/03/1963</v>
          </cell>
          <cell r="AI223">
            <v>57</v>
          </cell>
          <cell r="AJ223">
            <v>10373.299999999999</v>
          </cell>
          <cell r="AL223" t="str">
            <v>FA</v>
          </cell>
          <cell r="AM223">
            <v>10373.299999999999</v>
          </cell>
          <cell r="AN223" t="str">
            <v>iara.giani@mme.gov.br</v>
          </cell>
          <cell r="AO223" t="str">
            <v>(61) 2032-5108</v>
          </cell>
          <cell r="AP223" t="str">
            <v>SE84</v>
          </cell>
        </row>
        <row r="224">
          <cell r="A224" t="str">
            <v>IDALBA MARIA MENEZES DA COSTA</v>
          </cell>
          <cell r="B224" t="str">
            <v>245.645.081-72</v>
          </cell>
          <cell r="C224">
            <v>1589336</v>
          </cell>
          <cell r="D224" t="str">
            <v>Escriturário</v>
          </cell>
          <cell r="E224" t="str">
            <v>Anistiado MME</v>
          </cell>
          <cell r="F224" t="str">
            <v>MME - Ministério de Minas e Energia</v>
          </cell>
          <cell r="G224" t="str">
            <v>SE / SPOA / COORDENAÇÃO GERAL DE RECURSOS HUMANOS - CGRH</v>
          </cell>
          <cell r="H224" t="str">
            <v>8.105.200</v>
          </cell>
          <cell r="Z224" t="str">
            <v>Sem designação</v>
          </cell>
          <cell r="AF224" t="str">
            <v>Feminino</v>
          </cell>
          <cell r="AG224" t="str">
            <v>Parda</v>
          </cell>
          <cell r="AH224" t="str">
            <v>21/12/1947</v>
          </cell>
          <cell r="AI224">
            <v>72</v>
          </cell>
          <cell r="AJ224">
            <v>3268.41</v>
          </cell>
          <cell r="AL224" t="str">
            <v>FA</v>
          </cell>
          <cell r="AM224">
            <v>3268.41</v>
          </cell>
          <cell r="AN224" t="str">
            <v>idalba.costa@mme.gov.br</v>
          </cell>
          <cell r="AO224" t="str">
            <v>(61) 2032-5168</v>
          </cell>
        </row>
        <row r="225">
          <cell r="A225" t="str">
            <v>IELAYNE MARIA DA SILVA</v>
          </cell>
          <cell r="B225" t="str">
            <v>019.434.061-97</v>
          </cell>
          <cell r="C225">
            <v>2412287</v>
          </cell>
          <cell r="D225" t="str">
            <v>Sem Cargo/Emprego</v>
          </cell>
          <cell r="E225" t="str">
            <v>Sem Vínculo</v>
          </cell>
          <cell r="F225" t="str">
            <v>Sem Vínculo</v>
          </cell>
          <cell r="G225" t="str">
            <v>SE / SPOA / CGRL / COORDENAÇÃO DE ATIVIDADES GERAIS - COAGE</v>
          </cell>
          <cell r="H225" t="str">
            <v>8.105.120</v>
          </cell>
          <cell r="I225" t="str">
            <v xml:space="preserve">Assistente Técnico da Coordenação de Atividades Gerais </v>
          </cell>
          <cell r="J225" t="str">
            <v>DAS</v>
          </cell>
          <cell r="K225" t="str">
            <v>102.1</v>
          </cell>
          <cell r="L225" t="str">
            <v xml:space="preserve">Portaria nº </v>
          </cell>
          <cell r="M225">
            <v>300</v>
          </cell>
          <cell r="N225" t="str">
            <v>04/08/2017</v>
          </cell>
          <cell r="O225" t="str">
            <v>08/08/2017</v>
          </cell>
          <cell r="P225" t="str">
            <v>DOU</v>
          </cell>
          <cell r="Z225" t="str">
            <v>Sem designação</v>
          </cell>
          <cell r="AF225" t="str">
            <v>Feminino</v>
          </cell>
          <cell r="AG225" t="str">
            <v>Branca</v>
          </cell>
          <cell r="AH225" t="str">
            <v>16/06/1986</v>
          </cell>
          <cell r="AI225">
            <v>34</v>
          </cell>
          <cell r="AJ225">
            <v>2701.46</v>
          </cell>
          <cell r="AL225" t="str">
            <v>FA</v>
          </cell>
          <cell r="AM225">
            <v>2701.46</v>
          </cell>
          <cell r="AN225" t="str">
            <v>ielayne.silva@mme.gov.br</v>
          </cell>
          <cell r="AO225" t="str">
            <v>(61) 2032-5503</v>
          </cell>
          <cell r="AP225" t="str">
            <v>SE59</v>
          </cell>
        </row>
        <row r="226">
          <cell r="A226" t="str">
            <v>IGOR SOUZA RIBEIRO</v>
          </cell>
          <cell r="B226" t="str">
            <v>033.151.735-32</v>
          </cell>
          <cell r="C226">
            <v>2974574</v>
          </cell>
          <cell r="D226" t="str">
            <v>Analista de Infraestrutura</v>
          </cell>
          <cell r="E226" t="str">
            <v>Exercício Descentralizado</v>
          </cell>
          <cell r="F226" t="str">
            <v>ME - Ministério da Economia</v>
          </cell>
          <cell r="G226" t="str">
            <v>SEE / DMSE / COORDENAÇÃO GERAL DE MONITORAMENTO DO DESEMPENHO DO SISTEMA ELÉTRICO</v>
          </cell>
          <cell r="H226" t="str">
            <v>12.102.400</v>
          </cell>
          <cell r="I226" t="str">
            <v>Coordenador Geral de Monitoramento do Desempenho do Sistema Elétrico do Departamento de Monitoramento do Sistema Elétrico</v>
          </cell>
          <cell r="J226" t="str">
            <v>FCPE</v>
          </cell>
          <cell r="K226" t="str">
            <v>101.4</v>
          </cell>
          <cell r="L226" t="str">
            <v xml:space="preserve">Portaria nº </v>
          </cell>
          <cell r="M226">
            <v>218</v>
          </cell>
          <cell r="N226" t="str">
            <v>04/06/2018</v>
          </cell>
          <cell r="O226" t="str">
            <v>06/06/2018</v>
          </cell>
          <cell r="P226" t="str">
            <v>DOU</v>
          </cell>
          <cell r="Y226" t="str">
            <v>Diretor do Depto de Monit. Do Sist Elétrico</v>
          </cell>
          <cell r="Z226" t="str">
            <v>Eventual</v>
          </cell>
          <cell r="AA226" t="str">
            <v xml:space="preserve">Portaria nº </v>
          </cell>
          <cell r="AB226">
            <v>224</v>
          </cell>
          <cell r="AC226" t="str">
            <v>27/05/2020</v>
          </cell>
          <cell r="AD226" t="str">
            <v>02/06/2020</v>
          </cell>
          <cell r="AE226" t="str">
            <v>DOU</v>
          </cell>
          <cell r="AF226" t="str">
            <v>Masculino</v>
          </cell>
          <cell r="AG226" t="str">
            <v>Parda</v>
          </cell>
          <cell r="AH226" t="str">
            <v>20/04/1989</v>
          </cell>
          <cell r="AI226">
            <v>31</v>
          </cell>
          <cell r="AJ226">
            <v>6223.99</v>
          </cell>
          <cell r="AK226">
            <v>14823.28</v>
          </cell>
          <cell r="AL226" t="str">
            <v>FA</v>
          </cell>
          <cell r="AM226">
            <v>21047.27</v>
          </cell>
          <cell r="AN226" t="str">
            <v>igor.ribeiro@mme.gov.br</v>
          </cell>
          <cell r="AO226" t="str">
            <v>(61) 2032-5042</v>
          </cell>
          <cell r="AP226" t="str">
            <v>SEE25</v>
          </cell>
          <cell r="AQ226" t="str">
            <v>SEE07S</v>
          </cell>
        </row>
        <row r="227">
          <cell r="A227" t="str">
            <v>INA LUCIA CIPRIANO DE OLIVEIRA</v>
          </cell>
          <cell r="B227" t="str">
            <v>802.816.727-68</v>
          </cell>
          <cell r="C227">
            <v>1526188</v>
          </cell>
          <cell r="D227" t="str">
            <v>Marinha</v>
          </cell>
          <cell r="E227" t="str">
            <v>Requisitado Militar</v>
          </cell>
          <cell r="F227" t="str">
            <v>Marinha</v>
          </cell>
          <cell r="G227" t="str">
            <v>GABINETE DO MINISTRO - GM</v>
          </cell>
          <cell r="H227" t="str">
            <v>2.000.000</v>
          </cell>
          <cell r="I227" t="str">
            <v>Assessora da Assessoria Especial de Assuntos Econômicos</v>
          </cell>
          <cell r="J227" t="str">
            <v>DAS</v>
          </cell>
          <cell r="K227" t="str">
            <v>102.4</v>
          </cell>
          <cell r="L227" t="str">
            <v xml:space="preserve">Portaria nº </v>
          </cell>
          <cell r="M227">
            <v>162</v>
          </cell>
          <cell r="N227" t="str">
            <v>11/03/2019</v>
          </cell>
          <cell r="O227" t="str">
            <v>15/03/2019</v>
          </cell>
          <cell r="P227" t="str">
            <v>DOU</v>
          </cell>
          <cell r="Z227" t="str">
            <v>Sem designação</v>
          </cell>
          <cell r="AF227" t="str">
            <v>Feminino</v>
          </cell>
          <cell r="AG227" t="str">
            <v>Preta</v>
          </cell>
          <cell r="AH227" t="str">
            <v>22/10/1964</v>
          </cell>
          <cell r="AI227">
            <v>56</v>
          </cell>
          <cell r="AJ227">
            <v>6223.98</v>
          </cell>
          <cell r="AK227">
            <v>10672.37</v>
          </cell>
          <cell r="AL227" t="str">
            <v>FA</v>
          </cell>
          <cell r="AM227">
            <v>16896.349999999999</v>
          </cell>
          <cell r="AN227" t="str">
            <v>ina.lucia@mme.gov.br</v>
          </cell>
          <cell r="AO227" t="str">
            <v>(61) 2032-5046</v>
          </cell>
          <cell r="AP227" t="str">
            <v>ASSEC06</v>
          </cell>
        </row>
        <row r="228">
          <cell r="A228" t="str">
            <v>INGRID PALMA ARAUJO</v>
          </cell>
          <cell r="B228" t="str">
            <v>903.270.041-34</v>
          </cell>
          <cell r="C228">
            <v>1636863</v>
          </cell>
          <cell r="D228" t="str">
            <v>Analista em Tecnologia da Informação</v>
          </cell>
          <cell r="E228" t="str">
            <v>Requisitado de Órgãos</v>
          </cell>
          <cell r="F228" t="str">
            <v>ME - Ministério da Economia</v>
          </cell>
          <cell r="G228" t="str">
            <v>ASSESSORIA ESPECIAL DE CONTROLE INTERNO - AECI</v>
          </cell>
          <cell r="H228" t="str">
            <v>5.000.000</v>
          </cell>
          <cell r="I228" t="str">
            <v>Assessora da Assessoria Especial de Controle Interno</v>
          </cell>
          <cell r="J228" t="str">
            <v>FCPE</v>
          </cell>
          <cell r="K228" t="str">
            <v>102.4</v>
          </cell>
          <cell r="L228" t="str">
            <v xml:space="preserve">Portaria nº </v>
          </cell>
          <cell r="M228">
            <v>524</v>
          </cell>
          <cell r="N228" t="str">
            <v>03/11/2016</v>
          </cell>
          <cell r="O228" t="str">
            <v>04/11/2016</v>
          </cell>
          <cell r="P228" t="str">
            <v>BPE</v>
          </cell>
          <cell r="Y228" t="str">
            <v>Chefe da AECI</v>
          </cell>
          <cell r="Z228" t="str">
            <v>Eventual</v>
          </cell>
          <cell r="AA228" t="str">
            <v xml:space="preserve">Portaria nº </v>
          </cell>
          <cell r="AB228">
            <v>638</v>
          </cell>
          <cell r="AC228" t="str">
            <v>23/11/2016</v>
          </cell>
          <cell r="AD228" t="str">
            <v>24/11/2016</v>
          </cell>
          <cell r="AE228" t="str">
            <v>DOU</v>
          </cell>
          <cell r="AF228" t="str">
            <v>Feminino</v>
          </cell>
          <cell r="AG228" t="str">
            <v>Parda</v>
          </cell>
          <cell r="AH228" t="str">
            <v>28/09/1980</v>
          </cell>
          <cell r="AI228">
            <v>40</v>
          </cell>
          <cell r="AJ228">
            <v>6223.99</v>
          </cell>
          <cell r="AK228">
            <v>6734.93</v>
          </cell>
          <cell r="AL228" t="str">
            <v>FA</v>
          </cell>
          <cell r="AM228">
            <v>12958.92</v>
          </cell>
          <cell r="AN228" t="str">
            <v>ingrid.araujo@mme.gov.br</v>
          </cell>
          <cell r="AO228" t="str">
            <v>(61) 2032-5274</v>
          </cell>
          <cell r="AP228" t="str">
            <v>AECI02</v>
          </cell>
          <cell r="AQ228" t="str">
            <v>AECI01S</v>
          </cell>
        </row>
        <row r="229">
          <cell r="A229" t="str">
            <v>IRACI BATISTA AGUIAR</v>
          </cell>
          <cell r="B229" t="str">
            <v>127.339.381-34</v>
          </cell>
          <cell r="C229">
            <v>7450943</v>
          </cell>
          <cell r="D229" t="str">
            <v>Secretária Executiva A</v>
          </cell>
          <cell r="E229" t="str">
            <v>Anistiado MME</v>
          </cell>
          <cell r="F229" t="str">
            <v>MME - Ministério de Minas e Energia</v>
          </cell>
          <cell r="G229" t="str">
            <v>SE / SPOA / COORDENAÇÃO GERAL DE RECURSOS HUMANOS - CGRH</v>
          </cell>
          <cell r="H229" t="str">
            <v>8.105.200</v>
          </cell>
          <cell r="Z229" t="str">
            <v>Sem designação</v>
          </cell>
          <cell r="AF229" t="str">
            <v>Feminino</v>
          </cell>
          <cell r="AG229" t="str">
            <v>Parda</v>
          </cell>
          <cell r="AH229" t="str">
            <v>04/05/1953</v>
          </cell>
          <cell r="AI229">
            <v>67</v>
          </cell>
          <cell r="AJ229">
            <v>3268.41</v>
          </cell>
          <cell r="AL229" t="str">
            <v>FA</v>
          </cell>
          <cell r="AM229">
            <v>3268.41</v>
          </cell>
          <cell r="AN229" t="str">
            <v>Iracilucas@mme.gov.br</v>
          </cell>
          <cell r="AO229" t="str">
            <v>(61) 2032-5961</v>
          </cell>
        </row>
        <row r="230">
          <cell r="A230" t="str">
            <v>ISAAC PINTO AVERBUCH</v>
          </cell>
          <cell r="B230" t="str">
            <v>264.530.884-87</v>
          </cell>
          <cell r="C230">
            <v>4207140</v>
          </cell>
          <cell r="D230" t="str">
            <v>Especialista em Política Pública e Gestão Governamental</v>
          </cell>
          <cell r="E230" t="str">
            <v>Exercício Descentralizado</v>
          </cell>
          <cell r="F230" t="str">
            <v>ME - Ministério da Economia</v>
          </cell>
          <cell r="G230" t="str">
            <v>SEE / DMSE / COORDENAÇÃO GERAL DE MONITORAMENTO DO DESEMPENHO DO SISTEMA ELÉTRICO</v>
          </cell>
          <cell r="H230" t="str">
            <v>12.102.400</v>
          </cell>
          <cell r="I230" t="str">
            <v>Gerente de Projeto</v>
          </cell>
          <cell r="J230" t="str">
            <v>DAS</v>
          </cell>
          <cell r="K230" t="str">
            <v>101.4</v>
          </cell>
          <cell r="L230" t="str">
            <v xml:space="preserve">Portaria nº </v>
          </cell>
          <cell r="M230">
            <v>227</v>
          </cell>
          <cell r="N230" t="str">
            <v>29/05/2020</v>
          </cell>
          <cell r="O230" t="str">
            <v>02/06/2020</v>
          </cell>
          <cell r="P230" t="str">
            <v>DOU</v>
          </cell>
          <cell r="Z230" t="str">
            <v>Sem designação</v>
          </cell>
          <cell r="AF230" t="str">
            <v>Masculino</v>
          </cell>
          <cell r="AG230" t="str">
            <v>Branca</v>
          </cell>
          <cell r="AH230" t="str">
            <v>09/05/1960</v>
          </cell>
          <cell r="AI230">
            <v>60</v>
          </cell>
          <cell r="AJ230">
            <v>3411.34</v>
          </cell>
          <cell r="AK230">
            <v>30838.33</v>
          </cell>
          <cell r="AL230" t="str">
            <v>FA</v>
          </cell>
          <cell r="AM230">
            <v>34249.67</v>
          </cell>
          <cell r="AN230" t="str">
            <v>isaac.averbuch@mme.gov.br</v>
          </cell>
          <cell r="AO230" t="str">
            <v>(61) 2032-5415</v>
          </cell>
          <cell r="AP230" t="str">
            <v>SEE26</v>
          </cell>
        </row>
        <row r="231">
          <cell r="A231" t="str">
            <v>IVAN VITORIO FORESTI</v>
          </cell>
          <cell r="B231" t="str">
            <v>001.607.846-20</v>
          </cell>
          <cell r="C231">
            <v>1886597</v>
          </cell>
          <cell r="D231" t="str">
            <v>Contador</v>
          </cell>
          <cell r="E231" t="str">
            <v>Anistiado MME</v>
          </cell>
          <cell r="F231" t="str">
            <v>MME - Ministério de Minas e Energia</v>
          </cell>
          <cell r="G231" t="str">
            <v>Aguardando Lotação/Exercício</v>
          </cell>
          <cell r="H231" t="str">
            <v>88.000.000</v>
          </cell>
          <cell r="Z231" t="str">
            <v>Sem designação</v>
          </cell>
          <cell r="AF231" t="str">
            <v>Masculino</v>
          </cell>
          <cell r="AG231" t="str">
            <v>Branca</v>
          </cell>
          <cell r="AH231" t="str">
            <v>25/06/1935</v>
          </cell>
          <cell r="AI231">
            <v>85</v>
          </cell>
          <cell r="AJ231">
            <v>0</v>
          </cell>
          <cell r="AL231" t="str">
            <v>FA</v>
          </cell>
          <cell r="AM231">
            <v>0</v>
          </cell>
        </row>
        <row r="232">
          <cell r="A232" t="str">
            <v>IVONETE FIGUEIREDO PINTO</v>
          </cell>
          <cell r="B232" t="str">
            <v>297.612.041-20</v>
          </cell>
          <cell r="C232">
            <v>452085</v>
          </cell>
          <cell r="D232" t="str">
            <v>Agente de Portaria</v>
          </cell>
          <cell r="E232" t="str">
            <v>Ativo Permanente</v>
          </cell>
          <cell r="F232" t="str">
            <v>MME - Ministério de Minas e Energia</v>
          </cell>
          <cell r="G232" t="str">
            <v>GM / ASTAD / COORDENAÇÃO DE ATIVIDADES ADMINISTRATIVAS</v>
          </cell>
          <cell r="H232" t="str">
            <v>2.100.101</v>
          </cell>
          <cell r="I232" t="str">
            <v>Função Comissionada Técnica - Técnico de Sistemas Operacionais e Administrativos</v>
          </cell>
          <cell r="J232" t="str">
            <v>FCT</v>
          </cell>
          <cell r="K232">
            <v>10</v>
          </cell>
          <cell r="L232" t="str">
            <v xml:space="preserve">Portaria nº </v>
          </cell>
          <cell r="M232">
            <v>441</v>
          </cell>
          <cell r="N232" t="str">
            <v>22/12/2004</v>
          </cell>
          <cell r="O232" t="str">
            <v>24/12/2004</v>
          </cell>
          <cell r="P232" t="str">
            <v>DOU</v>
          </cell>
          <cell r="Z232" t="str">
            <v>Sem designação</v>
          </cell>
          <cell r="AF232" t="str">
            <v>Feminino</v>
          </cell>
          <cell r="AG232" t="str">
            <v>Parda</v>
          </cell>
          <cell r="AH232" t="str">
            <v>18/12/1961</v>
          </cell>
          <cell r="AI232">
            <v>58</v>
          </cell>
          <cell r="AJ232">
            <v>6303.93</v>
          </cell>
          <cell r="AL232" t="str">
            <v>DIR</v>
          </cell>
          <cell r="AM232">
            <v>6303.93</v>
          </cell>
          <cell r="AN232" t="str">
            <v>Ivonete@mme.gov.br</v>
          </cell>
          <cell r="AO232" t="str">
            <v>(61) 2032-5241</v>
          </cell>
        </row>
        <row r="233">
          <cell r="A233" t="str">
            <v>IZILDINHA SOUSA SALES</v>
          </cell>
          <cell r="B233" t="str">
            <v>523.706.151-68</v>
          </cell>
          <cell r="C233">
            <v>1337151</v>
          </cell>
          <cell r="D233" t="str">
            <v>Sem Cargo/Emprego</v>
          </cell>
          <cell r="E233" t="str">
            <v>Sem Vínculo</v>
          </cell>
          <cell r="F233" t="str">
            <v>Sem Vínculo</v>
          </cell>
          <cell r="G233" t="str">
            <v>SPG / CHEFIA DE GABINETE SPG</v>
          </cell>
          <cell r="H233" t="str">
            <v>11.100.000</v>
          </cell>
          <cell r="I233" t="str">
            <v>Assistente Técnico da Secretaria de Petróleo, Gás Natural e Biocombustíveis</v>
          </cell>
          <cell r="J233" t="str">
            <v>DAS</v>
          </cell>
          <cell r="K233" t="str">
            <v>102.2</v>
          </cell>
          <cell r="L233" t="str">
            <v xml:space="preserve">Portaria nº </v>
          </cell>
          <cell r="M233">
            <v>284</v>
          </cell>
          <cell r="N233" t="str">
            <v>14/07/2020</v>
          </cell>
          <cell r="O233" t="str">
            <v>15/07/2020</v>
          </cell>
          <cell r="P233" t="str">
            <v>DOU</v>
          </cell>
          <cell r="Z233" t="str">
            <v>Sem designação</v>
          </cell>
          <cell r="AF233" t="str">
            <v>Feminino</v>
          </cell>
          <cell r="AG233" t="str">
            <v>Branca</v>
          </cell>
          <cell r="AH233" t="str">
            <v>22/11/1970</v>
          </cell>
          <cell r="AI233">
            <v>49</v>
          </cell>
          <cell r="AJ233">
            <v>3145.03</v>
          </cell>
          <cell r="AL233" t="str">
            <v>FA</v>
          </cell>
          <cell r="AM233">
            <v>3145.03</v>
          </cell>
          <cell r="AN233" t="str">
            <v>Izildinhasales@mme.gov.br</v>
          </cell>
          <cell r="AO233" t="str">
            <v>(61) 2032-5029</v>
          </cell>
          <cell r="AP233" t="str">
            <v>SPG07</v>
          </cell>
        </row>
        <row r="234">
          <cell r="A234" t="str">
            <v>JACQUELINE QUINTAS</v>
          </cell>
          <cell r="B234" t="str">
            <v>279.741.381-49</v>
          </cell>
          <cell r="C234">
            <v>2902131</v>
          </cell>
          <cell r="D234" t="str">
            <v>Sem Cargo/Emprego</v>
          </cell>
          <cell r="E234" t="str">
            <v>Sem Vínculo</v>
          </cell>
          <cell r="F234" t="str">
            <v>Sem Vínculo</v>
          </cell>
          <cell r="G234" t="str">
            <v>SGM / DPGM / COORDENAÇÃO GERAL DE MONITORAMENTO E CONTROLE DA GESTÃO DE PROGRAMA</v>
          </cell>
          <cell r="H234" t="str">
            <v>9.101.200</v>
          </cell>
          <cell r="I234" t="str">
            <v>Assistente da Coordenação Geral de Monitoramento e Controle da Gestão de Programa do Departamento de Gestão das Políticas de Geologia, Mineração e Transformação Mineral</v>
          </cell>
          <cell r="J234" t="str">
            <v>DAS</v>
          </cell>
          <cell r="K234" t="str">
            <v>102.2</v>
          </cell>
          <cell r="L234" t="str">
            <v xml:space="preserve">Portaria nº </v>
          </cell>
          <cell r="M234">
            <v>41</v>
          </cell>
          <cell r="N234" t="str">
            <v>17/01/2019</v>
          </cell>
          <cell r="O234" t="str">
            <v>21/01/2019</v>
          </cell>
          <cell r="P234" t="str">
            <v>DOU</v>
          </cell>
          <cell r="Z234" t="str">
            <v>Sem designação</v>
          </cell>
          <cell r="AF234" t="str">
            <v>Feminino</v>
          </cell>
          <cell r="AG234" t="str">
            <v>Branca</v>
          </cell>
          <cell r="AH234" t="str">
            <v>22/10/1965</v>
          </cell>
          <cell r="AI234">
            <v>55</v>
          </cell>
          <cell r="AJ234">
            <v>3440.75</v>
          </cell>
          <cell r="AL234" t="str">
            <v>FA</v>
          </cell>
          <cell r="AM234">
            <v>3440.75</v>
          </cell>
          <cell r="AN234" t="str">
            <v>jacqueline.quintas@mme.gov.br</v>
          </cell>
          <cell r="AO234" t="str">
            <v>(61) 2032-5723</v>
          </cell>
          <cell r="AP234" t="str">
            <v>SGM13</v>
          </cell>
        </row>
        <row r="235">
          <cell r="A235" t="str">
            <v>JAIR RODRIGUES DOS ANJOS</v>
          </cell>
          <cell r="B235" t="str">
            <v>865.233.254-15</v>
          </cell>
          <cell r="C235">
            <v>1437154</v>
          </cell>
          <cell r="D235" t="str">
            <v>Auditor Federal de Finanças e Controle</v>
          </cell>
          <cell r="E235" t="str">
            <v>Requisitado de Órgãos</v>
          </cell>
          <cell r="F235" t="str">
            <v>ME - Ministério da Economia</v>
          </cell>
          <cell r="G235" t="str">
            <v>SPG / DPGN / COORDENAÇÃO GERAL DE RESERVA, EXPLORAÇÃO E PRODUÇÃO DE PETRÓLEO E GÁS NATURAL</v>
          </cell>
          <cell r="H235" t="str">
            <v>11.101.100</v>
          </cell>
          <cell r="I235" t="str">
            <v>Coordenador Geral de Reserva, Exploração e Produção de Petróleo e Gás Natural do Departamento de Política de Exploração e Produção de Petróleo e Gás Natural</v>
          </cell>
          <cell r="J235" t="str">
            <v>DAS</v>
          </cell>
          <cell r="K235" t="str">
            <v>101.4</v>
          </cell>
          <cell r="L235" t="str">
            <v xml:space="preserve">Portaria nº </v>
          </cell>
          <cell r="M235">
            <v>125</v>
          </cell>
          <cell r="N235" t="str">
            <v>23/03/2020</v>
          </cell>
          <cell r="O235" t="str">
            <v>24/03/2020</v>
          </cell>
          <cell r="P235" t="str">
            <v>DOU</v>
          </cell>
          <cell r="Z235" t="str">
            <v>Sem designação</v>
          </cell>
          <cell r="AF235" t="str">
            <v>Masculino</v>
          </cell>
          <cell r="AG235" t="str">
            <v>Parda</v>
          </cell>
          <cell r="AH235" t="str">
            <v>02/02/1973</v>
          </cell>
          <cell r="AI235">
            <v>47</v>
          </cell>
          <cell r="AJ235">
            <v>6223.98</v>
          </cell>
          <cell r="AK235">
            <v>28148.67</v>
          </cell>
          <cell r="AL235" t="str">
            <v>FA</v>
          </cell>
          <cell r="AM235">
            <v>34372.649999999994</v>
          </cell>
          <cell r="AN235" t="str">
            <v>jair. rodrigues@mme.gov.br</v>
          </cell>
          <cell r="AO235" t="str">
            <v>(61) 2032-5505</v>
          </cell>
          <cell r="AP235" t="str">
            <v>SPG12</v>
          </cell>
        </row>
        <row r="236">
          <cell r="A236" t="str">
            <v>JAIREZ ELÓI DE SOUSA PAULISTA</v>
          </cell>
          <cell r="B236" t="str">
            <v>059.622.001-44</v>
          </cell>
          <cell r="C236">
            <v>6455061</v>
          </cell>
          <cell r="D236" t="str">
            <v>Sem Cargo/Emprego</v>
          </cell>
          <cell r="E236" t="str">
            <v>Sem Vínculo</v>
          </cell>
          <cell r="F236" t="str">
            <v>Sem Vínculo</v>
          </cell>
          <cell r="G236" t="str">
            <v>SE / AEGE / COORDENAÇÃO GERAL DE PLANEJAMENTO ESTRATÉGICO, SUPERVISÃO E AVALIAÇÃO - CGPE</v>
          </cell>
          <cell r="H236" t="str">
            <v>8.101.100</v>
          </cell>
          <cell r="I236" t="str">
            <v>Coordenador Geral de Planejamento Estratégico, Supervisão e Avaliação da Gestão da Assessoria Especial de Gestão Estratégica</v>
          </cell>
          <cell r="J236" t="str">
            <v>DAS</v>
          </cell>
          <cell r="K236" t="str">
            <v>101.4</v>
          </cell>
          <cell r="L236" t="str">
            <v xml:space="preserve">Portaria nº </v>
          </cell>
          <cell r="M236">
            <v>385</v>
          </cell>
          <cell r="N236" t="str">
            <v>02/10/2017</v>
          </cell>
          <cell r="O236" t="str">
            <v>11/10/2017</v>
          </cell>
          <cell r="P236" t="str">
            <v>DOU</v>
          </cell>
          <cell r="Y236" t="str">
            <v>Chefe da AEGE</v>
          </cell>
          <cell r="Z236" t="str">
            <v>Eventual</v>
          </cell>
          <cell r="AA236" t="str">
            <v xml:space="preserve">Portaria nº </v>
          </cell>
          <cell r="AB236">
            <v>433</v>
          </cell>
          <cell r="AC236" t="str">
            <v>07/11/2017</v>
          </cell>
          <cell r="AD236" t="str">
            <v>09/11/2017</v>
          </cell>
          <cell r="AE236" t="str">
            <v>DOU</v>
          </cell>
          <cell r="AF236" t="str">
            <v>Masculino</v>
          </cell>
          <cell r="AG236" t="str">
            <v>Branca</v>
          </cell>
          <cell r="AH236" t="str">
            <v>16/04/1954</v>
          </cell>
          <cell r="AI236">
            <v>66</v>
          </cell>
          <cell r="AJ236">
            <v>10373.299999999999</v>
          </cell>
          <cell r="AL236" t="str">
            <v>FA</v>
          </cell>
          <cell r="AM236">
            <v>10373.299999999999</v>
          </cell>
          <cell r="AN236" t="str">
            <v>Jairez@mme.gov.br</v>
          </cell>
          <cell r="AO236" t="str">
            <v>(61) 2032-5335</v>
          </cell>
          <cell r="AP236" t="str">
            <v>SE23</v>
          </cell>
          <cell r="AQ236" t="str">
            <v>SE06S</v>
          </cell>
        </row>
        <row r="237">
          <cell r="A237" t="str">
            <v>JALMO GABRIEL DE ALMEIDA</v>
          </cell>
          <cell r="B237" t="str">
            <v>097.540.321-49</v>
          </cell>
          <cell r="C237">
            <v>1586617</v>
          </cell>
          <cell r="D237" t="str">
            <v>Auxiliar de Operação</v>
          </cell>
          <cell r="E237" t="str">
            <v>Anistiado MME</v>
          </cell>
          <cell r="F237" t="str">
            <v>MME - Ministério de Minas e Energia</v>
          </cell>
          <cell r="G237" t="str">
            <v>SE / SPOA / CGRL / COORDENAÇÃO DE ATIVIDADES GERAIS - COAGE</v>
          </cell>
          <cell r="H237" t="str">
            <v>8.105.120</v>
          </cell>
          <cell r="Z237" t="str">
            <v>Sem designação</v>
          </cell>
          <cell r="AF237" t="str">
            <v>Masculino</v>
          </cell>
          <cell r="AG237" t="str">
            <v>Parda</v>
          </cell>
          <cell r="AH237" t="str">
            <v>10/05/1952</v>
          </cell>
          <cell r="AI237">
            <v>68</v>
          </cell>
          <cell r="AJ237">
            <v>4275.71</v>
          </cell>
          <cell r="AL237" t="str">
            <v>FA</v>
          </cell>
          <cell r="AM237">
            <v>4275.71</v>
          </cell>
          <cell r="AN237" t="str">
            <v>jalmo.almeida@mme.gov.br</v>
          </cell>
          <cell r="AO237" t="str">
            <v>(61) 2032-5951</v>
          </cell>
        </row>
        <row r="238">
          <cell r="A238" t="str">
            <v>JANAINA DO VALE LIMA</v>
          </cell>
          <cell r="B238" t="str">
            <v>991.214.921-15</v>
          </cell>
          <cell r="C238">
            <v>1485654</v>
          </cell>
          <cell r="D238" t="str">
            <v>Sem Cargo/Emprego</v>
          </cell>
          <cell r="E238" t="str">
            <v>Sem Vínculo</v>
          </cell>
          <cell r="F238" t="str">
            <v>Sem Vínculo</v>
          </cell>
          <cell r="G238" t="str">
            <v>SEE / CHEFIA DE GABINETE SEE</v>
          </cell>
          <cell r="H238" t="str">
            <v>12.100.000</v>
          </cell>
          <cell r="I238" t="str">
            <v>Assistente da Secretaria de Energia Elétrica</v>
          </cell>
          <cell r="J238" t="str">
            <v>DAS</v>
          </cell>
          <cell r="K238" t="str">
            <v>102.2</v>
          </cell>
          <cell r="L238" t="str">
            <v xml:space="preserve">Portaria nº </v>
          </cell>
          <cell r="M238">
            <v>524</v>
          </cell>
          <cell r="N238" t="str">
            <v>03/11/2016</v>
          </cell>
          <cell r="O238" t="str">
            <v>04/11/2016</v>
          </cell>
          <cell r="P238" t="str">
            <v>BPE</v>
          </cell>
          <cell r="Z238" t="str">
            <v>Sem designação</v>
          </cell>
          <cell r="AF238" t="str">
            <v>Feminino</v>
          </cell>
          <cell r="AG238" t="str">
            <v>Parda</v>
          </cell>
          <cell r="AH238" t="str">
            <v>26/06/1984</v>
          </cell>
          <cell r="AI238">
            <v>36</v>
          </cell>
          <cell r="AJ238">
            <v>3440.75</v>
          </cell>
          <cell r="AL238" t="str">
            <v>FA</v>
          </cell>
          <cell r="AM238">
            <v>3440.75</v>
          </cell>
          <cell r="AN238" t="str">
            <v>janaina.lima@mme.gov.br</v>
          </cell>
          <cell r="AO238" t="str">
            <v>(61) 2032-5934</v>
          </cell>
          <cell r="AP238" t="str">
            <v>SEE06</v>
          </cell>
        </row>
        <row r="239">
          <cell r="A239" t="str">
            <v>JAQUELINE MENEGHEL RODRIGUES</v>
          </cell>
          <cell r="B239" t="str">
            <v>057.127.239-80</v>
          </cell>
          <cell r="C239">
            <v>2051460</v>
          </cell>
          <cell r="D239" t="str">
            <v>Analista de Infraestrutura</v>
          </cell>
          <cell r="E239" t="str">
            <v>Exercício Descentralizado</v>
          </cell>
          <cell r="F239" t="str">
            <v>ME - Ministério da Economia</v>
          </cell>
          <cell r="G239" t="str">
            <v>SPG / DGN / COORDENAÇÃO GERAL DE ACOMPANHAMENTO, DESENVOLVIMENTO DE MERCADO E PRODUÇÃO</v>
          </cell>
          <cell r="H239" t="str">
            <v>11.102.100</v>
          </cell>
          <cell r="I239" t="str">
            <v>Coordenadora Geral de Acompanhamento, Desenvolvimento de Mercado e Produção do Departamento de Gás Natural</v>
          </cell>
          <cell r="J239" t="str">
            <v>DAS</v>
          </cell>
          <cell r="K239" t="str">
            <v>101.4</v>
          </cell>
          <cell r="L239" t="str">
            <v xml:space="preserve">Portaria nº </v>
          </cell>
          <cell r="M239">
            <v>322</v>
          </cell>
          <cell r="N239" t="str">
            <v>15/08/2019</v>
          </cell>
          <cell r="O239" t="str">
            <v>16/08/2019</v>
          </cell>
          <cell r="P239" t="str">
            <v>DOU</v>
          </cell>
          <cell r="Z239" t="str">
            <v>Sem designação</v>
          </cell>
          <cell r="AF239" t="str">
            <v>Feminino</v>
          </cell>
          <cell r="AG239" t="str">
            <v>Branca</v>
          </cell>
          <cell r="AH239" t="str">
            <v>30/06/1986</v>
          </cell>
          <cell r="AI239">
            <v>34</v>
          </cell>
          <cell r="AJ239">
            <v>6223.99</v>
          </cell>
          <cell r="AK239">
            <v>14823.28</v>
          </cell>
          <cell r="AL239" t="str">
            <v>FA</v>
          </cell>
          <cell r="AM239">
            <v>21047.27</v>
          </cell>
          <cell r="AN239" t="str">
            <v>jaqueline.rodrigues@mme.gov.br</v>
          </cell>
          <cell r="AO239" t="str">
            <v>(61) 2032-5732</v>
          </cell>
          <cell r="AP239" t="str">
            <v>SPG17</v>
          </cell>
        </row>
        <row r="240">
          <cell r="A240" t="str">
            <v>JARBAS DELANI PEREIRA LEITE</v>
          </cell>
          <cell r="B240" t="str">
            <v>115.660.781-72</v>
          </cell>
          <cell r="C240">
            <v>1732354</v>
          </cell>
          <cell r="D240" t="str">
            <v>Desenhista</v>
          </cell>
          <cell r="E240" t="str">
            <v>Anistiado MME</v>
          </cell>
          <cell r="F240" t="str">
            <v>MME - Ministério de Minas e Energia</v>
          </cell>
          <cell r="G240" t="str">
            <v>SE / SPOA / CGRL / COORDENAÇÃO DE ATIVIDADES GERAIS - COAGE</v>
          </cell>
          <cell r="H240" t="str">
            <v>8.105.120</v>
          </cell>
          <cell r="Z240" t="str">
            <v>Sem designação</v>
          </cell>
          <cell r="AF240" t="str">
            <v>Masculino</v>
          </cell>
          <cell r="AG240" t="str">
            <v>Parda</v>
          </cell>
          <cell r="AH240" t="str">
            <v>02/12/1956</v>
          </cell>
          <cell r="AI240">
            <v>63</v>
          </cell>
          <cell r="AJ240">
            <v>3915.9</v>
          </cell>
          <cell r="AL240" t="str">
            <v>FA</v>
          </cell>
          <cell r="AM240">
            <v>3915.9</v>
          </cell>
          <cell r="AN240" t="str">
            <v>jarbas.leite@mme.gov.br</v>
          </cell>
          <cell r="AO240" t="str">
            <v>(61) 2032-5264</v>
          </cell>
        </row>
        <row r="241">
          <cell r="A241" t="str">
            <v>JEFFERSON DE SOUZA OLIVEIRA</v>
          </cell>
          <cell r="B241" t="str">
            <v>730.641.067-91</v>
          </cell>
          <cell r="C241">
            <v>3093557</v>
          </cell>
          <cell r="D241" t="str">
            <v>Sem Cargo/Emprego</v>
          </cell>
          <cell r="E241" t="str">
            <v>Sem Vínculo</v>
          </cell>
          <cell r="F241" t="str">
            <v>Sem Vínculo</v>
          </cell>
          <cell r="G241" t="str">
            <v>ASSESSORIA ESPECIAL DE ACOMPANHAMENTO DE POLÍTICAS, ESTRATÉGIAS E DESEMPENHO SETORIAL - AEPED</v>
          </cell>
          <cell r="H241" t="str">
            <v>4.000.000</v>
          </cell>
          <cell r="I241" t="str">
            <v>Assessor da Secretaria Executiva</v>
          </cell>
          <cell r="J241" t="str">
            <v>DAS</v>
          </cell>
          <cell r="K241" t="str">
            <v>102.4</v>
          </cell>
          <cell r="L241" t="str">
            <v xml:space="preserve">Portaria nº </v>
          </cell>
          <cell r="M241">
            <v>147</v>
          </cell>
          <cell r="N241" t="str">
            <v>27/02/2019</v>
          </cell>
          <cell r="O241" t="str">
            <v>01/03/2019</v>
          </cell>
          <cell r="P241" t="str">
            <v>DOU</v>
          </cell>
          <cell r="Z241" t="str">
            <v>Sem designação</v>
          </cell>
          <cell r="AF241" t="str">
            <v>Masculino</v>
          </cell>
          <cell r="AG241" t="str">
            <v>Parda</v>
          </cell>
          <cell r="AH241" t="str">
            <v>14/09/1964</v>
          </cell>
          <cell r="AI241">
            <v>56</v>
          </cell>
          <cell r="AJ241">
            <v>10373.299999999999</v>
          </cell>
          <cell r="AL241" t="str">
            <v>FA</v>
          </cell>
          <cell r="AM241">
            <v>10373.299999999999</v>
          </cell>
          <cell r="AN241" t="str">
            <v>jefferson.oliveira@mme.gov.br</v>
          </cell>
          <cell r="AO241" t="str">
            <v>(61) 2032-5846</v>
          </cell>
          <cell r="AP241" t="str">
            <v>SE05</v>
          </cell>
        </row>
        <row r="242">
          <cell r="A242" t="str">
            <v>JOANNE LUNA SANTANA DE CARVALHO</v>
          </cell>
          <cell r="B242" t="str">
            <v>018.541.481-84</v>
          </cell>
          <cell r="C242">
            <v>1005095</v>
          </cell>
          <cell r="D242" t="str">
            <v>Sem Cargo/Emprego</v>
          </cell>
          <cell r="E242" t="str">
            <v>Sem Vínculo</v>
          </cell>
          <cell r="F242" t="str">
            <v>Sem Vínculo</v>
          </cell>
          <cell r="G242" t="str">
            <v>GM / ASSESSORIA DE APOIO AO MINISTRO - AAM</v>
          </cell>
          <cell r="H242" t="str">
            <v>2.100.400</v>
          </cell>
          <cell r="I242" t="str">
            <v>Assessora Técnica da Assessoria de Apoio ao Ministro</v>
          </cell>
          <cell r="J242" t="str">
            <v>DAS</v>
          </cell>
          <cell r="K242" t="str">
            <v>102.3</v>
          </cell>
          <cell r="L242" t="str">
            <v xml:space="preserve">Portaria nº </v>
          </cell>
          <cell r="M242">
            <v>430</v>
          </cell>
          <cell r="N242" t="str">
            <v>10/10/2018</v>
          </cell>
          <cell r="O242" t="str">
            <v>22/10/2018</v>
          </cell>
          <cell r="P242" t="str">
            <v>DOU</v>
          </cell>
          <cell r="Z242" t="str">
            <v>Sem designação</v>
          </cell>
          <cell r="AF242" t="str">
            <v>Feminino</v>
          </cell>
          <cell r="AG242" t="str">
            <v>Parda</v>
          </cell>
          <cell r="AH242" t="str">
            <v>25/01/1988</v>
          </cell>
          <cell r="AI242">
            <v>32</v>
          </cell>
          <cell r="AJ242">
            <v>5685.55</v>
          </cell>
          <cell r="AL242" t="str">
            <v>FA</v>
          </cell>
          <cell r="AM242">
            <v>5685.55</v>
          </cell>
          <cell r="AN242" t="str">
            <v>joanne.carvalho@mme.gov.br</v>
          </cell>
          <cell r="AO242" t="str">
            <v>(61) 2032-5755</v>
          </cell>
          <cell r="AP242" t="str">
            <v>GM39</v>
          </cell>
        </row>
        <row r="243">
          <cell r="A243" t="str">
            <v>JOAO ALBERTO CHAVES ALMEIDA</v>
          </cell>
          <cell r="B243" t="str">
            <v>221.764.891-87</v>
          </cell>
          <cell r="C243">
            <v>450012</v>
          </cell>
          <cell r="D243" t="str">
            <v>Agente Administrativo</v>
          </cell>
          <cell r="E243" t="str">
            <v>Ativo Permanente</v>
          </cell>
          <cell r="F243" t="str">
            <v>MME - Ministério de Minas e Energia</v>
          </cell>
          <cell r="G243" t="str">
            <v>SGM / CHEFIA DE GABINETE SGM</v>
          </cell>
          <cell r="H243" t="str">
            <v>9.100.000</v>
          </cell>
          <cell r="I243" t="str">
            <v>Assessor Técnico da Secretaria de Geologia, Mineração e Transformação Mineral</v>
          </cell>
          <cell r="J243" t="str">
            <v>FCPE</v>
          </cell>
          <cell r="K243" t="str">
            <v>102.3</v>
          </cell>
          <cell r="L243" t="str">
            <v xml:space="preserve">Portaria nº </v>
          </cell>
          <cell r="M243">
            <v>524</v>
          </cell>
          <cell r="N243" t="str">
            <v>03/11/2016</v>
          </cell>
          <cell r="O243" t="str">
            <v>04/11/2016</v>
          </cell>
          <cell r="P243" t="str">
            <v>BPE</v>
          </cell>
          <cell r="Z243" t="str">
            <v>Sem designação</v>
          </cell>
          <cell r="AF243" t="str">
            <v>Masculino</v>
          </cell>
          <cell r="AG243" t="str">
            <v>Branca</v>
          </cell>
          <cell r="AH243" t="str">
            <v>22/07/1960</v>
          </cell>
          <cell r="AI243">
            <v>60</v>
          </cell>
          <cell r="AJ243">
            <v>11279.45</v>
          </cell>
          <cell r="AL243" t="str">
            <v>FA</v>
          </cell>
          <cell r="AM243">
            <v>11279.45</v>
          </cell>
          <cell r="AN243" t="str">
            <v>joaoalberto@mme.gov.br</v>
          </cell>
          <cell r="AO243" t="str">
            <v>(61) 2032-5261</v>
          </cell>
          <cell r="AP243" t="str">
            <v>SGM04</v>
          </cell>
        </row>
        <row r="244">
          <cell r="A244" t="str">
            <v>JOÃO ALOÍSIO VIEIRA</v>
          </cell>
          <cell r="B244" t="str">
            <v>175.310.803-97</v>
          </cell>
          <cell r="C244">
            <v>2745380</v>
          </cell>
          <cell r="D244" t="str">
            <v>Analista de Infraestrutura</v>
          </cell>
          <cell r="E244" t="str">
            <v>Exercício Descentralizado</v>
          </cell>
          <cell r="F244" t="str">
            <v>ME - Ministério da Economia</v>
          </cell>
          <cell r="G244" t="str">
            <v>SEE / DMSE / COORDENAÇÃO GERAL DE MONITORAMENTO DA EXPANSÃO DA GERAÇÃO</v>
          </cell>
          <cell r="H244" t="str">
            <v>12.102.100</v>
          </cell>
          <cell r="I244" t="str">
            <v>Função Gratificada</v>
          </cell>
          <cell r="J244" t="str">
            <v>FGR</v>
          </cell>
          <cell r="K244">
            <v>1</v>
          </cell>
          <cell r="L244" t="str">
            <v xml:space="preserve">Portaria nº </v>
          </cell>
          <cell r="M244">
            <v>354</v>
          </cell>
          <cell r="N244" t="str">
            <v>11/09/2019</v>
          </cell>
          <cell r="O244" t="str">
            <v>13/09/2019</v>
          </cell>
          <cell r="P244" t="str">
            <v>DOU</v>
          </cell>
          <cell r="Y244" t="str">
            <v>Coordenação Geral de Monitoramento da Expansão da Transmissão</v>
          </cell>
          <cell r="Z244" t="str">
            <v>Eventual</v>
          </cell>
          <cell r="AA244" t="str">
            <v xml:space="preserve">Portaria nº </v>
          </cell>
          <cell r="AB244">
            <v>350</v>
          </cell>
          <cell r="AC244" t="str">
            <v>10/09/2019</v>
          </cell>
          <cell r="AD244" t="str">
            <v>13/09/2019</v>
          </cell>
          <cell r="AE244" t="str">
            <v>DOU</v>
          </cell>
          <cell r="AF244" t="str">
            <v>Masculino</v>
          </cell>
          <cell r="AG244" t="str">
            <v>Branca</v>
          </cell>
          <cell r="AH244" t="str">
            <v>26/09/1960</v>
          </cell>
          <cell r="AI244">
            <v>60</v>
          </cell>
          <cell r="AJ244">
            <v>537.54999999999995</v>
          </cell>
          <cell r="AK244">
            <v>14823.28</v>
          </cell>
          <cell r="AL244" t="str">
            <v>FA</v>
          </cell>
          <cell r="AM244">
            <v>15360.83</v>
          </cell>
          <cell r="AN244" t="str">
            <v>joao.vieira@mme.gov.br</v>
          </cell>
          <cell r="AO244" t="str">
            <v>(61) 2032-5403</v>
          </cell>
          <cell r="AQ244" t="str">
            <v>SEE10S</v>
          </cell>
        </row>
        <row r="245">
          <cell r="A245" t="str">
            <v>JOAO ALVES DA SILVA</v>
          </cell>
          <cell r="B245" t="str">
            <v>183.945.581-00</v>
          </cell>
          <cell r="C245">
            <v>455953</v>
          </cell>
          <cell r="D245" t="str">
            <v>Auxiliar de Artífice</v>
          </cell>
          <cell r="E245" t="str">
            <v>Ativo Permanente</v>
          </cell>
          <cell r="F245" t="str">
            <v>MME - Ministério de Minas e Energia</v>
          </cell>
          <cell r="G245" t="str">
            <v>SE / SPOA / CGRL / COORDENAÇÃO DE ATIVIDADES GERAIS - COAGE</v>
          </cell>
          <cell r="H245" t="str">
            <v>8.105.120</v>
          </cell>
          <cell r="I245" t="str">
            <v>Função Gratificada</v>
          </cell>
          <cell r="J245" t="str">
            <v>FGR</v>
          </cell>
          <cell r="K245">
            <v>1</v>
          </cell>
          <cell r="L245" t="str">
            <v xml:space="preserve">Portaria nº </v>
          </cell>
          <cell r="M245">
            <v>524</v>
          </cell>
          <cell r="N245" t="str">
            <v>03/11/2016</v>
          </cell>
          <cell r="O245" t="str">
            <v>04/11/2016</v>
          </cell>
          <cell r="P245" t="str">
            <v>BPE</v>
          </cell>
          <cell r="Z245" t="str">
            <v>Sem designação</v>
          </cell>
          <cell r="AF245" t="str">
            <v>Masculino</v>
          </cell>
          <cell r="AG245" t="str">
            <v>Parda</v>
          </cell>
          <cell r="AH245" t="str">
            <v>30/04/1952</v>
          </cell>
          <cell r="AI245">
            <v>68</v>
          </cell>
          <cell r="AJ245">
            <v>4248.3100000000004</v>
          </cell>
          <cell r="AL245" t="str">
            <v>FA</v>
          </cell>
          <cell r="AM245">
            <v>4248.3100000000004</v>
          </cell>
          <cell r="AN245" t="str">
            <v>joao.silva@mme.gov.br</v>
          </cell>
          <cell r="AO245" t="str">
            <v>(61) 2032-5114</v>
          </cell>
        </row>
        <row r="246">
          <cell r="A246" t="str">
            <v>JOAO BATISTA LEITAO</v>
          </cell>
          <cell r="B246" t="str">
            <v>279.209.925-91</v>
          </cell>
          <cell r="C246">
            <v>1738490</v>
          </cell>
          <cell r="D246" t="str">
            <v>Garçom</v>
          </cell>
          <cell r="E246" t="str">
            <v>Anistiado outros Órgãos</v>
          </cell>
          <cell r="F246" t="str">
            <v>IMBEL - Indústria de Material Bélico do Brasil</v>
          </cell>
          <cell r="G246" t="str">
            <v xml:space="preserve">SE / SPOA / CGTI / COORDENAÇÃO DE INFRAESTRUTURA TECNOLÓGICA - </v>
          </cell>
          <cell r="H246" t="str">
            <v>8.105.310</v>
          </cell>
          <cell r="Z246" t="str">
            <v>Sem designação</v>
          </cell>
          <cell r="AF246" t="str">
            <v>Masculino</v>
          </cell>
          <cell r="AG246" t="str">
            <v>Parda</v>
          </cell>
          <cell r="AH246" t="str">
            <v>12/11/1962</v>
          </cell>
          <cell r="AI246">
            <v>57</v>
          </cell>
          <cell r="AJ246">
            <v>0</v>
          </cell>
          <cell r="AK246">
            <v>1296.6099999999999</v>
          </cell>
          <cell r="AL246" t="str">
            <v>FA</v>
          </cell>
          <cell r="AM246">
            <v>1296.6099999999999</v>
          </cell>
          <cell r="AN246" t="str">
            <v>joao.leitao@mme.gov.br</v>
          </cell>
          <cell r="AO246" t="str">
            <v>(61) 2032-5326</v>
          </cell>
        </row>
        <row r="247">
          <cell r="A247" t="str">
            <v>JOÃO CLAUDIO LIMA DE FRANCO</v>
          </cell>
          <cell r="B247" t="str">
            <v>097.225.566-49</v>
          </cell>
          <cell r="C247">
            <v>6128263</v>
          </cell>
          <cell r="D247" t="str">
            <v>Sem Cargo/Emprego</v>
          </cell>
          <cell r="E247" t="str">
            <v>Sem Vínculo</v>
          </cell>
          <cell r="F247" t="str">
            <v>Sem Vínculo</v>
          </cell>
          <cell r="G247" t="str">
            <v>SE / ASSESSORIA ESPECIAL DE GESTÃO ESTRATÉGICA - AEGE</v>
          </cell>
          <cell r="H247" t="str">
            <v>8.101.000</v>
          </cell>
          <cell r="I247" t="str">
            <v>Assessor Técnico da Assessoria Especial de Gestão Estratégica</v>
          </cell>
          <cell r="J247" t="str">
            <v>DAS</v>
          </cell>
          <cell r="K247" t="str">
            <v>102.3</v>
          </cell>
          <cell r="L247" t="str">
            <v xml:space="preserve">Portaria nº </v>
          </cell>
          <cell r="M247">
            <v>524</v>
          </cell>
          <cell r="N247" t="str">
            <v>03/11/2016</v>
          </cell>
          <cell r="O247" t="str">
            <v>04/11/2016</v>
          </cell>
          <cell r="P247" t="str">
            <v>BPE</v>
          </cell>
          <cell r="Y247" t="str">
            <v>Coordenação Geral de Planejamento Estratégico, Supervisão e Avaliação da Gestão</v>
          </cell>
          <cell r="Z247" t="str">
            <v>Eventual</v>
          </cell>
          <cell r="AA247" t="str">
            <v xml:space="preserve">Portaria nº </v>
          </cell>
          <cell r="AB247">
            <v>692</v>
          </cell>
          <cell r="AC247" t="str">
            <v>06/12/2016</v>
          </cell>
          <cell r="AD247" t="str">
            <v>08/12/2016</v>
          </cell>
          <cell r="AE247" t="str">
            <v>DOU</v>
          </cell>
          <cell r="AF247" t="str">
            <v>Masculino</v>
          </cell>
          <cell r="AG247" t="str">
            <v>Branca</v>
          </cell>
          <cell r="AH247" t="str">
            <v>09/07/1946</v>
          </cell>
          <cell r="AI247">
            <v>74</v>
          </cell>
          <cell r="AJ247">
            <v>5685.55</v>
          </cell>
          <cell r="AL247" t="str">
            <v>FA</v>
          </cell>
          <cell r="AM247">
            <v>5685.55</v>
          </cell>
          <cell r="AN247" t="str">
            <v>joaofranco@mme.gov.br</v>
          </cell>
          <cell r="AO247" t="str">
            <v>(61) 2032-5858</v>
          </cell>
          <cell r="AP247" t="str">
            <v>SE21</v>
          </cell>
          <cell r="AQ247" t="str">
            <v>SE07S</v>
          </cell>
        </row>
        <row r="248">
          <cell r="A248" t="str">
            <v>JOÃO DE AMORIM LITAIFF JUNIOR</v>
          </cell>
          <cell r="B248" t="str">
            <v>031.108.002-25</v>
          </cell>
          <cell r="C248">
            <v>1505912</v>
          </cell>
          <cell r="D248" t="str">
            <v>Sem Cargo/Emprego</v>
          </cell>
          <cell r="E248" t="str">
            <v>Sem Vínculo</v>
          </cell>
          <cell r="F248" t="str">
            <v>Sem Vínculo</v>
          </cell>
          <cell r="G248" t="str">
            <v>ASSESSORIA ESPECIAL DE ACOMPANHAMENTO DE POLÍTICAS, ESTRATÉGIAS E DESEMPENHO SETORIAL - AEPED</v>
          </cell>
          <cell r="H248" t="str">
            <v>4.000.000</v>
          </cell>
          <cell r="I248" t="str">
            <v>Assessor do Ministro</v>
          </cell>
          <cell r="J248" t="str">
            <v>DAS</v>
          </cell>
          <cell r="K248" t="str">
            <v>102.4</v>
          </cell>
          <cell r="L248" t="str">
            <v xml:space="preserve">Portaria nº </v>
          </cell>
          <cell r="M248">
            <v>37</v>
          </cell>
          <cell r="N248" t="str">
            <v>17/01/2019</v>
          </cell>
          <cell r="O248" t="str">
            <v>21/01/2019</v>
          </cell>
          <cell r="P248" t="str">
            <v>DOU</v>
          </cell>
          <cell r="Y248" t="str">
            <v>Chefe da AEPED</v>
          </cell>
          <cell r="Z248" t="str">
            <v>Eventual</v>
          </cell>
          <cell r="AA248" t="str">
            <v xml:space="preserve">Portaria nº </v>
          </cell>
          <cell r="AB248">
            <v>441</v>
          </cell>
          <cell r="AC248" t="str">
            <v>28/11/2019</v>
          </cell>
          <cell r="AD248" t="str">
            <v>04/12/2019</v>
          </cell>
          <cell r="AE248" t="str">
            <v>DOU</v>
          </cell>
          <cell r="AF248" t="str">
            <v>Masculino</v>
          </cell>
          <cell r="AG248" t="str">
            <v>Branca</v>
          </cell>
          <cell r="AH248" t="str">
            <v>03/10/1955</v>
          </cell>
          <cell r="AI248">
            <v>65</v>
          </cell>
          <cell r="AJ248">
            <v>10373.299999999999</v>
          </cell>
          <cell r="AL248" t="str">
            <v>FA</v>
          </cell>
          <cell r="AM248">
            <v>10373.299999999999</v>
          </cell>
          <cell r="AN248" t="str">
            <v>joao.litaiff@mme.gov.br</v>
          </cell>
          <cell r="AO248" t="str">
            <v>(61) 2032-5876</v>
          </cell>
          <cell r="AP248" t="str">
            <v>GM09</v>
          </cell>
          <cell r="AQ248" t="str">
            <v>AEPED01S</v>
          </cell>
        </row>
        <row r="249">
          <cell r="A249" t="str">
            <v>JOÃO JOSÉ DE NORA SOUTO</v>
          </cell>
          <cell r="B249" t="str">
            <v>110.906.345-87</v>
          </cell>
          <cell r="C249">
            <v>3188663</v>
          </cell>
          <cell r="D249" t="str">
            <v>Sem Cargo/Emprego</v>
          </cell>
          <cell r="E249" t="str">
            <v>Sem Vínculo</v>
          </cell>
          <cell r="F249" t="str">
            <v>Sem Vínculo</v>
          </cell>
          <cell r="G249" t="str">
            <v>SPG / CHEFIA DE GABINETE SPG</v>
          </cell>
          <cell r="H249" t="str">
            <v>11.100.000</v>
          </cell>
          <cell r="I249" t="str">
            <v>Secretário-Adjunto da Secretaria de Petróleo, Gás Natural e Biocombustíveis</v>
          </cell>
          <cell r="J249" t="str">
            <v>DAS</v>
          </cell>
          <cell r="K249" t="str">
            <v>101.5</v>
          </cell>
          <cell r="L249" t="str">
            <v xml:space="preserve">Portaria nº </v>
          </cell>
          <cell r="M249">
            <v>405</v>
          </cell>
          <cell r="N249" t="str">
            <v>30/10/2019</v>
          </cell>
          <cell r="O249" t="str">
            <v>06/11/2019</v>
          </cell>
          <cell r="P249" t="str">
            <v>DOU</v>
          </cell>
          <cell r="Y249" t="str">
            <v>Secretário de Petróleo, Gás Natural e Biocombustíveis</v>
          </cell>
          <cell r="Z249" t="str">
            <v>Eventual</v>
          </cell>
          <cell r="AA249" t="str">
            <v xml:space="preserve">Portaria nº </v>
          </cell>
          <cell r="AB249" t="str">
            <v>108 - Anexo X, Art. 18, II do RI da SPG</v>
          </cell>
          <cell r="AC249" t="str">
            <v>14/03/2017</v>
          </cell>
          <cell r="AD249" t="str">
            <v>16/03/2017 -Ret. 17/03/2017</v>
          </cell>
          <cell r="AE249" t="str">
            <v>DOU</v>
          </cell>
          <cell r="AF249" t="str">
            <v>Masculino</v>
          </cell>
          <cell r="AG249" t="str">
            <v>Branca</v>
          </cell>
          <cell r="AH249" t="str">
            <v>19/05/1957</v>
          </cell>
          <cell r="AI249">
            <v>63</v>
          </cell>
          <cell r="AJ249">
            <v>13623.39</v>
          </cell>
          <cell r="AL249" t="str">
            <v>FA</v>
          </cell>
          <cell r="AM249">
            <v>13623.39</v>
          </cell>
          <cell r="AN249" t="str">
            <v>joaosouto@mme.gov.br</v>
          </cell>
          <cell r="AO249" t="str">
            <v>(61) 2032-5505</v>
          </cell>
          <cell r="AP249" t="str">
            <v>SPG02</v>
          </cell>
          <cell r="AQ249" t="str">
            <v>SPG01S</v>
          </cell>
        </row>
        <row r="250">
          <cell r="A250" t="str">
            <v>JOAO MARCONDE SOARES</v>
          </cell>
          <cell r="B250" t="str">
            <v>149.409.901-25</v>
          </cell>
          <cell r="C250">
            <v>451610</v>
          </cell>
          <cell r="D250" t="str">
            <v>Motorista Oficial</v>
          </cell>
          <cell r="E250" t="str">
            <v>Ativo Permanente</v>
          </cell>
          <cell r="F250" t="str">
            <v>MME - Ministério de Minas e Energia</v>
          </cell>
          <cell r="G250" t="str">
            <v>SE / SPOA / CGRL / COORDENAÇÃO DE ATIVIDADES GERAIS - COAGE</v>
          </cell>
          <cell r="H250" t="str">
            <v>8.105.120</v>
          </cell>
          <cell r="I250" t="str">
            <v>Função Gratificada</v>
          </cell>
          <cell r="J250" t="str">
            <v>FGR</v>
          </cell>
          <cell r="K250">
            <v>1</v>
          </cell>
          <cell r="L250" t="str">
            <v xml:space="preserve">Portaria nº </v>
          </cell>
          <cell r="M250">
            <v>368</v>
          </cell>
          <cell r="N250" t="str">
            <v>28/08/2018</v>
          </cell>
          <cell r="O250" t="str">
            <v>29/08/2018</v>
          </cell>
          <cell r="P250" t="str">
            <v>DOU</v>
          </cell>
          <cell r="Z250" t="str">
            <v>Sem designação</v>
          </cell>
          <cell r="AF250" t="str">
            <v>Masculino</v>
          </cell>
          <cell r="AG250" t="str">
            <v>Parda</v>
          </cell>
          <cell r="AH250" t="str">
            <v>05/04/1956</v>
          </cell>
          <cell r="AI250">
            <v>64</v>
          </cell>
          <cell r="AJ250">
            <v>5923.96</v>
          </cell>
          <cell r="AL250" t="str">
            <v>FA</v>
          </cell>
          <cell r="AM250">
            <v>5923.96</v>
          </cell>
          <cell r="AN250" t="str">
            <v>joaosoares@mme.gov.br</v>
          </cell>
          <cell r="AO250" t="str">
            <v>(61) 2032-5114</v>
          </cell>
        </row>
        <row r="251">
          <cell r="A251" t="str">
            <v>JOAO QUIRINO JUNIOR</v>
          </cell>
          <cell r="B251" t="str">
            <v>023.335.111-68</v>
          </cell>
          <cell r="C251">
            <v>1741277</v>
          </cell>
          <cell r="D251" t="str">
            <v>Administrador</v>
          </cell>
          <cell r="E251" t="str">
            <v>Anistiado MME</v>
          </cell>
          <cell r="F251" t="str">
            <v>MME - Ministério de Minas e Energia</v>
          </cell>
          <cell r="G251" t="str">
            <v>SE / SPOA / CGRH / COORDENAÇÃO DE DESENVOLVIMENTO E SEGURIDADE SOCIAL - CODES</v>
          </cell>
          <cell r="H251" t="str">
            <v>8.105.220</v>
          </cell>
          <cell r="Z251" t="str">
            <v>Sem designação</v>
          </cell>
          <cell r="AF251" t="str">
            <v>Masculino</v>
          </cell>
          <cell r="AG251" t="str">
            <v>Branca</v>
          </cell>
          <cell r="AH251" t="str">
            <v>20/05/1949</v>
          </cell>
          <cell r="AI251">
            <v>71</v>
          </cell>
          <cell r="AJ251">
            <v>8117.05</v>
          </cell>
          <cell r="AL251" t="str">
            <v>FA</v>
          </cell>
          <cell r="AM251">
            <v>8117.05</v>
          </cell>
          <cell r="AN251" t="str">
            <v>joao.junior@mme.gov.br</v>
          </cell>
          <cell r="AO251" t="str">
            <v>(61) 2032-5479</v>
          </cell>
        </row>
        <row r="252">
          <cell r="A252" t="str">
            <v>JOAQUIM DOS SANTOS BRAGA NETO</v>
          </cell>
          <cell r="B252" t="str">
            <v>075.198.423-04</v>
          </cell>
          <cell r="C252">
            <v>1822951</v>
          </cell>
          <cell r="D252" t="str">
            <v>Profissional de Nível Superior IV</v>
          </cell>
          <cell r="E252" t="str">
            <v>Anistiado outros Órgãos</v>
          </cell>
          <cell r="F252" t="str">
            <v>ELETRONORTE - Centrais Elétricas do Norte do Brasil S/A</v>
          </cell>
          <cell r="G252" t="str">
            <v>SEE / DPUE / COORDENAÇÃO GERAL DE DESENVOLVIMENTO DE POLÍTICAS SOCIAIS</v>
          </cell>
          <cell r="H252" t="str">
            <v>12.103.100</v>
          </cell>
          <cell r="Z252" t="str">
            <v>Sem designação</v>
          </cell>
          <cell r="AF252" t="str">
            <v>Masculino</v>
          </cell>
          <cell r="AG252" t="str">
            <v>Parda</v>
          </cell>
          <cell r="AH252" t="str">
            <v>29/11/1955</v>
          </cell>
          <cell r="AI252">
            <v>64</v>
          </cell>
          <cell r="AJ252">
            <v>0</v>
          </cell>
          <cell r="AK252">
            <v>27975.86</v>
          </cell>
          <cell r="AL252" t="str">
            <v>FA</v>
          </cell>
          <cell r="AM252">
            <v>27975.86</v>
          </cell>
          <cell r="AN252" t="str">
            <v>joaquim.neto@mme.gov.br</v>
          </cell>
          <cell r="AO252" t="str">
            <v>(61) 2032-5715</v>
          </cell>
        </row>
        <row r="253">
          <cell r="A253" t="str">
            <v>JOAQUIM LUIZ DOS SANTOS</v>
          </cell>
          <cell r="B253" t="str">
            <v>295.996.951-00</v>
          </cell>
          <cell r="C253">
            <v>1314257</v>
          </cell>
          <cell r="D253" t="str">
            <v>Agente de Portaria</v>
          </cell>
          <cell r="E253" t="str">
            <v>Ativo Permanente</v>
          </cell>
          <cell r="F253" t="str">
            <v>MME - Ministério de Minas e Energia</v>
          </cell>
          <cell r="G253" t="str">
            <v>GM / ASTAD / COORDENAÇÃO DE ATIVIDADES ADMINISTRATIVAS</v>
          </cell>
          <cell r="H253" t="str">
            <v>2.100.101</v>
          </cell>
          <cell r="I253" t="str">
            <v>Função Comissionada Técnica - Técnico de Sistemas Operacionais e Administrativos</v>
          </cell>
          <cell r="J253" t="str">
            <v>FCT</v>
          </cell>
          <cell r="K253">
            <v>10</v>
          </cell>
          <cell r="L253" t="str">
            <v xml:space="preserve">Portaria nº </v>
          </cell>
          <cell r="M253">
            <v>201</v>
          </cell>
          <cell r="N253" t="str">
            <v>29/04/2005</v>
          </cell>
          <cell r="O253" t="str">
            <v>02/05/2005</v>
          </cell>
          <cell r="P253" t="str">
            <v>DOU</v>
          </cell>
          <cell r="Z253" t="str">
            <v>Sem designação</v>
          </cell>
          <cell r="AF253" t="str">
            <v>Masculino</v>
          </cell>
          <cell r="AG253" t="str">
            <v>Parda</v>
          </cell>
          <cell r="AH253" t="str">
            <v>05/03/1964</v>
          </cell>
          <cell r="AI253">
            <v>56</v>
          </cell>
          <cell r="AJ253">
            <v>5617.09</v>
          </cell>
          <cell r="AL253" t="str">
            <v>DIR</v>
          </cell>
          <cell r="AM253">
            <v>5617.09</v>
          </cell>
          <cell r="AN253" t="str">
            <v>Joaquim@mme.gov.br</v>
          </cell>
          <cell r="AO253" t="str">
            <v>(61) 2032-5956</v>
          </cell>
        </row>
        <row r="254">
          <cell r="A254" t="str">
            <v>JOAQUIM SOUSA NETO</v>
          </cell>
          <cell r="B254" t="str">
            <v>385.109.441-72</v>
          </cell>
          <cell r="C254">
            <v>2092772</v>
          </cell>
          <cell r="D254" t="str">
            <v>Motorista Oficial</v>
          </cell>
          <cell r="E254" t="str">
            <v>Ativo Permanente</v>
          </cell>
          <cell r="F254" t="str">
            <v>MME - Ministério de Minas e Energia</v>
          </cell>
          <cell r="G254" t="str">
            <v>SE / SPOA / CGRL / COORDENAÇÃO DE ATIVIDADES GERAIS - COAGE</v>
          </cell>
          <cell r="H254" t="str">
            <v>8.105.120</v>
          </cell>
          <cell r="I254" t="str">
            <v>Assistente da Coordenação Geral de Compras e Contratos</v>
          </cell>
          <cell r="J254" t="str">
            <v>FCPE</v>
          </cell>
          <cell r="K254" t="str">
            <v>102.2</v>
          </cell>
          <cell r="L254" t="str">
            <v xml:space="preserve">Portaria nº </v>
          </cell>
          <cell r="M254">
            <v>369</v>
          </cell>
          <cell r="N254" t="str">
            <v>28/08/2018</v>
          </cell>
          <cell r="O254" t="str">
            <v>30/08/2018</v>
          </cell>
          <cell r="P254" t="str">
            <v>DOU</v>
          </cell>
          <cell r="Z254" t="str">
            <v>Sem designação</v>
          </cell>
          <cell r="AF254" t="str">
            <v>Masculino</v>
          </cell>
          <cell r="AG254" t="str">
            <v>Parda</v>
          </cell>
          <cell r="AH254" t="str">
            <v>18/10/1965</v>
          </cell>
          <cell r="AI254">
            <v>55</v>
          </cell>
          <cell r="AJ254">
            <v>6685.93</v>
          </cell>
          <cell r="AL254" t="str">
            <v>FA</v>
          </cell>
          <cell r="AM254">
            <v>6685.93</v>
          </cell>
          <cell r="AN254" t="str">
            <v>JoaquimNeto@mme.gov.br</v>
          </cell>
          <cell r="AO254" t="str">
            <v>(61) 2032-5910</v>
          </cell>
          <cell r="AP254" t="str">
            <v>SE89</v>
          </cell>
        </row>
        <row r="255">
          <cell r="A255" t="str">
            <v>JOCELIO COELHO MATIAS</v>
          </cell>
          <cell r="B255" t="str">
            <v>242.884.203-00</v>
          </cell>
          <cell r="C255">
            <v>1093495</v>
          </cell>
          <cell r="D255" t="str">
            <v>Motorista Oficial</v>
          </cell>
          <cell r="E255" t="str">
            <v>Ativo Permanente</v>
          </cell>
          <cell r="F255" t="str">
            <v>MME - Ministério de Minas e Energia</v>
          </cell>
          <cell r="G255" t="str">
            <v>SE / SPOA / CGRL / COORDENAÇÃO DE ATIVIDADES GERAIS - COAGE</v>
          </cell>
          <cell r="H255" t="str">
            <v>8.105.120</v>
          </cell>
          <cell r="I255" t="str">
            <v>Função Gratificada</v>
          </cell>
          <cell r="J255" t="str">
            <v>FGR</v>
          </cell>
          <cell r="K255">
            <v>1</v>
          </cell>
          <cell r="L255" t="str">
            <v xml:space="preserve">Portaria nº </v>
          </cell>
          <cell r="M255">
            <v>524</v>
          </cell>
          <cell r="N255" t="str">
            <v>03/11/2016</v>
          </cell>
          <cell r="P255" t="str">
            <v>BPE</v>
          </cell>
          <cell r="Z255" t="str">
            <v>Sem designação</v>
          </cell>
          <cell r="AF255" t="str">
            <v>Masculino</v>
          </cell>
          <cell r="AG255" t="str">
            <v>Branca</v>
          </cell>
          <cell r="AH255" t="str">
            <v>17/01/1965</v>
          </cell>
          <cell r="AI255">
            <v>55</v>
          </cell>
          <cell r="AJ255">
            <v>5137.58</v>
          </cell>
          <cell r="AL255" t="str">
            <v>FA</v>
          </cell>
          <cell r="AM255">
            <v>5137.58</v>
          </cell>
          <cell r="AN255" t="str">
            <v>JocelioMatias@mme.gov.br</v>
          </cell>
          <cell r="AO255" t="str">
            <v>(61) 2032-5114</v>
          </cell>
        </row>
        <row r="256">
          <cell r="A256" t="str">
            <v>JOEL JOSE FERREIRA</v>
          </cell>
          <cell r="B256" t="str">
            <v>185.666.771-53</v>
          </cell>
          <cell r="C256">
            <v>455936</v>
          </cell>
          <cell r="D256" t="str">
            <v>Motorista Oficial</v>
          </cell>
          <cell r="E256" t="str">
            <v>Ativo Permanente</v>
          </cell>
          <cell r="F256" t="str">
            <v>MME - Ministério de Minas e Energia</v>
          </cell>
          <cell r="G256" t="str">
            <v>SE / SPOA / CGRL / COORDENAÇÃO DE ATIVIDADES GERAIS - COAGE</v>
          </cell>
          <cell r="H256" t="str">
            <v>8.105.120</v>
          </cell>
          <cell r="I256" t="str">
            <v>Função Gratificada</v>
          </cell>
          <cell r="J256" t="str">
            <v>FGR</v>
          </cell>
          <cell r="K256">
            <v>1</v>
          </cell>
          <cell r="L256" t="str">
            <v xml:space="preserve">Portaria nº </v>
          </cell>
          <cell r="M256">
            <v>524</v>
          </cell>
          <cell r="N256" t="str">
            <v>03/11/2016</v>
          </cell>
          <cell r="O256" t="str">
            <v>04/11/2016</v>
          </cell>
          <cell r="P256" t="str">
            <v>BPE</v>
          </cell>
          <cell r="Z256" t="str">
            <v>Sem designação</v>
          </cell>
          <cell r="AF256" t="str">
            <v>Masculino</v>
          </cell>
          <cell r="AG256" t="str">
            <v>Parda</v>
          </cell>
          <cell r="AH256" t="str">
            <v>07/04/1959</v>
          </cell>
          <cell r="AI256">
            <v>61</v>
          </cell>
          <cell r="AJ256">
            <v>5929.33</v>
          </cell>
          <cell r="AL256" t="str">
            <v>FA</v>
          </cell>
          <cell r="AM256">
            <v>5929.33</v>
          </cell>
          <cell r="AN256" t="str">
            <v>joel.ferreira@mme.gov.br</v>
          </cell>
          <cell r="AO256" t="str">
            <v>(61) 2032-5114</v>
          </cell>
        </row>
        <row r="257">
          <cell r="A257" t="str">
            <v>JOELMA MENDES DE MELLO</v>
          </cell>
          <cell r="B257" t="str">
            <v>428.629.221-53</v>
          </cell>
          <cell r="C257">
            <v>455436</v>
          </cell>
          <cell r="D257" t="str">
            <v>Agente Administrativo</v>
          </cell>
          <cell r="E257" t="str">
            <v>Ativo Permanente</v>
          </cell>
          <cell r="F257" t="str">
            <v>MME - Ministério de Minas e Energia</v>
          </cell>
          <cell r="G257" t="str">
            <v>SE / SPOA / CGCC / COORDENAÇÃO DE ADMINISTRAÇÃO DE CONTRATOS - CAC</v>
          </cell>
          <cell r="H257" t="str">
            <v>8.105.410</v>
          </cell>
          <cell r="I257" t="str">
            <v>Assistente Técnico da Chefia de Gabinete da Secretaria Executiva</v>
          </cell>
          <cell r="J257" t="str">
            <v>FCPE</v>
          </cell>
          <cell r="K257" t="str">
            <v>102.1</v>
          </cell>
          <cell r="L257" t="str">
            <v xml:space="preserve">Portaria nº </v>
          </cell>
          <cell r="M257">
            <v>202</v>
          </cell>
          <cell r="N257" t="str">
            <v>15/04/2019</v>
          </cell>
          <cell r="O257" t="str">
            <v>16/04/2019</v>
          </cell>
          <cell r="P257" t="str">
            <v>DOU</v>
          </cell>
          <cell r="Z257" t="str">
            <v>Sem designação</v>
          </cell>
          <cell r="AF257" t="str">
            <v>Feminino</v>
          </cell>
          <cell r="AG257" t="str">
            <v>Parda</v>
          </cell>
          <cell r="AH257" t="str">
            <v>27/04/1968</v>
          </cell>
          <cell r="AI257">
            <v>52</v>
          </cell>
          <cell r="AJ257">
            <v>6923.72</v>
          </cell>
          <cell r="AL257" t="str">
            <v>FA</v>
          </cell>
          <cell r="AM257">
            <v>6923.72</v>
          </cell>
          <cell r="AN257" t="str">
            <v>joelma.mello@mme.gov.br</v>
          </cell>
          <cell r="AO257" t="str">
            <v>(61) 2032-5196</v>
          </cell>
          <cell r="AP257" t="str">
            <v>SE17</v>
          </cell>
        </row>
        <row r="258">
          <cell r="A258" t="str">
            <v>JORDANA SANTOS CORDEIRO</v>
          </cell>
          <cell r="B258" t="str">
            <v>640.549.183-87</v>
          </cell>
          <cell r="C258">
            <v>2483457</v>
          </cell>
          <cell r="D258" t="str">
            <v>Sem Cargo/Emprego</v>
          </cell>
          <cell r="E258" t="str">
            <v>Sem Vínculo</v>
          </cell>
          <cell r="F258" t="str">
            <v>Sem Vínculo</v>
          </cell>
          <cell r="G258" t="str">
            <v>SEE / CHEFIA DE GABINETE SEE</v>
          </cell>
          <cell r="H258" t="str">
            <v>12.100.000</v>
          </cell>
          <cell r="I258" t="str">
            <v>Assessora Técnica da Assessoria Especial de Assuntos Econômicos</v>
          </cell>
          <cell r="J258" t="str">
            <v>DAS</v>
          </cell>
          <cell r="K258" t="str">
            <v>102.3</v>
          </cell>
          <cell r="L258" t="str">
            <v xml:space="preserve">Portaria nº </v>
          </cell>
          <cell r="M258">
            <v>139</v>
          </cell>
          <cell r="N258" t="str">
            <v>18/02/2019</v>
          </cell>
          <cell r="O258" t="str">
            <v>22/02/2019</v>
          </cell>
          <cell r="P258" t="str">
            <v>DOU</v>
          </cell>
          <cell r="Z258" t="str">
            <v>Sem designação</v>
          </cell>
          <cell r="AF258" t="str">
            <v>Feminino</v>
          </cell>
          <cell r="AG258" t="str">
            <v>Parda</v>
          </cell>
          <cell r="AH258" t="str">
            <v>13/08/1982</v>
          </cell>
          <cell r="AI258">
            <v>38</v>
          </cell>
          <cell r="AJ258">
            <v>5685.55</v>
          </cell>
          <cell r="AL258" t="str">
            <v>FA</v>
          </cell>
          <cell r="AM258">
            <v>5685.55</v>
          </cell>
          <cell r="AN258" t="str">
            <v>jordana.cordeiro@mme.gov.br</v>
          </cell>
          <cell r="AO258" t="str">
            <v>(61) 2032-5002</v>
          </cell>
          <cell r="AP258" t="str">
            <v>ASSEC08</v>
          </cell>
        </row>
        <row r="259">
          <cell r="A259" t="str">
            <v>JORGE ARTHUR BERGAMO DE ALMEIDA</v>
          </cell>
          <cell r="B259" t="str">
            <v>113.637.381-00</v>
          </cell>
          <cell r="C259">
            <v>451944</v>
          </cell>
          <cell r="D259" t="str">
            <v>Datilógrafo</v>
          </cell>
          <cell r="E259" t="str">
            <v>Ativo Permanente</v>
          </cell>
          <cell r="F259" t="str">
            <v>MME - Ministério de Minas e Energia</v>
          </cell>
          <cell r="G259" t="str">
            <v>Aguardando Lotação/Exercício</v>
          </cell>
          <cell r="H259" t="str">
            <v>88.000.000</v>
          </cell>
          <cell r="I259" t="str">
            <v>Função Gratificada</v>
          </cell>
          <cell r="J259" t="str">
            <v>FGR</v>
          </cell>
          <cell r="K259">
            <v>1</v>
          </cell>
          <cell r="L259" t="str">
            <v xml:space="preserve">Portaria nº </v>
          </cell>
          <cell r="M259">
            <v>524</v>
          </cell>
          <cell r="N259" t="str">
            <v>03/11/2016</v>
          </cell>
          <cell r="O259" t="str">
            <v>04/11/2016</v>
          </cell>
          <cell r="P259" t="str">
            <v>BPE</v>
          </cell>
          <cell r="Z259" t="str">
            <v>Sem designação</v>
          </cell>
          <cell r="AF259" t="str">
            <v>Masculino</v>
          </cell>
          <cell r="AG259" t="str">
            <v>Branca</v>
          </cell>
          <cell r="AH259" t="str">
            <v>18/02/1955</v>
          </cell>
          <cell r="AI259">
            <v>65</v>
          </cell>
          <cell r="AJ259">
            <v>6048.38</v>
          </cell>
          <cell r="AL259" t="str">
            <v>FA</v>
          </cell>
          <cell r="AM259">
            <v>6048.38</v>
          </cell>
          <cell r="AN259" t="str">
            <v>jorge.almeida@mme.gov.br</v>
          </cell>
          <cell r="AO259" t="str">
            <v>(61) 2032-5251</v>
          </cell>
        </row>
        <row r="260">
          <cell r="A260" t="str">
            <v>JORGE GABRIEL MOISÉS FILHO</v>
          </cell>
          <cell r="B260" t="str">
            <v>467.694.041-68</v>
          </cell>
          <cell r="C260">
            <v>2480927</v>
          </cell>
          <cell r="D260" t="str">
            <v>Analista de Planejamento e Orçamento</v>
          </cell>
          <cell r="E260" t="str">
            <v>Exercício Descentralizado</v>
          </cell>
          <cell r="F260" t="str">
            <v>ME - Ministério da Economia</v>
          </cell>
          <cell r="G260" t="str">
            <v>SE / SPOA / CGOF / COORDENAÇÃO DE ORÇAMENTO - CORC</v>
          </cell>
          <cell r="H260" t="str">
            <v>8.105.530</v>
          </cell>
          <cell r="I260" t="str">
            <v>Assistente do Gabinete do Ministro</v>
          </cell>
          <cell r="J260" t="str">
            <v>FCPE</v>
          </cell>
          <cell r="K260" t="str">
            <v>102.2</v>
          </cell>
          <cell r="L260" t="str">
            <v xml:space="preserve">Portaria nº </v>
          </cell>
          <cell r="M260">
            <v>377</v>
          </cell>
          <cell r="N260" t="str">
            <v>30/09/2019</v>
          </cell>
          <cell r="O260" t="str">
            <v>02/10/2019</v>
          </cell>
          <cell r="P260" t="str">
            <v>DOU</v>
          </cell>
          <cell r="Y260" t="str">
            <v>Coordenador de Orçamento</v>
          </cell>
          <cell r="Z260" t="str">
            <v>Pessoal</v>
          </cell>
          <cell r="AA260" t="str">
            <v xml:space="preserve">Portaria nº </v>
          </cell>
          <cell r="AB260">
            <v>452</v>
          </cell>
          <cell r="AC260" t="str">
            <v>05/12/2019</v>
          </cell>
          <cell r="AD260" t="str">
            <v>06/12/2019</v>
          </cell>
          <cell r="AE260" t="str">
            <v>DOU</v>
          </cell>
          <cell r="AF260" t="str">
            <v>Masculino</v>
          </cell>
          <cell r="AG260" t="str">
            <v>Branca</v>
          </cell>
          <cell r="AH260" t="str">
            <v>25/07/1971</v>
          </cell>
          <cell r="AI260">
            <v>49</v>
          </cell>
          <cell r="AJ260">
            <v>2064.44</v>
          </cell>
          <cell r="AK260">
            <v>25048.15</v>
          </cell>
          <cell r="AL260" t="str">
            <v>FA</v>
          </cell>
          <cell r="AM260">
            <v>27112.59</v>
          </cell>
          <cell r="AN260" t="str">
            <v>jorge.filho@mme.gov.br</v>
          </cell>
          <cell r="AO260" t="str">
            <v>(61) 2032-5348</v>
          </cell>
          <cell r="AP260" t="str">
            <v>GM16</v>
          </cell>
          <cell r="AQ260" t="str">
            <v>SE44S</v>
          </cell>
        </row>
        <row r="261">
          <cell r="A261" t="str">
            <v>JORGE LUIZ BARBOSA DOS SANTOS</v>
          </cell>
          <cell r="B261" t="str">
            <v>011.625.257-03</v>
          </cell>
          <cell r="D261" t="str">
            <v>Marinha</v>
          </cell>
          <cell r="E261" t="str">
            <v>Requisitado Militar</v>
          </cell>
          <cell r="F261" t="str">
            <v>Marinha</v>
          </cell>
          <cell r="G261" t="str">
            <v>GM / ASSESSORIA DE COMUNICAÇÃO SOCIAL - ASCOM</v>
          </cell>
          <cell r="H261" t="str">
            <v>2.100.300</v>
          </cell>
          <cell r="I261" t="str">
            <v>Assessor do Chefe da Assessoria Especial de Assuntos Econômicos</v>
          </cell>
          <cell r="J261" t="str">
            <v>DAS</v>
          </cell>
          <cell r="K261" t="str">
            <v>102.4</v>
          </cell>
          <cell r="L261" t="str">
            <v xml:space="preserve">Portaria nº </v>
          </cell>
          <cell r="M261">
            <v>355</v>
          </cell>
          <cell r="N261" t="str">
            <v>28/09/2020</v>
          </cell>
          <cell r="O261" t="str">
            <v>30/09/2020</v>
          </cell>
          <cell r="P261" t="str">
            <v>DOU</v>
          </cell>
          <cell r="Z261" t="str">
            <v>Sem designação</v>
          </cell>
          <cell r="AF261" t="str">
            <v>Masculino</v>
          </cell>
          <cell r="AG261" t="str">
            <v>Parda</v>
          </cell>
          <cell r="AH261" t="str">
            <v>06/07/1973</v>
          </cell>
          <cell r="AI261">
            <v>47</v>
          </cell>
          <cell r="AJ261">
            <v>6223.98</v>
          </cell>
          <cell r="AK261">
            <v>0</v>
          </cell>
          <cell r="AL261" t="str">
            <v>FA</v>
          </cell>
          <cell r="AM261">
            <v>6223.98</v>
          </cell>
          <cell r="AN261" t="str">
            <v>jorge.santos@mme.gov.br</v>
          </cell>
          <cell r="AO261" t="str">
            <v>(61) 2032-5156</v>
          </cell>
          <cell r="AP261" t="str">
            <v>ASSEC04</v>
          </cell>
        </row>
        <row r="262">
          <cell r="A262" t="str">
            <v>JORGE PORTELLA DUARTE</v>
          </cell>
          <cell r="B262" t="str">
            <v>596.870.707-06</v>
          </cell>
          <cell r="C262">
            <v>2660564</v>
          </cell>
          <cell r="D262" t="str">
            <v>Analista de Infraestrutura</v>
          </cell>
          <cell r="E262" t="str">
            <v>Exercício Descentralizado</v>
          </cell>
          <cell r="F262" t="str">
            <v>ME - Ministério da Economia</v>
          </cell>
          <cell r="G262" t="str">
            <v>SEE / DMSE / COORDENAÇÃO GERAL DE MONITORAMENTO DO DESEMPENHO DO SISTEMA ELÉTRICO</v>
          </cell>
          <cell r="H262" t="str">
            <v>12.102.400</v>
          </cell>
          <cell r="Z262" t="str">
            <v>Sem designação</v>
          </cell>
          <cell r="AF262" t="str">
            <v>Masculino</v>
          </cell>
          <cell r="AG262" t="str">
            <v>Branca</v>
          </cell>
          <cell r="AH262" t="str">
            <v>22/06/1958</v>
          </cell>
          <cell r="AI262">
            <v>62</v>
          </cell>
          <cell r="AJ262">
            <v>0</v>
          </cell>
          <cell r="AK262">
            <v>14823.28</v>
          </cell>
          <cell r="AL262" t="str">
            <v>FA</v>
          </cell>
          <cell r="AM262">
            <v>14823.28</v>
          </cell>
          <cell r="AN262" t="str">
            <v>jorge.duarte@mme.gov.br</v>
          </cell>
          <cell r="AO262" t="str">
            <v>(61) 2032-5435</v>
          </cell>
        </row>
        <row r="263">
          <cell r="A263" t="str">
            <v>JORGE RICARDO KAUTSCHER BENTO</v>
          </cell>
          <cell r="B263" t="str">
            <v>928.768.117-15</v>
          </cell>
          <cell r="C263">
            <v>3106776</v>
          </cell>
          <cell r="D263" t="str">
            <v>Marinha</v>
          </cell>
          <cell r="E263" t="str">
            <v>Requisitado Militar</v>
          </cell>
          <cell r="F263" t="str">
            <v>Marinha</v>
          </cell>
          <cell r="G263" t="str">
            <v>GABINETE DO MINISTRO - GM</v>
          </cell>
          <cell r="H263" t="str">
            <v>2.000.000</v>
          </cell>
          <cell r="I263" t="str">
            <v>Assessor Técnico do Gabinete do Ministro</v>
          </cell>
          <cell r="J263" t="str">
            <v>DAS</v>
          </cell>
          <cell r="K263" t="str">
            <v>102.3</v>
          </cell>
          <cell r="L263" t="str">
            <v xml:space="preserve">Portaria nº </v>
          </cell>
          <cell r="M263">
            <v>178</v>
          </cell>
          <cell r="N263" t="str">
            <v>26/03/2019</v>
          </cell>
          <cell r="O263" t="str">
            <v>28/03/2019</v>
          </cell>
          <cell r="P263" t="str">
            <v>DOU</v>
          </cell>
          <cell r="Z263" t="str">
            <v>Sem designação</v>
          </cell>
          <cell r="AF263" t="str">
            <v>Masculino</v>
          </cell>
          <cell r="AG263" t="str">
            <v>Branca</v>
          </cell>
          <cell r="AH263" t="str">
            <v>09/01/1967</v>
          </cell>
          <cell r="AI263">
            <v>53</v>
          </cell>
          <cell r="AJ263">
            <v>3411.33</v>
          </cell>
          <cell r="AK263">
            <v>9654.84</v>
          </cell>
          <cell r="AL263" t="str">
            <v>FA</v>
          </cell>
          <cell r="AM263">
            <v>13066.17</v>
          </cell>
          <cell r="AN263" t="str">
            <v>jorge.bento@mme.gov.br</v>
          </cell>
          <cell r="AO263" t="str">
            <v>(61) 2032-5836</v>
          </cell>
          <cell r="AP263" t="str">
            <v>GM12</v>
          </cell>
        </row>
        <row r="264">
          <cell r="A264" t="str">
            <v>JOSAFA FERREIRA DOS SANTOS</v>
          </cell>
          <cell r="B264" t="str">
            <v>268.875.091-72</v>
          </cell>
          <cell r="C264">
            <v>455481</v>
          </cell>
          <cell r="D264" t="str">
            <v>Agente Administrativo</v>
          </cell>
          <cell r="E264" t="str">
            <v>Ativo Permanente</v>
          </cell>
          <cell r="F264" t="str">
            <v>MME - Ministério de Minas e Energia</v>
          </cell>
          <cell r="G264" t="str">
            <v>SE / SPOA / CGTI / COORDENAÇÃO DE TECNOLOGIA DE SISTEMAS DE INFORMAÇÃO - CTSI</v>
          </cell>
          <cell r="H264" t="str">
            <v>8.105.320</v>
          </cell>
          <cell r="I264" t="str">
            <v>Função Comissionada Técnica - Auxilar de Sistemas Operacionais e Administrativos</v>
          </cell>
          <cell r="J264" t="str">
            <v>FCT</v>
          </cell>
          <cell r="K264">
            <v>11</v>
          </cell>
          <cell r="L264" t="str">
            <v xml:space="preserve">Portaria nº </v>
          </cell>
          <cell r="M264">
            <v>325</v>
          </cell>
          <cell r="N264" t="str">
            <v>16/08/2017</v>
          </cell>
          <cell r="O264" t="str">
            <v>18/08/2017</v>
          </cell>
          <cell r="P264" t="str">
            <v>DOU</v>
          </cell>
          <cell r="Q264" t="str">
            <v>GSISP</v>
          </cell>
          <cell r="R264" t="str">
            <v>Intermediário</v>
          </cell>
          <cell r="S264" t="str">
            <v>SISP - Sistema dos Recursos de Informação e Informática</v>
          </cell>
          <cell r="T264" t="str">
            <v xml:space="preserve">Portaria nº </v>
          </cell>
          <cell r="U264">
            <v>100</v>
          </cell>
          <cell r="V264" t="str">
            <v>19/11/2009</v>
          </cell>
          <cell r="W264" t="str">
            <v>19/11/2009</v>
          </cell>
          <cell r="X264" t="str">
            <v>BPE</v>
          </cell>
          <cell r="Z264" t="str">
            <v>Sem designação</v>
          </cell>
          <cell r="AF264" t="str">
            <v>Masculino</v>
          </cell>
          <cell r="AG264" t="str">
            <v>Preta</v>
          </cell>
          <cell r="AH264" t="str">
            <v>09/09/1965</v>
          </cell>
          <cell r="AI264">
            <v>55</v>
          </cell>
          <cell r="AJ264">
            <v>8495.66</v>
          </cell>
          <cell r="AL264" t="str">
            <v>FA</v>
          </cell>
          <cell r="AM264">
            <v>8495.66</v>
          </cell>
          <cell r="AN264" t="str">
            <v>JosafaSantos@mme.gov.br</v>
          </cell>
          <cell r="AO264" t="str">
            <v>(61) 2032-5215</v>
          </cell>
        </row>
        <row r="265">
          <cell r="A265" t="str">
            <v>JOSE ANTONIO MARIA GONÇALVES</v>
          </cell>
          <cell r="B265" t="str">
            <v>209.987.831-53</v>
          </cell>
          <cell r="C265">
            <v>1708418</v>
          </cell>
          <cell r="D265" t="str">
            <v>Auxiliar Codificação e Conferência</v>
          </cell>
          <cell r="E265" t="str">
            <v>Anistiado MME</v>
          </cell>
          <cell r="F265" t="str">
            <v>MME - Ministério de Minas e Energia</v>
          </cell>
          <cell r="G265" t="str">
            <v>Aguardando Lotação/Exercício</v>
          </cell>
          <cell r="H265" t="str">
            <v>88.000.000</v>
          </cell>
          <cell r="Z265" t="str">
            <v>Sem designação</v>
          </cell>
          <cell r="AF265" t="str">
            <v>Masculino</v>
          </cell>
          <cell r="AG265" t="str">
            <v>Parda</v>
          </cell>
          <cell r="AH265" t="str">
            <v>13/05/1959</v>
          </cell>
          <cell r="AI265">
            <v>61</v>
          </cell>
          <cell r="AJ265">
            <v>3915.9</v>
          </cell>
          <cell r="AL265" t="str">
            <v>FA</v>
          </cell>
          <cell r="AM265">
            <v>3915.9</v>
          </cell>
          <cell r="AN265" t="str">
            <v>jose.goncalves@mme.gov.br</v>
          </cell>
          <cell r="AO265" t="str">
            <v>(61) 2032-5472</v>
          </cell>
        </row>
        <row r="266">
          <cell r="A266" t="str">
            <v>JOSE ARMANDO RIBEIRO VASCONCELOS</v>
          </cell>
          <cell r="B266" t="str">
            <v>395.168.304-04</v>
          </cell>
          <cell r="C266">
            <v>1100983</v>
          </cell>
          <cell r="D266" t="str">
            <v>Agente de Portaria</v>
          </cell>
          <cell r="E266" t="str">
            <v>Ativo Permanente</v>
          </cell>
          <cell r="F266" t="str">
            <v>MME - Ministério de Minas e Energia</v>
          </cell>
          <cell r="G266" t="str">
            <v>CONJUR / CGAA / COORDENAÇÃO DE APOIO ADMINISTRATIVO</v>
          </cell>
          <cell r="H266" t="str">
            <v>7.100.310</v>
          </cell>
          <cell r="I266" t="str">
            <v>Função Gratificada</v>
          </cell>
          <cell r="J266" t="str">
            <v>FGR</v>
          </cell>
          <cell r="K266">
            <v>1</v>
          </cell>
          <cell r="L266" t="str">
            <v xml:space="preserve">Portaria nº </v>
          </cell>
          <cell r="M266">
            <v>524</v>
          </cell>
          <cell r="N266" t="str">
            <v>03/11/2016</v>
          </cell>
          <cell r="O266" t="str">
            <v>04/11/2016</v>
          </cell>
          <cell r="P266" t="str">
            <v>BPE</v>
          </cell>
          <cell r="Z266" t="str">
            <v>Sem designação</v>
          </cell>
          <cell r="AF266" t="str">
            <v>Masculino</v>
          </cell>
          <cell r="AG266" t="str">
            <v>Branca</v>
          </cell>
          <cell r="AH266" t="str">
            <v>18/06/1964</v>
          </cell>
          <cell r="AI266">
            <v>56</v>
          </cell>
          <cell r="AJ266">
            <v>5655.93</v>
          </cell>
          <cell r="AL266" t="str">
            <v>FA</v>
          </cell>
          <cell r="AM266">
            <v>5655.93</v>
          </cell>
          <cell r="AN266" t="str">
            <v>jose.vasconcelos@mme.gov.br</v>
          </cell>
          <cell r="AO266" t="str">
            <v>(61) 2032-5322</v>
          </cell>
        </row>
        <row r="267">
          <cell r="A267" t="str">
            <v>JOSE DA ABADIA SOARES DE JESUS</v>
          </cell>
          <cell r="B267" t="str">
            <v>144.435.461-20</v>
          </cell>
          <cell r="C267">
            <v>452171</v>
          </cell>
          <cell r="D267" t="str">
            <v>Agente de Vigilância</v>
          </cell>
          <cell r="E267" t="str">
            <v>Ativo Permanente</v>
          </cell>
          <cell r="F267" t="str">
            <v>MME - Ministério de Minas e Energia</v>
          </cell>
          <cell r="G267" t="str">
            <v>SE / SPOA / CGRL / COORDENAÇÃO DE ATIVIDADES GERAIS - COAGE</v>
          </cell>
          <cell r="H267" t="str">
            <v>8.105.120</v>
          </cell>
          <cell r="I267" t="str">
            <v>Função Gratificada</v>
          </cell>
          <cell r="J267" t="str">
            <v>FGR</v>
          </cell>
          <cell r="K267">
            <v>1</v>
          </cell>
          <cell r="L267" t="str">
            <v xml:space="preserve">Portaria nº </v>
          </cell>
          <cell r="M267">
            <v>524</v>
          </cell>
          <cell r="N267" t="str">
            <v>03/11/2016</v>
          </cell>
          <cell r="O267" t="str">
            <v>04/11/2016</v>
          </cell>
          <cell r="P267" t="str">
            <v>BPE</v>
          </cell>
          <cell r="Z267" t="str">
            <v>Sem designação</v>
          </cell>
          <cell r="AF267" t="str">
            <v>Masculino</v>
          </cell>
          <cell r="AG267" t="str">
            <v>Parda</v>
          </cell>
          <cell r="AH267" t="str">
            <v>28/09/1956</v>
          </cell>
          <cell r="AI267">
            <v>64</v>
          </cell>
          <cell r="AJ267">
            <v>5881.71</v>
          </cell>
          <cell r="AL267" t="str">
            <v>FA</v>
          </cell>
          <cell r="AM267">
            <v>5881.71</v>
          </cell>
          <cell r="AO267" t="str">
            <v>(61) 2032-5242</v>
          </cell>
        </row>
        <row r="268">
          <cell r="A268" t="str">
            <v>JOSE DOS SANTOS</v>
          </cell>
          <cell r="B268" t="str">
            <v>317.425.051-04</v>
          </cell>
          <cell r="C268">
            <v>455958</v>
          </cell>
          <cell r="D268" t="str">
            <v>Agente de Portaria</v>
          </cell>
          <cell r="E268" t="str">
            <v>Ativo Permanente</v>
          </cell>
          <cell r="F268" t="str">
            <v>MME - Ministério de Minas e Energia</v>
          </cell>
          <cell r="G268" t="str">
            <v>GM / ASTAD / COORDENAÇÃO DE ATIVIDADES ADMINISTRATIVAS</v>
          </cell>
          <cell r="H268" t="str">
            <v>2.100.101</v>
          </cell>
          <cell r="I268" t="str">
            <v>Função Comissionada Técnica - Auxilar de Sistemas Operacionais e Administrativos</v>
          </cell>
          <cell r="J268" t="str">
            <v>FCT</v>
          </cell>
          <cell r="K268">
            <v>11</v>
          </cell>
          <cell r="L268" t="str">
            <v xml:space="preserve">Portaria nº </v>
          </cell>
          <cell r="M268">
            <v>38</v>
          </cell>
          <cell r="N268" t="str">
            <v>24/02/2015</v>
          </cell>
          <cell r="O268" t="str">
            <v>25/02/2015</v>
          </cell>
          <cell r="P268" t="str">
            <v>DOU</v>
          </cell>
          <cell r="Z268" t="str">
            <v>Sem designação</v>
          </cell>
          <cell r="AF268" t="str">
            <v>Masculino</v>
          </cell>
          <cell r="AG268" t="str">
            <v>Parda</v>
          </cell>
          <cell r="AH268" t="str">
            <v>09/05/1963</v>
          </cell>
          <cell r="AI268">
            <v>57</v>
          </cell>
          <cell r="AJ268">
            <v>5864.61</v>
          </cell>
          <cell r="AL268" t="str">
            <v>FA</v>
          </cell>
          <cell r="AM268">
            <v>5864.61</v>
          </cell>
          <cell r="AN268" t="str">
            <v>santos@mme.gov.br</v>
          </cell>
          <cell r="AO268" t="str">
            <v>(61) 2032-5288</v>
          </cell>
        </row>
        <row r="269">
          <cell r="A269" t="str">
            <v>JOSE EUSTAQUIO PORTES</v>
          </cell>
          <cell r="B269" t="str">
            <v>428.221.901-78</v>
          </cell>
          <cell r="C269">
            <v>454714</v>
          </cell>
          <cell r="D269" t="str">
            <v>Datilógrafo</v>
          </cell>
          <cell r="E269" t="str">
            <v>Ativo Permanente</v>
          </cell>
          <cell r="F269" t="str">
            <v>MME - Ministério de Minas e Energia</v>
          </cell>
          <cell r="G269" t="str">
            <v>SEE / DPUE / COORDENAÇÃO GERAL DE UNIVERSALIZAÇÃO DO ACESSO À ENERGIA</v>
          </cell>
          <cell r="H269" t="str">
            <v>12.103.200</v>
          </cell>
          <cell r="I269" t="str">
            <v>Função Comissionada Técnica - Técnico em Recursos Energéticos</v>
          </cell>
          <cell r="J269" t="str">
            <v>FCT</v>
          </cell>
          <cell r="K269">
            <v>4</v>
          </cell>
          <cell r="L269" t="str">
            <v xml:space="preserve">Portaria nº </v>
          </cell>
          <cell r="M269">
            <v>276</v>
          </cell>
          <cell r="N269" t="str">
            <v>26/06/2018</v>
          </cell>
          <cell r="O269" t="str">
            <v>28/06/2018</v>
          </cell>
          <cell r="P269" t="str">
            <v>DOU</v>
          </cell>
          <cell r="Z269" t="str">
            <v>Sem designação</v>
          </cell>
          <cell r="AF269" t="str">
            <v>Masculino</v>
          </cell>
          <cell r="AG269" t="str">
            <v>Branca</v>
          </cell>
          <cell r="AH269" t="str">
            <v>08/09/1967</v>
          </cell>
          <cell r="AI269">
            <v>53</v>
          </cell>
          <cell r="AJ269">
            <v>6394.7</v>
          </cell>
          <cell r="AL269" t="str">
            <v>FA</v>
          </cell>
          <cell r="AM269">
            <v>6394.7</v>
          </cell>
          <cell r="AN269" t="str">
            <v>jose.portes@mme.gov.br</v>
          </cell>
          <cell r="AO269" t="str">
            <v>(61) 2032-5596</v>
          </cell>
        </row>
        <row r="270">
          <cell r="A270" t="str">
            <v>JOSÉ EVANDRO NASCIMENTO CARVALHO</v>
          </cell>
          <cell r="B270" t="str">
            <v>373.289.801-68</v>
          </cell>
          <cell r="C270">
            <v>454707</v>
          </cell>
          <cell r="D270" t="str">
            <v>Agente Administrativo</v>
          </cell>
          <cell r="E270" t="str">
            <v>Ativo Permanente</v>
          </cell>
          <cell r="F270" t="str">
            <v>MME - Ministério de Minas e Energia</v>
          </cell>
          <cell r="G270" t="str">
            <v>SE / SPOA / CGRH / COORDENAÇÃO DE ADMINISTRAÇÃO DE PESSOAL - CAPES</v>
          </cell>
          <cell r="H270" t="str">
            <v>8.105.210</v>
          </cell>
          <cell r="I270" t="str">
            <v>Coordenador de Administração de Pessoal da Coordenação Geral de Recursos Humanos</v>
          </cell>
          <cell r="J270" t="str">
            <v>DAS</v>
          </cell>
          <cell r="K270" t="str">
            <v>101.3</v>
          </cell>
          <cell r="L270" t="str">
            <v xml:space="preserve">Portaria nº </v>
          </cell>
          <cell r="M270">
            <v>524</v>
          </cell>
          <cell r="N270" t="str">
            <v>03/11/2016</v>
          </cell>
          <cell r="O270" t="str">
            <v>04/11/2016</v>
          </cell>
          <cell r="P270" t="str">
            <v>BPE</v>
          </cell>
          <cell r="Q270" t="str">
            <v>GSISTE</v>
          </cell>
          <cell r="R270" t="str">
            <v>Intermediário</v>
          </cell>
          <cell r="S270" t="str">
            <v>SIPEC  - Sistema de Pessoal Civil da Administração Federal</v>
          </cell>
          <cell r="T270" t="str">
            <v xml:space="preserve">Portaria nº </v>
          </cell>
          <cell r="U270">
            <v>74</v>
          </cell>
          <cell r="V270" t="str">
            <v>13/07/2017</v>
          </cell>
          <cell r="W270" t="str">
            <v>13/07/2017</v>
          </cell>
          <cell r="X270" t="str">
            <v>BPE</v>
          </cell>
          <cell r="Y270" t="str">
            <v>Coordenação Geral de Recursos Humanos</v>
          </cell>
          <cell r="Z270" t="str">
            <v>Eventual</v>
          </cell>
          <cell r="AA270" t="str">
            <v xml:space="preserve">Portaria nº </v>
          </cell>
          <cell r="AB270">
            <v>140</v>
          </cell>
          <cell r="AC270" t="str">
            <v>02/04/2008</v>
          </cell>
          <cell r="AD270" t="str">
            <v>03/04/2008</v>
          </cell>
          <cell r="AE270" t="str">
            <v>DOU</v>
          </cell>
          <cell r="AF270" t="str">
            <v>Masculino</v>
          </cell>
          <cell r="AG270" t="str">
            <v>Parda</v>
          </cell>
          <cell r="AH270" t="str">
            <v>11/01/1968</v>
          </cell>
          <cell r="AI270">
            <v>52</v>
          </cell>
          <cell r="AJ270">
            <v>11192.92</v>
          </cell>
          <cell r="AL270" t="str">
            <v>FA</v>
          </cell>
          <cell r="AM270">
            <v>11192.92</v>
          </cell>
          <cell r="AN270" t="str">
            <v>jose.carvalho@mme.gov.br</v>
          </cell>
          <cell r="AO270" t="str">
            <v>(61) 2032-5578</v>
          </cell>
          <cell r="AP270" t="str">
            <v>SE61</v>
          </cell>
          <cell r="AQ270" t="str">
            <v>SE31S</v>
          </cell>
        </row>
        <row r="271">
          <cell r="A271" t="str">
            <v>JOSE EVARISTO DA SILVA</v>
          </cell>
          <cell r="B271" t="str">
            <v>256.215.131-34</v>
          </cell>
          <cell r="C271">
            <v>453005</v>
          </cell>
          <cell r="D271" t="str">
            <v>Datilógrafo</v>
          </cell>
          <cell r="E271" t="str">
            <v>Ativo Permanente</v>
          </cell>
          <cell r="F271" t="str">
            <v>MME - Ministério de Minas e Energia</v>
          </cell>
          <cell r="G271" t="str">
            <v>GM / ASTAD / COORDENAÇÃO DE ATIVIDADES ADMINISTRATIVAS</v>
          </cell>
          <cell r="H271" t="str">
            <v>2.100.101</v>
          </cell>
          <cell r="I271" t="str">
            <v>Assistente da Coordenação de Atividades Administrativas do Gabinete do Ministro</v>
          </cell>
          <cell r="J271" t="str">
            <v>DAS</v>
          </cell>
          <cell r="K271" t="str">
            <v>102.2</v>
          </cell>
          <cell r="L271" t="str">
            <v xml:space="preserve">Portaria nº </v>
          </cell>
          <cell r="M271">
            <v>524</v>
          </cell>
          <cell r="N271" t="str">
            <v>03/11/2016</v>
          </cell>
          <cell r="O271" t="str">
            <v>04/11/2016</v>
          </cell>
          <cell r="P271" t="str">
            <v>BPE</v>
          </cell>
          <cell r="Z271" t="str">
            <v>Sem designação</v>
          </cell>
          <cell r="AF271" t="str">
            <v>Masculino</v>
          </cell>
          <cell r="AG271" t="str">
            <v>Parda</v>
          </cell>
          <cell r="AH271" t="str">
            <v>25/06/1959</v>
          </cell>
          <cell r="AI271">
            <v>61</v>
          </cell>
          <cell r="AJ271">
            <v>8052.27</v>
          </cell>
          <cell r="AL271" t="str">
            <v>DIR</v>
          </cell>
          <cell r="AM271">
            <v>8052.27</v>
          </cell>
          <cell r="AN271" t="str">
            <v>evaristo@mme.gov.br</v>
          </cell>
          <cell r="AO271" t="str">
            <v>(61) 2032-5246</v>
          </cell>
          <cell r="AP271" t="str">
            <v>GM20</v>
          </cell>
        </row>
        <row r="272">
          <cell r="A272" t="str">
            <v>JOSE LUIZ UBALDINO DE LIMA</v>
          </cell>
          <cell r="B272" t="str">
            <v>055.172.928-79</v>
          </cell>
          <cell r="C272">
            <v>2663818</v>
          </cell>
          <cell r="D272" t="str">
            <v>Analista de Infraestrutura</v>
          </cell>
          <cell r="E272" t="str">
            <v>Exercício Descentralizado</v>
          </cell>
          <cell r="F272" t="str">
            <v>ME - Ministério da Economia</v>
          </cell>
          <cell r="G272" t="str">
            <v>SGM / DGPM / COORDENAÇÃO GERAL DE GEOLOGIA E RECURSOS MINERAIS</v>
          </cell>
          <cell r="H272" t="str">
            <v>9.102.100</v>
          </cell>
          <cell r="I272" t="str">
            <v>Coordenação Geral de Geologia e Recursos Minerais do Departamento de Geologia e Produção Mineral</v>
          </cell>
          <cell r="J272" t="str">
            <v>FCPE</v>
          </cell>
          <cell r="K272" t="str">
            <v>101.4</v>
          </cell>
          <cell r="L272" t="str">
            <v xml:space="preserve">Portaria nº </v>
          </cell>
          <cell r="M272">
            <v>524</v>
          </cell>
          <cell r="N272" t="str">
            <v>03/11/2016</v>
          </cell>
          <cell r="O272" t="str">
            <v>04/11/2016</v>
          </cell>
          <cell r="P272" t="str">
            <v>BPE</v>
          </cell>
          <cell r="Y272" t="str">
            <v>Departamento de Geologia e Produção Mineral</v>
          </cell>
          <cell r="Z272" t="str">
            <v>Eventual</v>
          </cell>
          <cell r="AA272" t="str">
            <v xml:space="preserve">Portaria nº </v>
          </cell>
          <cell r="AB272">
            <v>561</v>
          </cell>
          <cell r="AC272" t="str">
            <v>10/06/2010</v>
          </cell>
          <cell r="AD272" t="str">
            <v>11/06/2010</v>
          </cell>
          <cell r="AE272" t="str">
            <v>DOU</v>
          </cell>
          <cell r="AF272" t="str">
            <v>Masculino</v>
          </cell>
          <cell r="AG272" t="str">
            <v>Parda</v>
          </cell>
          <cell r="AH272" t="str">
            <v>18/03/1964</v>
          </cell>
          <cell r="AI272">
            <v>56</v>
          </cell>
          <cell r="AJ272">
            <v>6548.99</v>
          </cell>
          <cell r="AK272">
            <v>17846.990000000002</v>
          </cell>
          <cell r="AL272" t="str">
            <v>FA</v>
          </cell>
          <cell r="AM272">
            <v>24395.980000000003</v>
          </cell>
          <cell r="AN272" t="str">
            <v>jose.ubaldino@mme.gov.br</v>
          </cell>
          <cell r="AO272" t="str">
            <v>(61) 2032-5024</v>
          </cell>
          <cell r="AP272" t="str">
            <v>SGM18</v>
          </cell>
          <cell r="AQ272" t="str">
            <v>SGM07S</v>
          </cell>
        </row>
        <row r="273">
          <cell r="A273" t="str">
            <v>JOSE MANOEL DE SOUZA NETO</v>
          </cell>
          <cell r="B273" t="str">
            <v>153.606.441-68</v>
          </cell>
          <cell r="C273">
            <v>451458</v>
          </cell>
          <cell r="D273" t="str">
            <v>Agente Administrativo</v>
          </cell>
          <cell r="E273" t="str">
            <v>Ativo Permanente</v>
          </cell>
          <cell r="F273" t="str">
            <v>MME - Ministério de Minas e Energia</v>
          </cell>
          <cell r="G273" t="str">
            <v>GM / ASTAD / COORDENAÇÃO DE ATIVIDADES ADMINISTRATIVAS</v>
          </cell>
          <cell r="H273" t="str">
            <v>2.100.101</v>
          </cell>
          <cell r="Q273" t="str">
            <v>GSISTE</v>
          </cell>
          <cell r="R273" t="str">
            <v>Intermediário</v>
          </cell>
          <cell r="S273" t="str">
            <v>SISG - Sistema de Serviços Gerais</v>
          </cell>
          <cell r="T273" t="str">
            <v xml:space="preserve">Portaria nº </v>
          </cell>
          <cell r="U273">
            <v>27</v>
          </cell>
          <cell r="V273" t="str">
            <v>15/03/2017</v>
          </cell>
          <cell r="W273" t="str">
            <v>15/03/2017</v>
          </cell>
          <cell r="X273" t="str">
            <v>BPE</v>
          </cell>
          <cell r="Z273" t="str">
            <v>Sem designação</v>
          </cell>
          <cell r="AF273" t="str">
            <v>Masculino</v>
          </cell>
          <cell r="AG273" t="str">
            <v>Parda</v>
          </cell>
          <cell r="AH273" t="str">
            <v>17/10/1959</v>
          </cell>
          <cell r="AI273">
            <v>61</v>
          </cell>
          <cell r="AJ273">
            <v>8225.7999999999993</v>
          </cell>
          <cell r="AL273" t="str">
            <v>DIR</v>
          </cell>
          <cell r="AM273">
            <v>8225.7999999999993</v>
          </cell>
          <cell r="AN273" t="str">
            <v>JoseManoel@mme.gov.br</v>
          </cell>
          <cell r="AO273" t="str">
            <v>(61) 2032-5166</v>
          </cell>
        </row>
        <row r="274">
          <cell r="A274" t="str">
            <v>JOSE MAURO FERREIRA COELHO</v>
          </cell>
          <cell r="B274" t="str">
            <v>755.379.677-00</v>
          </cell>
          <cell r="D274" t="str">
            <v>Analista de Pesquisa Energética</v>
          </cell>
          <cell r="E274" t="str">
            <v>Requisitado de Órgãos</v>
          </cell>
          <cell r="F274" t="str">
            <v>EPE - Empresa de Pesquisa Energética</v>
          </cell>
          <cell r="G274" t="str">
            <v>SECRETARIA DE PETRÓLEO, GÁS NATURAL E BIOCOMBUSTÍVEIS - SPG</v>
          </cell>
          <cell r="H274" t="str">
            <v>11.000.000</v>
          </cell>
          <cell r="I274" t="str">
            <v>Secretário de Petróleo, Gás Natural e Biocombustíveis</v>
          </cell>
          <cell r="J274" t="str">
            <v>DAS</v>
          </cell>
          <cell r="K274" t="str">
            <v>101.6</v>
          </cell>
          <cell r="L274" t="str">
            <v xml:space="preserve">Portaria nº </v>
          </cell>
          <cell r="M274">
            <v>169</v>
          </cell>
          <cell r="N274" t="str">
            <v>03/04/2020</v>
          </cell>
          <cell r="O274" t="str">
            <v>06/04/2020</v>
          </cell>
          <cell r="P274" t="str">
            <v>DOU</v>
          </cell>
          <cell r="Z274" t="str">
            <v>Sem designação</v>
          </cell>
          <cell r="AF274" t="str">
            <v>Masculino</v>
          </cell>
          <cell r="AG274" t="str">
            <v>Branca</v>
          </cell>
          <cell r="AH274" t="str">
            <v>15/09/1964</v>
          </cell>
          <cell r="AI274">
            <v>56</v>
          </cell>
          <cell r="AJ274">
            <v>10396.59</v>
          </cell>
          <cell r="AK274">
            <v>10359.82</v>
          </cell>
          <cell r="AL274" t="str">
            <v>FA</v>
          </cell>
          <cell r="AM274">
            <v>20756.41</v>
          </cell>
          <cell r="AN274" t="str">
            <v>jose.mauro@mme.gov.br</v>
          </cell>
          <cell r="AO274" t="str">
            <v>(61) 2032-5029</v>
          </cell>
          <cell r="AP274" t="str">
            <v>SPG01</v>
          </cell>
        </row>
        <row r="275">
          <cell r="A275" t="str">
            <v>JOSE REINALDO DA SILVA</v>
          </cell>
          <cell r="B275" t="str">
            <v>182.493.101-87</v>
          </cell>
          <cell r="C275">
            <v>1678890</v>
          </cell>
          <cell r="D275" t="str">
            <v>Bombeiro Hidraulico</v>
          </cell>
          <cell r="E275" t="str">
            <v>Anistiado MME</v>
          </cell>
          <cell r="F275" t="str">
            <v>MME - Ministério de Minas e Energia</v>
          </cell>
          <cell r="G275" t="str">
            <v>SE / SPOA / CGRL / COORDENAÇÃO DE ATIVIDADES GERAIS - COAGE</v>
          </cell>
          <cell r="H275" t="str">
            <v>8.105.120</v>
          </cell>
          <cell r="Z275" t="str">
            <v>Sem designação</v>
          </cell>
          <cell r="AF275" t="str">
            <v>Masculino</v>
          </cell>
          <cell r="AG275" t="str">
            <v>Branca</v>
          </cell>
          <cell r="AH275" t="str">
            <v>14/02/1962</v>
          </cell>
          <cell r="AI275">
            <v>58</v>
          </cell>
          <cell r="AJ275">
            <v>3268.41</v>
          </cell>
          <cell r="AL275" t="str">
            <v>FA</v>
          </cell>
          <cell r="AM275">
            <v>3268.41</v>
          </cell>
          <cell r="AN275" t="str">
            <v>jose.reinaldo@mme.gov.br</v>
          </cell>
          <cell r="AO275" t="str">
            <v>(61) 2032-5676</v>
          </cell>
        </row>
        <row r="276">
          <cell r="A276" t="str">
            <v>JOSE ROBERTO BUENO JUNIOR</v>
          </cell>
          <cell r="B276" t="str">
            <v>802.949.797-00</v>
          </cell>
          <cell r="C276">
            <v>1530778</v>
          </cell>
          <cell r="D276" t="str">
            <v>Sem Cargo/Emprego</v>
          </cell>
          <cell r="E276" t="str">
            <v>Sem Vínculo</v>
          </cell>
          <cell r="F276" t="str">
            <v>Sem Vínculo</v>
          </cell>
          <cell r="G276" t="str">
            <v>GM/ CHEFIA DE GABINETE GM</v>
          </cell>
          <cell r="H276" t="str">
            <v>2.100.000</v>
          </cell>
          <cell r="I276" t="str">
            <v>Chefe de Gabinete do Ministro</v>
          </cell>
          <cell r="J276" t="str">
            <v>DAS</v>
          </cell>
          <cell r="K276" t="str">
            <v>101.5</v>
          </cell>
          <cell r="L276" t="str">
            <v xml:space="preserve">Portaria nº </v>
          </cell>
          <cell r="M276">
            <v>594</v>
          </cell>
          <cell r="N276" t="str">
            <v>16/01/2019</v>
          </cell>
          <cell r="O276" t="str">
            <v>17/01/2019</v>
          </cell>
          <cell r="P276" t="str">
            <v>DOU</v>
          </cell>
          <cell r="Z276" t="str">
            <v>Sem designação</v>
          </cell>
          <cell r="AF276" t="str">
            <v>Masculino</v>
          </cell>
          <cell r="AG276" t="str">
            <v>Parda</v>
          </cell>
          <cell r="AH276" t="str">
            <v>16/05/1960</v>
          </cell>
          <cell r="AI276">
            <v>60</v>
          </cell>
          <cell r="AJ276">
            <v>13623.39</v>
          </cell>
          <cell r="AL276" t="str">
            <v>FA</v>
          </cell>
          <cell r="AM276">
            <v>13623.39</v>
          </cell>
          <cell r="AN276" t="str">
            <v>bueno@mme.gov.br</v>
          </cell>
          <cell r="AO276" t="str">
            <v>(61) 2032-5880</v>
          </cell>
          <cell r="AP276" t="str">
            <v>GM11</v>
          </cell>
        </row>
        <row r="277">
          <cell r="A277" t="str">
            <v>JOSE VITOR ALVES DA COSTA</v>
          </cell>
          <cell r="B277" t="str">
            <v>151.895.201-10</v>
          </cell>
          <cell r="C277">
            <v>1670851</v>
          </cell>
          <cell r="D277" t="str">
            <v>Motorista</v>
          </cell>
          <cell r="E277" t="str">
            <v>Anistiado MME</v>
          </cell>
          <cell r="F277" t="str">
            <v>MME - Ministério de Minas e Energia</v>
          </cell>
          <cell r="G277" t="str">
            <v>SE / SPOA / CGRL / COORDENAÇÃO DE ATIVIDADES GERAIS - COAGE</v>
          </cell>
          <cell r="H277" t="str">
            <v>8.105.120</v>
          </cell>
          <cell r="Z277" t="str">
            <v>Sem designação</v>
          </cell>
          <cell r="AF277" t="str">
            <v>Masculino</v>
          </cell>
          <cell r="AG277" t="str">
            <v>Parda</v>
          </cell>
          <cell r="AH277" t="str">
            <v>10/10/1951</v>
          </cell>
          <cell r="AI277">
            <v>69</v>
          </cell>
          <cell r="AJ277">
            <v>4275.71</v>
          </cell>
          <cell r="AL277" t="str">
            <v>FA</v>
          </cell>
          <cell r="AM277">
            <v>4275.71</v>
          </cell>
        </row>
        <row r="278">
          <cell r="A278" t="str">
            <v>JOSEIZA ATAIDE DE CASTRO</v>
          </cell>
          <cell r="B278" t="str">
            <v>124.026.481-04</v>
          </cell>
          <cell r="C278">
            <v>1670504</v>
          </cell>
          <cell r="D278" t="str">
            <v>Codificador de Dados I</v>
          </cell>
          <cell r="E278" t="str">
            <v>Anistiado MME</v>
          </cell>
          <cell r="F278" t="str">
            <v>MME - Ministério de Minas e Energia</v>
          </cell>
          <cell r="G278" t="str">
            <v>SE / SPOA / COORDENAÇÃO GERAL DE RECURSOS HUMANOS - CGRH</v>
          </cell>
          <cell r="H278" t="str">
            <v>8.105.200</v>
          </cell>
          <cell r="Z278" t="str">
            <v>Sem designação</v>
          </cell>
          <cell r="AF278" t="str">
            <v>Feminino</v>
          </cell>
          <cell r="AG278" t="str">
            <v>Parda</v>
          </cell>
          <cell r="AH278" t="str">
            <v>02/10/1957</v>
          </cell>
          <cell r="AI278">
            <v>63</v>
          </cell>
          <cell r="AJ278">
            <v>4275.71</v>
          </cell>
          <cell r="AL278" t="str">
            <v>FA</v>
          </cell>
          <cell r="AM278">
            <v>4275.71</v>
          </cell>
          <cell r="AN278" t="str">
            <v>joseiza.castro@mme.gov.br</v>
          </cell>
          <cell r="AO278" t="str">
            <v>(61) 2032-5565</v>
          </cell>
        </row>
        <row r="279">
          <cell r="A279" t="str">
            <v>JOSELITA RODRIGUES DINIZ AZEVEDO</v>
          </cell>
          <cell r="B279" t="str">
            <v>145.639.591-20</v>
          </cell>
          <cell r="C279">
            <v>1669504</v>
          </cell>
          <cell r="D279" t="str">
            <v>Escriturário III</v>
          </cell>
          <cell r="E279" t="str">
            <v>Anistiado MME</v>
          </cell>
          <cell r="F279" t="str">
            <v>MME - Ministério de Minas e Energia</v>
          </cell>
          <cell r="G279" t="str">
            <v>SE / SPOA / CGRL / COORDENAÇÃO DE ATIVIDADES GERAIS - COAGE</v>
          </cell>
          <cell r="H279" t="str">
            <v>8.105.120</v>
          </cell>
          <cell r="Z279" t="str">
            <v>Sem designação</v>
          </cell>
          <cell r="AF279" t="str">
            <v>Feminino</v>
          </cell>
          <cell r="AG279" t="str">
            <v>Branca</v>
          </cell>
          <cell r="AH279" t="str">
            <v>24/03/1957</v>
          </cell>
          <cell r="AI279">
            <v>63</v>
          </cell>
          <cell r="AJ279">
            <v>3915.9</v>
          </cell>
          <cell r="AL279" t="str">
            <v>FA</v>
          </cell>
          <cell r="AM279">
            <v>3915.9</v>
          </cell>
          <cell r="AN279" t="str">
            <v>joselita.azevedo@mme.gov.br</v>
          </cell>
          <cell r="AO279" t="str">
            <v>(61) 2032-5711</v>
          </cell>
        </row>
        <row r="280">
          <cell r="A280" t="str">
            <v>JOSIAS DO CANTO FERNANDES</v>
          </cell>
          <cell r="B280" t="str">
            <v>119.280.341-87</v>
          </cell>
          <cell r="C280">
            <v>6456060</v>
          </cell>
          <cell r="D280" t="str">
            <v>Analista de Informações</v>
          </cell>
          <cell r="E280" t="str">
            <v>Ativo Permanente</v>
          </cell>
          <cell r="F280" t="str">
            <v>MME - Ministério de Minas e Energia</v>
          </cell>
          <cell r="G280" t="str">
            <v>SE / SPOA / COORDENAÇÃO GERAL DE RECURSOS HUMANOS - CGRH</v>
          </cell>
          <cell r="H280" t="str">
            <v>8.105.200</v>
          </cell>
          <cell r="Q280" t="str">
            <v>GSISTE</v>
          </cell>
          <cell r="R280" t="str">
            <v>Superior</v>
          </cell>
          <cell r="S280" t="str">
            <v>SIPEC  - Sistema de Pessoal Civil da Administração Federal</v>
          </cell>
          <cell r="T280" t="str">
            <v xml:space="preserve">Portaria nº </v>
          </cell>
          <cell r="U280">
            <v>61</v>
          </cell>
          <cell r="V280" t="str">
            <v>30/06/2011</v>
          </cell>
          <cell r="W280" t="str">
            <v>30/06/2011</v>
          </cell>
          <cell r="X280" t="str">
            <v>BPE</v>
          </cell>
          <cell r="Z280" t="str">
            <v>Sem designação</v>
          </cell>
          <cell r="AF280" t="str">
            <v>Masculino</v>
          </cell>
          <cell r="AG280" t="str">
            <v>Branca</v>
          </cell>
          <cell r="AH280" t="str">
            <v>30/01/1953</v>
          </cell>
          <cell r="AI280">
            <v>67</v>
          </cell>
          <cell r="AJ280">
            <v>14757.04</v>
          </cell>
          <cell r="AL280" t="str">
            <v>FA</v>
          </cell>
          <cell r="AM280">
            <v>14757.04</v>
          </cell>
          <cell r="AN280" t="str">
            <v>Josiascanto@mme.gov.br</v>
          </cell>
          <cell r="AO280" t="str">
            <v>(61) 2032-5496</v>
          </cell>
        </row>
        <row r="281">
          <cell r="A281" t="str">
            <v>JOSUE DE ARAUJO</v>
          </cell>
          <cell r="B281" t="str">
            <v>660.799.421-00</v>
          </cell>
          <cell r="C281">
            <v>1439997</v>
          </cell>
          <cell r="D281" t="str">
            <v>Analista em Tecnologia da Informação</v>
          </cell>
          <cell r="E281" t="str">
            <v>Exercício Descentralizado</v>
          </cell>
          <cell r="F281" t="str">
            <v>ME - Ministério da Economia</v>
          </cell>
          <cell r="G281" t="str">
            <v>SE / SPOA / CGTI / COORDENAÇÃO DE TECNOLOGIA DE SISTEMAS DE INFORMAÇÃO - CTSI</v>
          </cell>
          <cell r="H281" t="str">
            <v>8.105.320</v>
          </cell>
          <cell r="Z281" t="str">
            <v>Sem designação</v>
          </cell>
          <cell r="AF281" t="str">
            <v>Masculino</v>
          </cell>
          <cell r="AG281" t="str">
            <v>Parda</v>
          </cell>
          <cell r="AH281" t="str">
            <v>15/04/1969</v>
          </cell>
          <cell r="AI281">
            <v>51</v>
          </cell>
          <cell r="AJ281">
            <v>0</v>
          </cell>
          <cell r="AK281">
            <v>11832.03</v>
          </cell>
          <cell r="AL281" t="str">
            <v>FA</v>
          </cell>
          <cell r="AM281">
            <v>11832.03</v>
          </cell>
          <cell r="AN281" t="str">
            <v>josue.araujo@mme.gov.br</v>
          </cell>
          <cell r="AO281" t="str">
            <v>(61) 2032-5926</v>
          </cell>
        </row>
        <row r="282">
          <cell r="A282" t="str">
            <v>JUAN LUIS DANILO CATALAN ZAMUDIO</v>
          </cell>
          <cell r="B282" t="str">
            <v>180.313.317-15</v>
          </cell>
          <cell r="C282">
            <v>1373497</v>
          </cell>
          <cell r="D282" t="str">
            <v>Analista de Tecnologia da Informação</v>
          </cell>
          <cell r="E282" t="str">
            <v>Requisitado de Empresa</v>
          </cell>
          <cell r="F282" t="str">
            <v>DATAPREV - Empresa de Tecnologia e Informações da Previdência</v>
          </cell>
          <cell r="G282" t="str">
            <v>SEE / CHEFIA DE GABINETE SEE</v>
          </cell>
          <cell r="H282" t="str">
            <v>12.100.000</v>
          </cell>
          <cell r="I282" t="str">
            <v>Assessor da Secretaria de Energia Elétrica</v>
          </cell>
          <cell r="J282" t="str">
            <v>DAS</v>
          </cell>
          <cell r="K282" t="str">
            <v>102.4</v>
          </cell>
          <cell r="L282" t="str">
            <v xml:space="preserve">Portaria nº </v>
          </cell>
          <cell r="M282">
            <v>574</v>
          </cell>
          <cell r="N282" t="str">
            <v>03/11/2016</v>
          </cell>
          <cell r="O282" t="str">
            <v>04/11/2016</v>
          </cell>
          <cell r="P282" t="str">
            <v>DOU</v>
          </cell>
          <cell r="Z282" t="str">
            <v>Sem designação</v>
          </cell>
          <cell r="AF282" t="str">
            <v>Masculino</v>
          </cell>
          <cell r="AG282" t="str">
            <v>Branca</v>
          </cell>
          <cell r="AH282" t="str">
            <v>22/06/1951</v>
          </cell>
          <cell r="AI282">
            <v>69</v>
          </cell>
          <cell r="AJ282">
            <v>6223.98</v>
          </cell>
          <cell r="AK282">
            <v>17623.28</v>
          </cell>
          <cell r="AL282" t="str">
            <v>FA</v>
          </cell>
          <cell r="AM282">
            <v>23847.26</v>
          </cell>
          <cell r="AN282" t="str">
            <v>juan.zamudio@mme.gov.br</v>
          </cell>
          <cell r="AO282" t="str">
            <v>(61) 2032-5285</v>
          </cell>
          <cell r="AP282" t="str">
            <v>SEE04</v>
          </cell>
        </row>
        <row r="283">
          <cell r="A283" t="str">
            <v>JUAREZ DUARTE FRANCO</v>
          </cell>
          <cell r="B283" t="str">
            <v>504.425.031-72</v>
          </cell>
          <cell r="C283">
            <v>451667</v>
          </cell>
          <cell r="D283" t="str">
            <v>Agente Administrativo</v>
          </cell>
          <cell r="E283" t="str">
            <v>Ativo Permanente</v>
          </cell>
          <cell r="F283" t="str">
            <v>MME - Ministério de Minas e Energia</v>
          </cell>
          <cell r="G283" t="str">
            <v>CONJUR / CGAA / COORDENAÇÃO DE APOIO ADMINISTRATIVO</v>
          </cell>
          <cell r="H283" t="str">
            <v>7.100.310</v>
          </cell>
          <cell r="I283" t="str">
            <v>Coordenador da Coordenação Geral de Assuntos Administrativos da Consultoria Jurídica</v>
          </cell>
          <cell r="J283" t="str">
            <v>FCPE</v>
          </cell>
          <cell r="K283" t="str">
            <v>101.3</v>
          </cell>
          <cell r="L283" t="str">
            <v xml:space="preserve">Portaria nº </v>
          </cell>
          <cell r="M283">
            <v>536</v>
          </cell>
          <cell r="N283" t="str">
            <v>03/11/2016</v>
          </cell>
          <cell r="O283" t="str">
            <v>04/11/2016</v>
          </cell>
          <cell r="P283" t="str">
            <v>DOU</v>
          </cell>
          <cell r="Z283" t="str">
            <v>Sem designação</v>
          </cell>
          <cell r="AF283" t="str">
            <v>Masculino</v>
          </cell>
          <cell r="AG283" t="str">
            <v>Branca</v>
          </cell>
          <cell r="AH283" t="str">
            <v>12/05/1964</v>
          </cell>
          <cell r="AI283">
            <v>56</v>
          </cell>
          <cell r="AJ283">
            <v>9149.48</v>
          </cell>
          <cell r="AL283" t="str">
            <v>FA</v>
          </cell>
          <cell r="AM283">
            <v>9149.48</v>
          </cell>
          <cell r="AN283" t="str">
            <v>Juarez@mme.gov.br</v>
          </cell>
          <cell r="AO283" t="str">
            <v>(61) 2032-5328</v>
          </cell>
          <cell r="AP283" t="str">
            <v>CONJUR13</v>
          </cell>
        </row>
        <row r="284">
          <cell r="A284" t="str">
            <v>JULIA MELO MENESES</v>
          </cell>
          <cell r="B284" t="str">
            <v>247.700.601-06</v>
          </cell>
          <cell r="C284">
            <v>1669136</v>
          </cell>
          <cell r="D284" t="str">
            <v>Auxiliar Codificação e Conferência</v>
          </cell>
          <cell r="E284" t="str">
            <v>Anistiado MME</v>
          </cell>
          <cell r="F284" t="str">
            <v>MME - Ministério de Minas e Energia</v>
          </cell>
          <cell r="G284" t="str">
            <v>SE / SPOA / CGRH / COORDENAÇÃO DE DESENVOLVIMENTO E SEGURIDADE SOCIAL - CODES</v>
          </cell>
          <cell r="H284" t="str">
            <v>8.105.220</v>
          </cell>
          <cell r="Z284" t="str">
            <v>Sem designação</v>
          </cell>
          <cell r="AF284" t="str">
            <v>Feminino</v>
          </cell>
          <cell r="AG284" t="str">
            <v>Parda</v>
          </cell>
          <cell r="AH284" t="str">
            <v>22/06/1964</v>
          </cell>
          <cell r="AI284">
            <v>56</v>
          </cell>
          <cell r="AJ284">
            <v>3915.9</v>
          </cell>
          <cell r="AL284" t="str">
            <v>FA</v>
          </cell>
          <cell r="AM284">
            <v>3915.9</v>
          </cell>
          <cell r="AN284" t="str">
            <v>julia.meneses@mme.gov.br</v>
          </cell>
          <cell r="AO284" t="str">
            <v>(61) 2032-5069</v>
          </cell>
        </row>
        <row r="285">
          <cell r="A285" t="str">
            <v>JULIANA PEREIRA DA SILVA</v>
          </cell>
          <cell r="B285" t="str">
            <v>787.446.015-49</v>
          </cell>
          <cell r="C285">
            <v>1717625</v>
          </cell>
          <cell r="D285" t="str">
            <v>Sem Cargo/Emprego</v>
          </cell>
          <cell r="E285" t="str">
            <v>Sem Vínculo</v>
          </cell>
          <cell r="F285" t="str">
            <v>Sem Vínculo</v>
          </cell>
          <cell r="G285" t="str">
            <v>SPE / DEPARTAMENTO DE OUTORGAS DE CONCESSÕES, PERMISSÕES E AUTORIZAÇÕES - DOC</v>
          </cell>
          <cell r="H285" t="str">
            <v>10.103.000</v>
          </cell>
          <cell r="I285" t="str">
            <v>Assistente do Departamento de Outorgas de Concessões, Permissões e Autorizações</v>
          </cell>
          <cell r="J285" t="str">
            <v>DAS</v>
          </cell>
          <cell r="K285" t="str">
            <v>102.2</v>
          </cell>
          <cell r="L285" t="str">
            <v xml:space="preserve">Portaria nº </v>
          </cell>
          <cell r="M285">
            <v>524</v>
          </cell>
          <cell r="N285" t="str">
            <v>03/11/2016</v>
          </cell>
          <cell r="O285" t="str">
            <v>04/11/2016</v>
          </cell>
          <cell r="P285" t="str">
            <v>BPE</v>
          </cell>
          <cell r="Z285" t="str">
            <v>Sem designação</v>
          </cell>
          <cell r="AF285" t="str">
            <v>Feminino</v>
          </cell>
          <cell r="AG285" t="str">
            <v>Branca</v>
          </cell>
          <cell r="AH285" t="str">
            <v>24/03/1980</v>
          </cell>
          <cell r="AI285">
            <v>40</v>
          </cell>
          <cell r="AJ285">
            <v>3440.75</v>
          </cell>
          <cell r="AL285" t="str">
            <v>FA</v>
          </cell>
          <cell r="AM285">
            <v>3440.75</v>
          </cell>
          <cell r="AN285" t="str">
            <v>juliana.silva@mme.gov.br</v>
          </cell>
          <cell r="AO285" t="str">
            <v>(61) 2032-5600</v>
          </cell>
          <cell r="AP285" t="str">
            <v>SPE23</v>
          </cell>
        </row>
        <row r="286">
          <cell r="A286" t="str">
            <v>JULIANA SOBREIRA PEREIRA DAVEY</v>
          </cell>
          <cell r="B286" t="str">
            <v>005.010.841-77</v>
          </cell>
          <cell r="C286">
            <v>1131440</v>
          </cell>
          <cell r="D286" t="str">
            <v>Analista de Infraestrutura</v>
          </cell>
          <cell r="E286" t="str">
            <v>Exercício Descentralizado</v>
          </cell>
          <cell r="F286" t="str">
            <v>ME - Ministério da Economia</v>
          </cell>
          <cell r="G286" t="str">
            <v>SGM / DEPARTAMENTO DE GESTÃO DAS POLÍTICAS DE GEOLOGIA, MINERAÇÃOE TRANSFORMAÇÃO - DPGM</v>
          </cell>
          <cell r="H286" t="str">
            <v>9.101.000</v>
          </cell>
          <cell r="Z286" t="str">
            <v>Sem designação</v>
          </cell>
          <cell r="AF286" t="str">
            <v>Feminino</v>
          </cell>
          <cell r="AG286" t="str">
            <v>Branca</v>
          </cell>
          <cell r="AH286" t="str">
            <v>10/01/1984</v>
          </cell>
          <cell r="AI286">
            <v>36</v>
          </cell>
          <cell r="AJ286">
            <v>0</v>
          </cell>
          <cell r="AK286">
            <v>14503.55</v>
          </cell>
          <cell r="AL286" t="str">
            <v>FA</v>
          </cell>
          <cell r="AM286">
            <v>14503.55</v>
          </cell>
          <cell r="AN286" t="str">
            <v>juliana.sobreira@mme.gov.br</v>
          </cell>
          <cell r="AO286" t="str">
            <v>(61) 2032-5182</v>
          </cell>
        </row>
        <row r="287">
          <cell r="A287" t="str">
            <v>JULIETTE QUEIROZ MONSA</v>
          </cell>
          <cell r="B287" t="str">
            <v>634.949.491-15</v>
          </cell>
          <cell r="C287">
            <v>2353624</v>
          </cell>
          <cell r="D287" t="str">
            <v>Sem Cargo/Emprego</v>
          </cell>
          <cell r="E287" t="str">
            <v>Sem Vínculo</v>
          </cell>
          <cell r="F287" t="str">
            <v>Sem Vínculo</v>
          </cell>
          <cell r="G287" t="str">
            <v>SE / CHEFIA DE GABINETE SE</v>
          </cell>
          <cell r="H287" t="str">
            <v>8.100.000</v>
          </cell>
          <cell r="I287" t="str">
            <v>Chefe de Gabinete da Secretaria Executiva</v>
          </cell>
          <cell r="J287" t="str">
            <v>DAS</v>
          </cell>
          <cell r="K287" t="str">
            <v>101.4</v>
          </cell>
          <cell r="L287" t="str">
            <v xml:space="preserve">Portaria nº </v>
          </cell>
          <cell r="M287">
            <v>524</v>
          </cell>
          <cell r="N287" t="str">
            <v>03/11/2016</v>
          </cell>
          <cell r="O287" t="str">
            <v>04/11/2016</v>
          </cell>
          <cell r="P287" t="str">
            <v>BPE</v>
          </cell>
          <cell r="Z287" t="str">
            <v>Sem designação</v>
          </cell>
          <cell r="AF287" t="str">
            <v>Feminino</v>
          </cell>
          <cell r="AG287" t="str">
            <v>Branca</v>
          </cell>
          <cell r="AH287" t="str">
            <v>20/07/1974</v>
          </cell>
          <cell r="AI287">
            <v>46</v>
          </cell>
          <cell r="AJ287">
            <v>10373.299999999999</v>
          </cell>
          <cell r="AL287" t="str">
            <v>FA</v>
          </cell>
          <cell r="AM287">
            <v>10373.299999999999</v>
          </cell>
          <cell r="AN287" t="str">
            <v>juliette.monsa@mme.gov.br</v>
          </cell>
          <cell r="AO287" t="str">
            <v>(61) 2032-5933</v>
          </cell>
          <cell r="AP287" t="str">
            <v>SE13</v>
          </cell>
        </row>
        <row r="288">
          <cell r="A288" t="str">
            <v>JULIO CESAR MELLO RODRIGUES</v>
          </cell>
          <cell r="B288" t="str">
            <v>187.963.248-99</v>
          </cell>
          <cell r="C288">
            <v>1423510</v>
          </cell>
          <cell r="D288" t="str">
            <v>Especialista em Política Pública e Gestão Governamental</v>
          </cell>
          <cell r="E288" t="str">
            <v>Requisitado de Órgãos</v>
          </cell>
          <cell r="F288" t="str">
            <v>ANM - Agência Nacional de Mineração</v>
          </cell>
          <cell r="G288" t="str">
            <v>SE / ASSESSORIA ESPECIAL DE GESTÃO ESTRATÉGICA - AEGE</v>
          </cell>
          <cell r="H288" t="str">
            <v>8.101.000</v>
          </cell>
          <cell r="Q288" t="str">
            <v>GSISP</v>
          </cell>
          <cell r="R288" t="str">
            <v>Superior</v>
          </cell>
          <cell r="S288" t="str">
            <v>SISP - Sistema dos Recursos de Informação e Informática</v>
          </cell>
          <cell r="T288" t="str">
            <v xml:space="preserve">Portaria nº </v>
          </cell>
          <cell r="U288" t="str">
            <v>´15</v>
          </cell>
          <cell r="V288" t="str">
            <v>13/08/2020</v>
          </cell>
          <cell r="W288" t="str">
            <v>14/08/2020</v>
          </cell>
          <cell r="X288" t="str">
            <v>DOU</v>
          </cell>
          <cell r="AF288" t="str">
            <v>Masculino</v>
          </cell>
          <cell r="AG288" t="str">
            <v>Branca</v>
          </cell>
          <cell r="AH288" t="str">
            <v>26/05/1975</v>
          </cell>
          <cell r="AI288">
            <v>45</v>
          </cell>
          <cell r="AJ288">
            <v>4491</v>
          </cell>
          <cell r="AL288" t="str">
            <v>FA</v>
          </cell>
          <cell r="AM288">
            <v>4491</v>
          </cell>
          <cell r="AN288" t="str">
            <v>julio.rodrigues@mme.gov.br</v>
          </cell>
          <cell r="AO288" t="str">
            <v>(61) 2032-5180</v>
          </cell>
        </row>
        <row r="289">
          <cell r="A289" t="str">
            <v>JUSCELINO DE SOUSA SANTOS</v>
          </cell>
          <cell r="B289" t="str">
            <v>143.748.541-34</v>
          </cell>
          <cell r="C289">
            <v>758361</v>
          </cell>
          <cell r="D289" t="str">
            <v>Motorista Oficial</v>
          </cell>
          <cell r="E289" t="str">
            <v>Ativo Permanente</v>
          </cell>
          <cell r="F289" t="str">
            <v>MME - Ministério de Minas e Energia</v>
          </cell>
          <cell r="G289" t="str">
            <v>SE / SPOA / CGRL / COORDENAÇÃO DE ATIVIDADES GERAIS - COAGE</v>
          </cell>
          <cell r="H289" t="str">
            <v>8.105.120</v>
          </cell>
          <cell r="I289" t="str">
            <v>Função Gratificada</v>
          </cell>
          <cell r="J289" t="str">
            <v>FGR</v>
          </cell>
          <cell r="K289">
            <v>1</v>
          </cell>
          <cell r="L289" t="str">
            <v xml:space="preserve">Portaria nº </v>
          </cell>
          <cell r="M289">
            <v>524</v>
          </cell>
          <cell r="N289" t="str">
            <v>03/11/2016</v>
          </cell>
          <cell r="O289" t="str">
            <v>04/11/2016</v>
          </cell>
          <cell r="P289" t="str">
            <v>BPE</v>
          </cell>
          <cell r="Z289" t="str">
            <v>Sem designação</v>
          </cell>
          <cell r="AF289" t="str">
            <v>Masculino</v>
          </cell>
          <cell r="AG289" t="str">
            <v>Preta</v>
          </cell>
          <cell r="AH289" t="str">
            <v>21/10/1952</v>
          </cell>
          <cell r="AI289">
            <v>68</v>
          </cell>
          <cell r="AJ289">
            <v>6589.85</v>
          </cell>
          <cell r="AL289" t="str">
            <v>FA</v>
          </cell>
          <cell r="AM289">
            <v>6589.85</v>
          </cell>
          <cell r="AN289" t="str">
            <v>juscelino.santos@mme.gov.br</v>
          </cell>
          <cell r="AO289" t="str">
            <v>(61) 2032-5114</v>
          </cell>
        </row>
        <row r="290">
          <cell r="A290" t="str">
            <v>KATIA HOLANDA DE CARVALHO</v>
          </cell>
          <cell r="B290" t="str">
            <v>350.659.901-15</v>
          </cell>
          <cell r="C290">
            <v>451665</v>
          </cell>
          <cell r="D290" t="str">
            <v>Agente Administrativo</v>
          </cell>
          <cell r="E290" t="str">
            <v>Ativo Permanente</v>
          </cell>
          <cell r="F290" t="str">
            <v>MME - Ministério de Minas e Energia</v>
          </cell>
          <cell r="G290" t="str">
            <v>SE / SPOA / CGRL / COORDENAÇÃO DE ATIVIDADES GERAIS - COAGE</v>
          </cell>
          <cell r="H290" t="str">
            <v>8.105.120</v>
          </cell>
          <cell r="I290" t="str">
            <v>Função Comissionada Técnica - Analista em Gestão de Logística</v>
          </cell>
          <cell r="J290" t="str">
            <v>FCT</v>
          </cell>
          <cell r="K290">
            <v>3</v>
          </cell>
          <cell r="L290" t="str">
            <v xml:space="preserve">Portaria nº </v>
          </cell>
          <cell r="M290">
            <v>683</v>
          </cell>
          <cell r="N290" t="str">
            <v>07/12/2016</v>
          </cell>
          <cell r="O290" t="str">
            <v>08/12/2016</v>
          </cell>
          <cell r="P290" t="str">
            <v>DOU</v>
          </cell>
          <cell r="Q290" t="str">
            <v>GSISTE</v>
          </cell>
          <cell r="R290" t="str">
            <v>Intermediário</v>
          </cell>
          <cell r="S290" t="str">
            <v>SIGA - Sistema de Gestão de Documentos de Arquivo</v>
          </cell>
          <cell r="T290" t="str">
            <v xml:space="preserve">Portaria nº </v>
          </cell>
          <cell r="U290">
            <v>19</v>
          </cell>
          <cell r="V290" t="str">
            <v>19/02/2010</v>
          </cell>
          <cell r="W290" t="str">
            <v>22/02/2010</v>
          </cell>
          <cell r="X290" t="str">
            <v>DOU</v>
          </cell>
          <cell r="Z290" t="str">
            <v>Sem designação</v>
          </cell>
          <cell r="AF290" t="str">
            <v>Feminino</v>
          </cell>
          <cell r="AG290" t="str">
            <v>Parda</v>
          </cell>
          <cell r="AH290" t="str">
            <v>18/06/1965</v>
          </cell>
          <cell r="AI290">
            <v>55</v>
          </cell>
          <cell r="AJ290">
            <v>9119.64</v>
          </cell>
          <cell r="AL290" t="str">
            <v>FA</v>
          </cell>
          <cell r="AM290">
            <v>9119.64</v>
          </cell>
          <cell r="AN290" t="str">
            <v>KatiaCarvalho@mme.gov.br</v>
          </cell>
          <cell r="AO290" t="str">
            <v>(61) 2032-5624</v>
          </cell>
        </row>
        <row r="291">
          <cell r="A291" t="str">
            <v>KAZIMIERZ JOSEF CUDO</v>
          </cell>
          <cell r="B291" t="str">
            <v>107.903.810-87</v>
          </cell>
          <cell r="C291">
            <v>1776063</v>
          </cell>
          <cell r="D291" t="str">
            <v>Engenheiro Químico</v>
          </cell>
          <cell r="E291" t="str">
            <v>Anistiado MME</v>
          </cell>
          <cell r="F291" t="str">
            <v>MME - Ministério de Minas e Energia</v>
          </cell>
          <cell r="G291" t="str">
            <v>SEE / DPUE / COORDENAÇÃO GERAL DE DESENVOLVIMENTO DE POLÍTICAS SOCIAIS</v>
          </cell>
          <cell r="H291" t="str">
            <v>12.103.100</v>
          </cell>
          <cell r="Z291" t="str">
            <v>Sem designação</v>
          </cell>
          <cell r="AF291" t="str">
            <v>Masculino</v>
          </cell>
          <cell r="AG291" t="str">
            <v>Branca</v>
          </cell>
          <cell r="AH291" t="str">
            <v>26/05/1946</v>
          </cell>
          <cell r="AI291">
            <v>74</v>
          </cell>
          <cell r="AJ291">
            <v>8700.0300000000007</v>
          </cell>
          <cell r="AL291" t="str">
            <v>FA</v>
          </cell>
          <cell r="AM291">
            <v>8700.0300000000007</v>
          </cell>
          <cell r="AN291" t="str">
            <v>kazimierz.cudo@mme.gov.br</v>
          </cell>
          <cell r="AO291" t="str">
            <v>(61) 2032-5535</v>
          </cell>
        </row>
        <row r="292">
          <cell r="A292" t="str">
            <v>KISNEY VIEIRA DOS SANTOS</v>
          </cell>
          <cell r="B292" t="str">
            <v>025.358.021-80</v>
          </cell>
          <cell r="C292">
            <v>1953997</v>
          </cell>
          <cell r="D292" t="str">
            <v>Sem Cargo/Emprego</v>
          </cell>
          <cell r="E292" t="str">
            <v>Sem Vínculo</v>
          </cell>
          <cell r="F292" t="str">
            <v>Sem Vínculo</v>
          </cell>
          <cell r="G292" t="str">
            <v>SEE / DPUE / COORDENAÇÃO GERAL DE DESENVOLVIMENTO DE POLÍTICAS SOCIAIS</v>
          </cell>
          <cell r="H292" t="str">
            <v>12.103.100</v>
          </cell>
          <cell r="I292" t="str">
            <v>Assistente da Coordenação Geral de Universalização do Acesso à Energia do Departamento de Políticas Sociais e Universalização do Acesso à Energia</v>
          </cell>
          <cell r="J292" t="str">
            <v>DAS</v>
          </cell>
          <cell r="K292" t="str">
            <v>102.2</v>
          </cell>
          <cell r="L292" t="str">
            <v xml:space="preserve">Portaria nº </v>
          </cell>
          <cell r="M292">
            <v>524</v>
          </cell>
          <cell r="N292" t="str">
            <v>03/11/2016</v>
          </cell>
          <cell r="O292" t="str">
            <v>04/11/2016</v>
          </cell>
          <cell r="P292" t="str">
            <v>BPE</v>
          </cell>
          <cell r="Z292" t="str">
            <v>Sem designação</v>
          </cell>
          <cell r="AF292" t="str">
            <v>Masculino</v>
          </cell>
          <cell r="AG292" t="str">
            <v>Branca</v>
          </cell>
          <cell r="AH292" t="str">
            <v>12/07/1989</v>
          </cell>
          <cell r="AI292">
            <v>31</v>
          </cell>
          <cell r="AJ292">
            <v>3440.75</v>
          </cell>
          <cell r="AL292" t="str">
            <v>FA</v>
          </cell>
          <cell r="AM292">
            <v>3440.75</v>
          </cell>
          <cell r="AN292" t="str">
            <v>kisney.santos@mme.gov.br</v>
          </cell>
          <cell r="AO292" t="str">
            <v>(61) 2032-5881</v>
          </cell>
          <cell r="AP292" t="str">
            <v>SEE32</v>
          </cell>
        </row>
        <row r="293">
          <cell r="A293" t="str">
            <v>LÁZARA GOMES DOS SANTOS</v>
          </cell>
          <cell r="B293" t="str">
            <v>343.026.891-53</v>
          </cell>
          <cell r="C293">
            <v>6454710</v>
          </cell>
          <cell r="D293" t="str">
            <v>Agente Administrativo</v>
          </cell>
          <cell r="E293" t="str">
            <v>Exercício Descentralizado</v>
          </cell>
          <cell r="F293" t="str">
            <v>AGU - Advocacia Geral da União</v>
          </cell>
          <cell r="G293" t="str">
            <v>CONJUR / CGAA / COORDENAÇÃO DE APOIO ADMINISTRATIVO</v>
          </cell>
          <cell r="H293" t="str">
            <v>7.100.310</v>
          </cell>
          <cell r="I293" t="str">
            <v>Assistente da Consultoria Jurídica</v>
          </cell>
          <cell r="J293" t="str">
            <v>FCPE</v>
          </cell>
          <cell r="K293" t="str">
            <v>102.2</v>
          </cell>
          <cell r="L293" t="str">
            <v xml:space="preserve">Portaria nº </v>
          </cell>
          <cell r="M293">
            <v>538</v>
          </cell>
          <cell r="N293" t="str">
            <v>03/11/2016</v>
          </cell>
          <cell r="O293" t="str">
            <v>04/11/2016</v>
          </cell>
          <cell r="P293" t="str">
            <v>DOU</v>
          </cell>
          <cell r="Y293" t="str">
            <v>Coordenação de Apoio Administrativo da CG de Assuntos Administrativos</v>
          </cell>
          <cell r="Z293" t="str">
            <v>Eventual</v>
          </cell>
          <cell r="AA293" t="str">
            <v xml:space="preserve">Portaria nº </v>
          </cell>
          <cell r="AB293">
            <v>656</v>
          </cell>
          <cell r="AC293" t="str">
            <v>30/11/2016</v>
          </cell>
          <cell r="AD293" t="str">
            <v>02/12/2016</v>
          </cell>
          <cell r="AE293" t="str">
            <v>DOU</v>
          </cell>
          <cell r="AF293" t="str">
            <v>Feminino</v>
          </cell>
          <cell r="AG293" t="str">
            <v>Parda</v>
          </cell>
          <cell r="AH293" t="str">
            <v>29/08/1961</v>
          </cell>
          <cell r="AI293">
            <v>59</v>
          </cell>
          <cell r="AJ293">
            <v>2962.36</v>
          </cell>
          <cell r="AK293">
            <v>7852.74</v>
          </cell>
          <cell r="AL293" t="str">
            <v>FA</v>
          </cell>
          <cell r="AM293">
            <v>10815.1</v>
          </cell>
          <cell r="AN293" t="str">
            <v>lazara.gomes@mme.gov.br</v>
          </cell>
          <cell r="AO293" t="str">
            <v>(61) 2032-5324</v>
          </cell>
          <cell r="AP293" t="str">
            <v>CONJUR04</v>
          </cell>
          <cell r="AQ293" t="str">
            <v>CONJUR05S</v>
          </cell>
        </row>
        <row r="294">
          <cell r="A294" t="str">
            <v>LEA DE FREITAS</v>
          </cell>
          <cell r="B294" t="str">
            <v>057.314.101-00</v>
          </cell>
          <cell r="C294">
            <v>1779396</v>
          </cell>
          <cell r="D294" t="str">
            <v>Digitador II</v>
          </cell>
          <cell r="E294" t="str">
            <v>Anistiado MME</v>
          </cell>
          <cell r="F294" t="str">
            <v>MME - Ministério de Minas e Energia</v>
          </cell>
          <cell r="G294" t="str">
            <v>SE / SPOA / CGRH / COORDENAÇÃO DE DESENVOLVIMENTO E SEGURIDADE SOCIAL - CODES</v>
          </cell>
          <cell r="H294" t="str">
            <v>8.105.220</v>
          </cell>
          <cell r="Z294" t="str">
            <v>Sem designação</v>
          </cell>
          <cell r="AF294" t="str">
            <v>Feminino</v>
          </cell>
          <cell r="AG294" t="str">
            <v>Branca</v>
          </cell>
          <cell r="AH294" t="str">
            <v>27/06/1938</v>
          </cell>
          <cell r="AI294">
            <v>82</v>
          </cell>
          <cell r="AJ294">
            <v>4275.71</v>
          </cell>
          <cell r="AL294" t="str">
            <v>FA</v>
          </cell>
          <cell r="AM294">
            <v>4275.71</v>
          </cell>
          <cell r="AO294" t="str">
            <v>(61) 2032-5069</v>
          </cell>
        </row>
        <row r="295">
          <cell r="A295" t="str">
            <v>LEILA MARIA BASTOS PERES DOS SANTOS</v>
          </cell>
          <cell r="B295" t="str">
            <v>417.218.961-04</v>
          </cell>
          <cell r="C295">
            <v>2724516</v>
          </cell>
          <cell r="D295" t="str">
            <v>Sem Cargo/Emprego</v>
          </cell>
          <cell r="E295" t="str">
            <v>Sem Vínculo</v>
          </cell>
          <cell r="F295" t="str">
            <v>Sem Vínculo</v>
          </cell>
          <cell r="G295" t="str">
            <v>GM / ASSESSORIA DE APOIO AO MINISTRO - AAM</v>
          </cell>
          <cell r="H295" t="str">
            <v>2.100.400</v>
          </cell>
          <cell r="I295" t="str">
            <v>Assistente da Assessoria de Apoio ao Ministro</v>
          </cell>
          <cell r="J295" t="str">
            <v>DAS</v>
          </cell>
          <cell r="K295" t="str">
            <v>102.2</v>
          </cell>
          <cell r="L295" t="str">
            <v xml:space="preserve">Portaria nº </v>
          </cell>
          <cell r="M295">
            <v>431</v>
          </cell>
          <cell r="N295" t="str">
            <v>10/10/2018</v>
          </cell>
          <cell r="O295" t="str">
            <v>22/10/2018</v>
          </cell>
          <cell r="P295" t="str">
            <v>DOU</v>
          </cell>
          <cell r="Z295" t="str">
            <v>Sem designação</v>
          </cell>
          <cell r="AF295" t="str">
            <v>Feminino</v>
          </cell>
          <cell r="AG295" t="str">
            <v>Parda</v>
          </cell>
          <cell r="AH295" t="str">
            <v>09/12/1966</v>
          </cell>
          <cell r="AI295">
            <v>53</v>
          </cell>
          <cell r="AJ295">
            <v>3440.75</v>
          </cell>
          <cell r="AL295" t="str">
            <v>FA</v>
          </cell>
          <cell r="AM295">
            <v>3440.75</v>
          </cell>
          <cell r="AN295" t="str">
            <v>leila.santos@mme.gov.br</v>
          </cell>
          <cell r="AO295" t="str">
            <v>(61) 2032-5939</v>
          </cell>
          <cell r="AP295" t="str">
            <v>GM40</v>
          </cell>
        </row>
        <row r="296">
          <cell r="A296" t="str">
            <v>LEILA PRZYTYK</v>
          </cell>
          <cell r="B296" t="str">
            <v>665.149.591-72</v>
          </cell>
          <cell r="C296">
            <v>2437158</v>
          </cell>
          <cell r="D296" t="str">
            <v>Auditor Federal de Finanças e Controle</v>
          </cell>
          <cell r="E296" t="str">
            <v>Requisitado de Órgãos</v>
          </cell>
          <cell r="F296" t="str">
            <v>ME - Ministério da Economia</v>
          </cell>
          <cell r="G296" t="str">
            <v>ASSESSORIA ESPECIAL DE ASSUNTOS ECONÔMICOS - ASSEC</v>
          </cell>
          <cell r="H296" t="str">
            <v>6.000.000</v>
          </cell>
          <cell r="I296" t="str">
            <v>Assessora da Assessoria Especial de Assuntos Econômicos</v>
          </cell>
          <cell r="J296" t="str">
            <v>DAS</v>
          </cell>
          <cell r="K296" t="str">
            <v>102.4</v>
          </cell>
          <cell r="L296" t="str">
            <v xml:space="preserve">Portaria nº </v>
          </cell>
          <cell r="M296">
            <v>169</v>
          </cell>
          <cell r="N296" t="str">
            <v>19/03/2019</v>
          </cell>
          <cell r="O296" t="str">
            <v>20/03/2019</v>
          </cell>
          <cell r="P296" t="str">
            <v>DOU</v>
          </cell>
          <cell r="Z296" t="str">
            <v>Sem designação</v>
          </cell>
          <cell r="AF296" t="str">
            <v>Feminino</v>
          </cell>
          <cell r="AG296" t="str">
            <v>Branca</v>
          </cell>
          <cell r="AH296" t="str">
            <v>05/01/1978</v>
          </cell>
          <cell r="AI296">
            <v>42</v>
          </cell>
          <cell r="AJ296">
            <v>6223.98</v>
          </cell>
          <cell r="AK296">
            <v>27827.67</v>
          </cell>
          <cell r="AL296" t="str">
            <v>FA</v>
          </cell>
          <cell r="AM296">
            <v>34051.649999999994</v>
          </cell>
          <cell r="AN296" t="str">
            <v>leila.przytyk@mme.gov.br</v>
          </cell>
          <cell r="AO296" t="str">
            <v>(61) 2032-5862</v>
          </cell>
          <cell r="AP296" t="str">
            <v>ASSEC02</v>
          </cell>
        </row>
        <row r="297">
          <cell r="A297" t="str">
            <v>LEOBINA CARDIAL DA SILVA SOARES</v>
          </cell>
          <cell r="B297" t="str">
            <v>151.063.571-87</v>
          </cell>
          <cell r="C297">
            <v>1692146</v>
          </cell>
          <cell r="D297" t="str">
            <v>Servente</v>
          </cell>
          <cell r="E297" t="str">
            <v>Anistiado MME</v>
          </cell>
          <cell r="F297" t="str">
            <v>MME - Ministério de Minas e Energia</v>
          </cell>
          <cell r="G297" t="str">
            <v>SE / AEGP / CGPF / COORDENAÇÃO ADMINISTRATIVA</v>
          </cell>
          <cell r="H297" t="str">
            <v>8.103.110</v>
          </cell>
          <cell r="Z297" t="str">
            <v>Sem designação</v>
          </cell>
          <cell r="AF297" t="str">
            <v>Feminino</v>
          </cell>
          <cell r="AG297" t="str">
            <v>Parda</v>
          </cell>
          <cell r="AH297" t="str">
            <v>06/09/1938</v>
          </cell>
          <cell r="AI297">
            <v>82</v>
          </cell>
          <cell r="AJ297">
            <v>4275.71</v>
          </cell>
          <cell r="AL297" t="str">
            <v>FA</v>
          </cell>
          <cell r="AM297">
            <v>4275.71</v>
          </cell>
          <cell r="AN297" t="str">
            <v>leobina.soares@mme.gov.br</v>
          </cell>
          <cell r="AO297" t="str">
            <v>(61) 2032-5119</v>
          </cell>
        </row>
        <row r="298">
          <cell r="A298" t="str">
            <v>LEONARDO BATISTA XAVIER</v>
          </cell>
          <cell r="B298" t="str">
            <v>342.628.141-49</v>
          </cell>
          <cell r="C298">
            <v>456020</v>
          </cell>
          <cell r="D298" t="str">
            <v>Agente de Portaria</v>
          </cell>
          <cell r="E298" t="str">
            <v>Ativo Permanente</v>
          </cell>
          <cell r="F298" t="str">
            <v>MME - Ministério de Minas e Energia</v>
          </cell>
          <cell r="G298" t="str">
            <v>SE / SPOA / CGRL / COORDENAÇÃO DE ATIVIDADES GERAIS - COAGE</v>
          </cell>
          <cell r="H298" t="str">
            <v>8.105.120</v>
          </cell>
          <cell r="I298" t="str">
            <v>Função Gratificada</v>
          </cell>
          <cell r="J298" t="str">
            <v>FGR</v>
          </cell>
          <cell r="K298">
            <v>1</v>
          </cell>
          <cell r="L298" t="str">
            <v xml:space="preserve">Portaria nº </v>
          </cell>
          <cell r="M298">
            <v>524</v>
          </cell>
          <cell r="N298" t="str">
            <v>03/11/2016</v>
          </cell>
          <cell r="O298" t="str">
            <v>04/11/2016</v>
          </cell>
          <cell r="P298" t="str">
            <v>BPE</v>
          </cell>
          <cell r="Z298" t="str">
            <v>Sem designação</v>
          </cell>
          <cell r="AF298" t="str">
            <v>Masculino</v>
          </cell>
          <cell r="AG298" t="str">
            <v>Parda</v>
          </cell>
          <cell r="AH298" t="str">
            <v>14/10/1964</v>
          </cell>
          <cell r="AI298">
            <v>56</v>
          </cell>
          <cell r="AJ298">
            <v>5261.46</v>
          </cell>
          <cell r="AL298" t="str">
            <v>FA</v>
          </cell>
          <cell r="AM298">
            <v>5261.46</v>
          </cell>
          <cell r="AN298" t="str">
            <v>leonardo.xavier@mme.gov.br</v>
          </cell>
          <cell r="AO298" t="str">
            <v>(61) 2032-5712</v>
          </cell>
        </row>
        <row r="299">
          <cell r="A299" t="str">
            <v>LEONARDO FREIRE DE OLIVEIRA GARCIA</v>
          </cell>
          <cell r="B299" t="str">
            <v>955.224.501-00</v>
          </cell>
          <cell r="C299">
            <v>1258785</v>
          </cell>
          <cell r="D299" t="str">
            <v>Analista Técnico Administrativo</v>
          </cell>
          <cell r="E299" t="str">
            <v>Requisitado de Órgãos</v>
          </cell>
          <cell r="F299" t="str">
            <v>MJSP - Ministério da Justiça e Segurança Pública</v>
          </cell>
          <cell r="G299" t="str">
            <v>SE / SPOA / CGRL / COORDENAÇÃO DE ATIVIDADES GERAIS - COAGE</v>
          </cell>
          <cell r="H299" t="str">
            <v>8.105.120</v>
          </cell>
          <cell r="Q299" t="str">
            <v>GSISTE</v>
          </cell>
          <cell r="R299" t="str">
            <v>Superior</v>
          </cell>
          <cell r="S299" t="str">
            <v>SIGA - Sistema de Gestão de Documentos de Arquivo</v>
          </cell>
          <cell r="T299" t="str">
            <v xml:space="preserve">Portaria nº </v>
          </cell>
          <cell r="U299">
            <v>8</v>
          </cell>
          <cell r="V299" t="str">
            <v>20/01/2020</v>
          </cell>
          <cell r="W299" t="str">
            <v>21/01/2020</v>
          </cell>
          <cell r="X299" t="str">
            <v>BPE</v>
          </cell>
          <cell r="Z299" t="str">
            <v>Sem designação</v>
          </cell>
          <cell r="AF299" t="str">
            <v>Masculino</v>
          </cell>
          <cell r="AG299" t="str">
            <v>Branca</v>
          </cell>
          <cell r="AH299" t="str">
            <v>21/05/1981</v>
          </cell>
          <cell r="AI299">
            <v>39</v>
          </cell>
          <cell r="AJ299">
            <v>0</v>
          </cell>
          <cell r="AK299">
            <v>6884.86</v>
          </cell>
          <cell r="AL299" t="str">
            <v>FA</v>
          </cell>
          <cell r="AM299">
            <v>6884.86</v>
          </cell>
          <cell r="AN299" t="str">
            <v>leonardo.garcia@mme.gov.br</v>
          </cell>
          <cell r="AO299" t="str">
            <v>(61) 2032-5547</v>
          </cell>
        </row>
        <row r="300">
          <cell r="A300" t="str">
            <v>LEVI MOSQUEIRA</v>
          </cell>
          <cell r="B300" t="str">
            <v>085.337.681-68</v>
          </cell>
          <cell r="C300">
            <v>1718781</v>
          </cell>
          <cell r="D300" t="str">
            <v>Programador de Sistema II</v>
          </cell>
          <cell r="E300" t="str">
            <v>Anistiado MME</v>
          </cell>
          <cell r="F300" t="str">
            <v>MME - Ministério de Minas e Energia</v>
          </cell>
          <cell r="G300" t="str">
            <v>SE / SPOA / CGRH / COORDENAÇÃO DE DESENVOLVIMENTO E SEGURIDADE SOCIAL - CODES</v>
          </cell>
          <cell r="H300" t="str">
            <v>8.105.220</v>
          </cell>
          <cell r="Z300" t="str">
            <v>Sem designação</v>
          </cell>
          <cell r="AF300" t="str">
            <v>Masculino</v>
          </cell>
          <cell r="AG300" t="str">
            <v>Preta</v>
          </cell>
          <cell r="AH300" t="str">
            <v>01/11/1952</v>
          </cell>
          <cell r="AI300">
            <v>68</v>
          </cell>
          <cell r="AJ300">
            <v>4275.71</v>
          </cell>
          <cell r="AL300" t="str">
            <v>FA</v>
          </cell>
          <cell r="AM300">
            <v>4275.71</v>
          </cell>
          <cell r="AN300" t="str">
            <v>levi.mosqueira@mme.gov.br</v>
          </cell>
          <cell r="AO300" t="str">
            <v>(61) 2032-5354</v>
          </cell>
        </row>
        <row r="301">
          <cell r="A301" t="str">
            <v>LIDINEIA MACEDO VILAR</v>
          </cell>
          <cell r="B301" t="str">
            <v>358.541.971-20</v>
          </cell>
          <cell r="C301">
            <v>1094887</v>
          </cell>
          <cell r="D301" t="str">
            <v>Técnico de Arquivo</v>
          </cell>
          <cell r="E301" t="str">
            <v>Ativo Permanente</v>
          </cell>
          <cell r="F301" t="str">
            <v>MME - Ministério de Minas e Energia</v>
          </cell>
          <cell r="G301" t="str">
            <v>SPE / CHEFIA DE GABINETE SPE</v>
          </cell>
          <cell r="H301" t="str">
            <v>10.100.000</v>
          </cell>
          <cell r="I301" t="str">
            <v>Função Gratificada</v>
          </cell>
          <cell r="J301" t="str">
            <v>FGR</v>
          </cell>
          <cell r="K301">
            <v>1</v>
          </cell>
          <cell r="L301" t="str">
            <v xml:space="preserve">Portaria nº </v>
          </cell>
          <cell r="M301">
            <v>694</v>
          </cell>
          <cell r="N301" t="str">
            <v>08/12/2016</v>
          </cell>
          <cell r="O301" t="str">
            <v>09/12/2016</v>
          </cell>
          <cell r="P301" t="str">
            <v>DOU</v>
          </cell>
          <cell r="Z301" t="str">
            <v>Sem designação</v>
          </cell>
          <cell r="AF301" t="str">
            <v>Feminino</v>
          </cell>
          <cell r="AG301" t="str">
            <v>Branca</v>
          </cell>
          <cell r="AH301" t="str">
            <v>18/06/1966</v>
          </cell>
          <cell r="AI301">
            <v>54</v>
          </cell>
          <cell r="AJ301">
            <v>5137.58</v>
          </cell>
          <cell r="AL301" t="str">
            <v>FA</v>
          </cell>
          <cell r="AM301">
            <v>5137.58</v>
          </cell>
          <cell r="AN301" t="str">
            <v>lidineia@mme.gov.br</v>
          </cell>
          <cell r="AO301" t="str">
            <v>(61) 2032-5967</v>
          </cell>
        </row>
        <row r="302">
          <cell r="A302" t="str">
            <v>LILIA MASCARENHAS SANT'AGOSTINO</v>
          </cell>
          <cell r="B302" t="str">
            <v>372.032.588-15</v>
          </cell>
          <cell r="C302">
            <v>2332375</v>
          </cell>
          <cell r="D302" t="str">
            <v>Sem Cargo/Emprego</v>
          </cell>
          <cell r="E302" t="str">
            <v>Sem Vínculo</v>
          </cell>
          <cell r="F302" t="str">
            <v>Sem Vínculo</v>
          </cell>
          <cell r="G302" t="str">
            <v>SGM / CHEFIA DE GABINETE SGM</v>
          </cell>
          <cell r="H302" t="str">
            <v>9.100.000</v>
          </cell>
          <cell r="I302" t="str">
            <v>Secretária-Adjunta da Secretaria de Geologia, Mineração e Transformação Mineral</v>
          </cell>
          <cell r="J302" t="str">
            <v>DAS</v>
          </cell>
          <cell r="K302" t="str">
            <v>101.5</v>
          </cell>
          <cell r="L302" t="str">
            <v xml:space="preserve">Portaria nº </v>
          </cell>
          <cell r="M302">
            <v>1795</v>
          </cell>
          <cell r="N302" t="str">
            <v>22/05/2019</v>
          </cell>
          <cell r="O302" t="str">
            <v>23/05/2019</v>
          </cell>
          <cell r="P302" t="str">
            <v>DOU</v>
          </cell>
          <cell r="Y302" t="str">
            <v>Secretário de Geologia, Mineração e Transformação Mineral</v>
          </cell>
          <cell r="Z302" t="str">
            <v>Eventual</v>
          </cell>
          <cell r="AA302" t="str">
            <v xml:space="preserve">Portaria nº </v>
          </cell>
          <cell r="AB302" t="str">
            <v>108 - Anexo XI, Art. 18, II do RI da SGM</v>
          </cell>
          <cell r="AC302" t="str">
            <v>14/03/2017</v>
          </cell>
          <cell r="AD302" t="str">
            <v>16/03/2017 - Ret. 17/03/2017</v>
          </cell>
          <cell r="AE302" t="str">
            <v>DOU</v>
          </cell>
          <cell r="AF302" t="str">
            <v>Feminino</v>
          </cell>
          <cell r="AG302" t="str">
            <v>Branca</v>
          </cell>
          <cell r="AH302" t="str">
            <v>18/05/1948</v>
          </cell>
          <cell r="AI302">
            <v>72</v>
          </cell>
          <cell r="AJ302">
            <v>13623.39</v>
          </cell>
          <cell r="AL302" t="str">
            <v>FA</v>
          </cell>
          <cell r="AM302">
            <v>13623.39</v>
          </cell>
          <cell r="AN302" t="str">
            <v>lilia.santagostino@mme.gov.br</v>
          </cell>
          <cell r="AO302" t="str">
            <v>(61) 2032-5035</v>
          </cell>
          <cell r="AP302" t="str">
            <v>SGM02</v>
          </cell>
          <cell r="AQ302" t="str">
            <v>SGM01S</v>
          </cell>
        </row>
        <row r="303">
          <cell r="A303" t="str">
            <v>LISANDRA PEREIRA DA FONSECA</v>
          </cell>
          <cell r="B303" t="str">
            <v>794.210.081-20</v>
          </cell>
          <cell r="C303">
            <v>2210836</v>
          </cell>
          <cell r="D303" t="str">
            <v>Sem Cargo/Emprego</v>
          </cell>
          <cell r="E303" t="str">
            <v>Sem Vínculo</v>
          </cell>
          <cell r="F303" t="str">
            <v>Sem Vínculo</v>
          </cell>
          <cell r="G303" t="str">
            <v>GM / ASSESSORIA DE COMUNICAÇÃO SOCIAL - ASCOM</v>
          </cell>
          <cell r="H303" t="str">
            <v>2.100.300</v>
          </cell>
          <cell r="I303" t="str">
            <v>Assistente da Assessoria de Comunicação Social do Gabinete do Ministro</v>
          </cell>
          <cell r="J303" t="str">
            <v>DAS</v>
          </cell>
          <cell r="K303" t="str">
            <v>102.2</v>
          </cell>
          <cell r="L303" t="str">
            <v xml:space="preserve">Portaria nº </v>
          </cell>
          <cell r="M303">
            <v>524</v>
          </cell>
          <cell r="N303" t="str">
            <v>03/11/2016</v>
          </cell>
          <cell r="O303" t="str">
            <v>04/11/2016</v>
          </cell>
          <cell r="P303" t="str">
            <v>BPE</v>
          </cell>
          <cell r="Z303" t="str">
            <v>Sem designação</v>
          </cell>
          <cell r="AF303" t="str">
            <v>Feminino</v>
          </cell>
          <cell r="AG303" t="str">
            <v>Parda</v>
          </cell>
          <cell r="AH303" t="str">
            <v>11/01/1978</v>
          </cell>
          <cell r="AI303">
            <v>42</v>
          </cell>
          <cell r="AJ303">
            <v>3440.75</v>
          </cell>
          <cell r="AL303" t="str">
            <v>FA</v>
          </cell>
          <cell r="AM303">
            <v>3440.75</v>
          </cell>
          <cell r="AN303" t="str">
            <v>LisandraFonseca@mme.gov.br</v>
          </cell>
          <cell r="AO303" t="str">
            <v>(61) 2032-5625</v>
          </cell>
          <cell r="AP303" t="str">
            <v>GM34</v>
          </cell>
        </row>
        <row r="304">
          <cell r="A304" t="str">
            <v>LIVIO TEIXEIRA DE ANDRADE FILHO</v>
          </cell>
          <cell r="B304" t="str">
            <v>256.857.916-15</v>
          </cell>
          <cell r="C304">
            <v>3458938</v>
          </cell>
          <cell r="D304" t="str">
            <v>Analista de Infraestrutura</v>
          </cell>
          <cell r="E304" t="str">
            <v>Exercício Descentralizado</v>
          </cell>
          <cell r="F304" t="str">
            <v>ME - Ministério da Economia</v>
          </cell>
          <cell r="G304" t="str">
            <v>SPE / DDE / COORDENAÇÃO GERAL DE FONTES ALTERNATIVAS</v>
          </cell>
          <cell r="H304" t="str">
            <v>10.102.300</v>
          </cell>
          <cell r="I304" t="str">
            <v>Coordenador Geral Fontes Alternativas do Departamento de Desenvolvimento Energético</v>
          </cell>
          <cell r="J304" t="str">
            <v>DAS</v>
          </cell>
          <cell r="K304" t="str">
            <v>101.4</v>
          </cell>
          <cell r="L304" t="str">
            <v xml:space="preserve">Portaria nº </v>
          </cell>
          <cell r="M304">
            <v>568</v>
          </cell>
          <cell r="N304" t="str">
            <v>03/11/2016</v>
          </cell>
          <cell r="O304" t="str">
            <v>04/11/2016</v>
          </cell>
          <cell r="P304" t="str">
            <v>DOU</v>
          </cell>
          <cell r="Z304" t="str">
            <v>Sem designação</v>
          </cell>
          <cell r="AF304" t="str">
            <v>Masculino</v>
          </cell>
          <cell r="AG304" t="str">
            <v>Branca</v>
          </cell>
          <cell r="AH304" t="str">
            <v>20/05/1954</v>
          </cell>
          <cell r="AI304">
            <v>66</v>
          </cell>
          <cell r="AJ304">
            <v>6223.98</v>
          </cell>
          <cell r="AK304">
            <v>16205.8</v>
          </cell>
          <cell r="AL304" t="str">
            <v>FA</v>
          </cell>
          <cell r="AM304">
            <v>22429.78</v>
          </cell>
          <cell r="AN304" t="str">
            <v>livio.filho@mme.gov.br</v>
          </cell>
          <cell r="AO304" t="str">
            <v>(61) 2032-5020</v>
          </cell>
          <cell r="AP304" t="str">
            <v>SPE21</v>
          </cell>
        </row>
        <row r="305">
          <cell r="A305" t="str">
            <v>LORENA LOPES DE MORAES</v>
          </cell>
          <cell r="B305" t="str">
            <v>702.980.171-72</v>
          </cell>
          <cell r="C305">
            <v>1456830</v>
          </cell>
          <cell r="D305" t="str">
            <v>Sem Cargo/Emprego</v>
          </cell>
          <cell r="E305" t="str">
            <v>Sem Vínculo</v>
          </cell>
          <cell r="F305" t="str">
            <v>Sem Vínculo</v>
          </cell>
          <cell r="G305" t="str">
            <v>SGM / DDM / COORDENAÇÃO GERAL DE DESENVOLVIMENTO SOCIOAMBIENTAL NA MINERAÇÃO</v>
          </cell>
          <cell r="H305" t="str">
            <v>9.104.100</v>
          </cell>
          <cell r="I305" t="str">
            <v>Assistente da Secretaria de Geologia, Mineração e Transformação Mineral</v>
          </cell>
          <cell r="J305" t="str">
            <v>DAS</v>
          </cell>
          <cell r="K305" t="str">
            <v>102.2</v>
          </cell>
          <cell r="L305" t="str">
            <v xml:space="preserve">Portaria nº </v>
          </cell>
          <cell r="M305">
            <v>524</v>
          </cell>
          <cell r="N305" t="str">
            <v>03/11/2016</v>
          </cell>
          <cell r="O305" t="str">
            <v>04/11/2016</v>
          </cell>
          <cell r="P305" t="str">
            <v>BPE</v>
          </cell>
          <cell r="Z305" t="str">
            <v>Sem designação</v>
          </cell>
          <cell r="AF305" t="str">
            <v>Feminino</v>
          </cell>
          <cell r="AG305" t="str">
            <v>Preta</v>
          </cell>
          <cell r="AH305" t="str">
            <v>23/09/1981</v>
          </cell>
          <cell r="AI305">
            <v>39</v>
          </cell>
          <cell r="AJ305">
            <v>3440.75</v>
          </cell>
          <cell r="AL305" t="str">
            <v>FA</v>
          </cell>
          <cell r="AM305">
            <v>3440.75</v>
          </cell>
          <cell r="AN305" t="str">
            <v>lorena.moraes@mme.gov.br</v>
          </cell>
          <cell r="AO305" t="str">
            <v>(61) 2032-5954</v>
          </cell>
          <cell r="AP305" t="str">
            <v>SGM06</v>
          </cell>
        </row>
        <row r="306">
          <cell r="A306" t="str">
            <v>LORENA MELO SILVA</v>
          </cell>
          <cell r="B306" t="str">
            <v>731.649.841-20</v>
          </cell>
          <cell r="C306">
            <v>3974664</v>
          </cell>
          <cell r="D306" t="str">
            <v>Analista de Infraestrutura</v>
          </cell>
          <cell r="E306" t="str">
            <v>Exercício Descentralizado</v>
          </cell>
          <cell r="F306" t="str">
            <v>ME - Ministério da Economia</v>
          </cell>
          <cell r="G306" t="str">
            <v>SPE / DEPARTAMENTO DE PLANEJAMENTO ENERGÉTICO - DPE</v>
          </cell>
          <cell r="H306" t="str">
            <v>10.101.000</v>
          </cell>
          <cell r="I306" t="str">
            <v>Assessora do Departamento de Planejamento Energético</v>
          </cell>
          <cell r="J306" t="str">
            <v>DAS</v>
          </cell>
          <cell r="K306" t="str">
            <v>102.4</v>
          </cell>
          <cell r="L306" t="str">
            <v xml:space="preserve">Portaria nº </v>
          </cell>
          <cell r="M306">
            <v>197</v>
          </cell>
          <cell r="N306" t="str">
            <v>12/04/2019</v>
          </cell>
          <cell r="O306" t="str">
            <v>17/04/2019</v>
          </cell>
          <cell r="P306" t="str">
            <v>DOU</v>
          </cell>
          <cell r="Y306" t="str">
            <v>Coordenação Geral de Planejamento da Geração</v>
          </cell>
          <cell r="Z306" t="str">
            <v>Eventual</v>
          </cell>
          <cell r="AA306" t="str">
            <v xml:space="preserve">Portaria nº </v>
          </cell>
          <cell r="AB306">
            <v>471</v>
          </cell>
          <cell r="AC306" t="str">
            <v>17/12/2019</v>
          </cell>
          <cell r="AD306" t="str">
            <v>19/12/2019</v>
          </cell>
          <cell r="AE306" t="str">
            <v>DOU</v>
          </cell>
          <cell r="AF306" t="str">
            <v>Feminino</v>
          </cell>
          <cell r="AG306" t="str">
            <v>Branca</v>
          </cell>
          <cell r="AH306" t="str">
            <v>23/05/1986</v>
          </cell>
          <cell r="AI306">
            <v>34</v>
          </cell>
          <cell r="AJ306">
            <v>6223.98</v>
          </cell>
          <cell r="AK306">
            <v>15643.88</v>
          </cell>
          <cell r="AL306" t="str">
            <v>FA</v>
          </cell>
          <cell r="AM306">
            <v>21867.86</v>
          </cell>
          <cell r="AN306" t="str">
            <v>lorena.silva@mme.gov.br</v>
          </cell>
          <cell r="AO306" t="str">
            <v>(61) 2032-5584</v>
          </cell>
          <cell r="AP306" t="str">
            <v>SPE10</v>
          </cell>
          <cell r="AQ306" t="str">
            <v>SPE05S</v>
          </cell>
        </row>
        <row r="307">
          <cell r="A307" t="str">
            <v>LOURDES CAETANO PEREIRA</v>
          </cell>
          <cell r="B307" t="str">
            <v>115.140.271-00</v>
          </cell>
          <cell r="C307">
            <v>1339851</v>
          </cell>
          <cell r="D307" t="str">
            <v>Auxiliar de Controle</v>
          </cell>
          <cell r="E307" t="str">
            <v>Anistiado MME</v>
          </cell>
          <cell r="F307" t="str">
            <v>MME - Ministério de Minas e Energia</v>
          </cell>
          <cell r="G307" t="str">
            <v>SE / SPOA / COORDENAÇÃO GERAL DE RECURSOS HUMANOS - CGRH</v>
          </cell>
          <cell r="H307" t="str">
            <v>8.105.200</v>
          </cell>
          <cell r="Z307" t="str">
            <v>Sem designação</v>
          </cell>
          <cell r="AF307" t="str">
            <v>Feminino</v>
          </cell>
          <cell r="AG307" t="str">
            <v>Branca</v>
          </cell>
          <cell r="AH307" t="str">
            <v>13/04/1951</v>
          </cell>
          <cell r="AI307">
            <v>69</v>
          </cell>
          <cell r="AJ307">
            <v>4275.71</v>
          </cell>
          <cell r="AL307" t="str">
            <v>FA</v>
          </cell>
          <cell r="AM307">
            <v>4275.71</v>
          </cell>
          <cell r="AN307" t="str">
            <v>lourdes.pereira@mme.gov.br</v>
          </cell>
          <cell r="AO307" t="str">
            <v>(61) 2032-5266</v>
          </cell>
        </row>
        <row r="308">
          <cell r="A308" t="str">
            <v>LUCAS GOMES AMORIM</v>
          </cell>
          <cell r="B308" t="str">
            <v>031.644.421-90</v>
          </cell>
          <cell r="C308">
            <v>1413502</v>
          </cell>
          <cell r="D308" t="str">
            <v>Sem Cargo/Emprego</v>
          </cell>
          <cell r="E308" t="str">
            <v>Sem Vínculo</v>
          </cell>
          <cell r="F308" t="str">
            <v>Sem Vínculo</v>
          </cell>
          <cell r="G308" t="str">
            <v>GM / ASSESSORIA TÉCNICA E ADMINISTRATIVA - ASTAD</v>
          </cell>
          <cell r="H308" t="str">
            <v>2.100.100</v>
          </cell>
          <cell r="I308" t="str">
            <v>Assistente Técnico da Coordenação de Orçamento da Coordenação Geral de Orçamento e Finanças</v>
          </cell>
          <cell r="J308" t="str">
            <v>DAS</v>
          </cell>
          <cell r="K308" t="str">
            <v>102.1</v>
          </cell>
          <cell r="L308" t="str">
            <v xml:space="preserve">Portaria nº </v>
          </cell>
          <cell r="M308">
            <v>334</v>
          </cell>
          <cell r="N308" t="str">
            <v>15/08/2018</v>
          </cell>
          <cell r="O308" t="str">
            <v>16/08/2018</v>
          </cell>
          <cell r="P308" t="str">
            <v>DOU</v>
          </cell>
          <cell r="Z308" t="str">
            <v>Sem designação</v>
          </cell>
          <cell r="AF308" t="str">
            <v>Masculino</v>
          </cell>
          <cell r="AG308" t="str">
            <v>Branca</v>
          </cell>
          <cell r="AH308" t="str">
            <v>28/02/1994</v>
          </cell>
          <cell r="AI308">
            <v>26</v>
          </cell>
          <cell r="AJ308">
            <v>2701.46</v>
          </cell>
          <cell r="AL308" t="str">
            <v>FA</v>
          </cell>
          <cell r="AM308">
            <v>2701.46</v>
          </cell>
          <cell r="AN308" t="str">
            <v>lucas.amorim@mme.gov.br</v>
          </cell>
          <cell r="AO308" t="str">
            <v>(61) 2032-5491</v>
          </cell>
          <cell r="AP308" t="str">
            <v>SE76</v>
          </cell>
        </row>
        <row r="309">
          <cell r="A309" t="str">
            <v>LUCIA MARIA DE ALMEIDA MOYSÉS</v>
          </cell>
          <cell r="B309" t="str">
            <v>120.235.661-34</v>
          </cell>
          <cell r="C309">
            <v>451578</v>
          </cell>
          <cell r="D309" t="str">
            <v>Administrador</v>
          </cell>
          <cell r="E309" t="str">
            <v>Ativo Permanente</v>
          </cell>
          <cell r="F309" t="str">
            <v>MME - Ministério de Minas e Energia</v>
          </cell>
          <cell r="G309" t="str">
            <v>SE / SPOA / CGRH / COORDENAÇÃO DE ADMINISTRAÇÃO DE PESSOAL - CAPES</v>
          </cell>
          <cell r="H309" t="str">
            <v>8.105.210</v>
          </cell>
          <cell r="I309" t="str">
            <v>Função Gratificada</v>
          </cell>
          <cell r="J309" t="str">
            <v>FGR</v>
          </cell>
          <cell r="K309">
            <v>1</v>
          </cell>
          <cell r="L309" t="str">
            <v xml:space="preserve">Portaria nº </v>
          </cell>
          <cell r="M309">
            <v>524</v>
          </cell>
          <cell r="N309" t="str">
            <v>03/11/2016</v>
          </cell>
          <cell r="O309" t="str">
            <v>04/11/2016</v>
          </cell>
          <cell r="P309" t="str">
            <v>BPE</v>
          </cell>
          <cell r="Q309" t="str">
            <v>GSISTE</v>
          </cell>
          <cell r="R309" t="str">
            <v>Superior</v>
          </cell>
          <cell r="S309" t="str">
            <v>SIPEC  - Sistema de Pessoal Civil da Administração Federal</v>
          </cell>
          <cell r="T309" t="str">
            <v xml:space="preserve">Portaria nº </v>
          </cell>
          <cell r="U309">
            <v>106</v>
          </cell>
          <cell r="V309" t="str">
            <v>13/11/2012</v>
          </cell>
          <cell r="W309" t="str">
            <v>16/11/2012</v>
          </cell>
          <cell r="X309" t="str">
            <v>BP</v>
          </cell>
          <cell r="Y309" t="str">
            <v>Chefe da Divisão de Concessão e Atualização dos Registros de Pagamento de Aposentados</v>
          </cell>
          <cell r="Z309" t="str">
            <v>Eventual</v>
          </cell>
          <cell r="AA309" t="str">
            <v xml:space="preserve">Portaria nº </v>
          </cell>
          <cell r="AB309">
            <v>161</v>
          </cell>
          <cell r="AC309" t="str">
            <v>25/04/2017</v>
          </cell>
          <cell r="AD309" t="str">
            <v>27/04/2017</v>
          </cell>
          <cell r="AE309" t="str">
            <v>DOU</v>
          </cell>
          <cell r="AF309" t="str">
            <v>Feminino</v>
          </cell>
          <cell r="AG309" t="str">
            <v>Branca</v>
          </cell>
          <cell r="AH309" t="str">
            <v>01/10/1957</v>
          </cell>
          <cell r="AI309">
            <v>63</v>
          </cell>
          <cell r="AJ309">
            <v>16365.53</v>
          </cell>
          <cell r="AL309" t="str">
            <v>FA</v>
          </cell>
          <cell r="AM309">
            <v>16365.53</v>
          </cell>
          <cell r="AN309" t="str">
            <v>lucia.almeida@mme.gov.br</v>
          </cell>
          <cell r="AO309" t="str">
            <v>(61) 2032-5861</v>
          </cell>
          <cell r="AQ309" t="str">
            <v>SE36S</v>
          </cell>
        </row>
        <row r="310">
          <cell r="A310" t="str">
            <v>LUCIA MARIA PRACIANO MINERVINO</v>
          </cell>
          <cell r="B310" t="str">
            <v>223.596.721-34</v>
          </cell>
          <cell r="C310">
            <v>1673954</v>
          </cell>
          <cell r="D310" t="str">
            <v>Assistente Técnico</v>
          </cell>
          <cell r="E310" t="str">
            <v>Anistiado MME</v>
          </cell>
          <cell r="F310" t="str">
            <v>MME - Ministério de Minas e Energia</v>
          </cell>
          <cell r="G310" t="str">
            <v>SPE / DEPARTAMENTO DE PLANEJAMENTO ENERGÉTICO - DPE</v>
          </cell>
          <cell r="H310" t="str">
            <v>10.101.000</v>
          </cell>
          <cell r="Z310" t="str">
            <v>Sem designação</v>
          </cell>
          <cell r="AF310" t="str">
            <v>Feminino</v>
          </cell>
          <cell r="AG310" t="str">
            <v>Branca</v>
          </cell>
          <cell r="AH310" t="str">
            <v>19/08/1944</v>
          </cell>
          <cell r="AI310">
            <v>76</v>
          </cell>
          <cell r="AJ310">
            <v>7215.15</v>
          </cell>
          <cell r="AL310" t="str">
            <v>FA</v>
          </cell>
          <cell r="AM310">
            <v>7215.15</v>
          </cell>
          <cell r="AN310" t="str">
            <v>lucia.minervino@mme.gov.br</v>
          </cell>
          <cell r="AO310" t="str">
            <v>(61) 2032-5727</v>
          </cell>
        </row>
        <row r="311">
          <cell r="A311" t="str">
            <v>LUCIANA RODRIGUES DUTRA</v>
          </cell>
          <cell r="B311" t="str">
            <v>700.437.601-04</v>
          </cell>
          <cell r="C311">
            <v>1185583</v>
          </cell>
          <cell r="D311" t="str">
            <v>Documentação</v>
          </cell>
          <cell r="E311" t="str">
            <v>Requisitado de Órgãos</v>
          </cell>
          <cell r="F311" t="str">
            <v>FCP - Fundação Cultural Palmares</v>
          </cell>
          <cell r="G311" t="str">
            <v>SE / SPOA / CGRL / COORDENAÇÃO DE ATIVIDADES GERAIS - COAGE</v>
          </cell>
          <cell r="H311" t="str">
            <v>8.105.120</v>
          </cell>
          <cell r="Q311" t="str">
            <v>GSISTE</v>
          </cell>
          <cell r="R311" t="str">
            <v>Superior</v>
          </cell>
          <cell r="S311" t="str">
            <v>SIGA - Sistema de Gestão de Documentos de Arquivo</v>
          </cell>
          <cell r="T311" t="str">
            <v xml:space="preserve">Portaria nº </v>
          </cell>
          <cell r="U311">
            <v>71</v>
          </cell>
          <cell r="V311" t="str">
            <v>04/11/2016</v>
          </cell>
          <cell r="W311" t="str">
            <v>07/11/2016</v>
          </cell>
          <cell r="X311" t="str">
            <v>BPE</v>
          </cell>
          <cell r="Z311" t="str">
            <v>Sem designação</v>
          </cell>
          <cell r="AF311" t="str">
            <v>Feminino</v>
          </cell>
          <cell r="AG311" t="str">
            <v>Parda</v>
          </cell>
          <cell r="AH311" t="str">
            <v>21/07/1980</v>
          </cell>
          <cell r="AI311">
            <v>40</v>
          </cell>
          <cell r="AJ311">
            <v>3158</v>
          </cell>
          <cell r="AK311">
            <v>7004.4</v>
          </cell>
          <cell r="AL311" t="str">
            <v>FA</v>
          </cell>
          <cell r="AM311">
            <v>10162.4</v>
          </cell>
          <cell r="AN311" t="str">
            <v>luciana.dutra@mme.gov.br</v>
          </cell>
          <cell r="AO311" t="str">
            <v>(61) 2032-5192</v>
          </cell>
        </row>
        <row r="312">
          <cell r="A312" t="str">
            <v>LUCIANO DA SILVA TEIXEIRA</v>
          </cell>
          <cell r="B312" t="str">
            <v>089.330.157-44</v>
          </cell>
          <cell r="C312">
            <v>4686676</v>
          </cell>
          <cell r="D312" t="str">
            <v>Analista de Infraestrutura</v>
          </cell>
          <cell r="E312" t="str">
            <v>Exercício Descentralizado</v>
          </cell>
          <cell r="F312" t="str">
            <v>ME - Ministério da Economia</v>
          </cell>
          <cell r="G312" t="str">
            <v>SE / AEGP / CGGP / COORDENAÇÃO DE LICITAÇÃO</v>
          </cell>
          <cell r="H312" t="str">
            <v>8.103.210</v>
          </cell>
          <cell r="I312" t="str">
            <v>Coordenador de Licitação da Coordenação Geral de Gestão de Projetos da Assessoria Especial de Gestão de Projetos</v>
          </cell>
          <cell r="J312" t="str">
            <v>FCPE</v>
          </cell>
          <cell r="K312" t="str">
            <v>101.3</v>
          </cell>
          <cell r="L312" t="str">
            <v xml:space="preserve">Portaria nº </v>
          </cell>
          <cell r="M312">
            <v>132</v>
          </cell>
          <cell r="N312" t="str">
            <v>12/04/2018</v>
          </cell>
          <cell r="O312" t="str">
            <v>16/04/2018</v>
          </cell>
          <cell r="P312" t="str">
            <v>DOU</v>
          </cell>
          <cell r="Y312" t="str">
            <v>Coordenação Geral de Gestão de Projetos</v>
          </cell>
          <cell r="Z312" t="str">
            <v>Eventual</v>
          </cell>
          <cell r="AA312" t="str">
            <v xml:space="preserve">Portaria nº </v>
          </cell>
          <cell r="AB312">
            <v>131</v>
          </cell>
          <cell r="AC312" t="str">
            <v>12/04/2018</v>
          </cell>
          <cell r="AD312" t="str">
            <v>16/04/2018</v>
          </cell>
          <cell r="AE312" t="str">
            <v>DOU</v>
          </cell>
          <cell r="AF312" t="str">
            <v>Masculino</v>
          </cell>
          <cell r="AG312" t="str">
            <v>Parda</v>
          </cell>
          <cell r="AH312" t="str">
            <v>10/11/1980</v>
          </cell>
          <cell r="AI312">
            <v>39</v>
          </cell>
          <cell r="AJ312">
            <v>3411.34</v>
          </cell>
          <cell r="AK312">
            <v>17989.400000000001</v>
          </cell>
          <cell r="AL312" t="str">
            <v>FA</v>
          </cell>
          <cell r="AM312">
            <v>21400.74</v>
          </cell>
          <cell r="AN312" t="str">
            <v>luciano.teixeira@mme.gov.br</v>
          </cell>
          <cell r="AO312" t="str">
            <v>(61) 2032-5454</v>
          </cell>
          <cell r="AP312" t="str">
            <v>SE34</v>
          </cell>
          <cell r="AQ312" t="str">
            <v>SE14S</v>
          </cell>
        </row>
        <row r="313">
          <cell r="A313" t="str">
            <v>LUCIANO DE MENDONCA FONSECA</v>
          </cell>
          <cell r="B313" t="str">
            <v>564.776.431-20</v>
          </cell>
          <cell r="C313">
            <v>1335003</v>
          </cell>
          <cell r="D313" t="str">
            <v>Analista de Planejamento e Orçamento</v>
          </cell>
          <cell r="E313" t="str">
            <v>Exercício Descentralizado</v>
          </cell>
          <cell r="F313" t="str">
            <v>ME - Ministério da Economia</v>
          </cell>
          <cell r="G313" t="str">
            <v>SE / SPOA / COORDENAÇÃO GERAL DE ORÇAMENTO E FINANÇAS - CGOF</v>
          </cell>
          <cell r="H313" t="str">
            <v>8.105.500</v>
          </cell>
          <cell r="I313" t="str">
            <v>Assistente Técnico da Coordenação Geral de Orçamento e Finanças</v>
          </cell>
          <cell r="J313" t="str">
            <v>FCPE</v>
          </cell>
          <cell r="K313" t="str">
            <v>102.1</v>
          </cell>
          <cell r="L313" t="str">
            <v xml:space="preserve">Portaria nº </v>
          </cell>
          <cell r="M313">
            <v>63</v>
          </cell>
          <cell r="N313" t="str">
            <v>27/02/2020</v>
          </cell>
          <cell r="O313" t="str">
            <v>28/02/2020</v>
          </cell>
          <cell r="P313" t="str">
            <v>DOU</v>
          </cell>
          <cell r="Z313" t="str">
            <v>Sem designação</v>
          </cell>
          <cell r="AF313" t="str">
            <v>Masculino</v>
          </cell>
          <cell r="AG313" t="str">
            <v>Branca</v>
          </cell>
          <cell r="AH313" t="str">
            <v>30/11/1972</v>
          </cell>
          <cell r="AI313">
            <v>47</v>
          </cell>
          <cell r="AJ313">
            <v>1620.88</v>
          </cell>
          <cell r="AK313">
            <v>27827.67</v>
          </cell>
          <cell r="AL313" t="str">
            <v>FA</v>
          </cell>
          <cell r="AM313">
            <v>29448.55</v>
          </cell>
          <cell r="AN313" t="str">
            <v>luciano.fonseca@mme.gov.br</v>
          </cell>
          <cell r="AO313" t="str">
            <v>(61) 2032-5467</v>
          </cell>
          <cell r="AP313" t="str">
            <v>SE77</v>
          </cell>
        </row>
        <row r="314">
          <cell r="A314" t="str">
            <v>LUCIMAR SOUZA ASSIS</v>
          </cell>
          <cell r="B314" t="str">
            <v>363.670.361-72</v>
          </cell>
          <cell r="C314">
            <v>1669294</v>
          </cell>
          <cell r="D314" t="str">
            <v>Auxiliar Codificação e Conferência</v>
          </cell>
          <cell r="E314" t="str">
            <v>Anistiado MME</v>
          </cell>
          <cell r="F314" t="str">
            <v>MME - Ministério de Minas e Energia</v>
          </cell>
          <cell r="G314" t="str">
            <v>SE / SPOA / CGRH / COORDENAÇÃO DE DESENVOLVIMENTO E SEGURIDADE SOCIAL - CODES</v>
          </cell>
          <cell r="H314" t="str">
            <v>8.105.220</v>
          </cell>
          <cell r="Z314" t="str">
            <v>Sem designação</v>
          </cell>
          <cell r="AF314" t="str">
            <v>Feminino</v>
          </cell>
          <cell r="AG314" t="str">
            <v>Parda</v>
          </cell>
          <cell r="AH314" t="str">
            <v>15/11/1964</v>
          </cell>
          <cell r="AI314">
            <v>55</v>
          </cell>
          <cell r="AJ314">
            <v>3268.41</v>
          </cell>
          <cell r="AL314" t="str">
            <v>FA</v>
          </cell>
          <cell r="AM314">
            <v>3268.41</v>
          </cell>
          <cell r="AN314" t="str">
            <v>lucimar.assis@mme.gov.br</v>
          </cell>
          <cell r="AO314" t="str">
            <v>(61) 2032-5650</v>
          </cell>
        </row>
        <row r="315">
          <cell r="A315" t="str">
            <v>LUIS FELIPE MONTEIRO SERRAO</v>
          </cell>
          <cell r="B315" t="str">
            <v>905.660.687-53</v>
          </cell>
          <cell r="C315">
            <v>1081712</v>
          </cell>
          <cell r="D315" t="str">
            <v>Sem Cargo/Emprego</v>
          </cell>
          <cell r="E315" t="str">
            <v>Sem Vínculo</v>
          </cell>
          <cell r="F315" t="str">
            <v>Sem Vínculo</v>
          </cell>
          <cell r="G315" t="str">
            <v>GM / ASSESSORIA PARLAMENTAR - ASPAR</v>
          </cell>
          <cell r="H315" t="str">
            <v>2.100.200</v>
          </cell>
          <cell r="I315" t="str">
            <v>Assessor da Assessoria de Apoio ao Ministro</v>
          </cell>
          <cell r="J315" t="str">
            <v>DAS</v>
          </cell>
          <cell r="K315" t="str">
            <v>102.4</v>
          </cell>
          <cell r="L315" t="str">
            <v xml:space="preserve">Portaria nº </v>
          </cell>
          <cell r="M315">
            <v>149</v>
          </cell>
          <cell r="N315" t="str">
            <v>28/02/2019</v>
          </cell>
          <cell r="O315" t="str">
            <v>06/03/2019</v>
          </cell>
          <cell r="P315" t="str">
            <v>DOU</v>
          </cell>
          <cell r="Z315" t="str">
            <v>Sem designação</v>
          </cell>
          <cell r="AF315" t="str">
            <v>Masculino</v>
          </cell>
          <cell r="AG315" t="str">
            <v>Parda</v>
          </cell>
          <cell r="AH315" t="str">
            <v>20/10/1970</v>
          </cell>
          <cell r="AI315">
            <v>50</v>
          </cell>
          <cell r="AJ315">
            <v>10373.299999999999</v>
          </cell>
          <cell r="AL315" t="str">
            <v>FA</v>
          </cell>
          <cell r="AM315">
            <v>10373.299999999999</v>
          </cell>
          <cell r="AN315" t="str">
            <v>luis.serrao@mme.gov.br</v>
          </cell>
          <cell r="AO315" t="str">
            <v>(61) 2032-5738</v>
          </cell>
          <cell r="AP315" t="str">
            <v>GM38</v>
          </cell>
        </row>
        <row r="316">
          <cell r="A316" t="str">
            <v>LUIS FERNANDO BADANHAN</v>
          </cell>
          <cell r="B316" t="str">
            <v>099.934.258-42</v>
          </cell>
          <cell r="C316">
            <v>3444256</v>
          </cell>
          <cell r="D316" t="str">
            <v>Analista de Infraestrutura</v>
          </cell>
          <cell r="E316" t="str">
            <v>Exercício Descentralizado</v>
          </cell>
          <cell r="F316" t="str">
            <v>ME - Ministério da Economia</v>
          </cell>
          <cell r="G316" t="str">
            <v>SPE / DDE / COORDENAÇÃO GERAL DE SUSTENTABILIDADE AMBIENTAL DO SETOR ENERGÉTICO</v>
          </cell>
          <cell r="H316" t="str">
            <v>10.102.200</v>
          </cell>
          <cell r="I316" t="str">
            <v>Coordenador Geral de Sustentabilidade Ambiental do Setor Energético do Departamento de Desenvolvimento Energético</v>
          </cell>
          <cell r="J316" t="str">
            <v>FCPE</v>
          </cell>
          <cell r="K316" t="str">
            <v>101.4</v>
          </cell>
          <cell r="L316" t="str">
            <v xml:space="preserve">Portaria nº </v>
          </cell>
          <cell r="M316">
            <v>524</v>
          </cell>
          <cell r="N316" t="str">
            <v>03/11/2016</v>
          </cell>
          <cell r="O316" t="str">
            <v>04/11/2016</v>
          </cell>
          <cell r="P316" t="str">
            <v>BPE</v>
          </cell>
          <cell r="Y316" t="str">
            <v>Departamento de Desenvolvimento Energético</v>
          </cell>
          <cell r="Z316" t="str">
            <v>Eventual</v>
          </cell>
          <cell r="AA316" t="str">
            <v xml:space="preserve">Portaria nº </v>
          </cell>
          <cell r="AB316">
            <v>604</v>
          </cell>
          <cell r="AC316" t="str">
            <v>09/11/2016</v>
          </cell>
          <cell r="AD316" t="str">
            <v>10/11/2016</v>
          </cell>
          <cell r="AE316" t="str">
            <v>DOU</v>
          </cell>
          <cell r="AF316" t="str">
            <v>Masculino</v>
          </cell>
          <cell r="AG316" t="str">
            <v>Branca</v>
          </cell>
          <cell r="AH316" t="str">
            <v>07/09/1968</v>
          </cell>
          <cell r="AI316">
            <v>52</v>
          </cell>
          <cell r="AJ316">
            <v>6223.99</v>
          </cell>
          <cell r="AK316">
            <v>17846.990000000002</v>
          </cell>
          <cell r="AL316" t="str">
            <v>FA</v>
          </cell>
          <cell r="AM316">
            <v>24070.980000000003</v>
          </cell>
          <cell r="AN316" t="str">
            <v>luis@mme.gov.br</v>
          </cell>
          <cell r="AO316" t="str">
            <v>(61) 2032-5679</v>
          </cell>
          <cell r="AP316" t="str">
            <v>SPE20</v>
          </cell>
          <cell r="AQ316" t="str">
            <v>SPE07S</v>
          </cell>
        </row>
        <row r="317">
          <cell r="A317" t="str">
            <v>LUIS FERREIRA DE OLIVEIRA</v>
          </cell>
          <cell r="B317" t="str">
            <v>102.593.681-72</v>
          </cell>
          <cell r="C317">
            <v>449949</v>
          </cell>
          <cell r="D317" t="str">
            <v>Agente de Portaria</v>
          </cell>
          <cell r="E317" t="str">
            <v>Ativo Permanente</v>
          </cell>
          <cell r="F317" t="str">
            <v>MME - Ministério de Minas e Energia</v>
          </cell>
          <cell r="G317" t="str">
            <v>SGM / DTTM / COORDENAÇÃO GERAL DE CAPACITAÇÃO E DESENVOLVIMENTO TECNOLÓGICO</v>
          </cell>
          <cell r="H317" t="str">
            <v>9.103.100</v>
          </cell>
          <cell r="Z317" t="str">
            <v>Sem designação</v>
          </cell>
          <cell r="AF317" t="str">
            <v>Masculino</v>
          </cell>
          <cell r="AG317" t="str">
            <v>Parda</v>
          </cell>
          <cell r="AH317" t="str">
            <v>24/12/1952</v>
          </cell>
          <cell r="AI317">
            <v>67</v>
          </cell>
          <cell r="AJ317">
            <v>5878.23</v>
          </cell>
          <cell r="AL317" t="str">
            <v>FA</v>
          </cell>
          <cell r="AM317">
            <v>5878.23</v>
          </cell>
          <cell r="AN317" t="str">
            <v>luis.oliveira@mme.gov.br</v>
          </cell>
          <cell r="AO317" t="str">
            <v>(61) 2032-5539</v>
          </cell>
        </row>
        <row r="318">
          <cell r="A318" t="str">
            <v>LUIZ ANTONIO NETTO SA FORTES</v>
          </cell>
          <cell r="B318" t="str">
            <v>583.856.737-68</v>
          </cell>
          <cell r="C318">
            <v>1669188</v>
          </cell>
          <cell r="D318" t="str">
            <v>Programador de Aplicação I</v>
          </cell>
          <cell r="E318" t="str">
            <v>Anistiado MME</v>
          </cell>
          <cell r="F318" t="str">
            <v>MME - Ministério de Minas e Energia</v>
          </cell>
          <cell r="G318" t="str">
            <v>Aguardando Lotação/Exercício</v>
          </cell>
          <cell r="H318" t="str">
            <v>88.000.000</v>
          </cell>
          <cell r="Z318" t="str">
            <v>Sem designação</v>
          </cell>
          <cell r="AF318" t="str">
            <v>Masculino</v>
          </cell>
          <cell r="AG318" t="str">
            <v>Branca</v>
          </cell>
          <cell r="AH318" t="str">
            <v>14/03/1958</v>
          </cell>
          <cell r="AI318">
            <v>62</v>
          </cell>
          <cell r="AJ318">
            <v>3268.41</v>
          </cell>
          <cell r="AL318" t="str">
            <v>FA</v>
          </cell>
          <cell r="AM318">
            <v>3268.41</v>
          </cell>
          <cell r="AN318" t="str">
            <v>luiz.fortes@mme.gov.br</v>
          </cell>
          <cell r="AO318" t="str">
            <v>(61) 2032-5472</v>
          </cell>
        </row>
        <row r="319">
          <cell r="A319" t="str">
            <v>LUIZ AUGUSTO GOMES DE OLIVEIRA</v>
          </cell>
          <cell r="B319" t="str">
            <v>096.864.601-87</v>
          </cell>
          <cell r="C319">
            <v>1361802</v>
          </cell>
          <cell r="D319" t="str">
            <v>Sem Cargo/Emprego</v>
          </cell>
          <cell r="E319" t="str">
            <v>Sem Vínculo</v>
          </cell>
          <cell r="F319" t="str">
            <v>Sem Vínculo</v>
          </cell>
          <cell r="G319" t="str">
            <v>SEE / DMSE / COORDENAÇÃO GERAL DE MONITORAMENTO DA EXPANSÃO DA GERAÇÃO</v>
          </cell>
          <cell r="H319" t="str">
            <v>12.102.100</v>
          </cell>
          <cell r="I319" t="str">
            <v>Assistente da Coordenação Geral de Monitoramento da Expansão da Geração do Departamento de Monitoramento do Sistema Elétrico</v>
          </cell>
          <cell r="J319" t="str">
            <v>DAS</v>
          </cell>
          <cell r="K319" t="str">
            <v>102.2</v>
          </cell>
          <cell r="L319" t="str">
            <v xml:space="preserve">Portaria nº </v>
          </cell>
          <cell r="M319">
            <v>524</v>
          </cell>
          <cell r="N319" t="str">
            <v>03/11/2016</v>
          </cell>
          <cell r="O319" t="str">
            <v>04/11/2016</v>
          </cell>
          <cell r="P319" t="str">
            <v>BPE</v>
          </cell>
          <cell r="Z319" t="str">
            <v>Sem designação</v>
          </cell>
          <cell r="AF319" t="str">
            <v>Masculino</v>
          </cell>
          <cell r="AG319" t="str">
            <v>Parda</v>
          </cell>
          <cell r="AH319" t="str">
            <v>08/05/1951</v>
          </cell>
          <cell r="AI319">
            <v>69</v>
          </cell>
          <cell r="AJ319">
            <v>3440.75</v>
          </cell>
          <cell r="AL319" t="str">
            <v>FA</v>
          </cell>
          <cell r="AM319">
            <v>3440.75</v>
          </cell>
          <cell r="AN319" t="str">
            <v>luiz.oliveira@mme.gov.br</v>
          </cell>
          <cell r="AO319" t="str">
            <v>(61) 2032-5461</v>
          </cell>
          <cell r="AP319" t="str">
            <v>SEE21</v>
          </cell>
        </row>
        <row r="320">
          <cell r="A320" t="str">
            <v>LUIZ CARAZZA FILHO</v>
          </cell>
          <cell r="B320" t="str">
            <v>039.223.596-04</v>
          </cell>
          <cell r="C320">
            <v>1670176</v>
          </cell>
          <cell r="D320" t="str">
            <v>Programador</v>
          </cell>
          <cell r="E320" t="str">
            <v>Anistiado MME</v>
          </cell>
          <cell r="F320" t="str">
            <v>MME - Ministério de Minas e Energia</v>
          </cell>
          <cell r="G320" t="str">
            <v>SE / SPOA / CGRL / COORDENAÇÃO DE ADMINISTRAÇÃO DE MATERIAL E EXECUÇÃO FINANCEIRA - COMEF</v>
          </cell>
          <cell r="H320" t="str">
            <v>8.105.110</v>
          </cell>
          <cell r="Z320" t="str">
            <v>Sem designação</v>
          </cell>
          <cell r="AF320" t="str">
            <v>Masculino</v>
          </cell>
          <cell r="AG320" t="str">
            <v>Branca</v>
          </cell>
          <cell r="AH320" t="str">
            <v>25/08/1941</v>
          </cell>
          <cell r="AI320">
            <v>79</v>
          </cell>
          <cell r="AJ320">
            <v>4275.71</v>
          </cell>
          <cell r="AL320" t="str">
            <v>FA</v>
          </cell>
          <cell r="AM320">
            <v>4275.71</v>
          </cell>
          <cell r="AN320" t="str">
            <v>luiz.filho@mme.gov.br</v>
          </cell>
          <cell r="AO320" t="str">
            <v>(61) 2032-5680</v>
          </cell>
        </row>
        <row r="321">
          <cell r="A321" t="str">
            <v>LUIZ CARLOS BRUNEL ALVES</v>
          </cell>
          <cell r="B321" t="str">
            <v>096.276.189-34</v>
          </cell>
          <cell r="C321">
            <v>2169970</v>
          </cell>
          <cell r="D321" t="str">
            <v>Auxiliar Administrativo II</v>
          </cell>
          <cell r="E321" t="str">
            <v>Anistiado MME</v>
          </cell>
          <cell r="F321" t="str">
            <v>MME - Ministério de Minas e Energia</v>
          </cell>
          <cell r="G321" t="str">
            <v>Aguardando Lotação/Exercício</v>
          </cell>
          <cell r="H321" t="str">
            <v>88.000.000</v>
          </cell>
          <cell r="Z321" t="str">
            <v>Sem designação</v>
          </cell>
          <cell r="AF321" t="str">
            <v>Masculino</v>
          </cell>
          <cell r="AG321" t="str">
            <v>Branca</v>
          </cell>
          <cell r="AH321" t="str">
            <v>28/05/1949</v>
          </cell>
          <cell r="AI321">
            <v>71</v>
          </cell>
          <cell r="AJ321">
            <v>3640.89</v>
          </cell>
          <cell r="AL321" t="str">
            <v>FA</v>
          </cell>
          <cell r="AM321">
            <v>3640.89</v>
          </cell>
        </row>
        <row r="322">
          <cell r="A322" t="str">
            <v>LUIZ CARLOS DE MOURA ADAMI</v>
          </cell>
          <cell r="B322" t="str">
            <v>796.751.825-04</v>
          </cell>
          <cell r="C322">
            <v>1992618</v>
          </cell>
          <cell r="D322" t="str">
            <v>Sem Cargo/Emprego</v>
          </cell>
          <cell r="E322" t="str">
            <v>Sem Vínculo</v>
          </cell>
          <cell r="F322" t="str">
            <v>Sem Vínculo</v>
          </cell>
          <cell r="G322" t="str">
            <v>SGM / DGPM / COORDENAÇÃO GERAL DE MONITORAMENTO E CONTROLE DE CONCESSÕES MINERAIS</v>
          </cell>
          <cell r="H322" t="str">
            <v>9.102.200</v>
          </cell>
          <cell r="I322" t="str">
            <v>Coordenação Geral de Monitoramento e Controle de Concessões do Departamento de Geologia e Produção Mineral</v>
          </cell>
          <cell r="J322" t="str">
            <v>DAS</v>
          </cell>
          <cell r="K322" t="str">
            <v>101.4</v>
          </cell>
          <cell r="L322" t="str">
            <v xml:space="preserve">Portaria nº </v>
          </cell>
          <cell r="M322">
            <v>524</v>
          </cell>
          <cell r="N322" t="str">
            <v>03/11/2016</v>
          </cell>
          <cell r="O322" t="str">
            <v>04/11/2016</v>
          </cell>
          <cell r="P322" t="str">
            <v>BPE</v>
          </cell>
          <cell r="Z322" t="str">
            <v>Sem designação</v>
          </cell>
          <cell r="AF322" t="str">
            <v>Masculino</v>
          </cell>
          <cell r="AG322" t="str">
            <v>Branca</v>
          </cell>
          <cell r="AH322" t="str">
            <v>08/05/1980</v>
          </cell>
          <cell r="AI322">
            <v>40</v>
          </cell>
          <cell r="AJ322">
            <v>10373.299999999999</v>
          </cell>
          <cell r="AL322" t="str">
            <v>FA</v>
          </cell>
          <cell r="AM322">
            <v>10373.299999999999</v>
          </cell>
          <cell r="AN322" t="str">
            <v>luiz.adami@mme.gov.br</v>
          </cell>
          <cell r="AO322" t="str">
            <v>(61) 2032-5182</v>
          </cell>
          <cell r="AP322" t="str">
            <v>SGM19</v>
          </cell>
        </row>
        <row r="323">
          <cell r="A323" t="str">
            <v>LUIZ CARLOS DIAS DA SILVA</v>
          </cell>
          <cell r="B323" t="str">
            <v>247.469.321-15</v>
          </cell>
          <cell r="C323">
            <v>1310698</v>
          </cell>
          <cell r="D323" t="str">
            <v>Analista de Planejamento e Orçamento</v>
          </cell>
          <cell r="E323" t="str">
            <v>Exercício Descentralizado</v>
          </cell>
          <cell r="F323" t="str">
            <v>ME - Ministério da Economia</v>
          </cell>
          <cell r="G323" t="str">
            <v>SE / SPOA / CGOF / COORDENAÇÃO DE ORÇAMENTO - CORC</v>
          </cell>
          <cell r="H323" t="str">
            <v>8.105.530</v>
          </cell>
          <cell r="I323" t="str">
            <v>Coordenador de Orçamento da Coordenação Geral de Orçamento e Finanças</v>
          </cell>
          <cell r="J323" t="str">
            <v>DAS</v>
          </cell>
          <cell r="K323" t="str">
            <v>101.3</v>
          </cell>
          <cell r="L323" t="str">
            <v xml:space="preserve">Portaria nº </v>
          </cell>
          <cell r="M323">
            <v>376</v>
          </cell>
          <cell r="N323" t="str">
            <v>30/09/2019</v>
          </cell>
          <cell r="O323" t="str">
            <v>02/10/2019</v>
          </cell>
          <cell r="P323" t="str">
            <v>DOU</v>
          </cell>
          <cell r="Y323" t="str">
            <v>Coordenação Geral de Orçamento e Finanças</v>
          </cell>
          <cell r="Z323" t="str">
            <v>Eventual</v>
          </cell>
          <cell r="AA323" t="str">
            <v xml:space="preserve">Portaria nº </v>
          </cell>
          <cell r="AB323">
            <v>416</v>
          </cell>
          <cell r="AC323" t="str">
            <v>18/11/2019</v>
          </cell>
          <cell r="AD323" t="str">
            <v>21/11/2019</v>
          </cell>
          <cell r="AE323" t="str">
            <v>DOU</v>
          </cell>
          <cell r="AF323" t="str">
            <v>Masculino</v>
          </cell>
          <cell r="AG323" t="str">
            <v>Branca</v>
          </cell>
          <cell r="AH323" t="str">
            <v>22/07/1960</v>
          </cell>
          <cell r="AI323">
            <v>60</v>
          </cell>
          <cell r="AJ323">
            <v>3411.33</v>
          </cell>
          <cell r="AK323">
            <v>27827.67</v>
          </cell>
          <cell r="AL323" t="str">
            <v>FA</v>
          </cell>
          <cell r="AM323">
            <v>31239</v>
          </cell>
          <cell r="AN323" t="str">
            <v>luiz.dias@mme.gov.br</v>
          </cell>
          <cell r="AO323" t="str">
            <v>(61) 2032-5269</v>
          </cell>
          <cell r="AP323" t="str">
            <v>SE74</v>
          </cell>
          <cell r="AQ323" t="str">
            <v>SE41S</v>
          </cell>
        </row>
        <row r="324">
          <cell r="A324" t="str">
            <v>LUIZ CARLOS SAMPAIO</v>
          </cell>
          <cell r="B324" t="str">
            <v>137.765.503-25</v>
          </cell>
          <cell r="C324">
            <v>220105</v>
          </cell>
          <cell r="D324" t="str">
            <v>Agente de Portaria</v>
          </cell>
          <cell r="E324" t="str">
            <v>Ativo Permanente</v>
          </cell>
          <cell r="F324" t="str">
            <v>MME - Ministério de Minas e Energia</v>
          </cell>
          <cell r="G324" t="str">
            <v>SE / SPOA / CGRL / COORDENAÇÃO DE ATIVIDADES GERAIS - COAGE</v>
          </cell>
          <cell r="H324" t="str">
            <v>8.105.120</v>
          </cell>
          <cell r="I324" t="str">
            <v>Função Gratificada</v>
          </cell>
          <cell r="J324" t="str">
            <v>FGR</v>
          </cell>
          <cell r="K324">
            <v>1</v>
          </cell>
          <cell r="L324" t="str">
            <v xml:space="preserve">Portaria nº </v>
          </cell>
          <cell r="M324">
            <v>524</v>
          </cell>
          <cell r="N324" t="str">
            <v>03/11/2016</v>
          </cell>
          <cell r="O324" t="str">
            <v>04/11/2016</v>
          </cell>
          <cell r="P324" t="str">
            <v>BPE</v>
          </cell>
          <cell r="Z324" t="str">
            <v>Sem designação</v>
          </cell>
          <cell r="AF324" t="str">
            <v>Masculino</v>
          </cell>
          <cell r="AG324" t="str">
            <v>Parda</v>
          </cell>
          <cell r="AH324" t="str">
            <v>02/09/1959</v>
          </cell>
          <cell r="AI324">
            <v>61</v>
          </cell>
          <cell r="AJ324">
            <v>7219.55</v>
          </cell>
          <cell r="AL324" t="str">
            <v>FA</v>
          </cell>
          <cell r="AM324">
            <v>7219.55</v>
          </cell>
          <cell r="AN324" t="str">
            <v>luiz.sampaio@mme.gov.br</v>
          </cell>
          <cell r="AO324" t="str">
            <v>(61) 2032-5994</v>
          </cell>
        </row>
        <row r="325">
          <cell r="A325" t="str">
            <v>LUIZ CLAUDIO FONTENELE GONCALVES</v>
          </cell>
          <cell r="B325" t="str">
            <v>143.591.971.87</v>
          </cell>
          <cell r="C325">
            <v>452215</v>
          </cell>
          <cell r="D325" t="str">
            <v>Médico</v>
          </cell>
          <cell r="E325" t="str">
            <v>Ativo Permanente</v>
          </cell>
          <cell r="F325" t="str">
            <v>MME - Ministério de Minas e Energia</v>
          </cell>
          <cell r="G325" t="str">
            <v>SE / SPOA / CGRH / COORDENAÇÃO DE DESENVOLVIMENTO E SEGURIDADE SOCIAL - CODES</v>
          </cell>
          <cell r="H325" t="str">
            <v>8.105.220</v>
          </cell>
          <cell r="I325" t="str">
            <v>Assessor Técnico da Assessoria Técnica e Administrativa do Gabinete do Ministro</v>
          </cell>
          <cell r="J325" t="str">
            <v>FCPE</v>
          </cell>
          <cell r="K325" t="str">
            <v>102.3</v>
          </cell>
          <cell r="L325" t="str">
            <v xml:space="preserve">Portaria nº </v>
          </cell>
          <cell r="M325">
            <v>89</v>
          </cell>
          <cell r="N325" t="str">
            <v>14/03/2018</v>
          </cell>
          <cell r="O325" t="str">
            <v>15/03/2018</v>
          </cell>
          <cell r="P325" t="str">
            <v>DOU</v>
          </cell>
          <cell r="Q325" t="str">
            <v>GSISTE</v>
          </cell>
          <cell r="R325" t="str">
            <v>Superior</v>
          </cell>
          <cell r="S325" t="str">
            <v>SIPEC  - Sistema de Pessoal Civil da Administração Federal</v>
          </cell>
          <cell r="T325" t="str">
            <v xml:space="preserve">Portaria nº </v>
          </cell>
          <cell r="U325">
            <v>60</v>
          </cell>
          <cell r="V325" t="str">
            <v>19/06/2009</v>
          </cell>
          <cell r="W325" t="str">
            <v>19/06/2009</v>
          </cell>
          <cell r="X325" t="str">
            <v>BPE</v>
          </cell>
          <cell r="Z325" t="str">
            <v>Sem designação</v>
          </cell>
          <cell r="AF325" t="str">
            <v>Masculino</v>
          </cell>
          <cell r="AG325" t="str">
            <v>Parda</v>
          </cell>
          <cell r="AH325" t="str">
            <v>12/09/1948</v>
          </cell>
          <cell r="AI325">
            <v>72</v>
          </cell>
          <cell r="AJ325">
            <v>16189.5</v>
          </cell>
          <cell r="AL325" t="str">
            <v>FA</v>
          </cell>
          <cell r="AM325">
            <v>16189.5</v>
          </cell>
          <cell r="AN325" t="str">
            <v>luizfontenele@mme.gov.br</v>
          </cell>
          <cell r="AO325" t="str">
            <v>(61) 2032-5692</v>
          </cell>
          <cell r="AP325" t="str">
            <v>GM18</v>
          </cell>
        </row>
        <row r="326">
          <cell r="A326" t="str">
            <v>LUIZ CLAUDIO SOARES DE CARVALHO</v>
          </cell>
          <cell r="B326" t="str">
            <v>291.328.601-10</v>
          </cell>
          <cell r="C326">
            <v>2310684</v>
          </cell>
          <cell r="D326" t="str">
            <v>Analista de Planejamento e Orçamento</v>
          </cell>
          <cell r="E326" t="str">
            <v>Exercício Descentralizado</v>
          </cell>
          <cell r="F326" t="str">
            <v>ME - Ministério da Economia</v>
          </cell>
          <cell r="G326" t="str">
            <v>SE / AEGE / COORDENAÇÃO GERAL DE PLANEJAMENTO ESTRATÉGICO, SUPERVISÃO E AVALIAÇÃO - CGPE</v>
          </cell>
          <cell r="H326" t="str">
            <v>8.101.100</v>
          </cell>
          <cell r="Z326" t="str">
            <v>Sem designação</v>
          </cell>
          <cell r="AF326" t="str">
            <v>Masculino</v>
          </cell>
          <cell r="AG326" t="str">
            <v>Branca</v>
          </cell>
          <cell r="AH326" t="str">
            <v>18/10/1960</v>
          </cell>
          <cell r="AI326">
            <v>60</v>
          </cell>
          <cell r="AJ326">
            <v>0</v>
          </cell>
          <cell r="AK326">
            <v>27827.67</v>
          </cell>
          <cell r="AL326" t="str">
            <v>FA</v>
          </cell>
          <cell r="AM326">
            <v>27827.67</v>
          </cell>
          <cell r="AN326" t="str">
            <v>luiz.carvalho@mme.gov.br</v>
          </cell>
          <cell r="AO326" t="str">
            <v>(61) 2032-5099</v>
          </cell>
        </row>
        <row r="327">
          <cell r="A327" t="str">
            <v>LUIZ GONZAGA DE ARAUJO FILHO</v>
          </cell>
          <cell r="B327" t="str">
            <v>226.950.601-49</v>
          </cell>
          <cell r="C327">
            <v>1593563</v>
          </cell>
          <cell r="D327" t="str">
            <v>Contínuo</v>
          </cell>
          <cell r="E327" t="str">
            <v>Anistiado MME</v>
          </cell>
          <cell r="F327" t="str">
            <v>MME - Ministério de Minas e Energia</v>
          </cell>
          <cell r="G327" t="str">
            <v>SEE / CHEFIA DE GABINETE SEE</v>
          </cell>
          <cell r="H327" t="str">
            <v>12.100.000</v>
          </cell>
          <cell r="Z327" t="str">
            <v>Sem designação</v>
          </cell>
          <cell r="AF327" t="str">
            <v>Masculino</v>
          </cell>
          <cell r="AG327" t="str">
            <v>Branca</v>
          </cell>
          <cell r="AH327" t="str">
            <v>30/10/1959</v>
          </cell>
          <cell r="AI327">
            <v>61</v>
          </cell>
          <cell r="AJ327">
            <v>3915.9</v>
          </cell>
          <cell r="AL327" t="str">
            <v>FA</v>
          </cell>
          <cell r="AM327">
            <v>3915.9</v>
          </cell>
          <cell r="AN327" t="str">
            <v>luiz.araujo@mme.gov.br</v>
          </cell>
          <cell r="AO327" t="str">
            <v>(61) 2032-5140</v>
          </cell>
        </row>
        <row r="328">
          <cell r="A328" t="str">
            <v>LUIZ PEREIRA DOS SANTOS</v>
          </cell>
          <cell r="B328" t="str">
            <v>539.481.061-34</v>
          </cell>
          <cell r="C328">
            <v>2403600</v>
          </cell>
          <cell r="D328" t="str">
            <v>Assistente Controle Financeiro</v>
          </cell>
          <cell r="E328" t="str">
            <v>Contrato Temporário</v>
          </cell>
          <cell r="F328" t="str">
            <v>MME - Ministério de Minas e Energia</v>
          </cell>
          <cell r="G328" t="str">
            <v>SE / AEGP / COORDENAÇÃO GERAL DE PLANEJAMENTO, FINANÇAS E CONTROLE - CGPF</v>
          </cell>
          <cell r="H328" t="str">
            <v>8.103.100</v>
          </cell>
          <cell r="Z328" t="str">
            <v>Sem designação</v>
          </cell>
          <cell r="AF328" t="str">
            <v>Masculino</v>
          </cell>
          <cell r="AG328" t="str">
            <v>Parda</v>
          </cell>
          <cell r="AH328" t="str">
            <v>14/09/1969</v>
          </cell>
          <cell r="AI328">
            <v>51</v>
          </cell>
          <cell r="AJ328">
            <v>2417.6</v>
          </cell>
          <cell r="AK328">
            <v>0</v>
          </cell>
          <cell r="AL328" t="str">
            <v>FA</v>
          </cell>
          <cell r="AM328">
            <v>2417.6</v>
          </cell>
          <cell r="AN328" t="str">
            <v>luiz.pereira@mme.gov.br</v>
          </cell>
          <cell r="AO328" t="str">
            <v>(61) 2032-5873</v>
          </cell>
        </row>
        <row r="329">
          <cell r="A329" t="str">
            <v>MANOEL ALVES MAIA</v>
          </cell>
          <cell r="B329" t="str">
            <v>215.186.291-72</v>
          </cell>
          <cell r="C329">
            <v>452192</v>
          </cell>
          <cell r="D329" t="str">
            <v>Agente de Vigilância</v>
          </cell>
          <cell r="E329" t="str">
            <v>Ativo Permanente</v>
          </cell>
          <cell r="F329" t="str">
            <v>MME - Ministério de Minas e Energia</v>
          </cell>
          <cell r="G329" t="str">
            <v>SE / SPOA / CGRL / COORDENAÇÃO DE ATIVIDADES GERAIS - COAGE</v>
          </cell>
          <cell r="H329" t="str">
            <v>8.105.120</v>
          </cell>
          <cell r="I329" t="str">
            <v>Função Gratificada</v>
          </cell>
          <cell r="J329" t="str">
            <v>FGR</v>
          </cell>
          <cell r="K329">
            <v>1</v>
          </cell>
          <cell r="L329" t="str">
            <v xml:space="preserve">Portaria nº </v>
          </cell>
          <cell r="M329">
            <v>524</v>
          </cell>
          <cell r="N329" t="str">
            <v>03/11/2016</v>
          </cell>
          <cell r="O329" t="str">
            <v>04/11/2016</v>
          </cell>
          <cell r="P329" t="str">
            <v>BPE</v>
          </cell>
          <cell r="Z329" t="str">
            <v>Sem designação</v>
          </cell>
          <cell r="AF329" t="str">
            <v>Masculino</v>
          </cell>
          <cell r="AG329" t="str">
            <v>Parda</v>
          </cell>
          <cell r="AH329" t="str">
            <v>28/03/1949</v>
          </cell>
          <cell r="AI329">
            <v>71</v>
          </cell>
          <cell r="AJ329">
            <v>5881.71</v>
          </cell>
          <cell r="AL329" t="str">
            <v>FA</v>
          </cell>
          <cell r="AM329">
            <v>5881.71</v>
          </cell>
        </row>
        <row r="330">
          <cell r="A330" t="str">
            <v>MANOEL DA PAIXAO NETO</v>
          </cell>
          <cell r="B330" t="str">
            <v>244.661.231-87</v>
          </cell>
          <cell r="C330">
            <v>1586318</v>
          </cell>
          <cell r="D330" t="str">
            <v>Digitador</v>
          </cell>
          <cell r="E330" t="str">
            <v>Anistiado MME</v>
          </cell>
          <cell r="F330" t="str">
            <v>MME - Ministério de Minas e Energia</v>
          </cell>
          <cell r="G330" t="str">
            <v>SPE / CHEFIA DE GABINETE SPE</v>
          </cell>
          <cell r="H330" t="str">
            <v>10.100.000</v>
          </cell>
          <cell r="Z330" t="str">
            <v>Sem designação</v>
          </cell>
          <cell r="AF330" t="str">
            <v>Masculino</v>
          </cell>
          <cell r="AG330" t="str">
            <v>Branca</v>
          </cell>
          <cell r="AH330" t="str">
            <v>28/10/1961</v>
          </cell>
          <cell r="AI330">
            <v>59</v>
          </cell>
          <cell r="AJ330">
            <v>3268.41</v>
          </cell>
          <cell r="AL330" t="str">
            <v>FA</v>
          </cell>
          <cell r="AM330">
            <v>3268.41</v>
          </cell>
          <cell r="AN330" t="str">
            <v>manoel.neto@mme.gov.br</v>
          </cell>
          <cell r="AO330" t="str">
            <v>(61) 2032-5145</v>
          </cell>
        </row>
        <row r="331">
          <cell r="A331" t="str">
            <v>MANOEL HUMBERTO LEMOS DA SILVA</v>
          </cell>
          <cell r="B331" t="str">
            <v>145.252.674-53</v>
          </cell>
          <cell r="C331">
            <v>1963508</v>
          </cell>
          <cell r="D331" t="str">
            <v>Sem Cargo/Emprego</v>
          </cell>
          <cell r="E331" t="str">
            <v>Sem Vínculo</v>
          </cell>
          <cell r="F331" t="str">
            <v>Sem Vínculo</v>
          </cell>
          <cell r="G331" t="str">
            <v>SE / SUBSECRETARIA DE PLANEJAMENTO, ORÇAMENTO E ADMINISTRAÇÃO - SPOA</v>
          </cell>
          <cell r="H331" t="str">
            <v>8.105.000</v>
          </cell>
          <cell r="I331" t="str">
            <v>Assessor da Subsecretaria de Planejamento, Orçamento e Administração</v>
          </cell>
          <cell r="J331" t="str">
            <v>DAS</v>
          </cell>
          <cell r="K331" t="str">
            <v>102.4</v>
          </cell>
          <cell r="L331" t="str">
            <v xml:space="preserve">Portaria nº </v>
          </cell>
          <cell r="M331">
            <v>524</v>
          </cell>
          <cell r="N331" t="str">
            <v>03/11/2016</v>
          </cell>
          <cell r="O331" t="str">
            <v>04/11/2016</v>
          </cell>
          <cell r="P331" t="str">
            <v>BPE</v>
          </cell>
          <cell r="Y331" t="str">
            <v>Subcretário de Planejamento, Orçamento e Administração</v>
          </cell>
          <cell r="Z331" t="str">
            <v>Eventual</v>
          </cell>
          <cell r="AA331" t="str">
            <v xml:space="preserve">Portaria nº </v>
          </cell>
          <cell r="AB331">
            <v>85</v>
          </cell>
          <cell r="AC331" t="str">
            <v>09/03/2020</v>
          </cell>
          <cell r="AD331" t="str">
            <v>11/03/2020</v>
          </cell>
          <cell r="AE331" t="str">
            <v>DOU</v>
          </cell>
          <cell r="AF331" t="str">
            <v>Masculino</v>
          </cell>
          <cell r="AG331" t="str">
            <v>Parda</v>
          </cell>
          <cell r="AH331" t="str">
            <v>16/03/1955</v>
          </cell>
          <cell r="AI331">
            <v>65</v>
          </cell>
          <cell r="AJ331">
            <v>10373.299999999999</v>
          </cell>
          <cell r="AL331" t="str">
            <v>FA</v>
          </cell>
          <cell r="AM331">
            <v>10373.299999999999</v>
          </cell>
          <cell r="AN331" t="str">
            <v>manoel.lemos@mme.gov.br</v>
          </cell>
          <cell r="AO331" t="str">
            <v>(61) 2032-5101</v>
          </cell>
          <cell r="AP331" t="str">
            <v>SE40</v>
          </cell>
          <cell r="AQ331" t="str">
            <v>SE19S</v>
          </cell>
        </row>
        <row r="332">
          <cell r="A332" t="str">
            <v>MARA BETANIA BALTAR GARCIA DA CONCEICAO</v>
          </cell>
          <cell r="B332" t="str">
            <v>199.824.445-00</v>
          </cell>
          <cell r="C332">
            <v>1677235</v>
          </cell>
          <cell r="D332" t="str">
            <v>Codificador de Dados I</v>
          </cell>
          <cell r="E332" t="str">
            <v>Anistiado MME</v>
          </cell>
          <cell r="F332" t="str">
            <v>MME - Ministério de Minas e Energia</v>
          </cell>
          <cell r="G332" t="str">
            <v>SE / SPOA / CGRH / COORDENAÇÃO DE DESENVOLVIMENTO E SEGURIDADE SOCIAL - CODES</v>
          </cell>
          <cell r="H332" t="str">
            <v>8.105.220</v>
          </cell>
          <cell r="I332" t="str">
            <v>Chefe da Divisão de Gestão de Estágio da Coordenação de Desenvolvimento e Seguridade Social</v>
          </cell>
          <cell r="J332" t="str">
            <v>DAS</v>
          </cell>
          <cell r="K332" t="str">
            <v>101.2</v>
          </cell>
          <cell r="L332" t="str">
            <v xml:space="preserve">Portaria nº </v>
          </cell>
          <cell r="M332">
            <v>555</v>
          </cell>
          <cell r="N332" t="str">
            <v>03/11/2016</v>
          </cell>
          <cell r="O332" t="str">
            <v>04/11/2016</v>
          </cell>
          <cell r="P332" t="str">
            <v>DOU</v>
          </cell>
          <cell r="Z332" t="str">
            <v>Sem designação</v>
          </cell>
          <cell r="AF332" t="str">
            <v>Feminino</v>
          </cell>
          <cell r="AG332" t="str">
            <v>Branca</v>
          </cell>
          <cell r="AH332" t="str">
            <v>04/06/1963</v>
          </cell>
          <cell r="AI332">
            <v>57</v>
          </cell>
          <cell r="AJ332">
            <v>5332.86</v>
          </cell>
          <cell r="AL332" t="str">
            <v>FA</v>
          </cell>
          <cell r="AM332">
            <v>5332.86</v>
          </cell>
          <cell r="AN332" t="str">
            <v>mara.garcia@mme.gov.br</v>
          </cell>
          <cell r="AO332" t="str">
            <v>(61) 2032-5533</v>
          </cell>
          <cell r="AP332" t="str">
            <v>SE64</v>
          </cell>
        </row>
        <row r="333">
          <cell r="A333" t="str">
            <v>MARCELO BARBOSA COELHO</v>
          </cell>
          <cell r="B333" t="str">
            <v>348.529.991-04</v>
          </cell>
          <cell r="C333">
            <v>1677225</v>
          </cell>
          <cell r="D333" t="str">
            <v>Advogado</v>
          </cell>
          <cell r="E333" t="str">
            <v>Anistiado MME</v>
          </cell>
          <cell r="F333" t="str">
            <v>MME - Ministério de Minas e Energia</v>
          </cell>
          <cell r="G333" t="str">
            <v>Aguardando Lotação/Exercício</v>
          </cell>
          <cell r="H333" t="str">
            <v>88.000.000</v>
          </cell>
          <cell r="Z333" t="str">
            <v>Sem designação</v>
          </cell>
          <cell r="AF333" t="str">
            <v>Masculino</v>
          </cell>
          <cell r="AG333" t="str">
            <v>Branca</v>
          </cell>
          <cell r="AH333" t="str">
            <v>16/11/1965</v>
          </cell>
          <cell r="AI333">
            <v>54</v>
          </cell>
          <cell r="AJ333">
            <v>7215.15</v>
          </cell>
          <cell r="AL333" t="str">
            <v>FA</v>
          </cell>
          <cell r="AM333">
            <v>7215.15</v>
          </cell>
          <cell r="AN333" t="str">
            <v>marcelo.coelho@mme.gov.br</v>
          </cell>
          <cell r="AO333" t="str">
            <v>(61) 2032-5580</v>
          </cell>
        </row>
        <row r="334">
          <cell r="A334" t="str">
            <v>MARCIA ALVES DE FIGUEIREDO</v>
          </cell>
          <cell r="B334" t="str">
            <v>247.706.041-49</v>
          </cell>
          <cell r="C334">
            <v>1670151</v>
          </cell>
          <cell r="D334" t="str">
            <v>Escriturário III</v>
          </cell>
          <cell r="E334" t="str">
            <v>Anistiado MME</v>
          </cell>
          <cell r="F334" t="str">
            <v>MME - Ministério de Minas e Energia</v>
          </cell>
          <cell r="G334" t="str">
            <v>SE / SPOA / CGRL / COORDENAÇÃO DE ATIVIDADES GERAIS - COAGE</v>
          </cell>
          <cell r="H334" t="str">
            <v>8.105.120</v>
          </cell>
          <cell r="I334" t="str">
            <v xml:space="preserve">Chefe da Divisão de Segurança da Coordenação de Atividades Gerais </v>
          </cell>
          <cell r="J334" t="str">
            <v>DAS</v>
          </cell>
          <cell r="K334" t="str">
            <v>101.2</v>
          </cell>
          <cell r="L334" t="str">
            <v xml:space="preserve">Portaria nº </v>
          </cell>
          <cell r="M334">
            <v>524</v>
          </cell>
          <cell r="N334" t="str">
            <v>03/11/2016</v>
          </cell>
          <cell r="O334" t="str">
            <v>04/11/2016</v>
          </cell>
          <cell r="P334" t="str">
            <v>BPE</v>
          </cell>
          <cell r="Y334" t="str">
            <v>Coordenação de Atividades Gerais da CGRL</v>
          </cell>
          <cell r="Z334" t="str">
            <v>Eventual</v>
          </cell>
          <cell r="AA334" t="str">
            <v xml:space="preserve">Portaria nº </v>
          </cell>
          <cell r="AB334">
            <v>137</v>
          </cell>
          <cell r="AC334" t="str">
            <v>16/04/2015</v>
          </cell>
          <cell r="AD334" t="str">
            <v>17/04/2015</v>
          </cell>
          <cell r="AE334" t="str">
            <v>DOU</v>
          </cell>
          <cell r="AF334" t="str">
            <v>Feminino</v>
          </cell>
          <cell r="AG334" t="str">
            <v>Branca</v>
          </cell>
          <cell r="AH334" t="str">
            <v>23/04/1962</v>
          </cell>
          <cell r="AI334">
            <v>58</v>
          </cell>
          <cell r="AJ334">
            <v>6519.1</v>
          </cell>
          <cell r="AL334" t="str">
            <v>FA</v>
          </cell>
          <cell r="AM334">
            <v>6519.1</v>
          </cell>
          <cell r="AN334" t="str">
            <v>marcia.figueiredo@mme.gov.br</v>
          </cell>
          <cell r="AO334" t="str">
            <v>(61) 2032-5563</v>
          </cell>
          <cell r="AP334" t="str">
            <v>SE57</v>
          </cell>
          <cell r="AQ334" t="str">
            <v>SE27S</v>
          </cell>
        </row>
        <row r="335">
          <cell r="A335" t="str">
            <v>MARCIA CRISTINA DA SILVA DO NASCIMENTO</v>
          </cell>
          <cell r="B335" t="str">
            <v>410.893.161-00</v>
          </cell>
          <cell r="C335">
            <v>1374653</v>
          </cell>
          <cell r="D335" t="str">
            <v>Sem Cargo/Emprego</v>
          </cell>
          <cell r="E335" t="str">
            <v>Sem Vínculo</v>
          </cell>
          <cell r="F335" t="str">
            <v>Sem Vínculo</v>
          </cell>
          <cell r="G335" t="str">
            <v>GM / ASSESSORIA PARLAMENTAR - ASPAR</v>
          </cell>
          <cell r="H335" t="str">
            <v>2.100.200</v>
          </cell>
          <cell r="I335" t="str">
            <v>Assistente Técnica da Assessoria Parlamentar do Gabinete do Ministro</v>
          </cell>
          <cell r="J335" t="str">
            <v>DAS</v>
          </cell>
          <cell r="K335" t="str">
            <v>102.1</v>
          </cell>
          <cell r="L335" t="str">
            <v xml:space="preserve">Portaria nº </v>
          </cell>
          <cell r="M335">
            <v>454</v>
          </cell>
          <cell r="N335" t="str">
            <v>23/10/2018</v>
          </cell>
          <cell r="O335" t="str">
            <v>24/10/2018</v>
          </cell>
          <cell r="P335" t="str">
            <v>DOU</v>
          </cell>
          <cell r="Z335" t="str">
            <v>Sem designação</v>
          </cell>
          <cell r="AF335" t="str">
            <v>Feminino</v>
          </cell>
          <cell r="AG335" t="str">
            <v>Parda</v>
          </cell>
          <cell r="AH335" t="str">
            <v>11/08/1970</v>
          </cell>
          <cell r="AI335">
            <v>50</v>
          </cell>
          <cell r="AJ335">
            <v>2701.46</v>
          </cell>
          <cell r="AL335" t="str">
            <v>FA</v>
          </cell>
          <cell r="AM335">
            <v>2701.46</v>
          </cell>
          <cell r="AN335" t="str">
            <v>marcia.nascimento@mme.gov.br</v>
          </cell>
          <cell r="AO335" t="str">
            <v>(61) 2032-5048</v>
          </cell>
          <cell r="AP335" t="str">
            <v>GM29</v>
          </cell>
        </row>
        <row r="336">
          <cell r="A336" t="str">
            <v>MARCIA ELISABETE CUNHA DE SOUSA</v>
          </cell>
          <cell r="B336" t="str">
            <v>340.623.271-04</v>
          </cell>
          <cell r="C336">
            <v>452366</v>
          </cell>
          <cell r="D336" t="str">
            <v>Agente Administrativo</v>
          </cell>
          <cell r="E336" t="str">
            <v>Ativo Permanente</v>
          </cell>
          <cell r="F336" t="str">
            <v>MME - Ministério de Minas e Energia</v>
          </cell>
          <cell r="G336" t="str">
            <v>GM / ASTAD / COORDENAÇÃO DE ATIVIDADES ADMINISTRATIVAS</v>
          </cell>
          <cell r="H336" t="str">
            <v>2.100.101</v>
          </cell>
          <cell r="I336" t="str">
            <v>Função Comissionada Técnica - Analista em Assunto Parlamentar, Comunicação Social e Gestão Administrativa</v>
          </cell>
          <cell r="J336" t="str">
            <v>FCT</v>
          </cell>
          <cell r="K336">
            <v>1</v>
          </cell>
          <cell r="L336" t="str">
            <v xml:space="preserve">Portaria nº </v>
          </cell>
          <cell r="M336">
            <v>64</v>
          </cell>
          <cell r="N336" t="str">
            <v>24/01/2019</v>
          </cell>
          <cell r="O336" t="str">
            <v>29/01/2019</v>
          </cell>
          <cell r="P336" t="str">
            <v>DOU</v>
          </cell>
          <cell r="Z336" t="str">
            <v>Sem designação</v>
          </cell>
          <cell r="AF336" t="str">
            <v>Feminino</v>
          </cell>
          <cell r="AG336" t="str">
            <v>Branca</v>
          </cell>
          <cell r="AH336" t="str">
            <v>12/09/1965</v>
          </cell>
          <cell r="AI336">
            <v>55</v>
          </cell>
          <cell r="AJ336">
            <v>7685.08</v>
          </cell>
          <cell r="AL336" t="str">
            <v>DIR</v>
          </cell>
          <cell r="AM336">
            <v>7685.08</v>
          </cell>
          <cell r="AN336" t="str">
            <v>MarciaCunha@mme.gov.br</v>
          </cell>
          <cell r="AO336" t="str">
            <v>(61) 2032-5289</v>
          </cell>
        </row>
        <row r="337">
          <cell r="A337" t="str">
            <v>MARCIA PERES</v>
          </cell>
          <cell r="B337" t="str">
            <v>239.256.711-53</v>
          </cell>
          <cell r="C337">
            <v>1670518</v>
          </cell>
          <cell r="D337" t="str">
            <v>Codificador de Dados I</v>
          </cell>
          <cell r="E337" t="str">
            <v>Anistiado MME</v>
          </cell>
          <cell r="F337" t="str">
            <v>MME - Ministério de Minas e Energia</v>
          </cell>
          <cell r="G337" t="str">
            <v>SE / SPOA / CGRH / COORDENAÇÃO DE DESENVOLVIMENTO E SEGURIDADE SOCIAL - CODES</v>
          </cell>
          <cell r="H337" t="str">
            <v>8.105.220</v>
          </cell>
          <cell r="Z337" t="str">
            <v>Sem designação</v>
          </cell>
          <cell r="AF337" t="str">
            <v>Feminino</v>
          </cell>
          <cell r="AG337" t="str">
            <v>Branca</v>
          </cell>
          <cell r="AH337" t="str">
            <v>29/12/1959</v>
          </cell>
          <cell r="AI337">
            <v>60</v>
          </cell>
          <cell r="AJ337">
            <v>3915.9</v>
          </cell>
          <cell r="AL337" t="str">
            <v>FA</v>
          </cell>
          <cell r="AM337">
            <v>3915.9</v>
          </cell>
          <cell r="AN337" t="str">
            <v>marcia.peres@mme.gov.br</v>
          </cell>
          <cell r="AO337" t="str">
            <v>(61) 2032-5878</v>
          </cell>
        </row>
        <row r="338">
          <cell r="A338" t="str">
            <v>MARCIA REGINA DE JESUS FIUZA</v>
          </cell>
          <cell r="B338" t="str">
            <v>646.626.591-91</v>
          </cell>
          <cell r="C338">
            <v>1095444</v>
          </cell>
          <cell r="D338" t="str">
            <v>Agente de Portaria</v>
          </cell>
          <cell r="E338" t="str">
            <v>Ativo Permanente</v>
          </cell>
          <cell r="F338" t="str">
            <v>MME - Ministério de Minas e Energia</v>
          </cell>
          <cell r="G338" t="str">
            <v>ASSESSORIA ESPECIAL DE CONTROLE INTERNO - AECI</v>
          </cell>
          <cell r="H338" t="str">
            <v>5.000.000</v>
          </cell>
          <cell r="I338" t="str">
            <v>Assistente da Assessoria Especial de Controle Interno</v>
          </cell>
          <cell r="J338" t="str">
            <v>FCPE</v>
          </cell>
          <cell r="K338" t="str">
            <v>102.2</v>
          </cell>
          <cell r="L338" t="str">
            <v xml:space="preserve">Portaria nº </v>
          </cell>
          <cell r="M338">
            <v>524</v>
          </cell>
          <cell r="N338" t="str">
            <v>03/11/2016</v>
          </cell>
          <cell r="O338" t="str">
            <v>04/11/2016</v>
          </cell>
          <cell r="P338" t="str">
            <v>BPE</v>
          </cell>
          <cell r="Z338" t="str">
            <v>Sem designação</v>
          </cell>
          <cell r="AF338" t="str">
            <v>Feminino</v>
          </cell>
          <cell r="AG338" t="str">
            <v>Preta</v>
          </cell>
          <cell r="AH338" t="str">
            <v>10/10/1973</v>
          </cell>
          <cell r="AI338">
            <v>47</v>
          </cell>
          <cell r="AJ338">
            <v>7081.93</v>
          </cell>
          <cell r="AL338" t="str">
            <v>DIR</v>
          </cell>
          <cell r="AM338">
            <v>7081.93</v>
          </cell>
          <cell r="AN338" t="str">
            <v>marciaregina@mme.gov.br</v>
          </cell>
          <cell r="AO338" t="str">
            <v>(61) 2032-5028</v>
          </cell>
          <cell r="AP338" t="str">
            <v>AECI03</v>
          </cell>
        </row>
        <row r="339">
          <cell r="A339" t="str">
            <v>MARCILIO RODRIGUES PENHA</v>
          </cell>
          <cell r="B339" t="str">
            <v>379.487.171-53</v>
          </cell>
          <cell r="C339">
            <v>7601425</v>
          </cell>
          <cell r="D339" t="str">
            <v>Auxiliar Codificação e Conferência</v>
          </cell>
          <cell r="E339" t="str">
            <v>Anistiado MME</v>
          </cell>
          <cell r="F339" t="str">
            <v>MME - Ministério de Minas e Energia</v>
          </cell>
          <cell r="G339" t="str">
            <v>Aguardando Lotação/Exercício</v>
          </cell>
          <cell r="H339" t="str">
            <v>88.000.000</v>
          </cell>
          <cell r="AF339" t="str">
            <v>Masculino</v>
          </cell>
          <cell r="AG339" t="str">
            <v>Preta</v>
          </cell>
          <cell r="AH339" t="str">
            <v>06/07/1967</v>
          </cell>
          <cell r="AI339">
            <v>53</v>
          </cell>
          <cell r="AJ339">
            <v>3726.41</v>
          </cell>
          <cell r="AL339" t="str">
            <v>DIR</v>
          </cell>
          <cell r="AM339">
            <v>3726.41</v>
          </cell>
          <cell r="AN339" t="str">
            <v>marcilio.penha@mme.gov.br</v>
          </cell>
          <cell r="AO339" t="str">
            <v>(61) 2032-5580</v>
          </cell>
        </row>
        <row r="340">
          <cell r="A340" t="str">
            <v>MARCIO MITLETON</v>
          </cell>
          <cell r="B340" t="str">
            <v>498.742.336-72</v>
          </cell>
          <cell r="C340">
            <v>2311090</v>
          </cell>
          <cell r="D340" t="str">
            <v>Analista de Planejamento e Orçamento</v>
          </cell>
          <cell r="E340" t="str">
            <v>Exercício Descentralizado</v>
          </cell>
          <cell r="F340" t="str">
            <v>ME - Ministério da Economia</v>
          </cell>
          <cell r="G340" t="str">
            <v>SE / SPOA / CGOF / COORDENAÇÃO DE CONTABILIDADE - CONT</v>
          </cell>
          <cell r="H340" t="str">
            <v>8.105.520</v>
          </cell>
          <cell r="I340" t="str">
            <v>Assistente da Coordenação Geral de Orçamento e Finanças</v>
          </cell>
          <cell r="J340" t="str">
            <v>DAS</v>
          </cell>
          <cell r="K340" t="str">
            <v>102.2</v>
          </cell>
          <cell r="L340" t="str">
            <v xml:space="preserve">Portaria nº </v>
          </cell>
          <cell r="M340">
            <v>110</v>
          </cell>
          <cell r="N340" t="str">
            <v>06/02/2019</v>
          </cell>
          <cell r="O340" t="str">
            <v>08/02/2019</v>
          </cell>
          <cell r="P340" t="str">
            <v>DOU</v>
          </cell>
          <cell r="Z340" t="str">
            <v>Sem designação</v>
          </cell>
          <cell r="AF340" t="str">
            <v>Masculino</v>
          </cell>
          <cell r="AG340" t="str">
            <v>Branca</v>
          </cell>
          <cell r="AH340" t="str">
            <v>29/09/1963</v>
          </cell>
          <cell r="AI340">
            <v>57</v>
          </cell>
          <cell r="AJ340">
            <v>2064.4499999999998</v>
          </cell>
          <cell r="AK340">
            <v>27827.67</v>
          </cell>
          <cell r="AL340" t="str">
            <v>FA</v>
          </cell>
          <cell r="AM340">
            <v>29892.12</v>
          </cell>
          <cell r="AN340" t="str">
            <v>marcio.mitleton@mme.gov.br</v>
          </cell>
          <cell r="AO340" t="str">
            <v>(61) 2032-5548</v>
          </cell>
          <cell r="AP340" t="str">
            <v>SE75</v>
          </cell>
        </row>
        <row r="341">
          <cell r="A341" t="str">
            <v>MARCOS ANDRE DOS SANTOS SOEIRO</v>
          </cell>
          <cell r="B341" t="str">
            <v>087.025.307-75</v>
          </cell>
          <cell r="C341">
            <v>3132854</v>
          </cell>
          <cell r="D341" t="str">
            <v>Marinha</v>
          </cell>
          <cell r="E341" t="str">
            <v>Requisitado Militar</v>
          </cell>
          <cell r="F341" t="str">
            <v>Marinha</v>
          </cell>
          <cell r="G341" t="str">
            <v>Escritório Rio de Janeiro/RJ</v>
          </cell>
          <cell r="H341" t="str">
            <v>99.000.000</v>
          </cell>
          <cell r="I341" t="str">
            <v>Chefe do Escritório</v>
          </cell>
          <cell r="J341" t="str">
            <v>DAS</v>
          </cell>
          <cell r="K341" t="str">
            <v>101.4</v>
          </cell>
          <cell r="L341" t="str">
            <v xml:space="preserve">Portaria nº </v>
          </cell>
          <cell r="M341">
            <v>269</v>
          </cell>
          <cell r="N341" t="str">
            <v>01/07/2020</v>
          </cell>
          <cell r="O341" t="str">
            <v>02/07/2020</v>
          </cell>
          <cell r="P341" t="str">
            <v>DOU</v>
          </cell>
          <cell r="Z341" t="str">
            <v>Sem designação</v>
          </cell>
          <cell r="AF341" t="str">
            <v>Masculino</v>
          </cell>
          <cell r="AG341" t="str">
            <v>Parda</v>
          </cell>
          <cell r="AH341" t="str">
            <v>11/08/1980</v>
          </cell>
          <cell r="AI341">
            <v>40</v>
          </cell>
          <cell r="AJ341">
            <v>6223.98</v>
          </cell>
          <cell r="AK341">
            <v>10560.9</v>
          </cell>
          <cell r="AL341" t="str">
            <v>FA</v>
          </cell>
          <cell r="AM341">
            <v>16784.879999999997</v>
          </cell>
          <cell r="AN341" t="str">
            <v>marcos.soeiro@mme.gov.br</v>
          </cell>
          <cell r="AO341" t="str">
            <v>(61) 2032-5046</v>
          </cell>
          <cell r="AP341" t="str">
            <v>TEMP01</v>
          </cell>
        </row>
        <row r="342">
          <cell r="A342" t="str">
            <v>MARCOS CARVALHO DE SANT'ANA</v>
          </cell>
          <cell r="B342" t="str">
            <v>490.605.111-15</v>
          </cell>
          <cell r="C342">
            <v>1459922</v>
          </cell>
          <cell r="D342" t="str">
            <v>Especialista em Política Pública e Gestão Governamental</v>
          </cell>
          <cell r="E342" t="str">
            <v>Exercício Descentralizado</v>
          </cell>
          <cell r="F342" t="str">
            <v>ME - Ministério da Economia</v>
          </cell>
          <cell r="G342" t="str">
            <v>SPG / DEPARTAMENTO DE BIOCOMBUSTÍVEIS - DBIO</v>
          </cell>
          <cell r="H342" t="str">
            <v>11.104.000</v>
          </cell>
          <cell r="Y342" t="str">
            <v>Coordenação Geral de Etanol</v>
          </cell>
          <cell r="Z342" t="str">
            <v>Eventual</v>
          </cell>
          <cell r="AA342" t="str">
            <v xml:space="preserve">Portaria nº </v>
          </cell>
          <cell r="AB342">
            <v>320</v>
          </cell>
          <cell r="AC342" t="str">
            <v>15/08/2019</v>
          </cell>
          <cell r="AD342" t="str">
            <v>16/08/2019</v>
          </cell>
          <cell r="AE342" t="str">
            <v>DOU</v>
          </cell>
          <cell r="AF342" t="str">
            <v>Masculino</v>
          </cell>
          <cell r="AG342" t="str">
            <v>Branca</v>
          </cell>
          <cell r="AH342" t="str">
            <v>22/12/1973</v>
          </cell>
          <cell r="AI342">
            <v>46</v>
          </cell>
          <cell r="AJ342">
            <v>0</v>
          </cell>
          <cell r="AK342">
            <v>28148.67</v>
          </cell>
          <cell r="AL342" t="str">
            <v>FA</v>
          </cell>
          <cell r="AM342">
            <v>28148.67</v>
          </cell>
          <cell r="AN342" t="str">
            <v>marcos.santana@mme.gov.br</v>
          </cell>
          <cell r="AO342" t="str">
            <v>(61) 2032-5945</v>
          </cell>
          <cell r="AQ342" t="str">
            <v>SPG16S</v>
          </cell>
        </row>
        <row r="343">
          <cell r="A343" t="str">
            <v>MARCOS JOSE ANTONIO PINHEIRO</v>
          </cell>
          <cell r="B343" t="str">
            <v>819.478.106-00</v>
          </cell>
          <cell r="C343">
            <v>1331372</v>
          </cell>
          <cell r="D343" t="str">
            <v>Sem Cargo/Emprego</v>
          </cell>
          <cell r="E343" t="str">
            <v>Sem Vínculo</v>
          </cell>
          <cell r="F343" t="str">
            <v>Sem Vínculo</v>
          </cell>
          <cell r="G343" t="str">
            <v>SEE / CHEFIA DE GABINETE SEE</v>
          </cell>
          <cell r="H343" t="str">
            <v>12.100.000</v>
          </cell>
          <cell r="I343" t="str">
            <v>Assistente da Secretaria de Energia Elétrica</v>
          </cell>
          <cell r="J343" t="str">
            <v>DAS</v>
          </cell>
          <cell r="K343" t="str">
            <v>102.2</v>
          </cell>
          <cell r="L343" t="str">
            <v xml:space="preserve">Portaria nº </v>
          </cell>
          <cell r="M343">
            <v>524</v>
          </cell>
          <cell r="N343" t="str">
            <v>03/11/2016</v>
          </cell>
          <cell r="O343" t="str">
            <v>04/11/2016</v>
          </cell>
          <cell r="P343" t="str">
            <v>BPE</v>
          </cell>
          <cell r="Z343" t="str">
            <v>Sem designação</v>
          </cell>
          <cell r="AF343" t="str">
            <v>Masculino</v>
          </cell>
          <cell r="AG343" t="str">
            <v>Parda</v>
          </cell>
          <cell r="AH343" t="str">
            <v>24/01/1974</v>
          </cell>
          <cell r="AI343">
            <v>46</v>
          </cell>
          <cell r="AJ343">
            <v>3440.75</v>
          </cell>
          <cell r="AL343" t="str">
            <v>FA</v>
          </cell>
          <cell r="AM343">
            <v>3440.75</v>
          </cell>
          <cell r="AN343" t="str">
            <v>marcos.pinheiro@mme.gov.br</v>
          </cell>
          <cell r="AO343" t="str">
            <v>(61) 2032-5078</v>
          </cell>
          <cell r="AP343" t="str">
            <v>SEE09</v>
          </cell>
        </row>
        <row r="344">
          <cell r="A344" t="str">
            <v>MARCUS VINICIUS DINIZ ARAUJO</v>
          </cell>
          <cell r="B344" t="str">
            <v>116.256.861-53</v>
          </cell>
          <cell r="C344">
            <v>1314231</v>
          </cell>
          <cell r="D344" t="str">
            <v>Programador</v>
          </cell>
          <cell r="E344" t="str">
            <v>Ativo Permanente</v>
          </cell>
          <cell r="F344" t="str">
            <v>MME - Ministério de Minas e Energia</v>
          </cell>
          <cell r="G344" t="str">
            <v>SE / SPOA / COORDENAÇÃO GERAL DE RECURSOS HUMANOS - CGRH</v>
          </cell>
          <cell r="H344" t="str">
            <v>8.105.200</v>
          </cell>
          <cell r="I344" t="str">
            <v>Função Gratificada</v>
          </cell>
          <cell r="J344" t="str">
            <v>FGR</v>
          </cell>
          <cell r="K344">
            <v>1</v>
          </cell>
          <cell r="L344" t="str">
            <v xml:space="preserve">Portaria nº </v>
          </cell>
          <cell r="M344">
            <v>524</v>
          </cell>
          <cell r="N344" t="str">
            <v>03/11/2016</v>
          </cell>
          <cell r="O344" t="str">
            <v>04/11/2016</v>
          </cell>
          <cell r="P344" t="str">
            <v>BPE</v>
          </cell>
          <cell r="Z344" t="str">
            <v>Sem designação</v>
          </cell>
          <cell r="AF344" t="str">
            <v>Masculino</v>
          </cell>
          <cell r="AG344" t="str">
            <v>Branca</v>
          </cell>
          <cell r="AH344" t="str">
            <v>05/07/1948</v>
          </cell>
          <cell r="AI344">
            <v>72</v>
          </cell>
          <cell r="AJ344">
            <v>5934.39</v>
          </cell>
          <cell r="AL344" t="str">
            <v>FA</v>
          </cell>
          <cell r="AM344">
            <v>5934.39</v>
          </cell>
          <cell r="AN344" t="str">
            <v>marcus.araujo@mme.gov.br</v>
          </cell>
          <cell r="AO344" t="str">
            <v>(61) 2032-5656</v>
          </cell>
        </row>
        <row r="345">
          <cell r="A345" t="str">
            <v>MARGARETE MAGALHAES</v>
          </cell>
          <cell r="B345" t="str">
            <v>326.541.111-72</v>
          </cell>
          <cell r="C345">
            <v>2094478</v>
          </cell>
          <cell r="D345" t="str">
            <v>Técnico em Assuntos Educacionais</v>
          </cell>
          <cell r="E345" t="str">
            <v>Requisitado de Órgãos</v>
          </cell>
          <cell r="F345" t="str">
            <v>MEC - Ministério da Educação</v>
          </cell>
          <cell r="G345" t="str">
            <v>SE / SPOA / CGRH / COORDENAÇÃO DE DESENVOLVIMENTO E SEGURIDADE SOCIAL - CODES</v>
          </cell>
          <cell r="H345" t="str">
            <v>8.105.220</v>
          </cell>
          <cell r="Q345" t="str">
            <v>GSISTE</v>
          </cell>
          <cell r="R345" t="str">
            <v>Superior</v>
          </cell>
          <cell r="S345" t="str">
            <v>SIPEC  - Sistema de Pessoal Civil da Administração Federal</v>
          </cell>
          <cell r="T345" t="str">
            <v xml:space="preserve">Portaria nº </v>
          </cell>
          <cell r="U345">
            <v>35</v>
          </cell>
          <cell r="V345" t="str">
            <v>12/05/2016</v>
          </cell>
          <cell r="W345" t="str">
            <v>16/05/2016</v>
          </cell>
          <cell r="X345" t="str">
            <v>BP</v>
          </cell>
          <cell r="Z345" t="str">
            <v>Sem designação</v>
          </cell>
          <cell r="AF345" t="str">
            <v>Feminino</v>
          </cell>
          <cell r="AG345" t="str">
            <v>Branca</v>
          </cell>
          <cell r="AH345" t="str">
            <v>13/04/1969</v>
          </cell>
          <cell r="AI345">
            <v>51</v>
          </cell>
          <cell r="AJ345">
            <v>3535.37</v>
          </cell>
          <cell r="AK345">
            <v>9458.2099999999991</v>
          </cell>
          <cell r="AL345" t="str">
            <v>FA</v>
          </cell>
          <cell r="AM345">
            <v>12993.579999999998</v>
          </cell>
          <cell r="AN345" t="str">
            <v>margarete.magalhaes@mme.gov.br</v>
          </cell>
          <cell r="AO345" t="str">
            <v>(61) 2032-5689</v>
          </cell>
        </row>
        <row r="346">
          <cell r="A346" t="str">
            <v>MARGARIDA SILVA OLIVEIRA DE FIGUEREDO</v>
          </cell>
          <cell r="B346" t="str">
            <v>144.070.005-20</v>
          </cell>
          <cell r="C346">
            <v>455332</v>
          </cell>
          <cell r="D346" t="str">
            <v>Agente Administrativo</v>
          </cell>
          <cell r="E346" t="str">
            <v>Ativo Permanente</v>
          </cell>
          <cell r="F346" t="str">
            <v>MME - Ministério de Minas e Energia</v>
          </cell>
          <cell r="G346" t="str">
            <v>SE / SPOA / CGRH / COORDENAÇÃO DE ADMINISTRAÇÃO DE PESSOAL - CAPES</v>
          </cell>
          <cell r="H346" t="str">
            <v>8.105.210</v>
          </cell>
          <cell r="I346" t="str">
            <v>Função Gratificada</v>
          </cell>
          <cell r="J346" t="str">
            <v>FGR</v>
          </cell>
          <cell r="K346">
            <v>1</v>
          </cell>
          <cell r="L346" t="str">
            <v xml:space="preserve">Portaria nº </v>
          </cell>
          <cell r="M346">
            <v>524</v>
          </cell>
          <cell r="N346" t="str">
            <v>03/11/2016</v>
          </cell>
          <cell r="O346" t="str">
            <v>04/11/2016</v>
          </cell>
          <cell r="P346" t="str">
            <v>BPE</v>
          </cell>
          <cell r="Y346" t="str">
            <v>Chefe da Divisão de Execução Orçamentária e Financeira e Despesas Diversas</v>
          </cell>
          <cell r="Z346" t="str">
            <v>Eventual</v>
          </cell>
          <cell r="AA346" t="str">
            <v xml:space="preserve">Portaria nº </v>
          </cell>
          <cell r="AB346">
            <v>164</v>
          </cell>
          <cell r="AC346" t="str">
            <v>25/04/2017</v>
          </cell>
          <cell r="AD346" t="str">
            <v>27/04/2017</v>
          </cell>
          <cell r="AE346" t="str">
            <v>DOU</v>
          </cell>
          <cell r="AF346" t="str">
            <v>Feminino</v>
          </cell>
          <cell r="AG346" t="str">
            <v>Parda</v>
          </cell>
          <cell r="AH346" t="str">
            <v>11/05/1953</v>
          </cell>
          <cell r="AI346">
            <v>67</v>
          </cell>
          <cell r="AJ346">
            <v>5834.08</v>
          </cell>
          <cell r="AL346" t="str">
            <v>FA</v>
          </cell>
          <cell r="AM346">
            <v>5834.08</v>
          </cell>
          <cell r="AN346" t="str">
            <v>margaridasilva@mme.gov.br</v>
          </cell>
          <cell r="AO346" t="str">
            <v>(61) 2032-5150</v>
          </cell>
          <cell r="AQ346" t="str">
            <v>SE35S</v>
          </cell>
        </row>
        <row r="347">
          <cell r="A347" t="str">
            <v>MARIA ALDAIR VITORIANO PINHEIRO</v>
          </cell>
          <cell r="B347" t="str">
            <v>265.711.021-53</v>
          </cell>
          <cell r="C347">
            <v>455364</v>
          </cell>
          <cell r="D347" t="str">
            <v>Agente de Portaria</v>
          </cell>
          <cell r="E347" t="str">
            <v>Ativo Permanente</v>
          </cell>
          <cell r="F347" t="str">
            <v>MME - Ministério de Minas e Energia</v>
          </cell>
          <cell r="G347" t="str">
            <v>SPE / CHEFIA DE GABINETE SPE</v>
          </cell>
          <cell r="H347" t="str">
            <v>10.100.000</v>
          </cell>
          <cell r="I347" t="str">
            <v>Função Comissionada Técnica - Técnico de Sistemas Operacionais e Administrativos</v>
          </cell>
          <cell r="J347" t="str">
            <v>FCT</v>
          </cell>
          <cell r="K347">
            <v>10</v>
          </cell>
          <cell r="L347" t="str">
            <v xml:space="preserve">Portaria nº </v>
          </cell>
          <cell r="M347">
            <v>592</v>
          </cell>
          <cell r="N347" t="str">
            <v>23/12/2005</v>
          </cell>
          <cell r="O347" t="str">
            <v>26/12/2005</v>
          </cell>
          <cell r="P347" t="str">
            <v>DOU</v>
          </cell>
          <cell r="Z347" t="str">
            <v>Sem designação</v>
          </cell>
          <cell r="AF347" t="str">
            <v>Feminino</v>
          </cell>
          <cell r="AG347" t="str">
            <v>Branca</v>
          </cell>
          <cell r="AH347" t="str">
            <v>21/10/1961</v>
          </cell>
          <cell r="AI347">
            <v>59</v>
          </cell>
          <cell r="AJ347">
            <v>6184.87</v>
          </cell>
          <cell r="AL347" t="str">
            <v>FA</v>
          </cell>
          <cell r="AM347">
            <v>6184.87</v>
          </cell>
          <cell r="AN347" t="str">
            <v>maria.pinheiro@mme.gov.br</v>
          </cell>
          <cell r="AO347" t="str">
            <v>(61) 2032-5682</v>
          </cell>
        </row>
        <row r="348">
          <cell r="A348" t="str">
            <v>MARIA BARBARA BERNARDES CABRAL</v>
          </cell>
          <cell r="B348" t="str">
            <v>182.140.371-15</v>
          </cell>
          <cell r="C348">
            <v>1163587</v>
          </cell>
          <cell r="D348" t="str">
            <v>Datilógrafo</v>
          </cell>
          <cell r="E348" t="str">
            <v>Ativo Permanente</v>
          </cell>
          <cell r="F348" t="str">
            <v>MME - Ministério de Minas e Energia</v>
          </cell>
          <cell r="G348" t="str">
            <v>SE / SPOA / CGRL / COORDENAÇÃO DE ATIVIDADES GERAIS - COAGE</v>
          </cell>
          <cell r="H348" t="str">
            <v>8.105.120</v>
          </cell>
          <cell r="I348" t="str">
            <v>Função Gratificada</v>
          </cell>
          <cell r="J348" t="str">
            <v>FGR</v>
          </cell>
          <cell r="K348">
            <v>1</v>
          </cell>
          <cell r="L348" t="str">
            <v xml:space="preserve">Portaria nº </v>
          </cell>
          <cell r="M348">
            <v>524</v>
          </cell>
          <cell r="N348" t="str">
            <v>03/11/2016</v>
          </cell>
          <cell r="O348" t="str">
            <v>04/11/2016</v>
          </cell>
          <cell r="P348" t="str">
            <v>BPE</v>
          </cell>
          <cell r="Z348" t="str">
            <v>Sem designação</v>
          </cell>
          <cell r="AF348" t="str">
            <v>Feminino</v>
          </cell>
          <cell r="AG348" t="str">
            <v>Branca</v>
          </cell>
          <cell r="AH348" t="str">
            <v>04/05/1957</v>
          </cell>
          <cell r="AI348">
            <v>63</v>
          </cell>
          <cell r="AJ348">
            <v>6048.38</v>
          </cell>
          <cell r="AL348" t="str">
            <v>FA</v>
          </cell>
          <cell r="AM348">
            <v>6048.38</v>
          </cell>
          <cell r="AN348" t="str">
            <v>barbara.bernardes@mme.gov.br</v>
          </cell>
          <cell r="AO348" t="str">
            <v>(61) 2032-5568</v>
          </cell>
        </row>
        <row r="349">
          <cell r="A349" t="str">
            <v>MARIA CEICILENE ARAGAO MARTINS</v>
          </cell>
          <cell r="B349" t="str">
            <v>480.426.501-59</v>
          </cell>
          <cell r="C349">
            <v>1439058</v>
          </cell>
          <cell r="D349" t="str">
            <v>Analista de Infraestrutura</v>
          </cell>
          <cell r="E349" t="str">
            <v>Requisitado de Órgãos</v>
          </cell>
          <cell r="F349" t="str">
            <v>ME - Ministério da Economia</v>
          </cell>
          <cell r="G349" t="str">
            <v>SE / ASSESSORIA ESPECIAL DE MEIO AMBIENTE - AESA</v>
          </cell>
          <cell r="H349" t="str">
            <v>8.104.000</v>
          </cell>
          <cell r="I349" t="str">
            <v>Chefe da Assessoria Especial de Meio Ambiente</v>
          </cell>
          <cell r="J349" t="str">
            <v>DAS</v>
          </cell>
          <cell r="K349" t="str">
            <v>101.5</v>
          </cell>
          <cell r="L349" t="str">
            <v xml:space="preserve">Portaria nº </v>
          </cell>
          <cell r="M349">
            <v>834</v>
          </cell>
          <cell r="N349" t="str">
            <v>30/08/2017</v>
          </cell>
          <cell r="O349" t="str">
            <v>31/08/2017</v>
          </cell>
          <cell r="P349" t="str">
            <v>DOU</v>
          </cell>
          <cell r="Z349" t="str">
            <v>Sem designação</v>
          </cell>
          <cell r="AF349" t="str">
            <v>Feminino</v>
          </cell>
          <cell r="AG349" t="str">
            <v>Branca</v>
          </cell>
          <cell r="AH349" t="str">
            <v>30/06/1969</v>
          </cell>
          <cell r="AI349">
            <v>51</v>
          </cell>
          <cell r="AJ349">
            <v>8174.03</v>
          </cell>
          <cell r="AK349">
            <v>17846.990000000002</v>
          </cell>
          <cell r="AL349" t="str">
            <v>FA</v>
          </cell>
          <cell r="AM349">
            <v>26021.02</v>
          </cell>
          <cell r="AN349" t="str">
            <v>ceicilene.martins@mme.gov.br</v>
          </cell>
          <cell r="AO349" t="str">
            <v>(61) 2032-5832</v>
          </cell>
          <cell r="AP349" t="str">
            <v>SE35</v>
          </cell>
        </row>
        <row r="350">
          <cell r="A350" t="str">
            <v>MARIA DE FATIMA FERREIRA DOS SANTOS</v>
          </cell>
          <cell r="B350" t="str">
            <v>295.854.811-20</v>
          </cell>
          <cell r="C350">
            <v>745313</v>
          </cell>
          <cell r="D350" t="str">
            <v>Auxiliar de Enfermagem</v>
          </cell>
          <cell r="E350" t="str">
            <v>Ativo Permanente</v>
          </cell>
          <cell r="F350" t="str">
            <v>MME - Ministério de Minas e Energia</v>
          </cell>
          <cell r="G350" t="str">
            <v>SE / SPOA / CGRH / COORDENAÇÃO DE DESENVOLVIMENTO E SEGURIDADE SOCIAL - CODES</v>
          </cell>
          <cell r="H350" t="str">
            <v>8.105.220</v>
          </cell>
          <cell r="I350" t="str">
            <v>Função Gratificada</v>
          </cell>
          <cell r="J350" t="str">
            <v>FGR</v>
          </cell>
          <cell r="K350">
            <v>1</v>
          </cell>
          <cell r="L350" t="str">
            <v xml:space="preserve">Portaria nº </v>
          </cell>
          <cell r="M350">
            <v>524</v>
          </cell>
          <cell r="N350" t="str">
            <v>03/11/2016</v>
          </cell>
          <cell r="O350" t="str">
            <v>04/11/2016</v>
          </cell>
          <cell r="P350" t="str">
            <v>BPE</v>
          </cell>
          <cell r="Z350" t="str">
            <v>Sem designação</v>
          </cell>
          <cell r="AF350" t="str">
            <v>Feminino</v>
          </cell>
          <cell r="AG350" t="str">
            <v>Parda</v>
          </cell>
          <cell r="AH350" t="str">
            <v>23/10/1956</v>
          </cell>
          <cell r="AI350">
            <v>64</v>
          </cell>
          <cell r="AJ350">
            <v>6118.71</v>
          </cell>
          <cell r="AL350" t="str">
            <v>FA</v>
          </cell>
          <cell r="AM350">
            <v>6118.71</v>
          </cell>
          <cell r="AN350" t="str">
            <v>MariaFerreira@mme.gov.br</v>
          </cell>
          <cell r="AO350" t="str">
            <v>(61) 2032-5153</v>
          </cell>
        </row>
        <row r="351">
          <cell r="A351" t="str">
            <v>MARIA DE FATIMA GOMES DE MELO FREITAS</v>
          </cell>
          <cell r="B351" t="str">
            <v>121.168741-49</v>
          </cell>
          <cell r="C351">
            <v>1677270</v>
          </cell>
          <cell r="D351" t="str">
            <v>Auxiliar de Biblioteca</v>
          </cell>
          <cell r="E351" t="str">
            <v>Anistiado MME</v>
          </cell>
          <cell r="F351" t="str">
            <v>MME - Ministério de Minas e Energia</v>
          </cell>
          <cell r="G351" t="str">
            <v>Aguardando Lotação/Exercício</v>
          </cell>
          <cell r="H351" t="str">
            <v>88.000.000</v>
          </cell>
          <cell r="Z351" t="str">
            <v>Sem designação</v>
          </cell>
          <cell r="AF351" t="str">
            <v>Feminino</v>
          </cell>
          <cell r="AG351" t="str">
            <v>Branca</v>
          </cell>
          <cell r="AH351" t="str">
            <v>20/11/1955</v>
          </cell>
          <cell r="AI351">
            <v>64</v>
          </cell>
          <cell r="AJ351">
            <v>1282.71</v>
          </cell>
          <cell r="AL351" t="str">
            <v>FA</v>
          </cell>
          <cell r="AM351">
            <v>1282.71</v>
          </cell>
          <cell r="AN351" t="str">
            <v>maria.freitas@mme.gov.br</v>
          </cell>
          <cell r="AO351" t="str">
            <v>(61) 2032-5974</v>
          </cell>
        </row>
        <row r="352">
          <cell r="A352" t="str">
            <v>MARIA DE FATIMA SILVA FRANCO</v>
          </cell>
          <cell r="B352" t="str">
            <v>116.538.501-59</v>
          </cell>
          <cell r="C352">
            <v>2190334</v>
          </cell>
          <cell r="D352" t="str">
            <v>Sem Cargo/Emprego</v>
          </cell>
          <cell r="E352" t="str">
            <v>Sem Vínculo</v>
          </cell>
          <cell r="F352" t="str">
            <v>Sem Vínculo</v>
          </cell>
          <cell r="G352" t="str">
            <v>GM / ASSESSORIA PARLAMENTAR - ASPAR</v>
          </cell>
          <cell r="H352" t="str">
            <v>2.100.200</v>
          </cell>
          <cell r="I352" t="str">
            <v>Assistente Técnica da Assessoria Parlamentar do Gabinete do Ministro</v>
          </cell>
          <cell r="J352" t="str">
            <v>DAS</v>
          </cell>
          <cell r="K352" t="str">
            <v>102.1</v>
          </cell>
          <cell r="L352" t="str">
            <v xml:space="preserve">Portaria nº </v>
          </cell>
          <cell r="M352">
            <v>524</v>
          </cell>
          <cell r="N352" t="str">
            <v>03/11/2016</v>
          </cell>
          <cell r="O352" t="str">
            <v>04/11/2016</v>
          </cell>
          <cell r="P352" t="str">
            <v>BPE</v>
          </cell>
          <cell r="Z352" t="str">
            <v>Sem designação</v>
          </cell>
          <cell r="AF352" t="str">
            <v>Feminino</v>
          </cell>
          <cell r="AG352" t="str">
            <v>Branca</v>
          </cell>
          <cell r="AH352" t="str">
            <v>07/10/1957</v>
          </cell>
          <cell r="AI352">
            <v>63</v>
          </cell>
          <cell r="AJ352">
            <v>2701.46</v>
          </cell>
          <cell r="AL352" t="str">
            <v>FA</v>
          </cell>
          <cell r="AM352">
            <v>2701.46</v>
          </cell>
          <cell r="AN352" t="str">
            <v>maria.franco@mme.gov.br</v>
          </cell>
          <cell r="AO352" t="str">
            <v>(61) 2032-5097</v>
          </cell>
          <cell r="AP352" t="str">
            <v>GM30</v>
          </cell>
        </row>
        <row r="353">
          <cell r="A353" t="str">
            <v>MARIA DO SOCORRO DE SOUZA</v>
          </cell>
          <cell r="B353" t="str">
            <v>225.012.581-34</v>
          </cell>
          <cell r="C353">
            <v>452028</v>
          </cell>
          <cell r="D353" t="str">
            <v>Agente Administrativo</v>
          </cell>
          <cell r="E353" t="str">
            <v>Ativo Permanente</v>
          </cell>
          <cell r="F353" t="str">
            <v>MME - Ministério de Minas e Energia</v>
          </cell>
          <cell r="G353" t="str">
            <v>SE / SPOA / CGRH / COORDENAÇÃO DE DESENVOLVIMENTO E SEGURIDADE SOCIAL - CODES</v>
          </cell>
          <cell r="H353" t="str">
            <v>8.105.220</v>
          </cell>
          <cell r="I353" t="str">
            <v>Função Gratificada</v>
          </cell>
          <cell r="J353" t="str">
            <v>FGR</v>
          </cell>
          <cell r="K353">
            <v>1</v>
          </cell>
          <cell r="L353" t="str">
            <v xml:space="preserve">Portaria nº </v>
          </cell>
          <cell r="M353">
            <v>524</v>
          </cell>
          <cell r="N353" t="str">
            <v>03/11/2016</v>
          </cell>
          <cell r="O353" t="str">
            <v>04/11/2016</v>
          </cell>
          <cell r="P353" t="str">
            <v>BPE</v>
          </cell>
          <cell r="Z353" t="str">
            <v>Sem designação</v>
          </cell>
          <cell r="AF353" t="str">
            <v>Feminino</v>
          </cell>
          <cell r="AG353" t="str">
            <v>Parda</v>
          </cell>
          <cell r="AH353" t="str">
            <v>12/01/1962</v>
          </cell>
          <cell r="AI353">
            <v>58</v>
          </cell>
          <cell r="AJ353">
            <v>6055.19</v>
          </cell>
          <cell r="AL353" t="str">
            <v>FA</v>
          </cell>
          <cell r="AM353">
            <v>6055.19</v>
          </cell>
          <cell r="AN353" t="str">
            <v>maria.socorro@mme.gov.br</v>
          </cell>
          <cell r="AO353" t="str">
            <v>(61) 2032-5768</v>
          </cell>
        </row>
        <row r="354">
          <cell r="A354" t="str">
            <v>MARIA DOMETILIA DE SOUZA</v>
          </cell>
          <cell r="B354" t="str">
            <v>289.698.121-72</v>
          </cell>
          <cell r="C354">
            <v>451633</v>
          </cell>
          <cell r="D354" t="str">
            <v>Agente Administrativo</v>
          </cell>
          <cell r="E354" t="str">
            <v>Ativo Permanente</v>
          </cell>
          <cell r="F354" t="str">
            <v>MME - Ministério de Minas e Energia</v>
          </cell>
          <cell r="G354" t="str">
            <v>SGM / DEPARTAMENTO DE GEOLOGIA E PRODUÇÃO MINERAL - DGPM</v>
          </cell>
          <cell r="H354" t="str">
            <v>9.102.000</v>
          </cell>
          <cell r="I354" t="str">
            <v>Função Gratificada</v>
          </cell>
          <cell r="J354" t="str">
            <v>FGR</v>
          </cell>
          <cell r="K354">
            <v>1</v>
          </cell>
          <cell r="L354" t="str">
            <v xml:space="preserve">Portaria nº </v>
          </cell>
          <cell r="M354">
            <v>153</v>
          </cell>
          <cell r="N354" t="str">
            <v>20/04/2017</v>
          </cell>
          <cell r="O354" t="str">
            <v>24/04/2017</v>
          </cell>
          <cell r="P354" t="str">
            <v>DOU</v>
          </cell>
          <cell r="Z354" t="str">
            <v>Sem designação</v>
          </cell>
          <cell r="AF354" t="str">
            <v>Feminino</v>
          </cell>
          <cell r="AG354" t="str">
            <v>Parda</v>
          </cell>
          <cell r="AH354" t="str">
            <v>11/03/1962</v>
          </cell>
          <cell r="AI354">
            <v>58</v>
          </cell>
          <cell r="AJ354">
            <v>5961.38</v>
          </cell>
          <cell r="AL354" t="str">
            <v>FA</v>
          </cell>
          <cell r="AM354">
            <v>5961.38</v>
          </cell>
          <cell r="AN354" t="str">
            <v>dometilia@mme.gov.br</v>
          </cell>
          <cell r="AO354" t="str">
            <v>(61) 2032-5389</v>
          </cell>
        </row>
        <row r="355">
          <cell r="A355" t="str">
            <v>MARIA GRIGORIA DE MEDEIROS NETA</v>
          </cell>
          <cell r="B355" t="str">
            <v>143.850.231-15</v>
          </cell>
          <cell r="C355">
            <v>7451480</v>
          </cell>
          <cell r="D355" t="str">
            <v>Sem Cargo/Emprego</v>
          </cell>
          <cell r="E355" t="str">
            <v>Sem Vínculo</v>
          </cell>
          <cell r="F355" t="str">
            <v>Sem Vínculo</v>
          </cell>
          <cell r="G355" t="str">
            <v>SE / SPOA / CGRL / COORDENAÇÃO DE ADMINISTRAÇÃO DE MATERIAL E EXECUÇÃO FINANCEIRA - COMEF</v>
          </cell>
          <cell r="H355" t="str">
            <v>8.105.110</v>
          </cell>
          <cell r="I355" t="str">
            <v>Chefe de Serviço de Gestão de Patrimônio da Coordenação de Adminstração de Material e Execução Financeira</v>
          </cell>
          <cell r="J355" t="str">
            <v>DAS</v>
          </cell>
          <cell r="K355" t="str">
            <v>101.1</v>
          </cell>
          <cell r="L355" t="str">
            <v xml:space="preserve">Portaria nº </v>
          </cell>
          <cell r="M355">
            <v>550</v>
          </cell>
          <cell r="N355" t="str">
            <v>03/11/2016</v>
          </cell>
          <cell r="O355" t="str">
            <v>04/11/2016</v>
          </cell>
          <cell r="P355" t="str">
            <v>DOU</v>
          </cell>
          <cell r="Z355" t="str">
            <v>Sem designação</v>
          </cell>
          <cell r="AF355" t="str">
            <v>Feminino</v>
          </cell>
          <cell r="AG355" t="str">
            <v>Branca</v>
          </cell>
          <cell r="AH355" t="str">
            <v>25/06/1951</v>
          </cell>
          <cell r="AI355">
            <v>69</v>
          </cell>
          <cell r="AJ355">
            <v>2701.46</v>
          </cell>
          <cell r="AL355" t="str">
            <v>FA</v>
          </cell>
          <cell r="AM355">
            <v>2701.46</v>
          </cell>
          <cell r="AN355" t="str">
            <v>mariagrigoria@mme.gov.br</v>
          </cell>
          <cell r="AO355" t="str">
            <v>(61) 2032-5590</v>
          </cell>
          <cell r="AP355" t="str">
            <v>SE50</v>
          </cell>
        </row>
        <row r="356">
          <cell r="A356" t="str">
            <v>MARIA JOSE COSTA OLIVEIRA</v>
          </cell>
          <cell r="B356" t="str">
            <v>828.914.601-97</v>
          </cell>
          <cell r="C356">
            <v>1957235</v>
          </cell>
          <cell r="D356" t="str">
            <v>Sem Cargo/Emprego</v>
          </cell>
          <cell r="E356" t="str">
            <v>Sem Vínculo</v>
          </cell>
          <cell r="F356" t="str">
            <v>Sem Vínculo</v>
          </cell>
          <cell r="G356" t="str">
            <v>SE / ASSESSORIA ESPECIAL DE MEIO AMBIENTE - AESA</v>
          </cell>
          <cell r="H356" t="str">
            <v>8.104.000</v>
          </cell>
          <cell r="I356" t="str">
            <v>Assistente Técnico da Coordenação Geral de Planejamento Estratégico, Supervisão e Avaliação da Gestão</v>
          </cell>
          <cell r="J356" t="str">
            <v>DAS</v>
          </cell>
          <cell r="K356" t="str">
            <v>102.1</v>
          </cell>
          <cell r="L356" t="str">
            <v xml:space="preserve">Portaria nº </v>
          </cell>
          <cell r="M356">
            <v>524</v>
          </cell>
          <cell r="N356" t="str">
            <v>03/11/2016</v>
          </cell>
          <cell r="O356" t="str">
            <v>04/11/2016</v>
          </cell>
          <cell r="P356" t="str">
            <v>BPE</v>
          </cell>
          <cell r="Z356" t="str">
            <v>Sem designação</v>
          </cell>
          <cell r="AF356" t="str">
            <v>Masculino</v>
          </cell>
          <cell r="AG356" t="str">
            <v>Branca</v>
          </cell>
          <cell r="AH356" t="str">
            <v>13/07/1976</v>
          </cell>
          <cell r="AI356">
            <v>44</v>
          </cell>
          <cell r="AJ356">
            <v>2701.46</v>
          </cell>
          <cell r="AL356" t="str">
            <v>FA</v>
          </cell>
          <cell r="AM356">
            <v>2701.46</v>
          </cell>
          <cell r="AN356" t="str">
            <v>maria.jose@mme.gov.br</v>
          </cell>
          <cell r="AO356" t="str">
            <v>(61) 2032-5731</v>
          </cell>
          <cell r="AP356" t="str">
            <v>SE27</v>
          </cell>
        </row>
        <row r="357">
          <cell r="A357" t="str">
            <v>MARIA JOSE SOARES MENON</v>
          </cell>
          <cell r="B357" t="str">
            <v>386.396.611-20</v>
          </cell>
          <cell r="C357">
            <v>1719638</v>
          </cell>
          <cell r="D357" t="str">
            <v>Analista Técnico Administrativo</v>
          </cell>
          <cell r="E357" t="str">
            <v>Requisitado de Órgãos</v>
          </cell>
          <cell r="F357" t="str">
            <v>MDR - Ministério do Desenvolvimento Regional</v>
          </cell>
          <cell r="G357" t="str">
            <v>SE / SPOA / CGCC / COORDENAÇÃO DE LICITAÇÕES E COMPRA - CLC</v>
          </cell>
          <cell r="H357" t="str">
            <v>8.105.420</v>
          </cell>
          <cell r="Q357" t="str">
            <v>GSISTE</v>
          </cell>
          <cell r="R357" t="str">
            <v>Superior</v>
          </cell>
          <cell r="S357" t="str">
            <v>SISG - Sistema de Serviços Gerais</v>
          </cell>
          <cell r="T357" t="str">
            <v xml:space="preserve">Portaria nº </v>
          </cell>
          <cell r="U357">
            <v>57</v>
          </cell>
          <cell r="V357" t="str">
            <v>29/09/2016</v>
          </cell>
          <cell r="W357" t="str">
            <v>03/10/2016</v>
          </cell>
          <cell r="X357" t="str">
            <v>BP</v>
          </cell>
          <cell r="Z357" t="str">
            <v>Sem designação</v>
          </cell>
          <cell r="AF357" t="str">
            <v>Feminino</v>
          </cell>
          <cell r="AG357" t="str">
            <v>Parda</v>
          </cell>
          <cell r="AH357" t="str">
            <v>21/09/1968</v>
          </cell>
          <cell r="AI357">
            <v>52</v>
          </cell>
          <cell r="AJ357">
            <v>3158</v>
          </cell>
          <cell r="AK357">
            <v>7317.35</v>
          </cell>
          <cell r="AL357" t="str">
            <v>FA</v>
          </cell>
          <cell r="AM357">
            <v>10475.35</v>
          </cell>
          <cell r="AN357" t="str">
            <v>maria.menon@mme.gov.br</v>
          </cell>
          <cell r="AO357" t="str">
            <v>(61) 2032-5843</v>
          </cell>
        </row>
        <row r="358">
          <cell r="A358" t="str">
            <v>MARIA LAURA ROCHA DOS SANTOS MACIEL</v>
          </cell>
          <cell r="B358" t="str">
            <v>342.782.571-04</v>
          </cell>
          <cell r="C358">
            <v>161307</v>
          </cell>
          <cell r="D358" t="str">
            <v>Administrador</v>
          </cell>
          <cell r="E358" t="str">
            <v>Ativo Permanente</v>
          </cell>
          <cell r="F358" t="str">
            <v>MME - Ministério de Minas e Energia</v>
          </cell>
          <cell r="G358" t="str">
            <v>SPG / CHEFIA DE GABINETE SPG</v>
          </cell>
          <cell r="H358" t="str">
            <v>11.100.000</v>
          </cell>
          <cell r="Z358" t="str">
            <v>Sem designação</v>
          </cell>
          <cell r="AF358" t="str">
            <v>Feminino</v>
          </cell>
          <cell r="AG358" t="str">
            <v>Parda</v>
          </cell>
          <cell r="AH358" t="str">
            <v>10/09/1968</v>
          </cell>
          <cell r="AI358">
            <v>52</v>
          </cell>
          <cell r="AJ358">
            <v>9671.17</v>
          </cell>
          <cell r="AL358" t="str">
            <v>FA</v>
          </cell>
          <cell r="AM358">
            <v>9671.17</v>
          </cell>
          <cell r="AN358" t="str">
            <v>maria.maciel@mme.gov.br</v>
          </cell>
          <cell r="AO358" t="str">
            <v>(61) 2032-5626</v>
          </cell>
        </row>
        <row r="359">
          <cell r="A359" t="str">
            <v>MARIA LEILA FERREIRA BANDEIRA</v>
          </cell>
          <cell r="B359" t="str">
            <v>313.519.051-04</v>
          </cell>
          <cell r="C359">
            <v>810063</v>
          </cell>
          <cell r="D359" t="str">
            <v>Agente de Portaria</v>
          </cell>
          <cell r="E359" t="str">
            <v>Ativo Permanente</v>
          </cell>
          <cell r="F359" t="str">
            <v>MME - Ministério de Minas e Energia</v>
          </cell>
          <cell r="G359" t="str">
            <v>SE / SPOA / CGRH / COORDENAÇÃO DE DESENVOLVIMENTO E SEGURIDADE SOCIAL - CODES</v>
          </cell>
          <cell r="H359" t="str">
            <v>8.105.220</v>
          </cell>
          <cell r="I359" t="str">
            <v>Função Gratificada</v>
          </cell>
          <cell r="J359" t="str">
            <v>FGR</v>
          </cell>
          <cell r="K359">
            <v>1</v>
          </cell>
          <cell r="L359" t="str">
            <v xml:space="preserve">Portaria nº </v>
          </cell>
          <cell r="M359">
            <v>524</v>
          </cell>
          <cell r="N359" t="str">
            <v>03/11/2016</v>
          </cell>
          <cell r="O359" t="str">
            <v>04/11/2016</v>
          </cell>
          <cell r="P359" t="str">
            <v>BPE</v>
          </cell>
          <cell r="Z359" t="str">
            <v>Sem designação</v>
          </cell>
          <cell r="AF359" t="str">
            <v>Feminino</v>
          </cell>
          <cell r="AG359" t="str">
            <v>Branca</v>
          </cell>
          <cell r="AH359" t="str">
            <v>23/04/1953</v>
          </cell>
          <cell r="AI359">
            <v>67</v>
          </cell>
          <cell r="AJ359">
            <v>5810.27</v>
          </cell>
          <cell r="AL359" t="str">
            <v>FA</v>
          </cell>
          <cell r="AM359">
            <v>5810.27</v>
          </cell>
          <cell r="AN359" t="str">
            <v>maria.bandeira@mme.gov.br</v>
          </cell>
          <cell r="AO359" t="str">
            <v>(61) 2032-5685</v>
          </cell>
        </row>
        <row r="360">
          <cell r="A360" t="str">
            <v>MARIA RITA SILVA FONTES FARIA</v>
          </cell>
          <cell r="B360" t="str">
            <v>458.935.865-49</v>
          </cell>
          <cell r="C360">
            <v>1204551</v>
          </cell>
          <cell r="D360" t="str">
            <v>Ministro de Segunda Classe</v>
          </cell>
          <cell r="E360" t="str">
            <v>Requisitado de Órgãos</v>
          </cell>
          <cell r="F360" t="str">
            <v>MRE - Ministério das Relações Exteriores</v>
          </cell>
          <cell r="G360" t="str">
            <v>SGM / DDM / COORDENAÇÃO GERAL DE MINERAÇÃO EM ÁREAS DE CONSERVAÇÃO E CONFLITO</v>
          </cell>
          <cell r="H360" t="str">
            <v>9.104.200</v>
          </cell>
          <cell r="I360" t="str">
            <v>Coordenadora Geral de Mineração em Áreas de Conservação e Conflito do Departamento de Desenvolvimento Sustentável na Mineração</v>
          </cell>
          <cell r="J360" t="str">
            <v>FCPE</v>
          </cell>
          <cell r="K360" t="str">
            <v>101.4</v>
          </cell>
          <cell r="L360" t="str">
            <v xml:space="preserve">Portaria nº </v>
          </cell>
          <cell r="M360">
            <v>372</v>
          </cell>
          <cell r="N360" t="str">
            <v>30/09/2019</v>
          </cell>
          <cell r="O360" t="str">
            <v>02/10/2019</v>
          </cell>
          <cell r="P360" t="str">
            <v>DOU</v>
          </cell>
          <cell r="Z360" t="str">
            <v>Sem designação</v>
          </cell>
          <cell r="AF360" t="str">
            <v>Feminino</v>
          </cell>
          <cell r="AG360" t="str">
            <v>Branca</v>
          </cell>
          <cell r="AH360" t="str">
            <v>18/04/1969</v>
          </cell>
          <cell r="AI360">
            <v>51</v>
          </cell>
          <cell r="AJ360">
            <v>6223.99</v>
          </cell>
          <cell r="AK360">
            <v>26777.29</v>
          </cell>
          <cell r="AL360" t="str">
            <v>FA</v>
          </cell>
          <cell r="AM360">
            <v>33001.279999999999</v>
          </cell>
          <cell r="AN360" t="str">
            <v>maria.rita@mme.gov.br</v>
          </cell>
          <cell r="AO360" t="str">
            <v>(61) 2032-5369</v>
          </cell>
          <cell r="AP360" t="str">
            <v>SGM29</v>
          </cell>
        </row>
        <row r="361">
          <cell r="A361" t="str">
            <v>MARIA SELMI ALVES DA SILVA</v>
          </cell>
          <cell r="B361" t="str">
            <v>333.636.501-59</v>
          </cell>
          <cell r="C361">
            <v>2498510</v>
          </cell>
          <cell r="D361" t="str">
            <v>Digitador I</v>
          </cell>
          <cell r="E361" t="str">
            <v>Anistiado MME</v>
          </cell>
          <cell r="F361" t="str">
            <v>MME - Ministério de Minas e Energia</v>
          </cell>
          <cell r="G361" t="str">
            <v>SE / SPOA / CGRL / COORDENAÇÃO DE ATIVIDADES GERAIS - COAGE</v>
          </cell>
          <cell r="H361" t="str">
            <v>8.105.120</v>
          </cell>
          <cell r="I361" t="str">
            <v xml:space="preserve">Assistente Técnico da Coordenação de Atividades Gerais </v>
          </cell>
          <cell r="J361" t="str">
            <v>DAS</v>
          </cell>
          <cell r="K361" t="str">
            <v>102.1</v>
          </cell>
          <cell r="L361" t="str">
            <v xml:space="preserve">Portaria nº </v>
          </cell>
          <cell r="M361">
            <v>524</v>
          </cell>
          <cell r="N361" t="str">
            <v>03/11/2016</v>
          </cell>
          <cell r="O361" t="str">
            <v>04/11/2016</v>
          </cell>
          <cell r="P361" t="str">
            <v>BPE</v>
          </cell>
          <cell r="Y361" t="str">
            <v>Chefe da Divisão de Gestão de Documentos e Informação Bibliográfica</v>
          </cell>
          <cell r="Z361" t="str">
            <v>Eventual</v>
          </cell>
          <cell r="AA361" t="str">
            <v xml:space="preserve">Portaria nº </v>
          </cell>
          <cell r="AB361">
            <v>347</v>
          </cell>
          <cell r="AC361" t="str">
            <v>01/09/2017</v>
          </cell>
          <cell r="AD361" t="str">
            <v>04/09/2017</v>
          </cell>
          <cell r="AE361" t="str">
            <v>DOU</v>
          </cell>
          <cell r="AF361" t="str">
            <v>Feminino</v>
          </cell>
          <cell r="AG361" t="str">
            <v>Branca</v>
          </cell>
          <cell r="AH361" t="str">
            <v>05/12/1964</v>
          </cell>
          <cell r="AI361">
            <v>55</v>
          </cell>
          <cell r="AJ361">
            <v>4795.8900000000003</v>
          </cell>
          <cell r="AL361" t="str">
            <v>FA</v>
          </cell>
          <cell r="AM361">
            <v>4795.8900000000003</v>
          </cell>
          <cell r="AN361" t="str">
            <v>maria.selmi@mme.gov.br</v>
          </cell>
          <cell r="AO361" t="str">
            <v>(61) 2032-5516</v>
          </cell>
          <cell r="AP361" t="str">
            <v>SE58</v>
          </cell>
          <cell r="AQ361" t="str">
            <v>SE28S</v>
          </cell>
        </row>
        <row r="362">
          <cell r="A362" t="str">
            <v>MARIANA CLARA DE FREITAS FONTINELI</v>
          </cell>
          <cell r="B362" t="str">
            <v>002.457.501-18</v>
          </cell>
          <cell r="C362">
            <v>5663628</v>
          </cell>
          <cell r="D362" t="str">
            <v>Analista de Infraestrutura</v>
          </cell>
          <cell r="E362" t="str">
            <v>Exercício Descentralizado</v>
          </cell>
          <cell r="F362" t="str">
            <v>ME - Ministério da Economia</v>
          </cell>
          <cell r="G362" t="str">
            <v>SGM / DEPARTAMENTO DE TRANSFORMAÇÃO E TECNOLOGIA MINERAL - DTTM</v>
          </cell>
          <cell r="H362" t="str">
            <v>9.103.000</v>
          </cell>
          <cell r="I362" t="str">
            <v>Assistente do Departamento de Transformação e Tecnologia Mineral</v>
          </cell>
          <cell r="J362" t="str">
            <v>FCPE</v>
          </cell>
          <cell r="K362" t="str">
            <v>102.2</v>
          </cell>
          <cell r="L362" t="str">
            <v xml:space="preserve">Portaria nº </v>
          </cell>
          <cell r="M362">
            <v>129</v>
          </cell>
          <cell r="N362" t="str">
            <v>12/02/2019</v>
          </cell>
          <cell r="O362" t="str">
            <v>14/02/2019</v>
          </cell>
          <cell r="P362" t="str">
            <v>DOU</v>
          </cell>
          <cell r="Y362" t="str">
            <v>Coordenação Geral de Geologia e Recursos Minerais</v>
          </cell>
          <cell r="Z362" t="str">
            <v>Eventual</v>
          </cell>
          <cell r="AA362" t="str">
            <v xml:space="preserve">Portaria nº </v>
          </cell>
          <cell r="AB362">
            <v>98</v>
          </cell>
          <cell r="AC362" t="str">
            <v>10/03/2020</v>
          </cell>
          <cell r="AD362" t="str">
            <v>11/03/2020</v>
          </cell>
          <cell r="AE362" t="str">
            <v>DOU</v>
          </cell>
          <cell r="AF362" t="str">
            <v>Feminino</v>
          </cell>
          <cell r="AG362" t="str">
            <v>Parda</v>
          </cell>
          <cell r="AH362" t="str">
            <v>04/12/1984</v>
          </cell>
          <cell r="AI362">
            <v>35</v>
          </cell>
          <cell r="AJ362">
            <v>2064.44</v>
          </cell>
          <cell r="AK362">
            <v>16526.8</v>
          </cell>
          <cell r="AL362" t="str">
            <v>FA</v>
          </cell>
          <cell r="AM362">
            <v>18591.239999999998</v>
          </cell>
          <cell r="AN362" t="str">
            <v>mariana.fontineli@mme.gov.br</v>
          </cell>
          <cell r="AO362" t="str">
            <v>(61) 2032-5478</v>
          </cell>
          <cell r="AP362" t="str">
            <v>SGM22</v>
          </cell>
          <cell r="AQ362" t="str">
            <v>SGM08S</v>
          </cell>
        </row>
        <row r="363">
          <cell r="A363" t="str">
            <v>MARIANO PINTO DE SOUSA FILHO</v>
          </cell>
          <cell r="B363" t="str">
            <v>057.555.811-34</v>
          </cell>
          <cell r="C363">
            <v>451482</v>
          </cell>
          <cell r="D363" t="str">
            <v>Agente Administrativo</v>
          </cell>
          <cell r="E363" t="str">
            <v>Ativo Permanente</v>
          </cell>
          <cell r="F363" t="str">
            <v>MME - Ministério de Minas e Energia</v>
          </cell>
          <cell r="G363" t="str">
            <v>SPE / CHEFIA DE GABINETE SPE</v>
          </cell>
          <cell r="H363" t="str">
            <v>10.100.000</v>
          </cell>
          <cell r="I363" t="str">
            <v>Função Comissionada Técnica - Auxilar de Sistemas Operacionais e Administrativos</v>
          </cell>
          <cell r="J363" t="str">
            <v>FCT</v>
          </cell>
          <cell r="K363">
            <v>11</v>
          </cell>
          <cell r="L363" t="str">
            <v xml:space="preserve">Portaria nº </v>
          </cell>
          <cell r="M363">
            <v>502</v>
          </cell>
          <cell r="N363" t="str">
            <v>17/10/2005</v>
          </cell>
          <cell r="O363" t="str">
            <v>18/10/2005</v>
          </cell>
          <cell r="P363" t="str">
            <v>DOU</v>
          </cell>
          <cell r="Z363" t="str">
            <v>Sem designação</v>
          </cell>
          <cell r="AF363" t="str">
            <v>Masculino</v>
          </cell>
          <cell r="AG363" t="str">
            <v>Parda</v>
          </cell>
          <cell r="AH363" t="str">
            <v>05/01/1952</v>
          </cell>
          <cell r="AI363">
            <v>68</v>
          </cell>
          <cell r="AJ363">
            <v>7161.08</v>
          </cell>
          <cell r="AL363" t="str">
            <v>FA</v>
          </cell>
          <cell r="AM363">
            <v>7161.08</v>
          </cell>
          <cell r="AN363" t="str">
            <v>marianofilho@mme.gov.br</v>
          </cell>
          <cell r="AO363" t="str">
            <v>(61) 2032-5145</v>
          </cell>
        </row>
        <row r="364">
          <cell r="A364" t="str">
            <v>MARILUZIA RODRIGUES NOGUEIRA</v>
          </cell>
          <cell r="B364" t="str">
            <v>363.096.997-68</v>
          </cell>
          <cell r="C364">
            <v>452071</v>
          </cell>
          <cell r="D364" t="str">
            <v>Agente Administrativo</v>
          </cell>
          <cell r="E364" t="str">
            <v>Ativo Permanente</v>
          </cell>
          <cell r="F364" t="str">
            <v>MME - Ministério de Minas e Energia</v>
          </cell>
          <cell r="G364" t="str">
            <v>ASSESSORIA ESPECIAL DE ASSUNTOS ECONÔMICOS - ASSEC</v>
          </cell>
          <cell r="H364" t="str">
            <v>6.000.000</v>
          </cell>
          <cell r="I364" t="str">
            <v>Assistente da Assessoria Especial em Assuntos Regulatórios</v>
          </cell>
          <cell r="J364" t="str">
            <v>FCPE</v>
          </cell>
          <cell r="K364" t="str">
            <v>102.2</v>
          </cell>
          <cell r="L364" t="str">
            <v xml:space="preserve">Portaria nº </v>
          </cell>
          <cell r="M364">
            <v>524</v>
          </cell>
          <cell r="N364" t="str">
            <v>03/11/2016</v>
          </cell>
          <cell r="O364" t="str">
            <v>04/11/2016</v>
          </cell>
          <cell r="P364" t="str">
            <v>BPE</v>
          </cell>
          <cell r="Z364" t="str">
            <v>Sem designação</v>
          </cell>
          <cell r="AF364" t="str">
            <v>Feminino</v>
          </cell>
          <cell r="AG364" t="str">
            <v>Preta</v>
          </cell>
          <cell r="AH364" t="str">
            <v>05/12/1951</v>
          </cell>
          <cell r="AI364">
            <v>68</v>
          </cell>
          <cell r="AJ364">
            <v>7776</v>
          </cell>
          <cell r="AL364" t="str">
            <v>FA</v>
          </cell>
          <cell r="AM364">
            <v>7776</v>
          </cell>
          <cell r="AN364" t="str">
            <v>Mariluzia@mme.gov.br</v>
          </cell>
          <cell r="AO364" t="str">
            <v>(61) 2032-5795</v>
          </cell>
          <cell r="AP364" t="str">
            <v>SE29</v>
          </cell>
        </row>
        <row r="365">
          <cell r="A365" t="str">
            <v>MARISA MAIA DE BARROS</v>
          </cell>
          <cell r="B365" t="str">
            <v>075.006.527-39</v>
          </cell>
          <cell r="C365">
            <v>1678444</v>
          </cell>
          <cell r="D365" t="str">
            <v>Analista de Pesquisa Energética</v>
          </cell>
          <cell r="E365" t="str">
            <v>Requisitado de Órgãos</v>
          </cell>
          <cell r="F365" t="str">
            <v>EPE - Empresa de Pesquisa Energética</v>
          </cell>
          <cell r="G365" t="str">
            <v>SPG / DEPARTAMENTO DE COMBUSTÍVEIS DERIVADOS DE PETRÓLEOS - DCDP</v>
          </cell>
          <cell r="H365" t="str">
            <v>11.103.000</v>
          </cell>
          <cell r="I365" t="str">
            <v>Diretora do Departamento de Combustíveis Derivados de Petróleo</v>
          </cell>
          <cell r="J365" t="str">
            <v>DAS</v>
          </cell>
          <cell r="K365" t="str">
            <v>101.5</v>
          </cell>
          <cell r="L365" t="str">
            <v xml:space="preserve">Portaria nº </v>
          </cell>
          <cell r="M365">
            <v>373</v>
          </cell>
          <cell r="N365" t="str">
            <v>30/09/2019</v>
          </cell>
          <cell r="O365" t="str">
            <v>02/10/2019</v>
          </cell>
          <cell r="P365" t="str">
            <v>DOU</v>
          </cell>
          <cell r="Z365" t="str">
            <v>Sem designação</v>
          </cell>
          <cell r="AF365" t="str">
            <v>Feminino</v>
          </cell>
          <cell r="AG365" t="str">
            <v>Branca</v>
          </cell>
          <cell r="AH365" t="str">
            <v>18/08/1977</v>
          </cell>
          <cell r="AI365">
            <v>43</v>
          </cell>
          <cell r="AJ365">
            <v>8174.03</v>
          </cell>
          <cell r="AK365">
            <v>17751.62</v>
          </cell>
          <cell r="AL365" t="str">
            <v>FA</v>
          </cell>
          <cell r="AM365">
            <v>25925.649999999998</v>
          </cell>
          <cell r="AN365" t="str">
            <v>marisa.barros@mme.gov.br</v>
          </cell>
          <cell r="AO365" t="str">
            <v>(61) 2032-5848</v>
          </cell>
          <cell r="AP365" t="str">
            <v>SPG19</v>
          </cell>
        </row>
        <row r="366">
          <cell r="A366" t="str">
            <v>MARISETE FATIMA DADALD PEREIRA</v>
          </cell>
          <cell r="B366" t="str">
            <v>409.905.160-91</v>
          </cell>
          <cell r="C366">
            <v>2506337</v>
          </cell>
          <cell r="D366" t="str">
            <v>Secretário Executivo</v>
          </cell>
          <cell r="E366" t="str">
            <v>Sem Vínculo</v>
          </cell>
          <cell r="F366" t="str">
            <v>Sem Vínculo</v>
          </cell>
          <cell r="G366" t="str">
            <v>SECRETARIA EXECUTIVA - SE</v>
          </cell>
          <cell r="H366" t="str">
            <v>8.000.000</v>
          </cell>
          <cell r="I366" t="str">
            <v>Secretária-Executiva</v>
          </cell>
          <cell r="J366" t="str">
            <v>NES</v>
          </cell>
          <cell r="K366" t="str">
            <v>NES</v>
          </cell>
          <cell r="L366" t="str">
            <v xml:space="preserve">Decreto nº </v>
          </cell>
          <cell r="M366" t="str">
            <v>s/n</v>
          </cell>
          <cell r="N366" t="str">
            <v>01/01/2019</v>
          </cell>
          <cell r="O366" t="str">
            <v>02/01/2019</v>
          </cell>
          <cell r="P366" t="str">
            <v>DOU</v>
          </cell>
          <cell r="Y366" t="str">
            <v>Secretária-Executiva</v>
          </cell>
          <cell r="Z366" t="str">
            <v>Eventual</v>
          </cell>
          <cell r="AA366" t="str">
            <v xml:space="preserve">Portaria nº </v>
          </cell>
          <cell r="AB366" t="str">
            <v>Inciso III do art. 1º do Decreto nº8.851 de 20/09/2016 - DOU de 21/09/2019</v>
          </cell>
          <cell r="AC366" t="str">
            <v>14/03/2017</v>
          </cell>
          <cell r="AD366" t="str">
            <v>16/03/2017 - Ret. 17/03/2017</v>
          </cell>
          <cell r="AE366" t="str">
            <v>DOU</v>
          </cell>
          <cell r="AF366" t="str">
            <v>Feminino</v>
          </cell>
          <cell r="AG366" t="str">
            <v>Branca</v>
          </cell>
          <cell r="AH366" t="str">
            <v>16/04/1955</v>
          </cell>
          <cell r="AI366">
            <v>65</v>
          </cell>
          <cell r="AJ366">
            <v>17327.650000000001</v>
          </cell>
          <cell r="AL366" t="str">
            <v>FA</v>
          </cell>
          <cell r="AM366">
            <v>17327.650000000001</v>
          </cell>
          <cell r="AN366" t="str">
            <v>marisete.pereira@mme.gov.br</v>
          </cell>
          <cell r="AO366" t="str">
            <v>(61) 2032-5026</v>
          </cell>
          <cell r="AP366" t="str">
            <v>SE01</v>
          </cell>
          <cell r="AQ366" t="str">
            <v>MIN01S</v>
          </cell>
        </row>
        <row r="367">
          <cell r="A367" t="str">
            <v>MARIZA FREIRE DE SOUZA</v>
          </cell>
          <cell r="B367" t="str">
            <v>677.573.085-34</v>
          </cell>
          <cell r="C367">
            <v>2479973</v>
          </cell>
          <cell r="D367" t="str">
            <v>Sem Cargo/Emprego</v>
          </cell>
          <cell r="E367" t="str">
            <v>Sem Vínculo</v>
          </cell>
          <cell r="F367" t="str">
            <v>Sem Vínculo</v>
          </cell>
          <cell r="G367" t="str">
            <v>SPE / DEPARTAMENTO DE DESENVOLVIMENTO ENERGÉTICO - DDE</v>
          </cell>
          <cell r="H367" t="str">
            <v>10.102.000</v>
          </cell>
          <cell r="I367" t="str">
            <v>Assessora Técnica da Secretaria Executiva</v>
          </cell>
          <cell r="J367" t="str">
            <v>DAS</v>
          </cell>
          <cell r="K367" t="str">
            <v>102.3</v>
          </cell>
          <cell r="L367" t="str">
            <v xml:space="preserve">Portaria nº </v>
          </cell>
          <cell r="M367">
            <v>138</v>
          </cell>
          <cell r="N367" t="str">
            <v>18/02/2019</v>
          </cell>
          <cell r="O367" t="str">
            <v>22/02/2019</v>
          </cell>
          <cell r="P367" t="str">
            <v>DOU</v>
          </cell>
          <cell r="Z367" t="str">
            <v>Sem designação</v>
          </cell>
          <cell r="AF367" t="str">
            <v>Feminino</v>
          </cell>
          <cell r="AG367" t="str">
            <v>Branca</v>
          </cell>
          <cell r="AH367" t="str">
            <v>16/01/1974</v>
          </cell>
          <cell r="AI367">
            <v>46</v>
          </cell>
          <cell r="AJ367">
            <v>5685.55</v>
          </cell>
          <cell r="AL367" t="str">
            <v>FA</v>
          </cell>
          <cell r="AM367">
            <v>5685.55</v>
          </cell>
          <cell r="AN367" t="str">
            <v>mariza.souza@mme.gov.br</v>
          </cell>
          <cell r="AO367" t="str">
            <v>(61) 2032-5513</v>
          </cell>
          <cell r="AP367" t="str">
            <v>SE11</v>
          </cell>
        </row>
        <row r="368">
          <cell r="A368" t="str">
            <v>MARLIAN LEAO DE OLIVEIRA</v>
          </cell>
          <cell r="B368" t="str">
            <v>012.943.635-65</v>
          </cell>
          <cell r="C368">
            <v>2356963</v>
          </cell>
          <cell r="D368" t="str">
            <v>Analista de Infraestrutura</v>
          </cell>
          <cell r="E368" t="str">
            <v>Exercício Descentralizado</v>
          </cell>
          <cell r="F368" t="str">
            <v>ME - Ministério da Economia</v>
          </cell>
          <cell r="G368" t="str">
            <v>SEE / DMSE / COORDENAÇÃO GERAL DE MONITORAMENTO DO DESEMPENHO DO SISTEMA ELÉTRICO</v>
          </cell>
          <cell r="H368" t="str">
            <v>12.102.400</v>
          </cell>
          <cell r="I368" t="str">
            <v>Função Gratificada</v>
          </cell>
          <cell r="J368" t="str">
            <v>FGR</v>
          </cell>
          <cell r="K368">
            <v>1</v>
          </cell>
          <cell r="L368" t="str">
            <v xml:space="preserve">Portaria nº </v>
          </cell>
          <cell r="M368">
            <v>353</v>
          </cell>
          <cell r="N368" t="str">
            <v>11/09/2019</v>
          </cell>
          <cell r="O368" t="str">
            <v>13/09/2019</v>
          </cell>
          <cell r="P368" t="str">
            <v>DOU</v>
          </cell>
          <cell r="Y368" t="str">
            <v>Coordenação Geral de Monitoramento do Desempenho do Sistema Elétrico</v>
          </cell>
          <cell r="Z368" t="str">
            <v>Eventual</v>
          </cell>
          <cell r="AA368" t="str">
            <v xml:space="preserve">Portaria nº </v>
          </cell>
          <cell r="AB368">
            <v>329</v>
          </cell>
          <cell r="AC368" t="str">
            <v>03/09/2020</v>
          </cell>
          <cell r="AD368" t="str">
            <v>08/09/2020</v>
          </cell>
          <cell r="AE368" t="str">
            <v>DOU</v>
          </cell>
          <cell r="AF368" t="str">
            <v>Feminino</v>
          </cell>
          <cell r="AG368" t="str">
            <v>Parda</v>
          </cell>
          <cell r="AH368" t="str">
            <v>02/09/1983</v>
          </cell>
          <cell r="AI368">
            <v>37</v>
          </cell>
          <cell r="AJ368">
            <v>537.54999999999995</v>
          </cell>
          <cell r="AK368">
            <v>15643.88</v>
          </cell>
          <cell r="AL368" t="str">
            <v>FA</v>
          </cell>
          <cell r="AM368">
            <v>16181.429999999998</v>
          </cell>
          <cell r="AN368" t="str">
            <v>marlian.leao@mme.gov.br</v>
          </cell>
          <cell r="AO368" t="str">
            <v>(61) 2032-5104</v>
          </cell>
          <cell r="AQ368" t="str">
            <v>SEE12S</v>
          </cell>
        </row>
        <row r="369">
          <cell r="A369" t="str">
            <v>MARLON ARRAES JARDIM LEAL</v>
          </cell>
          <cell r="B369" t="str">
            <v>602.290.201-00</v>
          </cell>
          <cell r="C369">
            <v>2458981</v>
          </cell>
          <cell r="D369" t="str">
            <v>Especialista em Política Pública e Gestão Governamental</v>
          </cell>
          <cell r="E369" t="str">
            <v>Exercício Descentralizado</v>
          </cell>
          <cell r="F369" t="str">
            <v>ME - Ministério da Economia</v>
          </cell>
          <cell r="G369" t="str">
            <v>SPG / DBIO / COORDENAÇÃO GERAL DE ETANOL</v>
          </cell>
          <cell r="H369" t="str">
            <v>11.104.200</v>
          </cell>
          <cell r="I369" t="str">
            <v>Coordenador Geral de Etanol do Departamento de Biocombustíveis</v>
          </cell>
          <cell r="J369" t="str">
            <v>DAS</v>
          </cell>
          <cell r="K369" t="str">
            <v>101.4</v>
          </cell>
          <cell r="L369" t="str">
            <v xml:space="preserve">Portaria nº </v>
          </cell>
          <cell r="M369">
            <v>590</v>
          </cell>
          <cell r="N369" t="str">
            <v>03/11/2016</v>
          </cell>
          <cell r="O369" t="str">
            <v>04/11/2016</v>
          </cell>
          <cell r="P369" t="str">
            <v>DOU</v>
          </cell>
          <cell r="Z369" t="str">
            <v>Sem designação</v>
          </cell>
          <cell r="AF369" t="str">
            <v>Masculino</v>
          </cell>
          <cell r="AG369" t="str">
            <v>Branca</v>
          </cell>
          <cell r="AH369" t="str">
            <v>16/06/1972</v>
          </cell>
          <cell r="AI369">
            <v>48</v>
          </cell>
          <cell r="AJ369">
            <v>6223.98</v>
          </cell>
          <cell r="AK369">
            <v>27827.67</v>
          </cell>
          <cell r="AL369" t="str">
            <v>FA</v>
          </cell>
          <cell r="AM369">
            <v>34051.649999999994</v>
          </cell>
          <cell r="AN369" t="str">
            <v>marlon.arraes@mme.gov.br</v>
          </cell>
          <cell r="AO369" t="str">
            <v>(61) 2032-5816</v>
          </cell>
          <cell r="AP369" t="str">
            <v>SPG26</v>
          </cell>
        </row>
        <row r="370">
          <cell r="A370" t="str">
            <v>MARQUES DOS SANTOS</v>
          </cell>
          <cell r="B370" t="str">
            <v>226.177.361-72</v>
          </cell>
          <cell r="C370">
            <v>451554</v>
          </cell>
          <cell r="D370" t="str">
            <v>Administrador</v>
          </cell>
          <cell r="E370" t="str">
            <v>Ativo Permanente</v>
          </cell>
          <cell r="F370" t="str">
            <v>MME - Ministério de Minas e Energia</v>
          </cell>
          <cell r="G370" t="str">
            <v>SE / SPOA / COORDENAÇÃO GERAL DE RECURSOS LOGÍSTICOS - CGRL</v>
          </cell>
          <cell r="H370" t="str">
            <v>8.105.100</v>
          </cell>
          <cell r="I370" t="str">
            <v>Função Gratificada</v>
          </cell>
          <cell r="J370" t="str">
            <v>FGR</v>
          </cell>
          <cell r="K370">
            <v>1</v>
          </cell>
          <cell r="L370" t="str">
            <v xml:space="preserve">Portaria nº </v>
          </cell>
          <cell r="M370">
            <v>524</v>
          </cell>
          <cell r="N370" t="str">
            <v>03/11/2016</v>
          </cell>
          <cell r="O370" t="str">
            <v>04/11/2016</v>
          </cell>
          <cell r="P370" t="str">
            <v>BPE</v>
          </cell>
          <cell r="Q370" t="str">
            <v>GSISTE</v>
          </cell>
          <cell r="R370" t="str">
            <v>Superior</v>
          </cell>
          <cell r="S370" t="str">
            <v>SISG - Sistema de Serviços Gerais</v>
          </cell>
          <cell r="T370" t="str">
            <v xml:space="preserve">Portaria nº </v>
          </cell>
          <cell r="U370">
            <v>32</v>
          </cell>
          <cell r="V370" t="str">
            <v>26/03/2013</v>
          </cell>
          <cell r="W370" t="str">
            <v>26/03/2013</v>
          </cell>
          <cell r="X370" t="str">
            <v>BPE</v>
          </cell>
          <cell r="Z370" t="str">
            <v>Sem designação</v>
          </cell>
          <cell r="AF370" t="str">
            <v>Masculino</v>
          </cell>
          <cell r="AG370" t="str">
            <v>Parda</v>
          </cell>
          <cell r="AH370" t="str">
            <v>10/07/1961</v>
          </cell>
          <cell r="AI370">
            <v>59</v>
          </cell>
          <cell r="AJ370">
            <v>13333.45</v>
          </cell>
          <cell r="AL370" t="str">
            <v>FA</v>
          </cell>
          <cell r="AM370">
            <v>13333.45</v>
          </cell>
          <cell r="AN370" t="str">
            <v>Marques@mme.gov.br</v>
          </cell>
          <cell r="AO370" t="str">
            <v>(61) 2032-5990</v>
          </cell>
        </row>
        <row r="371">
          <cell r="A371" t="str">
            <v>MARY PACHECO DE SOUZA</v>
          </cell>
          <cell r="B371" t="str">
            <v>527.442.211-04</v>
          </cell>
          <cell r="C371">
            <v>1094199</v>
          </cell>
          <cell r="D371" t="str">
            <v>Agente de Portaria</v>
          </cell>
          <cell r="E371" t="str">
            <v>Ativo Permanente</v>
          </cell>
          <cell r="F371" t="str">
            <v>MME - Ministério de Minas e Energia</v>
          </cell>
          <cell r="G371" t="str">
            <v>SPE / CHEFIA DE GABINETE SPE</v>
          </cell>
          <cell r="H371" t="str">
            <v>10.100.000</v>
          </cell>
          <cell r="I371" t="str">
            <v>Assistente do Departamento de Desenvolvimento Energético</v>
          </cell>
          <cell r="J371" t="str">
            <v>FCPE</v>
          </cell>
          <cell r="K371" t="str">
            <v>102.2</v>
          </cell>
          <cell r="L371" t="str">
            <v xml:space="preserve">Portaria nº </v>
          </cell>
          <cell r="M371">
            <v>137</v>
          </cell>
          <cell r="N371" t="str">
            <v>18/02/2019</v>
          </cell>
          <cell r="O371" t="str">
            <v>22/02/2019</v>
          </cell>
          <cell r="P371" t="str">
            <v>DOU</v>
          </cell>
          <cell r="Z371" t="str">
            <v>Sem designação</v>
          </cell>
          <cell r="AF371" t="str">
            <v>Feminino</v>
          </cell>
          <cell r="AG371" t="str">
            <v>Parda</v>
          </cell>
          <cell r="AH371" t="str">
            <v>14/12/1970</v>
          </cell>
          <cell r="AI371">
            <v>49</v>
          </cell>
          <cell r="AJ371">
            <v>6664.47</v>
          </cell>
          <cell r="AL371" t="str">
            <v>FA</v>
          </cell>
          <cell r="AM371">
            <v>6664.47</v>
          </cell>
          <cell r="AN371" t="str">
            <v>MaryP@mme.gov.br</v>
          </cell>
          <cell r="AO371" t="str">
            <v>(61) 2032-5694</v>
          </cell>
          <cell r="AP371" t="str">
            <v>SPE18</v>
          </cell>
        </row>
        <row r="372">
          <cell r="A372" t="str">
            <v>MAURICIO DE OLIVEIRA ABI CHAIN</v>
          </cell>
          <cell r="B372" t="str">
            <v>020.395.617-65</v>
          </cell>
          <cell r="C372">
            <v>1284089</v>
          </cell>
          <cell r="D372" t="str">
            <v>Especialista em Política Pública e Gestão Governamental</v>
          </cell>
          <cell r="E372" t="str">
            <v>Exercício Descentralizado</v>
          </cell>
          <cell r="F372" t="str">
            <v>ME - Ministério da Economia</v>
          </cell>
          <cell r="G372" t="str">
            <v>SPE / DOC / COORDENAÇÃO GERAL DE OUTORGAS DE SERVIÇOS DE TRANSMISSÃO E DISTRIBUIÇÃO DE ENERGIA</v>
          </cell>
          <cell r="H372" t="str">
            <v>10.103.200</v>
          </cell>
          <cell r="I372" t="str">
            <v>Coordenador Geral de Outorgas de Serviços de Transmissão e Distribuição do Departamento de Outorgas de Concessões, Permissões e Autorizações</v>
          </cell>
          <cell r="J372" t="str">
            <v>DAS</v>
          </cell>
          <cell r="K372" t="str">
            <v>101.4</v>
          </cell>
          <cell r="L372" t="str">
            <v xml:space="preserve">Portaria nº </v>
          </cell>
          <cell r="M372">
            <v>524</v>
          </cell>
          <cell r="N372" t="str">
            <v>03/11/2016</v>
          </cell>
          <cell r="O372" t="str">
            <v>04/11/2016</v>
          </cell>
          <cell r="P372" t="str">
            <v>BPE</v>
          </cell>
          <cell r="Y372" t="str">
            <v>Departamento de Outorgas de Concessões, Permissões e Autorizações</v>
          </cell>
          <cell r="Z372" t="str">
            <v>Eventual</v>
          </cell>
          <cell r="AA372" t="str">
            <v xml:space="preserve">Portaria nº </v>
          </cell>
          <cell r="AB372">
            <v>279</v>
          </cell>
          <cell r="AC372" t="str">
            <v>26/08/2008</v>
          </cell>
          <cell r="AD372" t="str">
            <v>27/08/2008</v>
          </cell>
          <cell r="AE372" t="str">
            <v>DOU</v>
          </cell>
          <cell r="AF372" t="str">
            <v>Masculino</v>
          </cell>
          <cell r="AG372" t="str">
            <v>Branca</v>
          </cell>
          <cell r="AH372" t="str">
            <v>27/04/1971</v>
          </cell>
          <cell r="AI372">
            <v>49</v>
          </cell>
          <cell r="AJ372">
            <v>6223.98</v>
          </cell>
          <cell r="AK372">
            <v>27827.67</v>
          </cell>
          <cell r="AL372" t="str">
            <v>FA</v>
          </cell>
          <cell r="AM372">
            <v>34051.649999999994</v>
          </cell>
          <cell r="AN372" t="str">
            <v>mauricio.abi-chahin@mme.gov.br</v>
          </cell>
          <cell r="AO372" t="str">
            <v>(61) 2032-5405</v>
          </cell>
          <cell r="AP372" t="str">
            <v>SPE26</v>
          </cell>
          <cell r="AQ372" t="str">
            <v>SPE11S</v>
          </cell>
        </row>
        <row r="373">
          <cell r="A373" t="str">
            <v>MAURICIO PINHEIRO FLEURY CURADO</v>
          </cell>
          <cell r="B373" t="str">
            <v>392.757.361-20</v>
          </cell>
          <cell r="C373">
            <v>1238949</v>
          </cell>
          <cell r="D373" t="str">
            <v>Especialista em Política Pública e Gestão Governamental</v>
          </cell>
          <cell r="E373" t="str">
            <v>Requisitado de Órgãos</v>
          </cell>
          <cell r="F373" t="str">
            <v>ME - Ministério da Economia</v>
          </cell>
          <cell r="G373" t="str">
            <v>SE / AEGP / COORDENAÇÃO GERAL DE GESTÃO DE PROJETOS - CGGP</v>
          </cell>
          <cell r="H373" t="str">
            <v>8.103.200</v>
          </cell>
          <cell r="I373" t="str">
            <v>Coordenador Geral de Gestão de Projetos</v>
          </cell>
          <cell r="J373" t="str">
            <v>FCPE</v>
          </cell>
          <cell r="K373" t="str">
            <v>101.4</v>
          </cell>
          <cell r="L373" t="str">
            <v xml:space="preserve">Portaria nº </v>
          </cell>
          <cell r="M373">
            <v>347</v>
          </cell>
          <cell r="N373" t="str">
            <v>16/09/2020</v>
          </cell>
          <cell r="O373" t="str">
            <v>17/09/2020</v>
          </cell>
          <cell r="P373" t="str">
            <v>DOU</v>
          </cell>
          <cell r="Y373" t="str">
            <v>Chefe da Assessoria Especial de Gestão de Projetos</v>
          </cell>
          <cell r="Z373" t="str">
            <v>Eventual</v>
          </cell>
          <cell r="AA373" t="str">
            <v xml:space="preserve">Portaria nº </v>
          </cell>
          <cell r="AB373">
            <v>371</v>
          </cell>
          <cell r="AC373" t="str">
            <v>07/10/2020</v>
          </cell>
          <cell r="AD373" t="str">
            <v>09/10/2020</v>
          </cell>
          <cell r="AE373" t="str">
            <v>DOU</v>
          </cell>
          <cell r="AF373" t="str">
            <v>Masculino</v>
          </cell>
          <cell r="AG373" t="str">
            <v>Branca</v>
          </cell>
          <cell r="AH373" t="str">
            <v>16/05/1966</v>
          </cell>
          <cell r="AI373">
            <v>54</v>
          </cell>
          <cell r="AJ373">
            <v>6223.98</v>
          </cell>
          <cell r="AK373">
            <v>27827.67</v>
          </cell>
          <cell r="AL373" t="str">
            <v>FA</v>
          </cell>
          <cell r="AM373">
            <v>34051.649999999994</v>
          </cell>
          <cell r="AN373" t="str">
            <v>mauricio.flery@mme.gov.br</v>
          </cell>
          <cell r="AO373" t="str">
            <v>(61) 2032-5027</v>
          </cell>
          <cell r="AP373" t="str">
            <v>SE33</v>
          </cell>
        </row>
        <row r="374">
          <cell r="A374" t="str">
            <v>MAURILIO SILVERIO DE OLIVEIRA</v>
          </cell>
          <cell r="B374" t="str">
            <v>289.127.301-00</v>
          </cell>
          <cell r="C374">
            <v>1092785</v>
          </cell>
          <cell r="D374" t="str">
            <v>Agente de Vigilância</v>
          </cell>
          <cell r="E374" t="str">
            <v>Ativo Permanente</v>
          </cell>
          <cell r="F374" t="str">
            <v>MME - Ministério de Minas e Energia</v>
          </cell>
          <cell r="G374" t="str">
            <v>SE / SPOA / CGRL / COORDENAÇÃO DE ATIVIDADES GERAIS - COAGE</v>
          </cell>
          <cell r="H374" t="str">
            <v>8.105.120</v>
          </cell>
          <cell r="I374" t="str">
            <v>Função Gratificada</v>
          </cell>
          <cell r="J374" t="str">
            <v>FGR</v>
          </cell>
          <cell r="K374">
            <v>1</v>
          </cell>
          <cell r="L374" t="str">
            <v xml:space="preserve">Portaria nº </v>
          </cell>
          <cell r="M374">
            <v>524</v>
          </cell>
          <cell r="N374" t="str">
            <v>03/11/2016</v>
          </cell>
          <cell r="O374" t="str">
            <v>04/11/2016</v>
          </cell>
          <cell r="P374" t="str">
            <v>BPE</v>
          </cell>
          <cell r="Z374" t="str">
            <v>Sem designação</v>
          </cell>
          <cell r="AF374" t="str">
            <v>Masculino</v>
          </cell>
          <cell r="AG374" t="str">
            <v>Branca</v>
          </cell>
          <cell r="AH374" t="str">
            <v>30/04/1965</v>
          </cell>
          <cell r="AI374">
            <v>55</v>
          </cell>
          <cell r="AJ374">
            <v>5189.04</v>
          </cell>
          <cell r="AL374" t="str">
            <v>FA</v>
          </cell>
          <cell r="AM374">
            <v>5189.04</v>
          </cell>
          <cell r="AN374" t="str">
            <v>maurilio.oliveira@mme.gov.br</v>
          </cell>
          <cell r="AO374" t="str">
            <v>(61) 2032-5242</v>
          </cell>
        </row>
        <row r="375">
          <cell r="A375" t="str">
            <v>MAURO HENRIQUE MOREIRA SOUSA</v>
          </cell>
          <cell r="B375" t="str">
            <v>237.341.833-91</v>
          </cell>
          <cell r="C375">
            <v>2512573</v>
          </cell>
          <cell r="D375" t="str">
            <v>Advogado da União</v>
          </cell>
          <cell r="E375" t="str">
            <v>Exercício Descentralizado</v>
          </cell>
          <cell r="F375" t="str">
            <v>AGU - Advocacia Geral da União</v>
          </cell>
          <cell r="G375" t="str">
            <v>CONJUR / COORDENAÇÃO GERAL DE ASSSUNTOS ADMINISTRATIVOS - CGAA</v>
          </cell>
          <cell r="H375" t="str">
            <v>7.100.300</v>
          </cell>
          <cell r="I375" t="str">
            <v>Assessor da Consultoria Jurídica</v>
          </cell>
          <cell r="J375" t="str">
            <v>DAS</v>
          </cell>
          <cell r="K375" t="str">
            <v>102.4</v>
          </cell>
          <cell r="L375" t="str">
            <v xml:space="preserve">Portaria nº </v>
          </cell>
          <cell r="M375">
            <v>377</v>
          </cell>
          <cell r="N375" t="str">
            <v>21/09/2017</v>
          </cell>
          <cell r="O375" t="str">
            <v>22/09/2017</v>
          </cell>
          <cell r="P375" t="str">
            <v>DOU</v>
          </cell>
          <cell r="Y375" t="str">
            <v>Coordenação Geral de Assuntos Administrativos</v>
          </cell>
          <cell r="Z375" t="str">
            <v>Eventual</v>
          </cell>
          <cell r="AA375" t="str">
            <v xml:space="preserve">Portaria nº </v>
          </cell>
          <cell r="AB375">
            <v>69</v>
          </cell>
          <cell r="AC375" t="str">
            <v>02/03/2020</v>
          </cell>
          <cell r="AD375" t="str">
            <v>04/03/2020</v>
          </cell>
          <cell r="AE375" t="str">
            <v>DOU</v>
          </cell>
          <cell r="AF375" t="str">
            <v>Masculino</v>
          </cell>
          <cell r="AG375" t="str">
            <v>Parda</v>
          </cell>
          <cell r="AH375" t="str">
            <v>17/11/1964</v>
          </cell>
          <cell r="AI375">
            <v>55</v>
          </cell>
          <cell r="AJ375">
            <v>6223.98</v>
          </cell>
          <cell r="AK375">
            <v>27761.7</v>
          </cell>
          <cell r="AL375" t="str">
            <v>FA</v>
          </cell>
          <cell r="AM375">
            <v>33985.68</v>
          </cell>
          <cell r="AN375" t="str">
            <v>mauro.sousa@mme.gov.br</v>
          </cell>
          <cell r="AO375" t="str">
            <v>(61) 2032-5905</v>
          </cell>
          <cell r="AP375" t="str">
            <v>CONJUR02</v>
          </cell>
        </row>
        <row r="376">
          <cell r="A376" t="str">
            <v>MAYARA CARDOSO</v>
          </cell>
          <cell r="B376" t="str">
            <v>073.539.306-08</v>
          </cell>
          <cell r="C376">
            <v>4663250</v>
          </cell>
          <cell r="D376" t="str">
            <v>Analista de Infraestrutura</v>
          </cell>
          <cell r="E376" t="str">
            <v>Exercício Descentralizado</v>
          </cell>
          <cell r="F376" t="str">
            <v>ME - Ministério da Economia</v>
          </cell>
          <cell r="G376" t="str">
            <v>SE / AEGP / COORDENAÇÃO GERAL DE GESTÃO DE PROJETOS - CGGP</v>
          </cell>
          <cell r="H376" t="str">
            <v>8.103.200</v>
          </cell>
          <cell r="Y376" t="str">
            <v>Coordenação Geral de Avaliação Ambiental e Acompanhamento de Licenciamento</v>
          </cell>
          <cell r="Z376" t="str">
            <v>Eventual</v>
          </cell>
          <cell r="AA376" t="str">
            <v xml:space="preserve">Portaria nº </v>
          </cell>
          <cell r="AB376">
            <v>274</v>
          </cell>
          <cell r="AC376" t="str">
            <v>03/07/2020</v>
          </cell>
          <cell r="AD376" t="str">
            <v>09/07/2020</v>
          </cell>
          <cell r="AE376" t="str">
            <v>DOU</v>
          </cell>
          <cell r="AF376" t="str">
            <v>Feminino</v>
          </cell>
          <cell r="AG376" t="str">
            <v>Parda</v>
          </cell>
          <cell r="AH376" t="str">
            <v>30/04/1984</v>
          </cell>
          <cell r="AI376">
            <v>36</v>
          </cell>
          <cell r="AJ376">
            <v>0</v>
          </cell>
          <cell r="AK376">
            <v>14808.33</v>
          </cell>
          <cell r="AL376" t="str">
            <v>FA</v>
          </cell>
          <cell r="AM376">
            <v>14808.33</v>
          </cell>
          <cell r="AN376" t="str">
            <v>mayara.cardoso@mme.gov.br</v>
          </cell>
          <cell r="AO376" t="str">
            <v>(61) 2032-5751</v>
          </cell>
          <cell r="AQ376" t="str">
            <v>SE17S</v>
          </cell>
        </row>
        <row r="377">
          <cell r="A377" t="str">
            <v>MAYARA DA SILVA CERQUEIRA</v>
          </cell>
          <cell r="B377" t="str">
            <v>046.749.501-71</v>
          </cell>
          <cell r="C377">
            <v>1142990</v>
          </cell>
          <cell r="D377" t="str">
            <v>Sem Cargo/Emprego</v>
          </cell>
          <cell r="E377" t="str">
            <v>Sem Vínculo</v>
          </cell>
          <cell r="F377" t="str">
            <v>Sem Vínculo</v>
          </cell>
          <cell r="G377" t="str">
            <v>SPE / CHEFIA DE GABINETE SPE</v>
          </cell>
          <cell r="H377" t="str">
            <v>10.100.000</v>
          </cell>
          <cell r="I377" t="str">
            <v>Assistente da Secretaria de Planejamento e Desenvolvimento Energético</v>
          </cell>
          <cell r="J377" t="str">
            <v>DAS</v>
          </cell>
          <cell r="K377" t="str">
            <v>102.2</v>
          </cell>
          <cell r="L377" t="str">
            <v xml:space="preserve">Portaria nº </v>
          </cell>
          <cell r="M377">
            <v>475</v>
          </cell>
          <cell r="N377" t="str">
            <v>07/12/2017</v>
          </cell>
          <cell r="O377" t="str">
            <v>08/12/2017</v>
          </cell>
          <cell r="P377" t="str">
            <v>DOU</v>
          </cell>
          <cell r="Z377" t="str">
            <v>Sem designação</v>
          </cell>
          <cell r="AF377" t="str">
            <v>Feminino</v>
          </cell>
          <cell r="AG377" t="str">
            <v>Branca</v>
          </cell>
          <cell r="AH377" t="str">
            <v>12/10/1994</v>
          </cell>
          <cell r="AI377">
            <v>26</v>
          </cell>
          <cell r="AJ377">
            <v>3440.75</v>
          </cell>
          <cell r="AL377" t="str">
            <v>FA</v>
          </cell>
          <cell r="AM377">
            <v>3440.75</v>
          </cell>
          <cell r="AN377" t="str">
            <v>mayara.cerqueira@mme.gov.br</v>
          </cell>
          <cell r="AO377" t="str">
            <v>(61) 2032-5802</v>
          </cell>
          <cell r="AP377" t="str">
            <v>SPE07</v>
          </cell>
        </row>
        <row r="378">
          <cell r="A378" t="str">
            <v>MESSIAS ROCHA DE LIRA</v>
          </cell>
          <cell r="B378" t="str">
            <v>222.890.201-25</v>
          </cell>
          <cell r="C378">
            <v>451617</v>
          </cell>
          <cell r="D378" t="str">
            <v>Agente Administrativo</v>
          </cell>
          <cell r="E378" t="str">
            <v>Ativo Permanente</v>
          </cell>
          <cell r="F378" t="str">
            <v>MME - Ministério de Minas e Energia</v>
          </cell>
          <cell r="G378" t="str">
            <v>SE / SPOA / COORDENAÇÃO GERAL DE ORÇAMENTO E FINANÇAS - CGOF</v>
          </cell>
          <cell r="H378" t="str">
            <v>8.105.500</v>
          </cell>
          <cell r="I378" t="str">
            <v>Função Comissionada Técnica - Assistente Técnico de Orçamento e Finanças</v>
          </cell>
          <cell r="J378" t="str">
            <v>FCT</v>
          </cell>
          <cell r="K378">
            <v>5</v>
          </cell>
          <cell r="L378" t="str">
            <v xml:space="preserve">Portaria nº </v>
          </cell>
          <cell r="M378">
            <v>104</v>
          </cell>
          <cell r="N378" t="str">
            <v>17/03/2014</v>
          </cell>
          <cell r="O378" t="str">
            <v>18/03/2014</v>
          </cell>
          <cell r="P378" t="str">
            <v>DOU</v>
          </cell>
          <cell r="Q378" t="str">
            <v>GSISTE</v>
          </cell>
          <cell r="R378" t="str">
            <v>Intermediário</v>
          </cell>
          <cell r="S378" t="str">
            <v>SPO - Sistema de Planejamento e Orçamento Federal</v>
          </cell>
          <cell r="T378" t="str">
            <v xml:space="preserve">Portaria nº </v>
          </cell>
          <cell r="U378">
            <v>66</v>
          </cell>
          <cell r="V378" t="str">
            <v>06/11/2019</v>
          </cell>
          <cell r="W378" t="str">
            <v>06/11/2019</v>
          </cell>
          <cell r="X378" t="str">
            <v>BPE</v>
          </cell>
          <cell r="Z378" t="str">
            <v>Sem designação</v>
          </cell>
          <cell r="AF378" t="str">
            <v>Masculino</v>
          </cell>
          <cell r="AG378" t="str">
            <v>Parda</v>
          </cell>
          <cell r="AH378" t="str">
            <v>19/09/1960</v>
          </cell>
          <cell r="AI378">
            <v>60</v>
          </cell>
          <cell r="AJ378">
            <v>8699.7199999999993</v>
          </cell>
          <cell r="AL378" t="str">
            <v>FA</v>
          </cell>
          <cell r="AM378">
            <v>8699.7199999999993</v>
          </cell>
          <cell r="AN378" t="str">
            <v>MessiasLira@mme.gov.br</v>
          </cell>
          <cell r="AO378" t="str">
            <v>(61) 2032-5585</v>
          </cell>
        </row>
        <row r="379">
          <cell r="A379" t="str">
            <v>MIGUEL DOS SANTOS</v>
          </cell>
          <cell r="B379" t="str">
            <v>152.502.291-15</v>
          </cell>
          <cell r="C379">
            <v>452186</v>
          </cell>
          <cell r="D379" t="str">
            <v>Agente de Vigilância</v>
          </cell>
          <cell r="E379" t="str">
            <v>Ativo Permanente</v>
          </cell>
          <cell r="F379" t="str">
            <v>MME - Ministério de Minas e Energia</v>
          </cell>
          <cell r="G379" t="str">
            <v>SE / SPOA / CGRL / COORDENAÇÃO DE ATIVIDADES GERAIS - COAGE</v>
          </cell>
          <cell r="H379" t="str">
            <v>8.105.120</v>
          </cell>
          <cell r="Q379" t="str">
            <v>GSISTE</v>
          </cell>
          <cell r="R379" t="str">
            <v>Intermediário</v>
          </cell>
          <cell r="S379" t="str">
            <v>SISG - Sistema de Serviços Gerais</v>
          </cell>
          <cell r="T379" t="str">
            <v xml:space="preserve">Portaria nº </v>
          </cell>
          <cell r="U379">
            <v>70</v>
          </cell>
          <cell r="V379" t="str">
            <v>04/11/2016</v>
          </cell>
          <cell r="W379" t="str">
            <v>07/11/2016</v>
          </cell>
          <cell r="X379" t="str">
            <v>BPE</v>
          </cell>
          <cell r="Y379" t="str">
            <v>Chefe da Divisão de Segurança</v>
          </cell>
          <cell r="Z379" t="str">
            <v>Eventual</v>
          </cell>
          <cell r="AA379" t="str">
            <v xml:space="preserve">Portaria nº </v>
          </cell>
          <cell r="AB379">
            <v>351</v>
          </cell>
          <cell r="AC379" t="str">
            <v>01/09/2017</v>
          </cell>
          <cell r="AD379" t="str">
            <v>04/09/2017</v>
          </cell>
          <cell r="AE379" t="str">
            <v>DOU</v>
          </cell>
          <cell r="AF379" t="str">
            <v>Masculino</v>
          </cell>
          <cell r="AG379" t="str">
            <v>Parda</v>
          </cell>
          <cell r="AH379" t="str">
            <v>16/07/1959</v>
          </cell>
          <cell r="AI379">
            <v>61</v>
          </cell>
          <cell r="AJ379">
            <v>7342.34</v>
          </cell>
          <cell r="AL379" t="str">
            <v>FA</v>
          </cell>
          <cell r="AM379">
            <v>7342.34</v>
          </cell>
          <cell r="AN379" t="str">
            <v>Miguel.Santos@mme.gov.br</v>
          </cell>
          <cell r="AO379" t="str">
            <v>(61) 2032-5488</v>
          </cell>
          <cell r="AQ379" t="str">
            <v>SE30S</v>
          </cell>
        </row>
        <row r="380">
          <cell r="A380" t="str">
            <v>MIGUEL JOAQUIM DA SILVA</v>
          </cell>
          <cell r="B380" t="str">
            <v>280.028.651-20</v>
          </cell>
          <cell r="C380">
            <v>452340</v>
          </cell>
          <cell r="D380" t="str">
            <v>Agente de Portaria</v>
          </cell>
          <cell r="E380" t="str">
            <v>Ativo Permanente</v>
          </cell>
          <cell r="F380" t="str">
            <v>MME - Ministério de Minas e Energia</v>
          </cell>
          <cell r="G380" t="str">
            <v>SE / SPOA / CGRH / COORDENAÇÃO DE ADMINISTRAÇÃO DE PESSOAL - CAPES</v>
          </cell>
          <cell r="H380" t="str">
            <v>8.105.210</v>
          </cell>
          <cell r="I380" t="str">
            <v>Chefe da Divisão de Cadastro e Controle de Pessoal da Coordenação de Administração de Pessoal</v>
          </cell>
          <cell r="J380" t="str">
            <v>FCPE</v>
          </cell>
          <cell r="K380" t="str">
            <v>101.2</v>
          </cell>
          <cell r="L380" t="str">
            <v xml:space="preserve">Portaria nº </v>
          </cell>
          <cell r="M380">
            <v>524</v>
          </cell>
          <cell r="N380" t="str">
            <v>03/11/2016</v>
          </cell>
          <cell r="O380" t="str">
            <v>04/11/2016</v>
          </cell>
          <cell r="P380" t="str">
            <v>BPE</v>
          </cell>
          <cell r="Z380" t="str">
            <v>Sem designação</v>
          </cell>
          <cell r="AF380" t="str">
            <v>Masculino</v>
          </cell>
          <cell r="AG380" t="str">
            <v>Preta</v>
          </cell>
          <cell r="AH380" t="str">
            <v>29/09/1961</v>
          </cell>
          <cell r="AI380">
            <v>59</v>
          </cell>
          <cell r="AJ380">
            <v>7588.88</v>
          </cell>
          <cell r="AL380" t="str">
            <v>FA</v>
          </cell>
          <cell r="AM380">
            <v>7588.88</v>
          </cell>
          <cell r="AN380" t="str">
            <v>miguelsilva@mme.gov.br</v>
          </cell>
          <cell r="AO380" t="str">
            <v>(61) 2032-5497</v>
          </cell>
          <cell r="AP380" t="str">
            <v>SE70</v>
          </cell>
        </row>
        <row r="381">
          <cell r="A381" t="str">
            <v>MILENA BARBOSA CARVALHEDO RIBEIRO</v>
          </cell>
          <cell r="B381" t="str">
            <v>616.665.213-53</v>
          </cell>
          <cell r="C381">
            <v>2133351</v>
          </cell>
          <cell r="D381" t="str">
            <v>Sem Cargo/Emprego</v>
          </cell>
          <cell r="E381" t="str">
            <v>Sem Vínculo</v>
          </cell>
          <cell r="F381" t="str">
            <v>Sem Vínculo</v>
          </cell>
          <cell r="G381" t="str">
            <v>GM / ASSESSORIA DE APOIO AO MINISTRO - AAM</v>
          </cell>
          <cell r="H381" t="str">
            <v>2.100.400</v>
          </cell>
          <cell r="I381" t="str">
            <v>Assistente Técnica da Assessoria de Apoio ao Ministro</v>
          </cell>
          <cell r="J381" t="str">
            <v>DAS</v>
          </cell>
          <cell r="K381" t="str">
            <v>102.1</v>
          </cell>
          <cell r="L381" t="str">
            <v xml:space="preserve">Portaria nº </v>
          </cell>
          <cell r="M381">
            <v>524</v>
          </cell>
          <cell r="N381" t="str">
            <v>03/11/2016</v>
          </cell>
          <cell r="O381" t="str">
            <v>04/11/2016</v>
          </cell>
          <cell r="P381" t="str">
            <v>BPE</v>
          </cell>
          <cell r="Z381" t="str">
            <v>Sem designação</v>
          </cell>
          <cell r="AF381" t="str">
            <v>Feminino</v>
          </cell>
          <cell r="AG381" t="str">
            <v>Preta</v>
          </cell>
          <cell r="AH381" t="str">
            <v>06/09/1976</v>
          </cell>
          <cell r="AI381">
            <v>44</v>
          </cell>
          <cell r="AJ381">
            <v>2701.46</v>
          </cell>
          <cell r="AL381" t="str">
            <v>FA</v>
          </cell>
          <cell r="AM381">
            <v>2701.46</v>
          </cell>
          <cell r="AN381" t="str">
            <v>milena.ribeiro@mme.gov.br</v>
          </cell>
          <cell r="AO381" t="str">
            <v>(61) 2032-5385</v>
          </cell>
          <cell r="AP381" t="str">
            <v>GM41</v>
          </cell>
        </row>
        <row r="382">
          <cell r="A382" t="str">
            <v>MIRIA CRISTINA BERNARDES DE SOUSA</v>
          </cell>
          <cell r="B382" t="str">
            <v>318.770.601-00</v>
          </cell>
          <cell r="C382">
            <v>1687676</v>
          </cell>
          <cell r="D382" t="str">
            <v>Secretária do Diretor</v>
          </cell>
          <cell r="E382" t="str">
            <v>Anistiado MME</v>
          </cell>
          <cell r="F382" t="str">
            <v>MME - Ministério de Minas e Energia</v>
          </cell>
          <cell r="G382" t="str">
            <v>SE / SPOA / CGRH / COORDENAÇÃO DE ADMINISTRAÇÃO DE PESSOAL - CAPES</v>
          </cell>
          <cell r="H382" t="str">
            <v>8.105.210</v>
          </cell>
          <cell r="I382" t="str">
            <v>Chefe da Divisão de Execução Orçamentária e Financeira de Despesas Diversas da Coordenação de Administração de Pessoal</v>
          </cell>
          <cell r="J382" t="str">
            <v>DAS</v>
          </cell>
          <cell r="K382" t="str">
            <v>101.2</v>
          </cell>
          <cell r="L382" t="str">
            <v xml:space="preserve">Portaria nº </v>
          </cell>
          <cell r="M382">
            <v>329</v>
          </cell>
          <cell r="N382" t="str">
            <v>21/08/2019</v>
          </cell>
          <cell r="O382" t="str">
            <v>23/08/2019</v>
          </cell>
          <cell r="P382" t="str">
            <v>DOU</v>
          </cell>
          <cell r="Z382" t="str">
            <v>Sem designação</v>
          </cell>
          <cell r="AF382" t="str">
            <v>Feminino</v>
          </cell>
          <cell r="AG382" t="str">
            <v>Branca</v>
          </cell>
          <cell r="AH382" t="str">
            <v>06/09/1964</v>
          </cell>
          <cell r="AI382">
            <v>56</v>
          </cell>
          <cell r="AJ382">
            <v>5980.35</v>
          </cell>
          <cell r="AL382" t="str">
            <v>FA</v>
          </cell>
          <cell r="AM382">
            <v>5980.35</v>
          </cell>
          <cell r="AN382" t="str">
            <v>miria.sousa@mme.gov.br</v>
          </cell>
          <cell r="AO382" t="str">
            <v>(61) 2032-5142</v>
          </cell>
          <cell r="AP382" t="str">
            <v>SE65</v>
          </cell>
        </row>
        <row r="383">
          <cell r="A383" t="str">
            <v>MONICA CAROLINE MANHAES DOS SANTOS</v>
          </cell>
          <cell r="B383" t="str">
            <v>727.748.781-87</v>
          </cell>
          <cell r="C383">
            <v>1981731</v>
          </cell>
          <cell r="D383" t="str">
            <v>Sem Cargo/Emprego</v>
          </cell>
          <cell r="E383" t="str">
            <v>Sem Vínculo</v>
          </cell>
          <cell r="F383" t="str">
            <v>Sem Vínculo</v>
          </cell>
          <cell r="G383" t="str">
            <v>SPE / DEPARTAMENTO DE INFORMAÇÕES E ESTUDOS ENERGÉTICOS - DIEE</v>
          </cell>
          <cell r="H383" t="str">
            <v>10.104.000</v>
          </cell>
          <cell r="I383" t="str">
            <v>Assistente do Departamento de Informações e Estudos Energéticos</v>
          </cell>
          <cell r="J383" t="str">
            <v>DAS</v>
          </cell>
          <cell r="K383" t="str">
            <v>102.2</v>
          </cell>
          <cell r="L383" t="str">
            <v xml:space="preserve">Portaria nº </v>
          </cell>
          <cell r="M383">
            <v>524</v>
          </cell>
          <cell r="N383" t="str">
            <v>03/11/2016</v>
          </cell>
          <cell r="O383" t="str">
            <v>04/11/2016</v>
          </cell>
          <cell r="P383" t="str">
            <v>BPE</v>
          </cell>
          <cell r="Z383" t="str">
            <v>Sem designação</v>
          </cell>
          <cell r="AF383" t="str">
            <v>Feminino</v>
          </cell>
          <cell r="AG383" t="str">
            <v>Preta</v>
          </cell>
          <cell r="AH383" t="str">
            <v>23/10/1984</v>
          </cell>
          <cell r="AI383">
            <v>36</v>
          </cell>
          <cell r="AJ383">
            <v>3440.75</v>
          </cell>
          <cell r="AL383" t="str">
            <v>FA</v>
          </cell>
          <cell r="AM383">
            <v>3440.75</v>
          </cell>
          <cell r="AN383" t="str">
            <v>monica.santos@mme.gov.br</v>
          </cell>
          <cell r="AO383" t="str">
            <v>(61) 2032-5722</v>
          </cell>
          <cell r="AP383" t="str">
            <v>SPE28</v>
          </cell>
        </row>
        <row r="384">
          <cell r="A384" t="str">
            <v>MONICA DOS SANTOS COELHO BARBOSA</v>
          </cell>
          <cell r="B384" t="str">
            <v>516.220.411-00</v>
          </cell>
          <cell r="C384">
            <v>2328205</v>
          </cell>
          <cell r="D384" t="str">
            <v>Sem Cargo/Emprego</v>
          </cell>
          <cell r="E384" t="str">
            <v>Sem Vínculo</v>
          </cell>
          <cell r="F384" t="str">
            <v>Sem Vínculo</v>
          </cell>
          <cell r="G384" t="str">
            <v>SGM / DEPARTAMENTO DE GESTÃO DAS POLÍTICAS DE GEOLOGIA, MINERAÇÃOE TRANSFORMAÇÃO - DPGM</v>
          </cell>
          <cell r="H384" t="str">
            <v>9.101.000</v>
          </cell>
          <cell r="I384" t="str">
            <v>Assessora Técnica do Departamento de Gestão das Políticas de Geologia, Mineração e Transformação Mineral</v>
          </cell>
          <cell r="J384" t="str">
            <v>DAS</v>
          </cell>
          <cell r="K384" t="str">
            <v>102.3</v>
          </cell>
          <cell r="L384" t="str">
            <v xml:space="preserve">Portaria nº </v>
          </cell>
          <cell r="M384">
            <v>524</v>
          </cell>
          <cell r="N384" t="str">
            <v>03/11/2016</v>
          </cell>
          <cell r="O384" t="str">
            <v>04/11/2016</v>
          </cell>
          <cell r="P384" t="str">
            <v>BPE</v>
          </cell>
          <cell r="Z384" t="str">
            <v>Sem designação</v>
          </cell>
          <cell r="AF384" t="str">
            <v>Feminino</v>
          </cell>
          <cell r="AG384" t="str">
            <v>Branca</v>
          </cell>
          <cell r="AH384" t="str">
            <v>25/05/1962</v>
          </cell>
          <cell r="AI384">
            <v>58</v>
          </cell>
          <cell r="AJ384">
            <v>5685.55</v>
          </cell>
          <cell r="AL384" t="str">
            <v>FA</v>
          </cell>
          <cell r="AM384">
            <v>5685.55</v>
          </cell>
          <cell r="AN384" t="str">
            <v>monicabarbosa@mme.gov.br</v>
          </cell>
          <cell r="AO384" t="str">
            <v>(61) 2032-5194</v>
          </cell>
          <cell r="AP384" t="str">
            <v>SGM09</v>
          </cell>
        </row>
        <row r="385">
          <cell r="A385" t="str">
            <v>NEIDE DE FATIMA GOMES DE AZEVEDO LOPES</v>
          </cell>
          <cell r="B385" t="str">
            <v>898.742.937-72</v>
          </cell>
          <cell r="C385">
            <v>455482</v>
          </cell>
          <cell r="D385" t="str">
            <v>Agente Administrativo</v>
          </cell>
          <cell r="E385" t="str">
            <v>Ativo Permanente</v>
          </cell>
          <cell r="F385" t="str">
            <v>MME - Ministério de Minas e Energia</v>
          </cell>
          <cell r="G385" t="str">
            <v>SE / SPOA / CGRH / COORDENAÇÃO DE ADMINISTRAÇÃO DE PESSOAL - CAPES</v>
          </cell>
          <cell r="H385" t="str">
            <v>8.105.210</v>
          </cell>
          <cell r="I385" t="str">
            <v>Chefe da Divisão de Concessão e Atualização dos Registros de Pagamento de Pensionistas da Coordenação de Administração de Pessoal</v>
          </cell>
          <cell r="J385" t="str">
            <v>DAS</v>
          </cell>
          <cell r="K385" t="str">
            <v>101.2</v>
          </cell>
          <cell r="L385" t="str">
            <v xml:space="preserve">Portaria nº </v>
          </cell>
          <cell r="M385">
            <v>552</v>
          </cell>
          <cell r="N385" t="str">
            <v>03/11/2016</v>
          </cell>
          <cell r="O385" t="str">
            <v>04/11/2016</v>
          </cell>
          <cell r="P385" t="str">
            <v>DOU</v>
          </cell>
          <cell r="Z385" t="str">
            <v>Sem designação</v>
          </cell>
          <cell r="AF385" t="str">
            <v>Feminino</v>
          </cell>
          <cell r="AG385" t="str">
            <v>Parda</v>
          </cell>
          <cell r="AH385" t="str">
            <v>03/12/1964</v>
          </cell>
          <cell r="AI385">
            <v>55</v>
          </cell>
          <cell r="AJ385">
            <v>7337.17</v>
          </cell>
          <cell r="AL385" t="str">
            <v>FA</v>
          </cell>
          <cell r="AM385">
            <v>7337.17</v>
          </cell>
          <cell r="AN385" t="str">
            <v>NeideFatima@mme.gov.br</v>
          </cell>
          <cell r="AO385" t="str">
            <v>(61) 2032-5171</v>
          </cell>
          <cell r="AP385" t="str">
            <v>SE67</v>
          </cell>
        </row>
        <row r="386">
          <cell r="A386" t="str">
            <v>NEIDE MARIA PIRES COSTA PINHEIRO</v>
          </cell>
          <cell r="B386" t="str">
            <v>270.721.001-30</v>
          </cell>
          <cell r="C386">
            <v>1669318</v>
          </cell>
          <cell r="D386" t="str">
            <v>Auxiliar de Biblioteca</v>
          </cell>
          <cell r="E386" t="str">
            <v>Anistiado MME</v>
          </cell>
          <cell r="F386" t="str">
            <v>MME - Ministério de Minas e Energia</v>
          </cell>
          <cell r="G386" t="str">
            <v>SEE / CHEFIA DE GABINETE SEE</v>
          </cell>
          <cell r="H386" t="str">
            <v>12.100.000</v>
          </cell>
          <cell r="Z386" t="str">
            <v>Sem designação</v>
          </cell>
          <cell r="AF386" t="str">
            <v>Feminino</v>
          </cell>
          <cell r="AG386" t="str">
            <v>Branca</v>
          </cell>
          <cell r="AH386" t="str">
            <v>30/03/1963</v>
          </cell>
          <cell r="AI386">
            <v>57</v>
          </cell>
          <cell r="AJ386">
            <v>3915.9</v>
          </cell>
          <cell r="AL386" t="str">
            <v>FA</v>
          </cell>
          <cell r="AM386">
            <v>3915.9</v>
          </cell>
          <cell r="AN386" t="str">
            <v>neide.pinheiro@mme.gov.br</v>
          </cell>
          <cell r="AO386" t="str">
            <v>(61) 2032-5302</v>
          </cell>
        </row>
        <row r="387">
          <cell r="A387" t="str">
            <v>NELSON CARLOS DA SILVA</v>
          </cell>
          <cell r="B387" t="str">
            <v>115.000.851-20</v>
          </cell>
          <cell r="C387">
            <v>1586402</v>
          </cell>
          <cell r="D387" t="str">
            <v>Auxiliar de Controle de Qualidade</v>
          </cell>
          <cell r="E387" t="str">
            <v>Anistiado MME</v>
          </cell>
          <cell r="F387" t="str">
            <v>MME - Ministério de Minas e Energia</v>
          </cell>
          <cell r="G387" t="str">
            <v>SE / SPOA / CGRL / COORDENAÇÃO DE ADMINISTRAÇÃO DE MATERIAL E EXECUÇÃO FINANCEIRA - COMEF</v>
          </cell>
          <cell r="H387" t="str">
            <v>8.105.110</v>
          </cell>
          <cell r="Z387" t="str">
            <v>Sem designação</v>
          </cell>
          <cell r="AF387" t="str">
            <v>Masculino</v>
          </cell>
          <cell r="AG387" t="str">
            <v>Branca</v>
          </cell>
          <cell r="AH387" t="str">
            <v>20/09/1953</v>
          </cell>
          <cell r="AI387">
            <v>67</v>
          </cell>
          <cell r="AJ387">
            <v>4275.71</v>
          </cell>
          <cell r="AL387" t="str">
            <v>FA</v>
          </cell>
          <cell r="AM387">
            <v>4275.71</v>
          </cell>
          <cell r="AN387" t="str">
            <v>nelson.silva@mme.gov.br</v>
          </cell>
          <cell r="AO387" t="str">
            <v>(61) 2032-5376</v>
          </cell>
        </row>
        <row r="388">
          <cell r="A388" t="str">
            <v>NEUZI DE OLIVEIRA LOPES DA SILVA</v>
          </cell>
          <cell r="B388" t="str">
            <v>267.085.311-00</v>
          </cell>
          <cell r="C388">
            <v>219989</v>
          </cell>
          <cell r="D388" t="str">
            <v>Datilógrafo</v>
          </cell>
          <cell r="E388" t="str">
            <v>Requisitado de Órgãos</v>
          </cell>
          <cell r="F388" t="str">
            <v>ME - Ministério da Economia</v>
          </cell>
          <cell r="G388" t="str">
            <v>SE / SPOA / CGRL / COORDENAÇÃO DE ATIVIDADES GERAIS - COAGE</v>
          </cell>
          <cell r="H388" t="str">
            <v>8.105.120</v>
          </cell>
          <cell r="Q388" t="str">
            <v>GSISTE</v>
          </cell>
          <cell r="R388" t="str">
            <v>Intermediário</v>
          </cell>
          <cell r="S388" t="str">
            <v>SISG - Sistema de Serviços Gerais</v>
          </cell>
          <cell r="T388" t="str">
            <v xml:space="preserve">Portaria nº </v>
          </cell>
          <cell r="U388">
            <v>30</v>
          </cell>
          <cell r="V388" t="str">
            <v>31/05/2019</v>
          </cell>
          <cell r="W388" t="str">
            <v>04/06/2019</v>
          </cell>
          <cell r="X388" t="str">
            <v>BPE</v>
          </cell>
          <cell r="Z388" t="str">
            <v>Sem designação</v>
          </cell>
          <cell r="AF388" t="str">
            <v>Feminino</v>
          </cell>
          <cell r="AG388" t="str">
            <v>Branca</v>
          </cell>
          <cell r="AH388" t="str">
            <v>18/01/1961</v>
          </cell>
          <cell r="AI388">
            <v>59</v>
          </cell>
          <cell r="AJ388">
            <v>2022</v>
          </cell>
          <cell r="AK388">
            <v>6484.46</v>
          </cell>
          <cell r="AL388" t="str">
            <v>FA</v>
          </cell>
          <cell r="AM388">
            <v>8506.4599999999991</v>
          </cell>
          <cell r="AN388" t="str">
            <v>neuzi.silva@mme.gov.br</v>
          </cell>
          <cell r="AO388" t="str">
            <v>(61) 2032-5785</v>
          </cell>
        </row>
        <row r="389">
          <cell r="A389" t="str">
            <v>NEY ZANELLA DOS SANTOS</v>
          </cell>
          <cell r="B389" t="str">
            <v>270.089.167-87</v>
          </cell>
          <cell r="C389">
            <v>1778206</v>
          </cell>
          <cell r="D389" t="str">
            <v>Sem Cargo/Emprego</v>
          </cell>
          <cell r="E389" t="str">
            <v>Sem Vínculo</v>
          </cell>
          <cell r="F389" t="str">
            <v>Sem Vínculo</v>
          </cell>
          <cell r="G389" t="str">
            <v>SE / ASSESSORIA ESPECIAL DE GESTÃO ESTRATÉGICA - AEGE</v>
          </cell>
          <cell r="H389" t="str">
            <v>8.101.000</v>
          </cell>
          <cell r="I389" t="str">
            <v>Chefe da Assessoria Especial de Gestão Estratégica</v>
          </cell>
          <cell r="J389" t="str">
            <v>DAS</v>
          </cell>
          <cell r="K389" t="str">
            <v>101.5</v>
          </cell>
          <cell r="L389" t="str">
            <v xml:space="preserve">Portaria nº </v>
          </cell>
          <cell r="M389">
            <v>1760</v>
          </cell>
          <cell r="N389" t="str">
            <v>13/05/2019</v>
          </cell>
          <cell r="O389" t="str">
            <v>14/05/2019</v>
          </cell>
          <cell r="P389" t="str">
            <v>DOU</v>
          </cell>
          <cell r="Z389" t="str">
            <v>Sem designação</v>
          </cell>
          <cell r="AF389" t="str">
            <v>Masculino</v>
          </cell>
          <cell r="AG389" t="str">
            <v>Branca</v>
          </cell>
          <cell r="AH389" t="str">
            <v>30/06/1953</v>
          </cell>
          <cell r="AI389">
            <v>67</v>
          </cell>
          <cell r="AJ389">
            <v>13623.39</v>
          </cell>
          <cell r="AL389" t="str">
            <v>FA</v>
          </cell>
          <cell r="AM389">
            <v>13623.39</v>
          </cell>
          <cell r="AN389" t="str">
            <v>ney.zanella@mme.gov.br</v>
          </cell>
          <cell r="AO389" t="str">
            <v>(61) 2032-5458</v>
          </cell>
          <cell r="AP389" t="str">
            <v>SE20</v>
          </cell>
        </row>
        <row r="390">
          <cell r="A390" t="str">
            <v>NICOLE ANGEL OLIVEIRA BORGES</v>
          </cell>
          <cell r="B390" t="str">
            <v>057.615.761-98</v>
          </cell>
          <cell r="C390">
            <v>1358735</v>
          </cell>
          <cell r="D390" t="str">
            <v>Sem Cargo/Emprego</v>
          </cell>
          <cell r="E390" t="str">
            <v>Sem Vínculo</v>
          </cell>
          <cell r="F390" t="str">
            <v>S/VÍNCULO</v>
          </cell>
          <cell r="G390" t="str">
            <v>GM / ASSESSORIA DE COMUNICAÇÃO SOCIAL - ASCOM</v>
          </cell>
          <cell r="H390" t="str">
            <v>2.100.300</v>
          </cell>
          <cell r="I390" t="str">
            <v>Assistente da Assessoria de Comunicação Social do Gabinete do Ministro</v>
          </cell>
          <cell r="J390" t="str">
            <v>DAS</v>
          </cell>
          <cell r="K390" t="str">
            <v>102.2</v>
          </cell>
          <cell r="L390" t="str">
            <v xml:space="preserve">Portaria nº </v>
          </cell>
          <cell r="M390">
            <v>309</v>
          </cell>
          <cell r="N390" t="str">
            <v>18/08/2020</v>
          </cell>
          <cell r="O390" t="str">
            <v>21/08/2020</v>
          </cell>
          <cell r="P390" t="str">
            <v>DOU</v>
          </cell>
          <cell r="Z390" t="str">
            <v>Sem designação</v>
          </cell>
          <cell r="AF390" t="str">
            <v>Feminino</v>
          </cell>
          <cell r="AG390" t="str">
            <v>Branca</v>
          </cell>
          <cell r="AH390" t="str">
            <v>10/08/1997</v>
          </cell>
          <cell r="AI390">
            <v>23</v>
          </cell>
          <cell r="AJ390">
            <v>3440.75</v>
          </cell>
          <cell r="AL390" t="str">
            <v>FA</v>
          </cell>
          <cell r="AM390">
            <v>3440.75</v>
          </cell>
          <cell r="AN390" t="str">
            <v>nicole.borges@mme.gov.br</v>
          </cell>
          <cell r="AO390" t="str">
            <v>(61) 2032 - 5657</v>
          </cell>
          <cell r="AP390" t="str">
            <v>GM35</v>
          </cell>
        </row>
        <row r="391">
          <cell r="A391" t="str">
            <v>NIRIA DE MOURA CHAGAS</v>
          </cell>
          <cell r="B391" t="str">
            <v>619.925.001-00</v>
          </cell>
          <cell r="C391">
            <v>1104598</v>
          </cell>
          <cell r="D391" t="str">
            <v>Agente Administrativo</v>
          </cell>
          <cell r="E391" t="str">
            <v>Requisitado de Órgãos</v>
          </cell>
          <cell r="F391" t="str">
            <v>MD - Ministério da Defesa</v>
          </cell>
          <cell r="G391" t="str">
            <v>GM / ASSESSORIA DE APOIO AO MINISTRO - AAM</v>
          </cell>
          <cell r="H391" t="str">
            <v>2.100.400</v>
          </cell>
          <cell r="I391" t="str">
            <v>Assistente Técnico da Coordenação de Atividades Administrativas do Gabinete do Ministro</v>
          </cell>
          <cell r="J391" t="str">
            <v>FCPE</v>
          </cell>
          <cell r="K391" t="str">
            <v>102.1</v>
          </cell>
          <cell r="L391" t="str">
            <v xml:space="preserve">Portaria nº </v>
          </cell>
          <cell r="M391">
            <v>239</v>
          </cell>
          <cell r="N391" t="str">
            <v>04/06/2016</v>
          </cell>
          <cell r="O391" t="str">
            <v>06/06/2019</v>
          </cell>
          <cell r="P391" t="str">
            <v>DOU</v>
          </cell>
          <cell r="Z391" t="str">
            <v>Sem designação</v>
          </cell>
          <cell r="AF391" t="str">
            <v>Feminino</v>
          </cell>
          <cell r="AG391" t="str">
            <v>Parda</v>
          </cell>
          <cell r="AH391" t="str">
            <v>09/11/1973</v>
          </cell>
          <cell r="AI391">
            <v>46</v>
          </cell>
          <cell r="AJ391">
            <v>1620.89</v>
          </cell>
          <cell r="AK391">
            <v>5400.01</v>
          </cell>
          <cell r="AL391" t="str">
            <v>FA</v>
          </cell>
          <cell r="AM391">
            <v>7020.9000000000005</v>
          </cell>
          <cell r="AN391" t="str">
            <v>niria.chagas@mme.gov.br</v>
          </cell>
          <cell r="AO391" t="str">
            <v>(61) 2032-5260</v>
          </cell>
          <cell r="AP391" t="str">
            <v>GM25</v>
          </cell>
        </row>
        <row r="392">
          <cell r="A392" t="str">
            <v>NISE MARIA STUDART QUINTAS</v>
          </cell>
          <cell r="B392" t="str">
            <v>225.137.361-68</v>
          </cell>
          <cell r="C392">
            <v>1828184</v>
          </cell>
          <cell r="D392" t="str">
            <v>Analista-B</v>
          </cell>
          <cell r="E392" t="str">
            <v>Anistiado outros Órgãos</v>
          </cell>
          <cell r="F392" t="str">
            <v>EMBRAPA - Empresa Brasileira de Pesquisa Agropecuária</v>
          </cell>
          <cell r="G392" t="str">
            <v>GM / ASSESSORIA DE COMUNICAÇÃO SOCIAL - ASCOM</v>
          </cell>
          <cell r="H392" t="str">
            <v>2.100.300</v>
          </cell>
          <cell r="Z392" t="str">
            <v>Sem designação</v>
          </cell>
          <cell r="AF392" t="str">
            <v>Feminino</v>
          </cell>
          <cell r="AG392" t="str">
            <v>Branca</v>
          </cell>
          <cell r="AH392" t="str">
            <v>26/11/1958</v>
          </cell>
          <cell r="AI392">
            <v>61</v>
          </cell>
          <cell r="AJ392">
            <v>0</v>
          </cell>
          <cell r="AK392">
            <v>11786.35</v>
          </cell>
          <cell r="AL392" t="str">
            <v>FA</v>
          </cell>
          <cell r="AM392">
            <v>11786.35</v>
          </cell>
          <cell r="AN392" t="str">
            <v>nise.nogueira@mme.gov.br</v>
          </cell>
          <cell r="AO392" t="str">
            <v>(61) 2032-5657</v>
          </cell>
        </row>
        <row r="393">
          <cell r="A393" t="str">
            <v>NUBIAN MENDONÇA AMORIM</v>
          </cell>
          <cell r="B393" t="str">
            <v>917.780.341-87</v>
          </cell>
          <cell r="C393">
            <v>1779924</v>
          </cell>
          <cell r="D393" t="str">
            <v>Analista em Tecnologia da Informação</v>
          </cell>
          <cell r="E393" t="str">
            <v>Exercício Descentralizado</v>
          </cell>
          <cell r="F393" t="str">
            <v>ME - Ministério da Economia</v>
          </cell>
          <cell r="G393" t="str">
            <v xml:space="preserve">SE / SPOA / CGTI / COORDENAÇÃO DE INFRAESTRUTURA TECNOLÓGICA - </v>
          </cell>
          <cell r="H393" t="str">
            <v>8.105.310</v>
          </cell>
          <cell r="I393" t="str">
            <v>Coordenadora de Infraestrutura Tecnológica da Coordenação Geral de Tecnologia da Informação</v>
          </cell>
          <cell r="J393" t="str">
            <v>DAS</v>
          </cell>
          <cell r="K393" t="str">
            <v>101.3</v>
          </cell>
          <cell r="L393" t="str">
            <v xml:space="preserve">Portaria nº </v>
          </cell>
          <cell r="M393">
            <v>53</v>
          </cell>
          <cell r="N393" t="str">
            <v>16/02/2018</v>
          </cell>
          <cell r="O393" t="str">
            <v>05/03/2018</v>
          </cell>
          <cell r="P393" t="str">
            <v>DOU</v>
          </cell>
          <cell r="Z393" t="str">
            <v>Sem designação</v>
          </cell>
          <cell r="AF393" t="str">
            <v>Feminino</v>
          </cell>
          <cell r="AG393" t="str">
            <v>Parda</v>
          </cell>
          <cell r="AH393" t="str">
            <v>14/06/1980</v>
          </cell>
          <cell r="AI393">
            <v>40</v>
          </cell>
          <cell r="AJ393">
            <v>3411.33</v>
          </cell>
          <cell r="AK393">
            <v>12060.27</v>
          </cell>
          <cell r="AL393" t="str">
            <v>FA</v>
          </cell>
          <cell r="AM393">
            <v>15471.6</v>
          </cell>
          <cell r="AN393" t="str">
            <v>nubian.amorim@mme.gov.br</v>
          </cell>
          <cell r="AO393" t="str">
            <v>(61) 2032-5646</v>
          </cell>
          <cell r="AP393" t="str">
            <v>SE80</v>
          </cell>
        </row>
        <row r="394">
          <cell r="A394" t="str">
            <v>ONILDE APARECIDA BATISTA</v>
          </cell>
          <cell r="B394" t="str">
            <v>339.881.881-15</v>
          </cell>
          <cell r="C394">
            <v>1106181</v>
          </cell>
          <cell r="D394" t="str">
            <v>Agente de Portaria</v>
          </cell>
          <cell r="E394" t="str">
            <v>Ativo Permanente</v>
          </cell>
          <cell r="F394" t="str">
            <v>MME - Ministério de Minas e Energia</v>
          </cell>
          <cell r="G394" t="str">
            <v>SE / SPOA / CGCC / COORDENAÇÃO DE ADMINISTRAÇÃO DE CONTRATOS - CAC</v>
          </cell>
          <cell r="H394" t="str">
            <v>8.105.410</v>
          </cell>
          <cell r="I394" t="str">
            <v>Função Gratificada</v>
          </cell>
          <cell r="J394" t="str">
            <v>FGR</v>
          </cell>
          <cell r="K394">
            <v>1</v>
          </cell>
          <cell r="L394" t="str">
            <v xml:space="preserve">Portaria nº </v>
          </cell>
          <cell r="M394">
            <v>206</v>
          </cell>
          <cell r="N394" t="str">
            <v>17/04/2019</v>
          </cell>
          <cell r="O394" t="str">
            <v>22/04/2019</v>
          </cell>
          <cell r="P394" t="str">
            <v>DOU</v>
          </cell>
          <cell r="Q394" t="str">
            <v>GSISTE</v>
          </cell>
          <cell r="R394" t="str">
            <v>Intermediário</v>
          </cell>
          <cell r="S394" t="str">
            <v>SISG - Sistema de Serviços Gerais</v>
          </cell>
          <cell r="T394" t="str">
            <v xml:space="preserve">Portaria nº </v>
          </cell>
          <cell r="U394">
            <v>118</v>
          </cell>
          <cell r="V394" t="str">
            <v>11/10/2017</v>
          </cell>
          <cell r="W394" t="str">
            <v>11/10/2017</v>
          </cell>
          <cell r="X394" t="str">
            <v>BPE</v>
          </cell>
          <cell r="Z394" t="str">
            <v>Sem designação</v>
          </cell>
          <cell r="AF394" t="str">
            <v>Feminino</v>
          </cell>
          <cell r="AG394" t="str">
            <v>Parda</v>
          </cell>
          <cell r="AH394" t="str">
            <v>11/12/1964</v>
          </cell>
          <cell r="AI394">
            <v>55</v>
          </cell>
          <cell r="AJ394">
            <v>7159.58</v>
          </cell>
          <cell r="AL394" t="str">
            <v>FA</v>
          </cell>
          <cell r="AM394">
            <v>7159.58</v>
          </cell>
          <cell r="AN394" t="str">
            <v>onildeb@mme.gov.br</v>
          </cell>
          <cell r="AO394" t="str">
            <v>(61) 2032-5256</v>
          </cell>
        </row>
        <row r="395">
          <cell r="A395" t="str">
            <v>ONILDO DE CASTRO PASSOS</v>
          </cell>
          <cell r="B395" t="str">
            <v>033.803.001-87</v>
          </cell>
          <cell r="C395">
            <v>2340584</v>
          </cell>
          <cell r="D395" t="str">
            <v>Escriturário II</v>
          </cell>
          <cell r="E395" t="str">
            <v>Anistiado MME</v>
          </cell>
          <cell r="F395" t="str">
            <v>MME - Ministério de Minas e Energia</v>
          </cell>
          <cell r="G395" t="str">
            <v>SE / SPOA / CGRL / COORDENAÇÃO DE ATIVIDADES GERAIS - COAGE</v>
          </cell>
          <cell r="H395" t="str">
            <v>8.105.120</v>
          </cell>
          <cell r="Z395" t="str">
            <v>Sem designação</v>
          </cell>
          <cell r="AF395" t="str">
            <v>Masculino</v>
          </cell>
          <cell r="AG395" t="str">
            <v>Branca</v>
          </cell>
          <cell r="AH395" t="str">
            <v>30/06/1944</v>
          </cell>
          <cell r="AI395">
            <v>76</v>
          </cell>
          <cell r="AJ395">
            <v>2418.12</v>
          </cell>
          <cell r="AL395" t="str">
            <v>FA</v>
          </cell>
          <cell r="AM395">
            <v>2418.12</v>
          </cell>
          <cell r="AN395" t="str">
            <v>onildo.passos@mme.gov.br</v>
          </cell>
          <cell r="AO395" t="str">
            <v>(61) 2032-5255</v>
          </cell>
        </row>
        <row r="396">
          <cell r="A396" t="str">
            <v>OSIMAR ALVES DE SOUZA</v>
          </cell>
          <cell r="B396" t="str">
            <v>478.163.764-72</v>
          </cell>
          <cell r="C396">
            <v>1095449</v>
          </cell>
          <cell r="D396" t="str">
            <v>Motorista Oficial</v>
          </cell>
          <cell r="E396" t="str">
            <v>Ativo Permanente</v>
          </cell>
          <cell r="F396" t="str">
            <v>MME - Ministério de Minas e Energia</v>
          </cell>
          <cell r="G396" t="str">
            <v>SE / SPOA / CGRL / COORDENAÇÃO DE ATIVIDADES GERAIS - COAGE</v>
          </cell>
          <cell r="H396" t="str">
            <v>8.105.120</v>
          </cell>
          <cell r="I396" t="str">
            <v>Assistente da Coordenação Geral de Compras e Contratos</v>
          </cell>
          <cell r="J396" t="str">
            <v>FCPE</v>
          </cell>
          <cell r="K396" t="str">
            <v>102.2</v>
          </cell>
          <cell r="L396" t="str">
            <v xml:space="preserve">Portaria nº </v>
          </cell>
          <cell r="M396">
            <v>102</v>
          </cell>
          <cell r="N396" t="str">
            <v>13/03/2017</v>
          </cell>
          <cell r="O396" t="str">
            <v>15/03/2017</v>
          </cell>
          <cell r="P396" t="str">
            <v>DOU</v>
          </cell>
          <cell r="Z396" t="str">
            <v>Sem designação</v>
          </cell>
          <cell r="AF396" t="str">
            <v>Masculino</v>
          </cell>
          <cell r="AG396" t="str">
            <v>Branca</v>
          </cell>
          <cell r="AH396" t="str">
            <v>16/02/1966</v>
          </cell>
          <cell r="AI396">
            <v>54</v>
          </cell>
          <cell r="AJ396">
            <v>6664.47</v>
          </cell>
          <cell r="AL396" t="str">
            <v>FA</v>
          </cell>
          <cell r="AM396">
            <v>6664.47</v>
          </cell>
          <cell r="AN396" t="str">
            <v>Osimar.Souza@mme.gov.br</v>
          </cell>
          <cell r="AO396" t="str">
            <v>(61) 2032-5114</v>
          </cell>
          <cell r="AP396" t="str">
            <v>SE90</v>
          </cell>
        </row>
        <row r="397">
          <cell r="A397" t="str">
            <v>PATRICIA DA SILVA PEGO</v>
          </cell>
          <cell r="B397" t="str">
            <v>066.961.326-60</v>
          </cell>
          <cell r="C397">
            <v>2563137</v>
          </cell>
          <cell r="D397" t="str">
            <v>Auditor Federal de Finanças e Controle</v>
          </cell>
          <cell r="E397" t="str">
            <v>Requisitado de Órgãos</v>
          </cell>
          <cell r="F397" t="str">
            <v>ME - Ministério da Economia</v>
          </cell>
          <cell r="G397" t="str">
            <v>SGM / DPGM / COORDENAÇÃO GERAL DE ECONOMIA MINERAL</v>
          </cell>
          <cell r="H397" t="str">
            <v>9.101.300</v>
          </cell>
          <cell r="I397" t="str">
            <v>Coordenadora Geral de Economia Mineral do Departamento de Gestão das Políticas de Geologia, Mineração e Transformação Mineral</v>
          </cell>
          <cell r="J397" t="str">
            <v>FCPE</v>
          </cell>
          <cell r="K397" t="str">
            <v>101.4</v>
          </cell>
          <cell r="L397" t="str">
            <v xml:space="preserve">Portaria nº </v>
          </cell>
          <cell r="M397">
            <v>524</v>
          </cell>
          <cell r="N397" t="str">
            <v>03/11/2016</v>
          </cell>
          <cell r="O397" t="str">
            <v>04/11/2016</v>
          </cell>
          <cell r="P397" t="str">
            <v>BPE</v>
          </cell>
          <cell r="Y397" t="str">
            <v>Departamento de Gestão das Políticas de Geologia, Mineração e Transformação Mineral</v>
          </cell>
          <cell r="Z397" t="str">
            <v>Eventual</v>
          </cell>
          <cell r="AA397" t="str">
            <v xml:space="preserve">Portaria nº </v>
          </cell>
          <cell r="AB397">
            <v>6</v>
          </cell>
          <cell r="AC397" t="str">
            <v>09/01/2017</v>
          </cell>
          <cell r="AD397" t="str">
            <v>11/01/2017</v>
          </cell>
          <cell r="AE397" t="str">
            <v>DOU</v>
          </cell>
          <cell r="AF397" t="str">
            <v>Feminino</v>
          </cell>
          <cell r="AG397" t="str">
            <v>Parda</v>
          </cell>
          <cell r="AH397" t="str">
            <v>01/05/1983</v>
          </cell>
          <cell r="AI397">
            <v>37</v>
          </cell>
          <cell r="AJ397">
            <v>6223.99</v>
          </cell>
          <cell r="AK397">
            <v>22389.59</v>
          </cell>
          <cell r="AL397" t="str">
            <v>FA</v>
          </cell>
          <cell r="AM397">
            <v>28613.58</v>
          </cell>
          <cell r="AN397" t="str">
            <v>patricia.pego@mme.gov.br</v>
          </cell>
          <cell r="AO397" t="str">
            <v>(61) 2032-5828</v>
          </cell>
          <cell r="AP397" t="str">
            <v>SGM14</v>
          </cell>
          <cell r="AQ397" t="str">
            <v>SGM03S</v>
          </cell>
        </row>
        <row r="398">
          <cell r="A398" t="str">
            <v>PATRÍCIA DE ALMEIDA MARTINS</v>
          </cell>
          <cell r="B398" t="str">
            <v>334.104.611-91</v>
          </cell>
          <cell r="C398">
            <v>451584</v>
          </cell>
          <cell r="D398" t="str">
            <v>Agente Administrativo</v>
          </cell>
          <cell r="E398" t="str">
            <v>Ativo Permanente</v>
          </cell>
          <cell r="F398" t="str">
            <v>MME - Ministério de Minas e Energia</v>
          </cell>
          <cell r="G398" t="str">
            <v>SE / SPOA / CGRH / COORDENAÇÃO DE ADMINISTRAÇÃO DE PESSOAL - CAPES</v>
          </cell>
          <cell r="H398" t="str">
            <v>8.105.210</v>
          </cell>
          <cell r="I398" t="str">
            <v>Função Gratificada</v>
          </cell>
          <cell r="J398" t="str">
            <v>FGR</v>
          </cell>
          <cell r="K398">
            <v>1</v>
          </cell>
          <cell r="L398" t="str">
            <v xml:space="preserve">Portaria nº </v>
          </cell>
          <cell r="M398">
            <v>524</v>
          </cell>
          <cell r="N398" t="str">
            <v>03/11/2016</v>
          </cell>
          <cell r="O398" t="str">
            <v>04/11/2016</v>
          </cell>
          <cell r="P398" t="str">
            <v>BPE</v>
          </cell>
          <cell r="Y398" t="str">
            <v>Divisão de Execução Orçamentária e Financeira da Folha de Pagamento de Pessoal</v>
          </cell>
          <cell r="Z398" t="str">
            <v>Pessoal</v>
          </cell>
          <cell r="AA398" t="str">
            <v xml:space="preserve">Portaria nº </v>
          </cell>
          <cell r="AB398">
            <v>162</v>
          </cell>
          <cell r="AC398" t="str">
            <v>07/04/2020</v>
          </cell>
          <cell r="AD398" t="str">
            <v>13/04/2020</v>
          </cell>
          <cell r="AE398" t="str">
            <v>DOU</v>
          </cell>
          <cell r="AF398" t="str">
            <v>Feminino</v>
          </cell>
          <cell r="AG398" t="str">
            <v>Branca</v>
          </cell>
          <cell r="AH398" t="str">
            <v>16/11/1964</v>
          </cell>
          <cell r="AI398">
            <v>55</v>
          </cell>
          <cell r="AJ398">
            <v>6733.44</v>
          </cell>
          <cell r="AL398" t="str">
            <v>FA</v>
          </cell>
          <cell r="AM398">
            <v>6733.44</v>
          </cell>
          <cell r="AN398" t="str">
            <v>patricia.martins@mme.gov.br</v>
          </cell>
          <cell r="AO398" t="str">
            <v>(61) 2032-5675</v>
          </cell>
          <cell r="AQ398" t="str">
            <v>SE39S</v>
          </cell>
        </row>
        <row r="399">
          <cell r="A399" t="str">
            <v>PATRICIA MARIA GOMES</v>
          </cell>
          <cell r="B399" t="str">
            <v>704.054.501-25</v>
          </cell>
          <cell r="C399">
            <v>3294860</v>
          </cell>
          <cell r="D399" t="str">
            <v>Sem Cargo/Emprego</v>
          </cell>
          <cell r="E399" t="str">
            <v>Sem Vínculo</v>
          </cell>
          <cell r="F399" t="str">
            <v>Sem Vínculo</v>
          </cell>
          <cell r="G399" t="str">
            <v>ASSESSORIA ESPECIAL DE ASSUNTOS ECONÔMICOS - ASSEC</v>
          </cell>
          <cell r="H399" t="str">
            <v>6.000.000</v>
          </cell>
          <cell r="I399" t="str">
            <v>Assessora Técnica da Assessoria Especial de Assuntos Econômicos</v>
          </cell>
          <cell r="J399" t="str">
            <v>DAS</v>
          </cell>
          <cell r="K399" t="str">
            <v>102.3</v>
          </cell>
          <cell r="L399" t="str">
            <v xml:space="preserve">Portaria nº </v>
          </cell>
          <cell r="M399">
            <v>245</v>
          </cell>
          <cell r="N399" t="str">
            <v>11/06/2019</v>
          </cell>
          <cell r="O399" t="str">
            <v>14/06/2019</v>
          </cell>
          <cell r="P399" t="str">
            <v>DOU</v>
          </cell>
          <cell r="Z399" t="str">
            <v>Sem designação</v>
          </cell>
          <cell r="AF399" t="str">
            <v>Feminino</v>
          </cell>
          <cell r="AG399" t="str">
            <v>Branca</v>
          </cell>
          <cell r="AH399" t="str">
            <v>10/11/1976</v>
          </cell>
          <cell r="AI399">
            <v>43</v>
          </cell>
          <cell r="AJ399">
            <v>5685.55</v>
          </cell>
          <cell r="AL399" t="str">
            <v>FA</v>
          </cell>
          <cell r="AM399">
            <v>5685.55</v>
          </cell>
          <cell r="AN399" t="str">
            <v>patriciagomes@mme.gov.br</v>
          </cell>
          <cell r="AO399" t="str">
            <v>(61) 2032-5932</v>
          </cell>
          <cell r="AP399" t="str">
            <v>ASSEC07</v>
          </cell>
        </row>
        <row r="400">
          <cell r="A400" t="str">
            <v>PATRICIA NOLETO CRESTANI</v>
          </cell>
          <cell r="B400" t="str">
            <v>726.910.341-00</v>
          </cell>
          <cell r="C400">
            <v>1489690</v>
          </cell>
          <cell r="D400" t="str">
            <v>Sem Cargo/Emprego</v>
          </cell>
          <cell r="E400" t="str">
            <v>Sem Vínculo</v>
          </cell>
          <cell r="F400" t="str">
            <v>Sem Vínculo</v>
          </cell>
          <cell r="G400" t="str">
            <v>SGM / CHEFIA DE GABINETE SGM</v>
          </cell>
          <cell r="H400" t="str">
            <v>9.100.000</v>
          </cell>
          <cell r="I400" t="str">
            <v>Assessora Técnica da Secretaria de Geologia, Mineração e Transformação Mineral</v>
          </cell>
          <cell r="J400" t="str">
            <v>DAS</v>
          </cell>
          <cell r="K400" t="str">
            <v>102.3</v>
          </cell>
          <cell r="L400" t="str">
            <v xml:space="preserve">Portaria nº </v>
          </cell>
          <cell r="M400">
            <v>524</v>
          </cell>
          <cell r="N400" t="str">
            <v>03/11/2016</v>
          </cell>
          <cell r="O400" t="str">
            <v>04/11/2016</v>
          </cell>
          <cell r="P400" t="str">
            <v>BPE</v>
          </cell>
          <cell r="Z400" t="str">
            <v>Sem designação</v>
          </cell>
          <cell r="AF400" t="str">
            <v>Feminino</v>
          </cell>
          <cell r="AG400" t="str">
            <v>Branca</v>
          </cell>
          <cell r="AH400" t="str">
            <v>14/01/1983</v>
          </cell>
          <cell r="AI400">
            <v>37</v>
          </cell>
          <cell r="AJ400">
            <v>5685.55</v>
          </cell>
          <cell r="AL400" t="str">
            <v>FA</v>
          </cell>
          <cell r="AM400">
            <v>5685.55</v>
          </cell>
          <cell r="AN400" t="str">
            <v>patricia.crestani@mme.gov.br</v>
          </cell>
          <cell r="AO400" t="str">
            <v>(61) 2032-5137</v>
          </cell>
          <cell r="AP400" t="str">
            <v>SGM03</v>
          </cell>
        </row>
        <row r="401">
          <cell r="A401" t="str">
            <v>PATRICIA SALLES MERGULHAO</v>
          </cell>
          <cell r="B401" t="str">
            <v>316.606.491-53</v>
          </cell>
          <cell r="C401">
            <v>2298598</v>
          </cell>
          <cell r="D401" t="str">
            <v>Sem Cargo/Emprego</v>
          </cell>
          <cell r="E401" t="str">
            <v>Sem Vínculo</v>
          </cell>
          <cell r="F401" t="str">
            <v>Sem Vínculo</v>
          </cell>
          <cell r="G401" t="str">
            <v>SEE / DEPARTAMENTO DE POLÍTICAS SOCIAIS E UNIVERSALIZAÇÃO DO ACESSO À ENERGIA ELÉTRICA - DPUE</v>
          </cell>
          <cell r="H401" t="str">
            <v>12.103.000</v>
          </cell>
          <cell r="I401" t="str">
            <v xml:space="preserve">Assistente do Departamento de Gestão do Setor Elétrico </v>
          </cell>
          <cell r="J401" t="str">
            <v>DAS</v>
          </cell>
          <cell r="K401" t="str">
            <v>102.2</v>
          </cell>
          <cell r="L401" t="str">
            <v xml:space="preserve">Portaria nº </v>
          </cell>
          <cell r="M401">
            <v>524</v>
          </cell>
          <cell r="N401" t="str">
            <v>03/11/2016</v>
          </cell>
          <cell r="O401" t="str">
            <v>04/11/2016</v>
          </cell>
          <cell r="P401" t="str">
            <v>BPE</v>
          </cell>
          <cell r="Z401" t="str">
            <v>Sem designação</v>
          </cell>
          <cell r="AF401" t="str">
            <v>Feminino</v>
          </cell>
          <cell r="AG401" t="str">
            <v>Parda</v>
          </cell>
          <cell r="AH401" t="str">
            <v>31/01/1968</v>
          </cell>
          <cell r="AI401">
            <v>52</v>
          </cell>
          <cell r="AJ401">
            <v>3440.75</v>
          </cell>
          <cell r="AL401" t="str">
            <v>FA</v>
          </cell>
          <cell r="AM401">
            <v>3440.75</v>
          </cell>
          <cell r="AN401" t="str">
            <v>psouza@mme.gov.br</v>
          </cell>
          <cell r="AO401" t="str">
            <v>(61) 2032-5012</v>
          </cell>
          <cell r="AP401" t="str">
            <v>SEE11</v>
          </cell>
        </row>
        <row r="402">
          <cell r="A402" t="str">
            <v>PAULO COSTA DA SILVA</v>
          </cell>
          <cell r="B402" t="str">
            <v>119.360.961-53</v>
          </cell>
          <cell r="C402">
            <v>7129838</v>
          </cell>
          <cell r="D402" t="str">
            <v>Técnico de Orçamento</v>
          </cell>
          <cell r="E402" t="str">
            <v>Exercício Descentralizado</v>
          </cell>
          <cell r="F402" t="str">
            <v>ME - Ministério da Economia</v>
          </cell>
          <cell r="G402" t="str">
            <v>SE / SPOA / CGOF / COORDENAÇÃO DE ADMINISTRAÇÃO FINANCEIRA -COAF</v>
          </cell>
          <cell r="H402" t="str">
            <v>8.105.510</v>
          </cell>
          <cell r="Z402" t="str">
            <v>Sem designação</v>
          </cell>
          <cell r="AF402" t="str">
            <v>Masculino</v>
          </cell>
          <cell r="AG402" t="str">
            <v>Parda</v>
          </cell>
          <cell r="AH402" t="str">
            <v>10/12/1953</v>
          </cell>
          <cell r="AI402">
            <v>66</v>
          </cell>
          <cell r="AJ402">
            <v>0</v>
          </cell>
          <cell r="AK402">
            <v>14349.18</v>
          </cell>
          <cell r="AL402" t="str">
            <v>FA</v>
          </cell>
          <cell r="AM402">
            <v>14349.18</v>
          </cell>
          <cell r="AN402" t="str">
            <v>PauloCosta@mme.gov.br</v>
          </cell>
          <cell r="AO402" t="str">
            <v>(61) 2032-5319</v>
          </cell>
        </row>
        <row r="403">
          <cell r="A403" t="str">
            <v>PAULO ÉRICO RAMOS DE OLIVEIRA</v>
          </cell>
          <cell r="B403" t="str">
            <v>086.974.006-78</v>
          </cell>
          <cell r="C403">
            <v>1354321</v>
          </cell>
          <cell r="D403" t="str">
            <v>Analista de Infraestrutura</v>
          </cell>
          <cell r="E403" t="str">
            <v>Exercício Descentralizado</v>
          </cell>
          <cell r="F403" t="str">
            <v>ME - Ministério da Economia</v>
          </cell>
          <cell r="G403" t="str">
            <v>SPE / DPE / COORDENAÇÃO GERAL DE PLANEJAMENTO DA TRANSMISSÃO</v>
          </cell>
          <cell r="H403" t="str">
            <v>10.101.100</v>
          </cell>
          <cell r="Y403" t="str">
            <v>Coordenação Geral de Planejamento da Transmissão</v>
          </cell>
          <cell r="Z403" t="str">
            <v>Eventual</v>
          </cell>
          <cell r="AA403" t="str">
            <v xml:space="preserve">Portaria nº </v>
          </cell>
          <cell r="AB403">
            <v>635</v>
          </cell>
          <cell r="AC403" t="str">
            <v>23/11/2016</v>
          </cell>
          <cell r="AD403" t="str">
            <v>24/11/2016</v>
          </cell>
          <cell r="AE403" t="str">
            <v>DOU</v>
          </cell>
          <cell r="AF403" t="str">
            <v>Masculino</v>
          </cell>
          <cell r="AG403" t="str">
            <v>Branca</v>
          </cell>
          <cell r="AH403" t="str">
            <v>05/03/1948</v>
          </cell>
          <cell r="AI403">
            <v>72</v>
          </cell>
          <cell r="AJ403">
            <v>0</v>
          </cell>
          <cell r="AK403">
            <v>15844.67</v>
          </cell>
          <cell r="AL403" t="str">
            <v>FA</v>
          </cell>
          <cell r="AM403">
            <v>15844.67</v>
          </cell>
          <cell r="AN403" t="str">
            <v>paulo.oliveira@mme.gov.br</v>
          </cell>
          <cell r="AO403" t="str">
            <v>(61) 2032-5275</v>
          </cell>
          <cell r="AQ403" t="str">
            <v>SPE04S</v>
          </cell>
        </row>
        <row r="404">
          <cell r="A404" t="str">
            <v>PAULO GONÇALVES CERQUEIRA</v>
          </cell>
          <cell r="B404" t="str">
            <v>302.296.426-91</v>
          </cell>
          <cell r="C404">
            <v>1808086</v>
          </cell>
          <cell r="D404" t="str">
            <v>Engenheiro</v>
          </cell>
          <cell r="E404" t="str">
            <v>Requisitado de Empresa</v>
          </cell>
          <cell r="F404" t="str">
            <v>FURNAS - Centrais Elétricas S/A</v>
          </cell>
          <cell r="G404" t="str">
            <v>SEE / DPUE / COORDENAÇÃO GERAL DE DESENVOLVIMENTO DE POLÍTICAS SOCIAIS</v>
          </cell>
          <cell r="H404" t="str">
            <v>12.103.100</v>
          </cell>
          <cell r="I404" t="str">
            <v>Coordenador Geral de Desenvolvimento de Políticas Sociais do Departamento de Políticas Sociais e Universalização do Acesso à Energia</v>
          </cell>
          <cell r="J404" t="str">
            <v>DAS</v>
          </cell>
          <cell r="K404" t="str">
            <v>101.4</v>
          </cell>
          <cell r="L404" t="str">
            <v xml:space="preserve">Portaria nº </v>
          </cell>
          <cell r="M404">
            <v>524</v>
          </cell>
          <cell r="N404" t="str">
            <v>03/11/2016</v>
          </cell>
          <cell r="O404" t="str">
            <v>04/11/2016</v>
          </cell>
          <cell r="P404" t="str">
            <v>BPE</v>
          </cell>
          <cell r="Y404" t="str">
            <v>Departamento de Políticas Sociais e Universalização do Acesso à Energia</v>
          </cell>
          <cell r="Z404" t="str">
            <v>Eventual</v>
          </cell>
          <cell r="AA404" t="str">
            <v xml:space="preserve">Portaria nº </v>
          </cell>
          <cell r="AB404">
            <v>675</v>
          </cell>
          <cell r="AC404" t="str">
            <v>05/12/2016</v>
          </cell>
          <cell r="AD404" t="str">
            <v>06/12/2016</v>
          </cell>
          <cell r="AE404" t="str">
            <v>DOU</v>
          </cell>
          <cell r="AF404" t="str">
            <v>Masculino</v>
          </cell>
          <cell r="AG404" t="str">
            <v>Branca</v>
          </cell>
          <cell r="AH404" t="str">
            <v>22/11/1958</v>
          </cell>
          <cell r="AI404">
            <v>61</v>
          </cell>
          <cell r="AJ404">
            <v>0</v>
          </cell>
          <cell r="AK404">
            <v>27747.279999999999</v>
          </cell>
          <cell r="AL404" t="str">
            <v>FA</v>
          </cell>
          <cell r="AM404">
            <v>27747.279999999999</v>
          </cell>
          <cell r="AN404" t="str">
            <v>paulo.cerqueira@mme.gov.br</v>
          </cell>
          <cell r="AO404" t="str">
            <v>(61) 2032-5863</v>
          </cell>
          <cell r="AP404" t="str">
            <v>SEE29</v>
          </cell>
          <cell r="AQ404" t="str">
            <v>SEE14S</v>
          </cell>
        </row>
        <row r="405">
          <cell r="A405" t="str">
            <v>PAULO MARCIO BARBOSA MENEZES DO NASCIMENTO</v>
          </cell>
          <cell r="B405" t="str">
            <v>024.253.747-28</v>
          </cell>
          <cell r="C405">
            <v>2083816</v>
          </cell>
          <cell r="D405" t="str">
            <v>Analista em Tecnologia da Informação</v>
          </cell>
          <cell r="E405" t="str">
            <v>Exercício Descentralizado</v>
          </cell>
          <cell r="F405" t="str">
            <v>ME - Ministério da Economia</v>
          </cell>
          <cell r="G405" t="str">
            <v>SE / SPOA / CGTI / COORDENAÇÃO DE TECNOLOGIA DE SISTEMAS DE INFORMAÇÃO - CTSI</v>
          </cell>
          <cell r="H405" t="str">
            <v>8.105.320</v>
          </cell>
          <cell r="Z405" t="str">
            <v>Sem designação</v>
          </cell>
          <cell r="AF405" t="str">
            <v>Masculino</v>
          </cell>
          <cell r="AG405" t="str">
            <v>Branca</v>
          </cell>
          <cell r="AH405" t="str">
            <v>24/02/1973</v>
          </cell>
          <cell r="AI405">
            <v>47</v>
          </cell>
          <cell r="AJ405">
            <v>3411.33</v>
          </cell>
          <cell r="AK405">
            <v>11156.92</v>
          </cell>
          <cell r="AL405" t="str">
            <v>FA</v>
          </cell>
          <cell r="AM405">
            <v>14568.25</v>
          </cell>
          <cell r="AN405" t="str">
            <v>paulo.nascimento@mme.gov.br</v>
          </cell>
          <cell r="AO405" t="str">
            <v>(61) 2032-5628</v>
          </cell>
        </row>
        <row r="406">
          <cell r="A406" t="str">
            <v>PAULO RAINERI</v>
          </cell>
          <cell r="B406" t="str">
            <v>376.670.338-20</v>
          </cell>
          <cell r="C406">
            <v>1354355</v>
          </cell>
          <cell r="D406" t="str">
            <v>Auxiliar Administrativo</v>
          </cell>
          <cell r="E406" t="str">
            <v>Anistiado MME</v>
          </cell>
          <cell r="F406" t="str">
            <v>MME - Ministério de Minas e Energia</v>
          </cell>
          <cell r="G406" t="str">
            <v>SE / SPOA / CGRL / COORDENAÇÃO DE ATIVIDADES GERAIS - COAGE</v>
          </cell>
          <cell r="H406" t="str">
            <v>8.105.120</v>
          </cell>
          <cell r="Z406" t="str">
            <v>Sem designação</v>
          </cell>
          <cell r="AF406" t="str">
            <v>Masculino</v>
          </cell>
          <cell r="AG406" t="str">
            <v>Branca</v>
          </cell>
          <cell r="AH406" t="str">
            <v>10/09/1950</v>
          </cell>
          <cell r="AI406">
            <v>70</v>
          </cell>
          <cell r="AJ406">
            <v>4275.71</v>
          </cell>
          <cell r="AL406" t="str">
            <v>FA</v>
          </cell>
          <cell r="AM406">
            <v>4275.71</v>
          </cell>
          <cell r="AN406" t="str">
            <v>paulo.raineri@mme.gov.br</v>
          </cell>
          <cell r="AO406" t="str">
            <v>(61) 2032-5242</v>
          </cell>
        </row>
        <row r="407">
          <cell r="A407" t="str">
            <v>PAULO ROBERTO MACHADO FERNANDES COSTA</v>
          </cell>
          <cell r="B407" t="str">
            <v>827.079.601-87</v>
          </cell>
          <cell r="C407">
            <v>3542457</v>
          </cell>
          <cell r="D407" t="str">
            <v>Analista de Infraestrutura</v>
          </cell>
          <cell r="E407" t="str">
            <v>Exercício Descentralizado</v>
          </cell>
          <cell r="F407" t="str">
            <v>ME - Ministério da Economia</v>
          </cell>
          <cell r="G407" t="str">
            <v>SPG / DBIO / COORDENAÇÃO GERAL DE BIODIESEL E OUTROS BIOCOMBUSTÍVEIS</v>
          </cell>
          <cell r="H407" t="str">
            <v>11.104.100</v>
          </cell>
          <cell r="I407" t="str">
            <v>Coordenador Geral de Biodiesel e outros Combustíveis do Departamento de Biocombustíveis</v>
          </cell>
          <cell r="J407" t="str">
            <v>DAS</v>
          </cell>
          <cell r="K407" t="str">
            <v>101.4</v>
          </cell>
          <cell r="L407" t="str">
            <v xml:space="preserve">Portaria nº </v>
          </cell>
          <cell r="M407">
            <v>317</v>
          </cell>
          <cell r="N407" t="str">
            <v>15/08/2019</v>
          </cell>
          <cell r="O407" t="str">
            <v>16/08/2019</v>
          </cell>
          <cell r="P407" t="str">
            <v>DOU</v>
          </cell>
          <cell r="Z407" t="str">
            <v>Sem designação</v>
          </cell>
          <cell r="AF407" t="str">
            <v>Masculino</v>
          </cell>
          <cell r="AG407" t="str">
            <v>Parda</v>
          </cell>
          <cell r="AH407" t="str">
            <v>31/07/1978</v>
          </cell>
          <cell r="AI407">
            <v>42</v>
          </cell>
          <cell r="AJ407">
            <v>6223.98</v>
          </cell>
          <cell r="AK407">
            <v>17026.400000000001</v>
          </cell>
          <cell r="AL407" t="str">
            <v>FA</v>
          </cell>
          <cell r="AM407">
            <v>23250.38</v>
          </cell>
          <cell r="AN407" t="str">
            <v>paulor.costa@mme.gov.br</v>
          </cell>
          <cell r="AO407" t="str">
            <v>(61) 2032-5781</v>
          </cell>
          <cell r="AP407" t="str">
            <v>SPG25</v>
          </cell>
        </row>
        <row r="408">
          <cell r="A408" t="str">
            <v>PEDRO ELCIO DOS SANTOS</v>
          </cell>
          <cell r="B408" t="str">
            <v>259.449.831-91</v>
          </cell>
          <cell r="C408">
            <v>450850</v>
          </cell>
          <cell r="D408" t="str">
            <v>Agente Administrativo</v>
          </cell>
          <cell r="E408" t="str">
            <v>Ativo Permanente</v>
          </cell>
          <cell r="F408" t="str">
            <v>MME - Ministério de Minas e Energia</v>
          </cell>
          <cell r="G408" t="str">
            <v>SGM / CHEFIA DE GABINETE SGM</v>
          </cell>
          <cell r="H408" t="str">
            <v>9.100.000</v>
          </cell>
          <cell r="I408" t="str">
            <v>Assessor Técnico da Secretaria de Geologia, Mineração e Transformação Mineral</v>
          </cell>
          <cell r="J408" t="str">
            <v>FCPE</v>
          </cell>
          <cell r="K408" t="str">
            <v>102.3</v>
          </cell>
          <cell r="L408" t="str">
            <v xml:space="preserve">Portaria nº </v>
          </cell>
          <cell r="M408">
            <v>524</v>
          </cell>
          <cell r="N408" t="str">
            <v>03/11/2016</v>
          </cell>
          <cell r="O408" t="str">
            <v>04/11/2016</v>
          </cell>
          <cell r="P408" t="str">
            <v>BPE</v>
          </cell>
          <cell r="Z408" t="str">
            <v>Sem designação</v>
          </cell>
          <cell r="AF408" t="str">
            <v>Masculino</v>
          </cell>
          <cell r="AG408" t="str">
            <v>Parda</v>
          </cell>
          <cell r="AH408" t="str">
            <v>29/06/1963</v>
          </cell>
          <cell r="AI408">
            <v>57</v>
          </cell>
          <cell r="AJ408">
            <v>10383.82</v>
          </cell>
          <cell r="AL408" t="str">
            <v>FA</v>
          </cell>
          <cell r="AM408">
            <v>10383.82</v>
          </cell>
          <cell r="AN408" t="str">
            <v>PedroElcio@mme.gov.br</v>
          </cell>
          <cell r="AO408" t="str">
            <v>(61) 2032-5653</v>
          </cell>
          <cell r="AP408" t="str">
            <v>SGM05</v>
          </cell>
        </row>
        <row r="409">
          <cell r="A409" t="str">
            <v>PEDRO EVANGELISTA HONORATO</v>
          </cell>
          <cell r="B409" t="str">
            <v>311.819.701-30</v>
          </cell>
          <cell r="C409">
            <v>1366699</v>
          </cell>
          <cell r="D409" t="str">
            <v>Auxiliar Codificação e Conferência</v>
          </cell>
          <cell r="E409" t="str">
            <v>Anistiado MME</v>
          </cell>
          <cell r="F409" t="str">
            <v>MME - Ministério de Minas e Energia</v>
          </cell>
          <cell r="G409" t="str">
            <v>SGM / DEPARTAMENTO DE GEOLOGIA E PRODUÇÃO MINERAL - DGPM</v>
          </cell>
          <cell r="H409" t="str">
            <v>9.102.000</v>
          </cell>
          <cell r="I409" t="str">
            <v>Assistente da Coordenação Geral de Compras e Contratos</v>
          </cell>
          <cell r="J409" t="str">
            <v>DAS</v>
          </cell>
          <cell r="K409" t="str">
            <v>102.2</v>
          </cell>
          <cell r="L409" t="str">
            <v xml:space="preserve">Portaria nº </v>
          </cell>
          <cell r="M409">
            <v>524</v>
          </cell>
          <cell r="N409" t="str">
            <v>03/11/2016</v>
          </cell>
          <cell r="O409" t="str">
            <v>04/11/2016</v>
          </cell>
          <cell r="P409" t="str">
            <v>BPE</v>
          </cell>
          <cell r="Y409" t="str">
            <v>Coordenação Geral de Monitoramento e Controle de Concessões Minerais</v>
          </cell>
          <cell r="Z409" t="str">
            <v>Eventual</v>
          </cell>
          <cell r="AA409" t="str">
            <v xml:space="preserve">Portaria nº </v>
          </cell>
          <cell r="AB409">
            <v>97</v>
          </cell>
          <cell r="AC409" t="str">
            <v>10/03/2020</v>
          </cell>
          <cell r="AD409" t="str">
            <v>11/03/2020</v>
          </cell>
          <cell r="AE409" t="str">
            <v>DOU</v>
          </cell>
          <cell r="AF409" t="str">
            <v>Masculino</v>
          </cell>
          <cell r="AG409" t="str">
            <v>Branca</v>
          </cell>
          <cell r="AH409" t="str">
            <v>21/09/1966</v>
          </cell>
          <cell r="AI409">
            <v>54</v>
          </cell>
          <cell r="AJ409">
            <v>5332.86</v>
          </cell>
          <cell r="AL409" t="str">
            <v>FA</v>
          </cell>
          <cell r="AM409">
            <v>5332.86</v>
          </cell>
          <cell r="AN409" t="str">
            <v>pedro.honorato@mme.gov.br</v>
          </cell>
          <cell r="AO409" t="str">
            <v>(61) 2032-5526</v>
          </cell>
          <cell r="AP409" t="str">
            <v>SE87</v>
          </cell>
          <cell r="AQ409" t="str">
            <v>SGM09S</v>
          </cell>
        </row>
        <row r="410">
          <cell r="A410" t="str">
            <v>PEDRO HELCIO AMANCIO</v>
          </cell>
          <cell r="B410" t="str">
            <v>223.183.131-72</v>
          </cell>
          <cell r="C410">
            <v>455181</v>
          </cell>
          <cell r="D410" t="str">
            <v>Agente de Telecomunicações e Eletricidade</v>
          </cell>
          <cell r="E410" t="str">
            <v>Ativo Permanente</v>
          </cell>
          <cell r="F410" t="str">
            <v>MME - Ministério de Minas e Energia</v>
          </cell>
          <cell r="G410" t="str">
            <v>SE / SPOA / CGRL / COORDENAÇÃO DE ATIVIDADES GERAIS - COAGE</v>
          </cell>
          <cell r="H410" t="str">
            <v>8.105.120</v>
          </cell>
          <cell r="I410" t="str">
            <v>Função Gratificada</v>
          </cell>
          <cell r="J410" t="str">
            <v>FGR</v>
          </cell>
          <cell r="K410">
            <v>1</v>
          </cell>
          <cell r="L410" t="str">
            <v xml:space="preserve">Portaria nº </v>
          </cell>
          <cell r="M410">
            <v>524</v>
          </cell>
          <cell r="N410" t="str">
            <v>03/11/2016</v>
          </cell>
          <cell r="O410" t="str">
            <v>04/11/2016</v>
          </cell>
          <cell r="P410" t="str">
            <v>BPE</v>
          </cell>
          <cell r="Z410" t="str">
            <v>Sem designação</v>
          </cell>
          <cell r="AF410" t="str">
            <v>Masculino</v>
          </cell>
          <cell r="AG410" t="str">
            <v>Branca</v>
          </cell>
          <cell r="AH410" t="str">
            <v>29/06/1963</v>
          </cell>
          <cell r="AI410">
            <v>57</v>
          </cell>
          <cell r="AJ410">
            <v>5330.65</v>
          </cell>
          <cell r="AL410" t="str">
            <v>FA</v>
          </cell>
          <cell r="AM410">
            <v>5330.65</v>
          </cell>
          <cell r="AN410" t="str">
            <v>PedroAmancio@mme.gov.br</v>
          </cell>
          <cell r="AO410" t="str">
            <v>(61) 2032-5250</v>
          </cell>
        </row>
        <row r="411">
          <cell r="A411" t="str">
            <v>PEDRO HENRIQUE MILHOMEM COUTINHO</v>
          </cell>
          <cell r="B411" t="str">
            <v>898.354.843-68</v>
          </cell>
          <cell r="C411">
            <v>3686678</v>
          </cell>
          <cell r="D411" t="str">
            <v>Analista de Infraestrutura</v>
          </cell>
          <cell r="E411" t="str">
            <v>Exercício Descentralizado</v>
          </cell>
          <cell r="F411" t="str">
            <v>ME - Ministério da Economia</v>
          </cell>
          <cell r="G411" t="str">
            <v>SPG / DEPARTAMENTO DE COMBUSTÍVEIS DERIVADOS DE PETRÓLEOS - DCDP</v>
          </cell>
          <cell r="H411" t="str">
            <v>11.103.000</v>
          </cell>
          <cell r="I411" t="str">
            <v>Assistente do Departamento de Combustíveis Derivados de Petróleo</v>
          </cell>
          <cell r="J411" t="str">
            <v>FCPE</v>
          </cell>
          <cell r="K411" t="str">
            <v>102.2</v>
          </cell>
          <cell r="L411" t="str">
            <v xml:space="preserve">Portaria nº </v>
          </cell>
          <cell r="M411">
            <v>277</v>
          </cell>
          <cell r="N411" t="str">
            <v>04/07/2019</v>
          </cell>
          <cell r="O411" t="str">
            <v>08/07/2019</v>
          </cell>
          <cell r="P411" t="str">
            <v>DOU</v>
          </cell>
          <cell r="Y411" t="str">
            <v>Coordenação Geral de Refino, Abastecimento e Infraestrutura</v>
          </cell>
          <cell r="Z411" t="str">
            <v>Eventual</v>
          </cell>
          <cell r="AA411" t="str">
            <v xml:space="preserve">Portaria nº </v>
          </cell>
          <cell r="AB411">
            <v>77</v>
          </cell>
          <cell r="AC411" t="str">
            <v>03/03/2020</v>
          </cell>
          <cell r="AD411" t="str">
            <v>05/03/2020</v>
          </cell>
          <cell r="AE411" t="str">
            <v>DOU</v>
          </cell>
          <cell r="AF411" t="str">
            <v>Masculino</v>
          </cell>
          <cell r="AG411" t="str">
            <v>Branca</v>
          </cell>
          <cell r="AH411" t="str">
            <v>24/02/1984</v>
          </cell>
          <cell r="AI411">
            <v>36</v>
          </cell>
          <cell r="AJ411">
            <v>2064.44</v>
          </cell>
          <cell r="AK411">
            <v>16847.8</v>
          </cell>
          <cell r="AL411" t="str">
            <v>FA</v>
          </cell>
          <cell r="AM411">
            <v>18912.239999999998</v>
          </cell>
          <cell r="AN411" t="str">
            <v>pedro.coutinho@mme.gov.br</v>
          </cell>
          <cell r="AO411" t="str">
            <v>(61) 2032-5452</v>
          </cell>
          <cell r="AP411" t="str">
            <v>SPG20</v>
          </cell>
          <cell r="AQ411" t="str">
            <v>SPG13S</v>
          </cell>
        </row>
        <row r="412">
          <cell r="A412" t="str">
            <v>PEDRO HUGO TEIXEIRA DE OLIVEIRA JUNIOR</v>
          </cell>
          <cell r="B412" t="str">
            <v>889.612.497-20</v>
          </cell>
          <cell r="C412">
            <v>1221494</v>
          </cell>
          <cell r="D412" t="str">
            <v>Sem Cargo/Emprego</v>
          </cell>
          <cell r="E412" t="str">
            <v>Sem Vínculo</v>
          </cell>
          <cell r="F412" t="str">
            <v>Sem Vínculo</v>
          </cell>
          <cell r="G412" t="str">
            <v>GM / ASSESSORIA PARLAMENTAR - ASPAR</v>
          </cell>
          <cell r="H412" t="str">
            <v>2.100.200</v>
          </cell>
          <cell r="I412" t="str">
            <v>Assessor Especial do Ministro</v>
          </cell>
          <cell r="J412" t="str">
            <v>DAS</v>
          </cell>
          <cell r="K412" t="str">
            <v>102.5</v>
          </cell>
          <cell r="L412" t="str">
            <v xml:space="preserve">Portaria nº </v>
          </cell>
          <cell r="M412">
            <v>623</v>
          </cell>
          <cell r="N412" t="str">
            <v>17/01/2019</v>
          </cell>
          <cell r="O412" t="str">
            <v>17/01/2019</v>
          </cell>
          <cell r="P412" t="str">
            <v>DOU</v>
          </cell>
          <cell r="Z412" t="str">
            <v>Sem designação</v>
          </cell>
          <cell r="AF412" t="str">
            <v>Masculino</v>
          </cell>
          <cell r="AG412" t="str">
            <v>Parda</v>
          </cell>
          <cell r="AH412" t="str">
            <v>04/03/1970</v>
          </cell>
          <cell r="AI412">
            <v>50</v>
          </cell>
          <cell r="AJ412">
            <v>13623.39</v>
          </cell>
          <cell r="AL412" t="str">
            <v>FA</v>
          </cell>
          <cell r="AM412">
            <v>13623.39</v>
          </cell>
          <cell r="AN412" t="str">
            <v>hugo.oliveira@mme.gov.br</v>
          </cell>
          <cell r="AO412" t="str">
            <v>(61) 2032-5051</v>
          </cell>
          <cell r="AP412" t="str">
            <v>GM05</v>
          </cell>
        </row>
        <row r="413">
          <cell r="A413" t="str">
            <v>PEDRO LOURENCO DE SOUSA</v>
          </cell>
          <cell r="B413" t="str">
            <v>301.676.551-91</v>
          </cell>
          <cell r="C413">
            <v>451593</v>
          </cell>
          <cell r="D413" t="str">
            <v>Agente Administrativo</v>
          </cell>
          <cell r="E413" t="str">
            <v>Ativo Permanente</v>
          </cell>
          <cell r="F413" t="str">
            <v>MME - Ministério de Minas e Energia</v>
          </cell>
          <cell r="G413" t="str">
            <v>GM / ASTAD / COORDENAÇÃO DE ATIVIDADES ADMINISTRATIVAS</v>
          </cell>
          <cell r="H413" t="str">
            <v>2.100.101</v>
          </cell>
          <cell r="I413" t="str">
            <v>Função Comissionada Técnica - Técnico de Sistemas Operacionais e Administrativos</v>
          </cell>
          <cell r="J413" t="str">
            <v>FCT</v>
          </cell>
          <cell r="K413">
            <v>10</v>
          </cell>
          <cell r="L413" t="str">
            <v xml:space="preserve">Portaria nº </v>
          </cell>
          <cell r="M413">
            <v>515</v>
          </cell>
          <cell r="N413" t="str">
            <v>31/10/2016</v>
          </cell>
          <cell r="O413" t="str">
            <v>01/11/2016</v>
          </cell>
          <cell r="P413" t="str">
            <v>DOU</v>
          </cell>
          <cell r="Z413" t="str">
            <v>Sem designação</v>
          </cell>
          <cell r="AF413" t="str">
            <v>Masculino</v>
          </cell>
          <cell r="AG413" t="str">
            <v>Branca</v>
          </cell>
          <cell r="AH413" t="str">
            <v>05/11/1963</v>
          </cell>
          <cell r="AI413">
            <v>57</v>
          </cell>
          <cell r="AJ413">
            <v>6061.79</v>
          </cell>
          <cell r="AL413" t="str">
            <v>FA</v>
          </cell>
          <cell r="AM413">
            <v>6061.79</v>
          </cell>
          <cell r="AN413" t="str">
            <v>pedrosousa@mme.gov.br</v>
          </cell>
          <cell r="AO413" t="str">
            <v>(61) 2032-5800</v>
          </cell>
        </row>
        <row r="414">
          <cell r="A414" t="str">
            <v>PEDRO SANTANA DA SILVA</v>
          </cell>
          <cell r="B414" t="str">
            <v>245.087.809-20</v>
          </cell>
          <cell r="C414">
            <v>1905845</v>
          </cell>
          <cell r="D414" t="str">
            <v>Analista de Laboratório II</v>
          </cell>
          <cell r="E414" t="str">
            <v>Anistiado MME</v>
          </cell>
          <cell r="F414" t="str">
            <v>MME - Ministério de Minas e Energia</v>
          </cell>
          <cell r="G414" t="str">
            <v>Aguardando Lotação/Exercício</v>
          </cell>
          <cell r="H414" t="str">
            <v>88.000.000</v>
          </cell>
          <cell r="Z414" t="str">
            <v>Sem designação</v>
          </cell>
          <cell r="AF414" t="str">
            <v>Masculino</v>
          </cell>
          <cell r="AG414" t="str">
            <v>Branca</v>
          </cell>
          <cell r="AH414" t="str">
            <v>07/11/1949</v>
          </cell>
          <cell r="AI414">
            <v>70</v>
          </cell>
          <cell r="AJ414">
            <v>3283.26</v>
          </cell>
          <cell r="AL414" t="str">
            <v>DIR</v>
          </cell>
          <cell r="AM414">
            <v>3283.26</v>
          </cell>
        </row>
        <row r="415">
          <cell r="A415" t="str">
            <v>RAFAEL BASTOS DA SILVA</v>
          </cell>
          <cell r="B415" t="str">
            <v>055.683.267-11</v>
          </cell>
          <cell r="C415">
            <v>1514882</v>
          </cell>
          <cell r="D415" t="str">
            <v>Especialista em Geologia e Geof do Petr e Gás Natural</v>
          </cell>
          <cell r="E415" t="str">
            <v>Requisitado de Órgãos</v>
          </cell>
          <cell r="F415" t="str">
            <v>ANP - Agência Nacional do Petróleo, Gás Natural e Biocombustíveis</v>
          </cell>
          <cell r="G415" t="str">
            <v>SPG / DEPARTAMENTO DE POLÍTICA DE EXPLORAÇÃO E PRODUÇÃO DE PETRÓLEO E GÁS NATURAL - DPGN</v>
          </cell>
          <cell r="H415" t="str">
            <v>11.101.000</v>
          </cell>
          <cell r="I415" t="str">
            <v>Diretor do Departamento de Política de Exploração e Produção de Petróleo e Gás Natural</v>
          </cell>
          <cell r="J415" t="str">
            <v>DAS</v>
          </cell>
          <cell r="K415" t="str">
            <v>101.5</v>
          </cell>
          <cell r="L415" t="str">
            <v xml:space="preserve">Portaria nº </v>
          </cell>
          <cell r="M415">
            <v>458</v>
          </cell>
          <cell r="N415" t="str">
            <v>09/12/2019</v>
          </cell>
          <cell r="O415" t="str">
            <v>11/12/2019</v>
          </cell>
          <cell r="P415" t="str">
            <v>DOU</v>
          </cell>
          <cell r="Z415" t="str">
            <v>Sem designação</v>
          </cell>
          <cell r="AF415" t="str">
            <v>Masculino</v>
          </cell>
          <cell r="AG415" t="str">
            <v>Branca</v>
          </cell>
          <cell r="AH415" t="str">
            <v>23/06/1981</v>
          </cell>
          <cell r="AI415">
            <v>39</v>
          </cell>
          <cell r="AJ415">
            <v>6811.7</v>
          </cell>
          <cell r="AK415">
            <v>21634.63</v>
          </cell>
          <cell r="AL415" t="str">
            <v>FA</v>
          </cell>
          <cell r="AM415">
            <v>28446.33</v>
          </cell>
          <cell r="AN415" t="str">
            <v>rafael.bastos@mme.gov.br</v>
          </cell>
          <cell r="AO415" t="str">
            <v>(61) 2032-5455</v>
          </cell>
          <cell r="AP415" t="str">
            <v>SPG09</v>
          </cell>
        </row>
        <row r="416">
          <cell r="A416" t="str">
            <v>RAFAEL ESPERIDIAO DE MELO</v>
          </cell>
          <cell r="B416" t="str">
            <v>056.709.284-40</v>
          </cell>
          <cell r="C416">
            <v>1356437</v>
          </cell>
          <cell r="D416" t="str">
            <v>Advogado da União</v>
          </cell>
          <cell r="E416" t="str">
            <v>Exercício Descentralizado</v>
          </cell>
          <cell r="F416" t="str">
            <v>ME - Ministério da Economia</v>
          </cell>
          <cell r="G416" t="str">
            <v>CONJUR / COORDENAÇÃO GERAL DE ASSUNTOS DE ENERGIA</v>
          </cell>
          <cell r="H416" t="str">
            <v>7.100.100</v>
          </cell>
          <cell r="Y416" t="str">
            <v>Coordenação Geral de Assuntos em Energia</v>
          </cell>
          <cell r="Z416" t="str">
            <v>Eventual</v>
          </cell>
          <cell r="AA416" t="str">
            <v xml:space="preserve">Portaria nº </v>
          </cell>
          <cell r="AB416">
            <v>394</v>
          </cell>
          <cell r="AC416" t="str">
            <v>29/10/2020</v>
          </cell>
          <cell r="AD416" t="str">
            <v>03/11/2020</v>
          </cell>
          <cell r="AE416" t="str">
            <v>DOU</v>
          </cell>
          <cell r="AF416" t="str">
            <v>Masculino</v>
          </cell>
          <cell r="AG416" t="str">
            <v>Parda</v>
          </cell>
          <cell r="AH416" t="str">
            <v>15/03/1990</v>
          </cell>
          <cell r="AI416">
            <v>30</v>
          </cell>
          <cell r="AJ416">
            <v>0</v>
          </cell>
          <cell r="AK416">
            <v>24710.39</v>
          </cell>
          <cell r="AL416" t="str">
            <v>FA</v>
          </cell>
          <cell r="AM416">
            <v>24710.39</v>
          </cell>
          <cell r="AN416" t="str">
            <v>rafael.melo@mme.gov.br</v>
          </cell>
          <cell r="AO416" t="str">
            <v>(61) 2032-5638</v>
          </cell>
          <cell r="AQ416" t="str">
            <v>CONJUR03S</v>
          </cell>
        </row>
        <row r="417">
          <cell r="A417" t="str">
            <v>RAIMUNDA ALVES DE SOUSA OLIVEIRA</v>
          </cell>
          <cell r="B417" t="str">
            <v>145.819.731-04</v>
          </cell>
          <cell r="C417">
            <v>6002121</v>
          </cell>
          <cell r="D417" t="str">
            <v>Datilógrafo</v>
          </cell>
          <cell r="E417" t="str">
            <v>Requisitado de Órgãos</v>
          </cell>
          <cell r="F417" t="str">
            <v>MAPA - Ministério da Agricultura, Pecuário e Abastecimento</v>
          </cell>
          <cell r="G417" t="str">
            <v>SE / SPOA / CGCC / COORDENAÇÃO DE LICITAÇÕES E COMPRA - CLC</v>
          </cell>
          <cell r="H417" t="str">
            <v>8.105.420</v>
          </cell>
          <cell r="I417" t="str">
            <v>Assistente Departamento de Geologia e Produção Mineral</v>
          </cell>
          <cell r="J417" t="str">
            <v>FCPE</v>
          </cell>
          <cell r="K417" t="str">
            <v>102.2</v>
          </cell>
          <cell r="L417" t="str">
            <v xml:space="preserve">Portaria nº </v>
          </cell>
          <cell r="M417">
            <v>524</v>
          </cell>
          <cell r="N417" t="str">
            <v>03/11/2016</v>
          </cell>
          <cell r="O417" t="str">
            <v>04/11/2016</v>
          </cell>
          <cell r="P417" t="str">
            <v>BPE</v>
          </cell>
          <cell r="Q417" t="str">
            <v>GSISTE</v>
          </cell>
          <cell r="R417" t="str">
            <v>Intermediário</v>
          </cell>
          <cell r="S417" t="str">
            <v>SISG - Sistema de Serviços Gerais</v>
          </cell>
          <cell r="T417" t="str">
            <v xml:space="preserve">Portaria nº </v>
          </cell>
          <cell r="U417">
            <v>64</v>
          </cell>
          <cell r="V417" t="str">
            <v>09/07/2009</v>
          </cell>
          <cell r="W417" t="str">
            <v>09/07/2009</v>
          </cell>
          <cell r="X417" t="str">
            <v>BPE</v>
          </cell>
          <cell r="Y417" t="str">
            <v>Coordenação de Licitação e Compras</v>
          </cell>
          <cell r="Z417" t="str">
            <v>Eventual</v>
          </cell>
          <cell r="AA417" t="str">
            <v xml:space="preserve">Portaria nº </v>
          </cell>
          <cell r="AB417">
            <v>393</v>
          </cell>
          <cell r="AC417" t="str">
            <v>09/10/2017</v>
          </cell>
          <cell r="AD417" t="str">
            <v>11/10/2017</v>
          </cell>
          <cell r="AE417" t="str">
            <v>DOU</v>
          </cell>
          <cell r="AF417" t="str">
            <v>Feminino</v>
          </cell>
          <cell r="AG417" t="str">
            <v>Parda</v>
          </cell>
          <cell r="AH417" t="str">
            <v>25/04/1956</v>
          </cell>
          <cell r="AI417">
            <v>64</v>
          </cell>
          <cell r="AJ417">
            <v>4086.44</v>
          </cell>
          <cell r="AK417">
            <v>5814.74</v>
          </cell>
          <cell r="AL417" t="str">
            <v>FA</v>
          </cell>
          <cell r="AM417">
            <v>9901.18</v>
          </cell>
          <cell r="AN417" t="str">
            <v>raimunda.oliveira@mme.gov.br</v>
          </cell>
          <cell r="AO417" t="str">
            <v>(61) 2032-5957</v>
          </cell>
          <cell r="AP417" t="str">
            <v>SGM17</v>
          </cell>
          <cell r="AQ417" t="str">
            <v>SE50S</v>
          </cell>
        </row>
        <row r="418">
          <cell r="A418" t="str">
            <v>RAIMUNDO WANGLER VIANA SERRAO</v>
          </cell>
          <cell r="B418" t="str">
            <v>606.056.932-34</v>
          </cell>
          <cell r="C418">
            <v>3133039</v>
          </cell>
          <cell r="D418" t="str">
            <v>Marinha</v>
          </cell>
          <cell r="E418" t="str">
            <v>Requisitado Militar</v>
          </cell>
          <cell r="F418" t="str">
            <v>Marinha</v>
          </cell>
          <cell r="G418" t="str">
            <v>Escritório Rio de Janeiro/RJ</v>
          </cell>
          <cell r="H418" t="str">
            <v>99.000.000</v>
          </cell>
          <cell r="I418" t="str">
            <v>Assessor Técnico Escritório RJ</v>
          </cell>
          <cell r="J418" t="str">
            <v>DAS</v>
          </cell>
          <cell r="K418" t="str">
            <v>102.3</v>
          </cell>
          <cell r="L418" t="str">
            <v xml:space="preserve">Portaria nº </v>
          </cell>
          <cell r="M418">
            <v>271</v>
          </cell>
          <cell r="N418" t="str">
            <v>01/07/2020</v>
          </cell>
          <cell r="O418" t="str">
            <v>02/07/2020</v>
          </cell>
          <cell r="P418" t="str">
            <v>DOU</v>
          </cell>
          <cell r="Z418" t="str">
            <v>Sem designação</v>
          </cell>
          <cell r="AF418" t="str">
            <v>Masculino</v>
          </cell>
          <cell r="AG418" t="str">
            <v>Parda</v>
          </cell>
          <cell r="AH418" t="str">
            <v>28/03/1979</v>
          </cell>
          <cell r="AI418">
            <v>41</v>
          </cell>
          <cell r="AJ418">
            <v>3411.33</v>
          </cell>
          <cell r="AK418">
            <v>6903.6</v>
          </cell>
          <cell r="AL418" t="str">
            <v>FA</v>
          </cell>
          <cell r="AM418">
            <v>10314.93</v>
          </cell>
          <cell r="AN418" t="str">
            <v>raimundo.serrao@mme.gov.br</v>
          </cell>
          <cell r="AO418" t="str">
            <v>(61) 2032-5046</v>
          </cell>
          <cell r="AP418" t="str">
            <v>TEMP04</v>
          </cell>
        </row>
        <row r="419">
          <cell r="A419" t="str">
            <v>RANIELLE NOLETO PAZ ARAUJO</v>
          </cell>
          <cell r="B419" t="str">
            <v>956.098.061-00</v>
          </cell>
          <cell r="C419">
            <v>2658275</v>
          </cell>
          <cell r="D419" t="str">
            <v>Analista de Infraestrutura</v>
          </cell>
          <cell r="E419" t="str">
            <v>Exercício Descentralizado</v>
          </cell>
          <cell r="F419" t="str">
            <v>ME - Ministério da Economia</v>
          </cell>
          <cell r="G419" t="str">
            <v>SGM / DDM / COORDENAÇÃO GERAL DE MINERAÇÃO EM ÁREAS DE CONSERVAÇÃO E CONFLITO</v>
          </cell>
          <cell r="H419" t="str">
            <v>9.104.200</v>
          </cell>
          <cell r="I419" t="str">
            <v>Assistente da Coordenação Geral de Mineração em Áreas de Conservação e Conflito do Departamento de Desenvolvimento Sustentável na Mineração</v>
          </cell>
          <cell r="J419" t="str">
            <v>FCPE</v>
          </cell>
          <cell r="K419" t="str">
            <v>102.2</v>
          </cell>
          <cell r="L419" t="str">
            <v xml:space="preserve">Portaria nº </v>
          </cell>
          <cell r="M419">
            <v>524</v>
          </cell>
          <cell r="N419" t="str">
            <v>03/11/2016</v>
          </cell>
          <cell r="O419" t="str">
            <v>04/11/2016</v>
          </cell>
          <cell r="P419" t="str">
            <v>BPE</v>
          </cell>
          <cell r="Z419" t="str">
            <v>Sem designação</v>
          </cell>
          <cell r="AF419" t="str">
            <v>Feminino</v>
          </cell>
          <cell r="AG419" t="str">
            <v>Parda</v>
          </cell>
          <cell r="AH419" t="str">
            <v>17/09/1983</v>
          </cell>
          <cell r="AI419">
            <v>37</v>
          </cell>
          <cell r="AJ419">
            <v>2064.44</v>
          </cell>
          <cell r="AK419">
            <v>16526.8</v>
          </cell>
          <cell r="AL419" t="str">
            <v>FA</v>
          </cell>
          <cell r="AM419">
            <v>18591.239999999998</v>
          </cell>
          <cell r="AN419" t="str">
            <v>ranielle.paz@mme.gov.br</v>
          </cell>
          <cell r="AO419" t="str">
            <v>(61) 2032-5897</v>
          </cell>
          <cell r="AP419" t="str">
            <v>SGM30</v>
          </cell>
        </row>
        <row r="420">
          <cell r="A420" t="str">
            <v>RAQUEL DA SILVA GUIRRA</v>
          </cell>
          <cell r="B420" t="str">
            <v>538.327.441-34</v>
          </cell>
          <cell r="C420">
            <v>1094908</v>
          </cell>
          <cell r="D420" t="str">
            <v>Técnico de Contabilidade</v>
          </cell>
          <cell r="E420" t="str">
            <v>Ativo Permanente</v>
          </cell>
          <cell r="F420" t="str">
            <v>MME - Ministério de Minas e Energia</v>
          </cell>
          <cell r="G420" t="str">
            <v>SE / SPOA / CGRL / COORDENAÇÃO DE ADMINISTRAÇÃO DE MATERIAL E EXECUÇÃO FINANCEIRA - COMEF</v>
          </cell>
          <cell r="H420" t="str">
            <v>8.105.110</v>
          </cell>
          <cell r="I420" t="str">
            <v>Função Comissionada Técnica - Analista em Gestão de Logística</v>
          </cell>
          <cell r="J420" t="str">
            <v>FCT</v>
          </cell>
          <cell r="K420">
            <v>3</v>
          </cell>
          <cell r="L420" t="str">
            <v xml:space="preserve">Portaria nº </v>
          </cell>
          <cell r="M420">
            <v>126</v>
          </cell>
          <cell r="N420" t="str">
            <v>30/06/2004</v>
          </cell>
          <cell r="O420" t="str">
            <v>02/07/2004</v>
          </cell>
          <cell r="P420" t="str">
            <v>DOU</v>
          </cell>
          <cell r="Q420" t="str">
            <v>GSISTE</v>
          </cell>
          <cell r="R420" t="str">
            <v>Intermediário</v>
          </cell>
          <cell r="S420" t="str">
            <v>SISG - Sistema de Serviços Gerais</v>
          </cell>
          <cell r="T420" t="str">
            <v xml:space="preserve">Portaria nº </v>
          </cell>
          <cell r="U420">
            <v>60</v>
          </cell>
          <cell r="V420" t="str">
            <v>19/06/2009</v>
          </cell>
          <cell r="W420" t="str">
            <v>19/06/2009</v>
          </cell>
          <cell r="X420" t="str">
            <v>BPE</v>
          </cell>
          <cell r="Z420" t="str">
            <v>Sem designação</v>
          </cell>
          <cell r="AF420" t="str">
            <v>Feminino</v>
          </cell>
          <cell r="AG420" t="str">
            <v>Branca</v>
          </cell>
          <cell r="AH420" t="str">
            <v>15/02/1973</v>
          </cell>
          <cell r="AI420">
            <v>47</v>
          </cell>
          <cell r="AJ420">
            <v>8192.26</v>
          </cell>
          <cell r="AL420" t="str">
            <v>FA</v>
          </cell>
          <cell r="AM420">
            <v>8192.26</v>
          </cell>
          <cell r="AN420" t="str">
            <v>raquelguirra@mme.gov.br</v>
          </cell>
          <cell r="AO420" t="str">
            <v>(61) 2032-5056</v>
          </cell>
        </row>
        <row r="421">
          <cell r="A421" t="str">
            <v>RAQUEL VILELA CORRÊA</v>
          </cell>
          <cell r="B421" t="str">
            <v>944.712.821-15</v>
          </cell>
          <cell r="C421">
            <v>2362396</v>
          </cell>
          <cell r="D421" t="str">
            <v>Sem Cargo/Emprego</v>
          </cell>
          <cell r="E421" t="str">
            <v>Sem Vínculo</v>
          </cell>
          <cell r="F421" t="str">
            <v>Sem Vínculo</v>
          </cell>
          <cell r="G421" t="str">
            <v>SGM / DEPARTAMENTO DE TRANSFORMAÇÃO E TECNOLOGIA MINERAL - DTTM</v>
          </cell>
          <cell r="H421" t="str">
            <v>9.103.000</v>
          </cell>
          <cell r="I421" t="str">
            <v>Assistente do Departamento de Transformação e Tecnologia Mineral</v>
          </cell>
          <cell r="J421" t="str">
            <v>DAS</v>
          </cell>
          <cell r="K421" t="str">
            <v>102.2</v>
          </cell>
          <cell r="L421" t="str">
            <v xml:space="preserve">Portaria nº </v>
          </cell>
          <cell r="M421">
            <v>524</v>
          </cell>
          <cell r="N421" t="str">
            <v>03/11/2016</v>
          </cell>
          <cell r="O421" t="str">
            <v>04/11/2016</v>
          </cell>
          <cell r="P421" t="str">
            <v>BPE</v>
          </cell>
          <cell r="Y421" t="str">
            <v>Coordenação Geral de Monitoramento e Controle da Gestão de Programa</v>
          </cell>
          <cell r="Z421" t="str">
            <v>Eventual</v>
          </cell>
          <cell r="AA421" t="str">
            <v xml:space="preserve">Portaria nº </v>
          </cell>
          <cell r="AB421">
            <v>19</v>
          </cell>
          <cell r="AC421" t="str">
            <v>20/01/2020</v>
          </cell>
          <cell r="AD421" t="str">
            <v>22/01/2020</v>
          </cell>
          <cell r="AE421" t="str">
            <v>DOU</v>
          </cell>
          <cell r="AF421" t="str">
            <v>Feminino</v>
          </cell>
          <cell r="AG421" t="str">
            <v>Branca</v>
          </cell>
          <cell r="AH421" t="str">
            <v>01/12/1981</v>
          </cell>
          <cell r="AI421">
            <v>38</v>
          </cell>
          <cell r="AJ421">
            <v>3440.75</v>
          </cell>
          <cell r="AL421" t="str">
            <v>FA</v>
          </cell>
          <cell r="AM421">
            <v>3440.75</v>
          </cell>
          <cell r="AN421" t="str">
            <v>raquel.vilela@mme.gov.br</v>
          </cell>
          <cell r="AO421" t="str">
            <v>(61) 2032-5476</v>
          </cell>
          <cell r="AP421" t="str">
            <v>SGM21</v>
          </cell>
          <cell r="AQ421" t="str">
            <v>SGM05S</v>
          </cell>
        </row>
        <row r="422">
          <cell r="A422" t="str">
            <v>REGINA BASILIO BACARIAS</v>
          </cell>
          <cell r="B422" t="str">
            <v>428.888.831-04</v>
          </cell>
          <cell r="C422">
            <v>454716</v>
          </cell>
          <cell r="D422" t="str">
            <v>Agente Administrativo</v>
          </cell>
          <cell r="E422" t="str">
            <v>Ativo Permanente</v>
          </cell>
          <cell r="F422" t="str">
            <v>MME - Ministério de Minas e Energia</v>
          </cell>
          <cell r="G422" t="str">
            <v>SEE / DMSE / COORDENAÇÃO GERAL DE MONITORAMENTO DA DISTRIBUIÇÃO</v>
          </cell>
          <cell r="H422" t="str">
            <v>12.102.300</v>
          </cell>
          <cell r="I422" t="str">
            <v>Função Gratificada</v>
          </cell>
          <cell r="J422" t="str">
            <v>FGR</v>
          </cell>
          <cell r="K422">
            <v>1</v>
          </cell>
          <cell r="L422" t="str">
            <v xml:space="preserve">Portaria nº </v>
          </cell>
          <cell r="M422">
            <v>430</v>
          </cell>
          <cell r="N422" t="str">
            <v>25/11/2019</v>
          </cell>
          <cell r="O422" t="str">
            <v>28/11/2019</v>
          </cell>
          <cell r="P422" t="str">
            <v>DOU</v>
          </cell>
          <cell r="Z422" t="str">
            <v>Sem designação</v>
          </cell>
          <cell r="AF422" t="str">
            <v>Feminino</v>
          </cell>
          <cell r="AG422" t="str">
            <v>Parda</v>
          </cell>
          <cell r="AH422" t="str">
            <v>07/09/1966</v>
          </cell>
          <cell r="AI422">
            <v>54</v>
          </cell>
          <cell r="AJ422">
            <v>5467.28</v>
          </cell>
          <cell r="AL422" t="str">
            <v>FA</v>
          </cell>
          <cell r="AM422">
            <v>5467.28</v>
          </cell>
          <cell r="AN422" t="str">
            <v>regina.bacarias@mme.gov.br</v>
          </cell>
          <cell r="AO422" t="str">
            <v>(61) 2032-5040</v>
          </cell>
        </row>
        <row r="423">
          <cell r="A423" t="str">
            <v>REGINA COELIS ALVES PEREIRA</v>
          </cell>
          <cell r="B423" t="str">
            <v>224.495.071-91</v>
          </cell>
          <cell r="C423">
            <v>1280771</v>
          </cell>
          <cell r="D423" t="str">
            <v>Técnico de Processamento</v>
          </cell>
          <cell r="E423" t="str">
            <v>Anistiado MME</v>
          </cell>
          <cell r="F423" t="str">
            <v>MME - Ministério de Minas e Energia</v>
          </cell>
          <cell r="G423" t="str">
            <v>SEE / DGSE / COORDENAÇÃO GERAL DE GESTÃO DE PROGRAMAS E REGULAMENTAÇÃO</v>
          </cell>
          <cell r="H423" t="str">
            <v>12.101.200</v>
          </cell>
          <cell r="Z423" t="str">
            <v>Sem designação</v>
          </cell>
          <cell r="AF423" t="str">
            <v>Feminino</v>
          </cell>
          <cell r="AG423" t="str">
            <v>Branca</v>
          </cell>
          <cell r="AH423" t="str">
            <v>11/11/1960</v>
          </cell>
          <cell r="AI423">
            <v>59</v>
          </cell>
          <cell r="AJ423">
            <v>3915.9</v>
          </cell>
          <cell r="AL423" t="str">
            <v>FA</v>
          </cell>
          <cell r="AM423">
            <v>3915.9</v>
          </cell>
          <cell r="AN423" t="str">
            <v>regina.pereira@mme.gov.br</v>
          </cell>
          <cell r="AO423" t="str">
            <v>(61) 2032-5705</v>
          </cell>
        </row>
        <row r="424">
          <cell r="A424" t="str">
            <v>REGINA DE ARAUJO CALIXTO</v>
          </cell>
          <cell r="B424" t="str">
            <v>036.989.536-33</v>
          </cell>
          <cell r="C424">
            <v>1337906</v>
          </cell>
          <cell r="D424" t="str">
            <v>Sem Cargo/Emprego</v>
          </cell>
          <cell r="E424" t="str">
            <v>Sem Vínculo</v>
          </cell>
          <cell r="F424" t="str">
            <v>Sem Vínculo</v>
          </cell>
          <cell r="G424" t="str">
            <v>SPE / DEPARTAMENTO DE DESENVOLVIMENTO ENERGÉTICO - DDE</v>
          </cell>
          <cell r="H424" t="str">
            <v>10.102.000</v>
          </cell>
          <cell r="I424" t="str">
            <v>Assistente da Secretaria de Planejamento e Desenvolvimento Energético</v>
          </cell>
          <cell r="J424" t="str">
            <v>DAS</v>
          </cell>
          <cell r="K424" t="str">
            <v>102.2</v>
          </cell>
          <cell r="L424" t="str">
            <v xml:space="preserve">Portaria nº </v>
          </cell>
          <cell r="M424">
            <v>524</v>
          </cell>
          <cell r="N424" t="str">
            <v>03/11/2016</v>
          </cell>
          <cell r="O424" t="str">
            <v>04/11/2016</v>
          </cell>
          <cell r="P424" t="str">
            <v>BPE</v>
          </cell>
          <cell r="Z424" t="str">
            <v>Sem designação</v>
          </cell>
          <cell r="AF424" t="str">
            <v>Feminino</v>
          </cell>
          <cell r="AG424" t="str">
            <v>Parda</v>
          </cell>
          <cell r="AH424" t="str">
            <v>30/12/1977</v>
          </cell>
          <cell r="AI424">
            <v>42</v>
          </cell>
          <cell r="AJ424">
            <v>3440.75</v>
          </cell>
          <cell r="AL424" t="str">
            <v>FA</v>
          </cell>
          <cell r="AM424">
            <v>3440.75</v>
          </cell>
          <cell r="AN424" t="str">
            <v>reginacalixto@mme.gov.br</v>
          </cell>
          <cell r="AO424" t="str">
            <v>(61) 2032-5157</v>
          </cell>
          <cell r="AP424" t="str">
            <v>SPE06</v>
          </cell>
        </row>
        <row r="425">
          <cell r="A425" t="str">
            <v>REJANE INNECCO DA COSTA</v>
          </cell>
          <cell r="B425" t="str">
            <v>462.331.801-04</v>
          </cell>
          <cell r="C425">
            <v>2078133</v>
          </cell>
          <cell r="D425" t="str">
            <v>Sem Cargo/Emprego</v>
          </cell>
          <cell r="E425" t="str">
            <v>Sem Vínculo</v>
          </cell>
          <cell r="F425" t="str">
            <v>Sem Vínculo</v>
          </cell>
          <cell r="G425" t="str">
            <v>ASSESSORIA ESPECIAL DE CONTROLE INTERNO - AECI</v>
          </cell>
          <cell r="H425" t="str">
            <v>5.000.000</v>
          </cell>
          <cell r="I425" t="str">
            <v>Assessora Técnica da Secretaria Executiva</v>
          </cell>
          <cell r="J425" t="str">
            <v>DAS</v>
          </cell>
          <cell r="K425" t="str">
            <v>102.3</v>
          </cell>
          <cell r="L425" t="str">
            <v xml:space="preserve">Portaria nº </v>
          </cell>
          <cell r="M425">
            <v>146</v>
          </cell>
          <cell r="N425" t="str">
            <v>27/02/2019</v>
          </cell>
          <cell r="O425" t="str">
            <v>01/03/2019</v>
          </cell>
          <cell r="P425" t="str">
            <v>DOU</v>
          </cell>
          <cell r="Z425" t="str">
            <v>Sem designação</v>
          </cell>
          <cell r="AF425" t="str">
            <v>Feminino</v>
          </cell>
          <cell r="AG425" t="str">
            <v>Branca</v>
          </cell>
          <cell r="AH425" t="str">
            <v>02/04/1968</v>
          </cell>
          <cell r="AI425">
            <v>52</v>
          </cell>
          <cell r="AJ425">
            <v>5685.55</v>
          </cell>
          <cell r="AL425" t="str">
            <v>FA</v>
          </cell>
          <cell r="AM425">
            <v>5685.55</v>
          </cell>
          <cell r="AN425" t="str">
            <v>rejane.costa@mme.gov.br</v>
          </cell>
          <cell r="AO425" t="str">
            <v>(61) 2032-5190</v>
          </cell>
          <cell r="AP425" t="str">
            <v>SE12</v>
          </cell>
        </row>
        <row r="426">
          <cell r="A426" t="str">
            <v>RENATA BECKERT ISFER</v>
          </cell>
          <cell r="B426" t="str">
            <v>007.428.239-54</v>
          </cell>
          <cell r="C426">
            <v>1585328</v>
          </cell>
          <cell r="D426" t="str">
            <v>Procuradora Federal</v>
          </cell>
          <cell r="E426" t="str">
            <v>Exercício Descentralizado</v>
          </cell>
          <cell r="F426" t="str">
            <v>AGU - Advocacia Geral da União</v>
          </cell>
          <cell r="G426" t="str">
            <v>SPG / CHEFIA DE GABINETE SPG</v>
          </cell>
          <cell r="H426" t="str">
            <v>11.100.000</v>
          </cell>
          <cell r="I426" t="str">
            <v>Assessora do Secretário de Petróleo, Gás Natural e Biocombustíveis</v>
          </cell>
          <cell r="J426" t="str">
            <v>DAS</v>
          </cell>
          <cell r="K426" t="str">
            <v>102.4</v>
          </cell>
          <cell r="L426" t="str">
            <v xml:space="preserve">Portaria nº </v>
          </cell>
          <cell r="M426">
            <v>151</v>
          </cell>
          <cell r="N426" t="str">
            <v>05/04/2020</v>
          </cell>
          <cell r="O426" t="str">
            <v>07/04/2020</v>
          </cell>
          <cell r="P426" t="str">
            <v>DOU</v>
          </cell>
          <cell r="Z426" t="str">
            <v>Sem designação</v>
          </cell>
          <cell r="AF426" t="str">
            <v>Feminino</v>
          </cell>
          <cell r="AG426" t="str">
            <v>Branca</v>
          </cell>
          <cell r="AH426" t="str">
            <v>17/04/1981</v>
          </cell>
          <cell r="AI426">
            <v>39</v>
          </cell>
          <cell r="AJ426">
            <v>6223.98</v>
          </cell>
          <cell r="AK426">
            <v>27761.7</v>
          </cell>
          <cell r="AL426" t="str">
            <v>FA</v>
          </cell>
          <cell r="AM426">
            <v>33985.68</v>
          </cell>
          <cell r="AN426" t="str">
            <v>renata.isfer@mme.gov.br</v>
          </cell>
          <cell r="AO426" t="str">
            <v>(61) 2032-5794</v>
          </cell>
          <cell r="AP426" t="str">
            <v>SPG04</v>
          </cell>
        </row>
        <row r="427">
          <cell r="A427" t="str">
            <v>RENATA ROSADA DA SILVA</v>
          </cell>
          <cell r="B427" t="str">
            <v>273.290.008-76</v>
          </cell>
          <cell r="C427">
            <v>1522238</v>
          </cell>
          <cell r="D427" t="str">
            <v>Especialista em Regulação de Serv Púb de Energia</v>
          </cell>
          <cell r="E427" t="str">
            <v>Requisitado de Órgãos</v>
          </cell>
          <cell r="F427" t="str">
            <v>ANEEL - Agência Nacional de Energia Elétrica</v>
          </cell>
          <cell r="G427" t="str">
            <v>ASSESSORIA ESPECIAL DE ASSUNTOS ECONÔMICOS - ASSEC</v>
          </cell>
          <cell r="H427" t="str">
            <v>6.000.000</v>
          </cell>
          <cell r="I427" t="str">
            <v>Diretora de Programa do Gabinete do Ministro</v>
          </cell>
          <cell r="J427" t="str">
            <v>DAS</v>
          </cell>
          <cell r="K427" t="str">
            <v>101.5</v>
          </cell>
          <cell r="L427" t="str">
            <v xml:space="preserve">Portaria nº </v>
          </cell>
          <cell r="M427">
            <v>597</v>
          </cell>
          <cell r="N427" t="str">
            <v>16/01/2019</v>
          </cell>
          <cell r="O427" t="str">
            <v>17/01/2019</v>
          </cell>
          <cell r="P427" t="str">
            <v>DOU</v>
          </cell>
          <cell r="Y427" t="str">
            <v>Chefe da Assessoria Econômica</v>
          </cell>
          <cell r="Z427" t="str">
            <v>Eventual</v>
          </cell>
          <cell r="AA427" t="str">
            <v xml:space="preserve">Portaria nº </v>
          </cell>
          <cell r="AB427">
            <v>200</v>
          </cell>
          <cell r="AC427" t="str">
            <v>15/04/2019</v>
          </cell>
          <cell r="AD427" t="str">
            <v>17/04/2019</v>
          </cell>
          <cell r="AE427" t="str">
            <v>DOU</v>
          </cell>
          <cell r="AF427" t="str">
            <v>Feminino</v>
          </cell>
          <cell r="AG427" t="str">
            <v>Branca</v>
          </cell>
          <cell r="AH427" t="str">
            <v>30/06/1979</v>
          </cell>
          <cell r="AI427">
            <v>41</v>
          </cell>
          <cell r="AJ427">
            <v>8174.03</v>
          </cell>
          <cell r="AK427">
            <v>29770.82</v>
          </cell>
          <cell r="AL427" t="str">
            <v>FA</v>
          </cell>
          <cell r="AM427">
            <v>37944.85</v>
          </cell>
          <cell r="AN427" t="str">
            <v>renata.silva@mme.gov.br</v>
          </cell>
          <cell r="AO427" t="str">
            <v>(61) 2032-5747</v>
          </cell>
          <cell r="AP427" t="str">
            <v>GM06</v>
          </cell>
          <cell r="AQ427" t="str">
            <v>ASSEC01S</v>
          </cell>
        </row>
        <row r="428">
          <cell r="A428" t="str">
            <v>RENATA SANCHES DE OLIVEIRA MOURA</v>
          </cell>
          <cell r="B428" t="str">
            <v>015.607.611-05</v>
          </cell>
          <cell r="C428">
            <v>2008083</v>
          </cell>
          <cell r="D428" t="str">
            <v>Assistente em Ciência e Tecnologia</v>
          </cell>
          <cell r="E428" t="str">
            <v>Requisitado de Órgãos</v>
          </cell>
          <cell r="F428" t="str">
            <v>MCTIC - Ministério da Ciência, Tecnologia, Inovações e Comunicações</v>
          </cell>
          <cell r="G428" t="str">
            <v>SE / SPOA / CGRH / COORDENAÇÃO DE DESENVOLVIMENTO E SEGURIDADE SOCIAL - CODES</v>
          </cell>
          <cell r="H428" t="str">
            <v>8.105.220</v>
          </cell>
          <cell r="I428" t="str">
            <v>Função Gratificada</v>
          </cell>
          <cell r="J428" t="str">
            <v>FGR</v>
          </cell>
          <cell r="K428">
            <v>1</v>
          </cell>
          <cell r="L428" t="str">
            <v xml:space="preserve">Portaria nº </v>
          </cell>
          <cell r="M428">
            <v>85</v>
          </cell>
          <cell r="N428" t="str">
            <v>12/03/2018</v>
          </cell>
          <cell r="O428" t="str">
            <v>14/03/2018</v>
          </cell>
          <cell r="P428" t="str">
            <v>DOU</v>
          </cell>
          <cell r="Q428" t="str">
            <v>GSISTE</v>
          </cell>
          <cell r="R428" t="str">
            <v>Intermediário</v>
          </cell>
          <cell r="S428" t="str">
            <v>SIPEC  - Sistema de Pessoal Civil da Administração Federal</v>
          </cell>
          <cell r="T428" t="str">
            <v xml:space="preserve">Portaria nº </v>
          </cell>
          <cell r="U428">
            <v>145</v>
          </cell>
          <cell r="V428" t="str">
            <v>04/12/2017</v>
          </cell>
          <cell r="W428" t="str">
            <v>04/12/2017</v>
          </cell>
          <cell r="X428" t="str">
            <v>BPE</v>
          </cell>
          <cell r="Y428" t="str">
            <v>Chefe da Divisão de Treinamento e Desenvolvimento</v>
          </cell>
          <cell r="Z428" t="str">
            <v>Eventual</v>
          </cell>
          <cell r="AA428" t="str">
            <v xml:space="preserve">Portaria nº </v>
          </cell>
          <cell r="AB428">
            <v>55</v>
          </cell>
          <cell r="AC428" t="str">
            <v>15/02/2018</v>
          </cell>
          <cell r="AD428" t="str">
            <v>19/02/2018</v>
          </cell>
          <cell r="AE428" t="str">
            <v>DOU</v>
          </cell>
          <cell r="AF428" t="str">
            <v>Feminino</v>
          </cell>
          <cell r="AG428" t="str">
            <v>Branca</v>
          </cell>
          <cell r="AH428" t="str">
            <v>14/04/1990</v>
          </cell>
          <cell r="AI428">
            <v>30</v>
          </cell>
          <cell r="AJ428">
            <v>2559.5500000000002</v>
          </cell>
          <cell r="AK428">
            <v>12804.36</v>
          </cell>
          <cell r="AL428" t="str">
            <v>FA</v>
          </cell>
          <cell r="AM428">
            <v>15363.91</v>
          </cell>
          <cell r="AN428" t="str">
            <v>renata.moura@mme.gov.br</v>
          </cell>
          <cell r="AO428" t="str">
            <v>(61) 2032-5135</v>
          </cell>
          <cell r="AQ428" t="str">
            <v>SE38S</v>
          </cell>
        </row>
        <row r="429">
          <cell r="A429" t="str">
            <v>RENATO DE SOUSA ALVES</v>
          </cell>
          <cell r="B429" t="str">
            <v>120.986.711-72</v>
          </cell>
          <cell r="C429">
            <v>452183</v>
          </cell>
          <cell r="D429" t="str">
            <v>Agente de Vigilância</v>
          </cell>
          <cell r="E429" t="str">
            <v>Ativo Permanente</v>
          </cell>
          <cell r="F429" t="str">
            <v>MME - Ministério de Minas e Energia</v>
          </cell>
          <cell r="G429" t="str">
            <v>SE / SPOA / CGRL / COORDENAÇÃO DE ADMINISTRAÇÃO DE MATERIAL E EXECUÇÃO FINANCEIRA - COMEF</v>
          </cell>
          <cell r="H429" t="str">
            <v>8.105.110</v>
          </cell>
          <cell r="Q429" t="str">
            <v>GSISTE</v>
          </cell>
          <cell r="R429" t="str">
            <v>Intermediário</v>
          </cell>
          <cell r="S429" t="str">
            <v>SISG - Sistema de Serviços Gerais</v>
          </cell>
          <cell r="T429" t="str">
            <v xml:space="preserve">Portaria nº </v>
          </cell>
          <cell r="U429">
            <v>93</v>
          </cell>
          <cell r="V429" t="str">
            <v>11/08/2017</v>
          </cell>
          <cell r="W429" t="str">
            <v>15/08/2017</v>
          </cell>
          <cell r="X429" t="str">
            <v>BP</v>
          </cell>
          <cell r="Y429" t="str">
            <v>Chefe do Serviço de Almoxarifado</v>
          </cell>
          <cell r="Z429" t="str">
            <v>Eventual</v>
          </cell>
          <cell r="AA429" t="str">
            <v xml:space="preserve">Portaria nº </v>
          </cell>
          <cell r="AB429">
            <v>348</v>
          </cell>
          <cell r="AC429" t="str">
            <v>01/09/2017</v>
          </cell>
          <cell r="AD429" t="str">
            <v>04/09/2017</v>
          </cell>
          <cell r="AE429" t="str">
            <v>DOU</v>
          </cell>
          <cell r="AF429" t="str">
            <v>Masculino</v>
          </cell>
          <cell r="AG429" t="str">
            <v>Parda</v>
          </cell>
          <cell r="AH429" t="str">
            <v>22/07/1954</v>
          </cell>
          <cell r="AI429">
            <v>66</v>
          </cell>
          <cell r="AJ429">
            <v>7366.16</v>
          </cell>
          <cell r="AL429" t="str">
            <v>FA</v>
          </cell>
          <cell r="AM429">
            <v>7366.16</v>
          </cell>
          <cell r="AN429" t="str">
            <v>renato.alves@mme.gov.br</v>
          </cell>
          <cell r="AO429" t="str">
            <v>(61) 2032-5899</v>
          </cell>
          <cell r="AQ429" t="str">
            <v>SE24S</v>
          </cell>
        </row>
        <row r="430">
          <cell r="A430" t="str">
            <v>RICARDO DA COSTA RIBEIRO</v>
          </cell>
          <cell r="B430" t="str">
            <v>052.317.677-51</v>
          </cell>
          <cell r="C430">
            <v>2049106</v>
          </cell>
          <cell r="D430" t="str">
            <v>Analista de Infraestrutura</v>
          </cell>
          <cell r="E430" t="str">
            <v>Exercício Descentralizado</v>
          </cell>
          <cell r="F430" t="str">
            <v>ME - Ministério da Economia</v>
          </cell>
          <cell r="G430" t="str">
            <v>SE / ASSESSORIA ESPECIAL DE MEIO AMBIENTE - AESA</v>
          </cell>
          <cell r="H430" t="str">
            <v>8.104.000</v>
          </cell>
          <cell r="I430" t="str">
            <v>Função Gratificada</v>
          </cell>
          <cell r="J430" t="str">
            <v>FGR</v>
          </cell>
          <cell r="K430">
            <v>1</v>
          </cell>
          <cell r="L430" t="str">
            <v xml:space="preserve">Portaria nº </v>
          </cell>
          <cell r="M430">
            <v>357</v>
          </cell>
          <cell r="N430" t="str">
            <v>11/09/2019</v>
          </cell>
          <cell r="O430" t="str">
            <v>13/09/2019</v>
          </cell>
          <cell r="P430" t="str">
            <v>DOU</v>
          </cell>
          <cell r="Y430" t="str">
            <v>Coordenação Geral de Articulação Institucional em Meio Ambiente</v>
          </cell>
          <cell r="Z430" t="str">
            <v>Eventual</v>
          </cell>
          <cell r="AA430" t="str">
            <v xml:space="preserve">Portaria nº </v>
          </cell>
          <cell r="AB430">
            <v>273</v>
          </cell>
          <cell r="AC430" t="str">
            <v>03/07/2020</v>
          </cell>
          <cell r="AD430" t="str">
            <v>09/07/2020</v>
          </cell>
          <cell r="AE430" t="str">
            <v>DOU</v>
          </cell>
          <cell r="AF430" t="str">
            <v>Masculino</v>
          </cell>
          <cell r="AG430" t="str">
            <v>Branca</v>
          </cell>
          <cell r="AH430" t="str">
            <v>21/07/1978</v>
          </cell>
          <cell r="AI430">
            <v>42</v>
          </cell>
          <cell r="AJ430">
            <v>537.54999999999995</v>
          </cell>
          <cell r="AK430">
            <v>15964.88</v>
          </cell>
          <cell r="AL430" t="str">
            <v>FA</v>
          </cell>
          <cell r="AM430">
            <v>16502.43</v>
          </cell>
          <cell r="AN430" t="str">
            <v>ricardo.ribeiro@mme.gov.br</v>
          </cell>
          <cell r="AO430" t="str">
            <v>(61) 2032-5687</v>
          </cell>
          <cell r="AQ430" t="str">
            <v>SE18S</v>
          </cell>
        </row>
        <row r="431">
          <cell r="A431" t="str">
            <v>RICARDO DE PAULA MONTEIRO</v>
          </cell>
          <cell r="B431" t="str">
            <v>117.579.576-34</v>
          </cell>
          <cell r="C431">
            <v>2506322</v>
          </cell>
          <cell r="D431" t="str">
            <v>Sem Cargo/Emprego</v>
          </cell>
          <cell r="E431" t="str">
            <v>Sem Vínculo</v>
          </cell>
          <cell r="F431" t="str">
            <v>Sem Vínculo</v>
          </cell>
          <cell r="G431" t="str">
            <v>SGM / DEPARTAMENTO DE GESTÃO DAS POLÍTICAS DE GEOLOGIA, MINERAÇÃOE TRANSFORMAÇÃO - DPGM</v>
          </cell>
          <cell r="H431" t="str">
            <v>9.101.000</v>
          </cell>
          <cell r="I431" t="str">
            <v>Diretor de Gestão das Políticas de Geologia, Mineração e Transformação Mineral</v>
          </cell>
          <cell r="J431" t="str">
            <v>DAS</v>
          </cell>
          <cell r="K431" t="str">
            <v>101.5</v>
          </cell>
          <cell r="L431" t="str">
            <v xml:space="preserve">Portaria nº </v>
          </cell>
          <cell r="M431">
            <v>1252</v>
          </cell>
          <cell r="N431" t="str">
            <v>19/02/2019</v>
          </cell>
          <cell r="O431" t="str">
            <v>20/02/2019</v>
          </cell>
          <cell r="P431" t="str">
            <v>DOU</v>
          </cell>
          <cell r="Y431" t="str">
            <v>Secretário-Adjunto da SGM</v>
          </cell>
          <cell r="Z431" t="str">
            <v>Eventual</v>
          </cell>
          <cell r="AA431" t="str">
            <v xml:space="preserve">Portaria nº </v>
          </cell>
          <cell r="AB431">
            <v>22</v>
          </cell>
          <cell r="AC431" t="str">
            <v>27/01/2020</v>
          </cell>
          <cell r="AD431" t="str">
            <v>29/01/2020</v>
          </cell>
          <cell r="AE431" t="str">
            <v>DOU</v>
          </cell>
          <cell r="AF431" t="str">
            <v>Masculino</v>
          </cell>
          <cell r="AG431" t="str">
            <v>Branca</v>
          </cell>
          <cell r="AH431" t="str">
            <v>03/03/1945</v>
          </cell>
          <cell r="AI431">
            <v>75</v>
          </cell>
          <cell r="AJ431">
            <v>13623.39</v>
          </cell>
          <cell r="AL431" t="str">
            <v>FA</v>
          </cell>
          <cell r="AM431">
            <v>13623.39</v>
          </cell>
          <cell r="AN431" t="str">
            <v>ricardo.monteiro@mme.gov.br</v>
          </cell>
          <cell r="AO431" t="str">
            <v>(61) 2032-5182</v>
          </cell>
          <cell r="AP431" t="str">
            <v>SGM08</v>
          </cell>
          <cell r="AQ431" t="str">
            <v>SGM02S</v>
          </cell>
        </row>
        <row r="432">
          <cell r="A432" t="str">
            <v>RICARDO JOSE SOUZA NASCIMENTO SILVA</v>
          </cell>
          <cell r="B432" t="str">
            <v>238.558.601-06</v>
          </cell>
          <cell r="C432">
            <v>1668601</v>
          </cell>
          <cell r="D432" t="str">
            <v>Codificador de Dados I</v>
          </cell>
          <cell r="E432" t="str">
            <v>Anistiado MME</v>
          </cell>
          <cell r="F432" t="str">
            <v>MME - Ministério de Minas e Energia</v>
          </cell>
          <cell r="G432" t="str">
            <v>Aguardando Lotação/Exercício</v>
          </cell>
          <cell r="H432" t="str">
            <v>88.000.000</v>
          </cell>
          <cell r="Z432" t="str">
            <v>Sem designação</v>
          </cell>
          <cell r="AF432" t="str">
            <v>Masculino</v>
          </cell>
          <cell r="AG432" t="str">
            <v>Branca</v>
          </cell>
          <cell r="AH432" t="str">
            <v>29/02/1964</v>
          </cell>
          <cell r="AI432">
            <v>56</v>
          </cell>
          <cell r="AJ432">
            <v>3915.9</v>
          </cell>
          <cell r="AL432" t="str">
            <v>FA</v>
          </cell>
          <cell r="AM432">
            <v>3915.9</v>
          </cell>
          <cell r="AN432" t="str">
            <v>ricardo.nascimento@mme.gov.br</v>
          </cell>
          <cell r="AO432" t="str">
            <v>(61) 2032-5580</v>
          </cell>
        </row>
        <row r="433">
          <cell r="A433" t="str">
            <v>RICARDO RIOS CARDOSO</v>
          </cell>
          <cell r="B433" t="str">
            <v>001.635.201-78</v>
          </cell>
          <cell r="C433">
            <v>1243779</v>
          </cell>
          <cell r="D433" t="str">
            <v>Economista III</v>
          </cell>
          <cell r="E433" t="str">
            <v>Anistiado MME</v>
          </cell>
          <cell r="F433" t="str">
            <v>MME - Ministério de Minas e Energia</v>
          </cell>
          <cell r="G433" t="str">
            <v>SE / AEGP / COORDENAÇÃO GERAL DE GESTÃO DE PROJETOS - CGGP</v>
          </cell>
          <cell r="H433" t="str">
            <v>8.103.200</v>
          </cell>
          <cell r="Z433" t="str">
            <v>Sem designação</v>
          </cell>
          <cell r="AF433" t="str">
            <v>Masculino</v>
          </cell>
          <cell r="AG433" t="str">
            <v>Branca</v>
          </cell>
          <cell r="AH433" t="str">
            <v>06/07/1945</v>
          </cell>
          <cell r="AI433">
            <v>75</v>
          </cell>
          <cell r="AJ433">
            <v>8177.05</v>
          </cell>
          <cell r="AL433" t="str">
            <v>FA</v>
          </cell>
          <cell r="AM433">
            <v>8177.05</v>
          </cell>
          <cell r="AN433" t="str">
            <v>ricardo.cardoso@mme.gov.br</v>
          </cell>
          <cell r="AO433" t="str">
            <v>(61) 2032-5739</v>
          </cell>
        </row>
        <row r="434">
          <cell r="A434" t="str">
            <v>RICARDO TAKEMITSU SIMABUKU</v>
          </cell>
          <cell r="B434" t="str">
            <v>086.766.338-35</v>
          </cell>
          <cell r="C434">
            <v>3353174</v>
          </cell>
          <cell r="D434" t="str">
            <v>Especialista em Política Pública e Gestão Governamental</v>
          </cell>
          <cell r="E434" t="str">
            <v>Requisitado de Órgãos</v>
          </cell>
          <cell r="F434" t="str">
            <v>ME - Ministério da Economia</v>
          </cell>
          <cell r="G434" t="str">
            <v>SE / CHEFIA DE GABINETE SE</v>
          </cell>
          <cell r="H434" t="str">
            <v>8.100.000</v>
          </cell>
          <cell r="I434" t="str">
            <v>Assessor da Secretaria Executiva</v>
          </cell>
          <cell r="J434" t="str">
            <v>DAS</v>
          </cell>
          <cell r="K434" t="str">
            <v>101.4</v>
          </cell>
          <cell r="L434" t="str">
            <v xml:space="preserve">Portaria nº </v>
          </cell>
          <cell r="M434">
            <v>275</v>
          </cell>
          <cell r="N434" t="str">
            <v>03/07/2019</v>
          </cell>
          <cell r="O434" t="str">
            <v>05/07/2019</v>
          </cell>
          <cell r="P434" t="str">
            <v>DOU</v>
          </cell>
          <cell r="Z434" t="str">
            <v>Sem designação</v>
          </cell>
          <cell r="AF434" t="str">
            <v>Masculino</v>
          </cell>
          <cell r="AG434" t="str">
            <v>Amarela</v>
          </cell>
          <cell r="AH434" t="str">
            <v>25/07/1964</v>
          </cell>
          <cell r="AI434">
            <v>56</v>
          </cell>
          <cell r="AJ434">
            <v>6223.98</v>
          </cell>
          <cell r="AK434">
            <v>27827.67</v>
          </cell>
          <cell r="AL434" t="str">
            <v>FA</v>
          </cell>
          <cell r="AM434">
            <v>34051.649999999994</v>
          </cell>
          <cell r="AN434" t="str">
            <v>ricardo.simabuku@mme.gov.br</v>
          </cell>
          <cell r="AO434" t="str">
            <v>(61) 2032-5909</v>
          </cell>
          <cell r="AP434" t="str">
            <v>SE07</v>
          </cell>
        </row>
        <row r="435">
          <cell r="A435" t="str">
            <v>RITA ALVES SILVA</v>
          </cell>
          <cell r="B435" t="str">
            <v>414.912.034-04</v>
          </cell>
          <cell r="C435">
            <v>3441178</v>
          </cell>
          <cell r="D435" t="str">
            <v>Analista de Infraestrutura</v>
          </cell>
          <cell r="E435" t="str">
            <v>Exercício Descentralizado</v>
          </cell>
          <cell r="F435" t="str">
            <v>ME - Ministério da Economia</v>
          </cell>
          <cell r="G435" t="str">
            <v xml:space="preserve">SE / AESA / COORDENAÇÃO GERAL DE ARTICULAÇÃO INSTITUCIONAL EM MEIO AMBIENTE - </v>
          </cell>
          <cell r="H435" t="str">
            <v>8.104.200</v>
          </cell>
          <cell r="I435" t="str">
            <v>Coordenadora Geral de Articulação Institucional em Meio Ambiente da Assessoria Especial de Meio Ambiente</v>
          </cell>
          <cell r="J435" t="str">
            <v>FCPE</v>
          </cell>
          <cell r="K435" t="str">
            <v>101.4</v>
          </cell>
          <cell r="L435" t="str">
            <v xml:space="preserve">Portaria nº </v>
          </cell>
          <cell r="M435">
            <v>546</v>
          </cell>
          <cell r="N435" t="str">
            <v>03/11/2016</v>
          </cell>
          <cell r="O435" t="str">
            <v>04/11/2016</v>
          </cell>
          <cell r="P435" t="str">
            <v>DOU</v>
          </cell>
          <cell r="Z435" t="str">
            <v>Sem designação</v>
          </cell>
          <cell r="AF435" t="str">
            <v>Feminino</v>
          </cell>
          <cell r="AG435" t="str">
            <v>Branca</v>
          </cell>
          <cell r="AH435" t="str">
            <v>11/09/1964</v>
          </cell>
          <cell r="AI435">
            <v>56</v>
          </cell>
          <cell r="AJ435">
            <v>6223.99</v>
          </cell>
          <cell r="AK435">
            <v>17846.990000000002</v>
          </cell>
          <cell r="AL435" t="str">
            <v>FA</v>
          </cell>
          <cell r="AM435">
            <v>24070.980000000003</v>
          </cell>
          <cell r="AN435" t="str">
            <v>rita.silva@mme.gov.br</v>
          </cell>
          <cell r="AO435" t="str">
            <v>(61) 2032-5734</v>
          </cell>
          <cell r="AP435" t="str">
            <v>SE38</v>
          </cell>
        </row>
        <row r="436">
          <cell r="A436" t="str">
            <v>RITA MARIA DE OLIVEIRA CAMPOS</v>
          </cell>
          <cell r="B436" t="str">
            <v>145.278.391-87</v>
          </cell>
          <cell r="C436">
            <v>1669890</v>
          </cell>
          <cell r="D436" t="str">
            <v>Auxiliar de Processamento</v>
          </cell>
          <cell r="E436" t="str">
            <v>Anistiado MME</v>
          </cell>
          <cell r="F436" t="str">
            <v>MME - Ministério de Minas e Energia</v>
          </cell>
          <cell r="G436" t="str">
            <v>SE / SPOA / CGRH / COORDENAÇÃO DE DESENVOLVIMENTO E SEGURIDADE SOCIAL - CODES</v>
          </cell>
          <cell r="H436" t="str">
            <v>8.105.220</v>
          </cell>
          <cell r="Z436" t="str">
            <v>Sem designação</v>
          </cell>
          <cell r="AF436" t="str">
            <v>Feminino</v>
          </cell>
          <cell r="AG436" t="str">
            <v>Branca</v>
          </cell>
          <cell r="AH436" t="str">
            <v>27/04/1957</v>
          </cell>
          <cell r="AI436">
            <v>63</v>
          </cell>
          <cell r="AJ436">
            <v>4275.71</v>
          </cell>
          <cell r="AL436" t="str">
            <v>FA</v>
          </cell>
          <cell r="AM436">
            <v>4275.71</v>
          </cell>
          <cell r="AN436" t="str">
            <v>rita.campos@mme.gov.br</v>
          </cell>
          <cell r="AO436" t="str">
            <v>(61) 2032-5008</v>
          </cell>
        </row>
        <row r="437">
          <cell r="A437" t="str">
            <v>ROBERTO BENVINDO DE OLIVEIRA</v>
          </cell>
          <cell r="B437" t="str">
            <v>718.619.201-72</v>
          </cell>
          <cell r="C437">
            <v>1795431</v>
          </cell>
          <cell r="D437" t="str">
            <v>Analista Técnico Administrativo</v>
          </cell>
          <cell r="E437" t="str">
            <v>Requisitado de Órgãos</v>
          </cell>
          <cell r="F437" t="str">
            <v>MDR - Ministério do Desenvolvimento Regional</v>
          </cell>
          <cell r="G437" t="str">
            <v xml:space="preserve">SE / SPOA / CGTI / COORDENAÇÃO DE INFRAESTRUTURA TECNOLÓGICA - </v>
          </cell>
          <cell r="H437" t="str">
            <v>8.105.310</v>
          </cell>
          <cell r="Q437" t="str">
            <v>GSISTE</v>
          </cell>
          <cell r="R437" t="str">
            <v>Superior</v>
          </cell>
          <cell r="S437" t="str">
            <v>SISG - Sistema de Serviços Gerais</v>
          </cell>
          <cell r="T437" t="str">
            <v xml:space="preserve">Portaria nº </v>
          </cell>
          <cell r="U437">
            <v>91</v>
          </cell>
          <cell r="V437" t="str">
            <v>21/12/2016</v>
          </cell>
          <cell r="W437" t="str">
            <v>21/12/2016</v>
          </cell>
          <cell r="X437" t="str">
            <v>BPE</v>
          </cell>
          <cell r="Z437" t="str">
            <v>Sem designação</v>
          </cell>
          <cell r="AF437" t="str">
            <v>Masculino</v>
          </cell>
          <cell r="AG437" t="str">
            <v>Parda</v>
          </cell>
          <cell r="AH437" t="str">
            <v>30/09/1977</v>
          </cell>
          <cell r="AI437">
            <v>43</v>
          </cell>
          <cell r="AJ437">
            <v>3158</v>
          </cell>
          <cell r="AK437">
            <v>7217.77</v>
          </cell>
          <cell r="AL437" t="str">
            <v>FA</v>
          </cell>
          <cell r="AM437">
            <v>10375.77</v>
          </cell>
          <cell r="AN437" t="str">
            <v>roberto.oliveira@mme.gov.br</v>
          </cell>
          <cell r="AO437" t="str">
            <v>(61) 2032-5929</v>
          </cell>
        </row>
        <row r="438">
          <cell r="A438" t="str">
            <v>ROBERTO PINHEIRO KLEIN JUNIOR</v>
          </cell>
          <cell r="B438" t="str">
            <v>374.038.187-68</v>
          </cell>
          <cell r="C438">
            <v>3084880</v>
          </cell>
          <cell r="D438" t="str">
            <v>Sem Cargo/Emprego</v>
          </cell>
          <cell r="E438" t="str">
            <v>Sem Vínculo</v>
          </cell>
          <cell r="F438" t="str">
            <v>Sem Vínculo</v>
          </cell>
          <cell r="G438" t="str">
            <v>ASSESSORIA ESPECIAL DE ACOMPANHAMENTO DE POLÍTICAS, ESTRATÉGIAS E DESEMPENHO SETORIAL - AEPED</v>
          </cell>
          <cell r="H438" t="str">
            <v>4.000.000</v>
          </cell>
          <cell r="I438" t="str">
            <v>Chefe da Assessoria Especial de Acompanhamento de Políticas, Estratégias e Desempenho Setoriais</v>
          </cell>
          <cell r="J438" t="str">
            <v>DAS</v>
          </cell>
          <cell r="K438" t="str">
            <v>101.5</v>
          </cell>
          <cell r="L438" t="str">
            <v xml:space="preserve">Portaria nº </v>
          </cell>
          <cell r="M438">
            <v>709</v>
          </cell>
          <cell r="N438" t="str">
            <v>21/01/2019</v>
          </cell>
          <cell r="O438" t="str">
            <v>22/01/2019</v>
          </cell>
          <cell r="P438" t="str">
            <v>DOU</v>
          </cell>
          <cell r="Z438" t="str">
            <v>Sem designação</v>
          </cell>
          <cell r="AF438" t="str">
            <v>Masculino</v>
          </cell>
          <cell r="AG438" t="str">
            <v>Branca</v>
          </cell>
          <cell r="AH438" t="str">
            <v>16/01/1957</v>
          </cell>
          <cell r="AI438">
            <v>63</v>
          </cell>
          <cell r="AJ438">
            <v>13623.39</v>
          </cell>
          <cell r="AL438" t="str">
            <v>FA</v>
          </cell>
          <cell r="AM438">
            <v>13623.39</v>
          </cell>
          <cell r="AN438" t="str">
            <v>roberto.klein@mme.gov.br</v>
          </cell>
          <cell r="AO438" t="str">
            <v>(61) 2032-5993</v>
          </cell>
          <cell r="AP438" t="str">
            <v>AEPED01</v>
          </cell>
        </row>
        <row r="439">
          <cell r="A439" t="str">
            <v>ROBSON REIS CANEDO</v>
          </cell>
          <cell r="B439" t="str">
            <v>119.668.661-00</v>
          </cell>
          <cell r="C439">
            <v>453028</v>
          </cell>
          <cell r="D439" t="str">
            <v>Agente Administrativo</v>
          </cell>
          <cell r="E439" t="str">
            <v>Ativo Permanente</v>
          </cell>
          <cell r="F439" t="str">
            <v>MME - Ministério de Minas e Energia</v>
          </cell>
          <cell r="G439" t="str">
            <v>SGM / DEPARTAMENTO DE TRANSFORMAÇÃO E TECNOLOGIA MINERAL - DTTM</v>
          </cell>
          <cell r="H439" t="str">
            <v>9.103.000</v>
          </cell>
          <cell r="I439" t="str">
            <v>Assistente do Departamento de Transformação e Tecnologia Mineral</v>
          </cell>
          <cell r="J439" t="str">
            <v>FCPE</v>
          </cell>
          <cell r="K439" t="str">
            <v>102.2</v>
          </cell>
          <cell r="L439" t="str">
            <v xml:space="preserve">Portaria nº </v>
          </cell>
          <cell r="M439">
            <v>595</v>
          </cell>
          <cell r="N439" t="str">
            <v>03/11/2016</v>
          </cell>
          <cell r="O439" t="str">
            <v>04/11/2016</v>
          </cell>
          <cell r="P439" t="str">
            <v>DOU</v>
          </cell>
          <cell r="Y439" t="str">
            <v>Coordenação Geral de Política e Programas de Mineração</v>
          </cell>
          <cell r="Z439" t="str">
            <v>Eventual</v>
          </cell>
          <cell r="AA439" t="str">
            <v xml:space="preserve">Portaria nº </v>
          </cell>
          <cell r="AB439">
            <v>96</v>
          </cell>
          <cell r="AC439" t="str">
            <v>10/03/2020</v>
          </cell>
          <cell r="AD439" t="str">
            <v>11/03/2020</v>
          </cell>
          <cell r="AE439" t="str">
            <v>DOU</v>
          </cell>
          <cell r="AF439" t="str">
            <v>Masculino</v>
          </cell>
          <cell r="AG439" t="str">
            <v>Branca</v>
          </cell>
          <cell r="AH439" t="str">
            <v>29/09/1957</v>
          </cell>
          <cell r="AI439">
            <v>63</v>
          </cell>
          <cell r="AJ439">
            <v>8502.4</v>
          </cell>
          <cell r="AL439" t="str">
            <v>FA</v>
          </cell>
          <cell r="AM439">
            <v>8502.4</v>
          </cell>
          <cell r="AN439" t="str">
            <v>RobsonReis@mme.gov.br</v>
          </cell>
          <cell r="AO439" t="str">
            <v>(61) 2032-5336</v>
          </cell>
          <cell r="AP439" t="str">
            <v>SGM23</v>
          </cell>
          <cell r="AQ439" t="str">
            <v>SGM04S</v>
          </cell>
        </row>
        <row r="440">
          <cell r="A440" t="str">
            <v>RODOLFO ZAMIAN DANILOW</v>
          </cell>
          <cell r="B440" t="str">
            <v>006.301.681-80</v>
          </cell>
          <cell r="C440">
            <v>3132532</v>
          </cell>
          <cell r="D440" t="str">
            <v>Sem Cargo/Emprego</v>
          </cell>
          <cell r="E440" t="str">
            <v>Sem Vínculo</v>
          </cell>
          <cell r="F440" t="str">
            <v>Sem Vínculo</v>
          </cell>
          <cell r="G440" t="str">
            <v>SPE / DIEE / COORDENAÇÃO GERAL DE INFORMAÇÕES ENERGÉTICAS</v>
          </cell>
          <cell r="H440" t="str">
            <v>10.104.100</v>
          </cell>
          <cell r="I440" t="str">
            <v>Coordenador Geral de Informações Energéticas do Departamento de Informações Energéticas</v>
          </cell>
          <cell r="J440" t="str">
            <v>DAS</v>
          </cell>
          <cell r="K440" t="str">
            <v>101.4</v>
          </cell>
          <cell r="L440" t="str">
            <v xml:space="preserve">Portaria nº </v>
          </cell>
          <cell r="M440">
            <v>249</v>
          </cell>
          <cell r="N440" t="str">
            <v>13/06/2019</v>
          </cell>
          <cell r="O440" t="str">
            <v>14/06/2019</v>
          </cell>
          <cell r="P440" t="str">
            <v>DOU</v>
          </cell>
          <cell r="Y440" t="str">
            <v>Departamento de Informações Energéticas</v>
          </cell>
          <cell r="Z440" t="str">
            <v>Eventual</v>
          </cell>
          <cell r="AA440" t="str">
            <v xml:space="preserve">Portaria nº </v>
          </cell>
          <cell r="AB440">
            <v>308</v>
          </cell>
          <cell r="AC440" t="str">
            <v>02/08/2019</v>
          </cell>
          <cell r="AD440" t="str">
            <v>09/08/2019</v>
          </cell>
          <cell r="AE440" t="str">
            <v>DOU</v>
          </cell>
          <cell r="AF440" t="str">
            <v>Masculino</v>
          </cell>
          <cell r="AG440" t="str">
            <v>Branca</v>
          </cell>
          <cell r="AH440" t="str">
            <v>27/09/1985</v>
          </cell>
          <cell r="AI440">
            <v>35</v>
          </cell>
          <cell r="AJ440">
            <v>10373.299999999999</v>
          </cell>
          <cell r="AL440" t="str">
            <v>FA</v>
          </cell>
          <cell r="AM440">
            <v>10373.299999999999</v>
          </cell>
          <cell r="AN440" t="str">
            <v>rodolfo.danilow@mme.gov.br</v>
          </cell>
          <cell r="AO440" t="str">
            <v>(61) 2032-5106</v>
          </cell>
          <cell r="AP440" t="str">
            <v>SPE29</v>
          </cell>
          <cell r="AQ440" t="str">
            <v>SPE14S</v>
          </cell>
        </row>
        <row r="441">
          <cell r="A441" t="str">
            <v>RODRIGO DANIEL MENDES FORNARI</v>
          </cell>
          <cell r="B441" t="str">
            <v>028.741.089-79</v>
          </cell>
          <cell r="C441">
            <v>1938932</v>
          </cell>
          <cell r="D441" t="str">
            <v>Engenheiro</v>
          </cell>
          <cell r="E441" t="str">
            <v>Requisitado de Empresa</v>
          </cell>
          <cell r="F441" t="str">
            <v>ELETROSUL - Companhia de Geração e Transmissão de Energia Elétrica do Sul do Brasil</v>
          </cell>
          <cell r="G441" t="str">
            <v>SEE / CHEFIA DE GABINETE SEE</v>
          </cell>
          <cell r="H441" t="str">
            <v>12.100.000</v>
          </cell>
          <cell r="I441" t="str">
            <v>Diretor de Programa da Secretaria de Energia Elétrica</v>
          </cell>
          <cell r="J441" t="str">
            <v>DAS</v>
          </cell>
          <cell r="K441" t="str">
            <v>101.5</v>
          </cell>
          <cell r="L441" t="str">
            <v xml:space="preserve">Portaria nº </v>
          </cell>
          <cell r="M441">
            <v>1331</v>
          </cell>
          <cell r="N441" t="str">
            <v>26/02/2019</v>
          </cell>
          <cell r="O441" t="str">
            <v>27/02/2019</v>
          </cell>
          <cell r="P441" t="str">
            <v>DOU</v>
          </cell>
          <cell r="Z441" t="str">
            <v>Sem designação</v>
          </cell>
          <cell r="AF441" t="str">
            <v>Masculino</v>
          </cell>
          <cell r="AG441" t="str">
            <v>Branca</v>
          </cell>
          <cell r="AH441" t="str">
            <v>27/04/1981</v>
          </cell>
          <cell r="AI441">
            <v>39</v>
          </cell>
          <cell r="AJ441">
            <v>8174.03</v>
          </cell>
          <cell r="AK441">
            <v>17777.77</v>
          </cell>
          <cell r="AL441" t="str">
            <v>FA</v>
          </cell>
          <cell r="AM441">
            <v>25951.8</v>
          </cell>
          <cell r="AN441" t="str">
            <v>rodrigo.fornari@mme.gov.br</v>
          </cell>
          <cell r="AO441" t="str">
            <v>(61) 2032-5796</v>
          </cell>
          <cell r="AP441" t="str">
            <v>SEE03</v>
          </cell>
        </row>
        <row r="442">
          <cell r="A442" t="str">
            <v>RODRIGO DE CARVALHO MATOS</v>
          </cell>
          <cell r="B442" t="str">
            <v>829.296.101-15</v>
          </cell>
          <cell r="C442">
            <v>1520561</v>
          </cell>
          <cell r="D442" t="str">
            <v>Sem Cargo/Emprego</v>
          </cell>
          <cell r="E442" t="str">
            <v>Sem Vínculo</v>
          </cell>
          <cell r="F442" t="str">
            <v>Sem Vínculo</v>
          </cell>
          <cell r="G442" t="str">
            <v>SE / AEGP / CGPF / COORDENAÇÃO ADMINISTRATIVA</v>
          </cell>
          <cell r="H442" t="str">
            <v>8.103.110</v>
          </cell>
          <cell r="I442" t="str">
            <v>Coordenador Administrativo da Coordenação Geral de Planejamento, Finanças e Controle da Assessoria Especial de Gestão de Projetos</v>
          </cell>
          <cell r="J442" t="str">
            <v>DAS</v>
          </cell>
          <cell r="K442" t="str">
            <v>101.3</v>
          </cell>
          <cell r="L442" t="str">
            <v xml:space="preserve">Portaria nº </v>
          </cell>
          <cell r="M442">
            <v>542</v>
          </cell>
          <cell r="N442" t="str">
            <v>03/11/2016</v>
          </cell>
          <cell r="O442" t="str">
            <v>04/11/2016</v>
          </cell>
          <cell r="P442" t="str">
            <v>DOU</v>
          </cell>
          <cell r="Z442" t="str">
            <v>Sem designação</v>
          </cell>
          <cell r="AF442" t="str">
            <v>Masculino</v>
          </cell>
          <cell r="AG442" t="str">
            <v>Branca</v>
          </cell>
          <cell r="AH442" t="str">
            <v>05/08/1979</v>
          </cell>
          <cell r="AI442">
            <v>41</v>
          </cell>
          <cell r="AJ442">
            <v>5685.55</v>
          </cell>
          <cell r="AL442" t="str">
            <v>FA</v>
          </cell>
          <cell r="AM442">
            <v>5685.55</v>
          </cell>
          <cell r="AN442" t="str">
            <v>rodrigo.matos@mme.gov.br</v>
          </cell>
          <cell r="AO442" t="str">
            <v>(61) 2032-5803</v>
          </cell>
          <cell r="AP442" t="str">
            <v>SE32</v>
          </cell>
        </row>
        <row r="443">
          <cell r="A443" t="str">
            <v>RODRIGO LIMP NASCIMENTO</v>
          </cell>
          <cell r="B443" t="str">
            <v>066.139.846-39</v>
          </cell>
          <cell r="C443">
            <v>1559968</v>
          </cell>
          <cell r="D443" t="str">
            <v>Analista Legislativo</v>
          </cell>
          <cell r="E443" t="str">
            <v>Requisitado de Órgãos</v>
          </cell>
          <cell r="F443" t="str">
            <v xml:space="preserve">Câmara dos Deputados </v>
          </cell>
          <cell r="G443" t="str">
            <v>SECRETARIA DE ENERGIA ELÉTRICA - SEE</v>
          </cell>
          <cell r="H443" t="str">
            <v>12.000.000</v>
          </cell>
          <cell r="I443" t="str">
            <v>Secretário de Energia Elétrica</v>
          </cell>
          <cell r="J443" t="str">
            <v>DAS</v>
          </cell>
          <cell r="K443" t="str">
            <v>101.6</v>
          </cell>
          <cell r="L443" t="str">
            <v xml:space="preserve">Portaria nº </v>
          </cell>
          <cell r="M443">
            <v>119</v>
          </cell>
          <cell r="N443" t="str">
            <v>16/03/2020</v>
          </cell>
          <cell r="O443" t="str">
            <v>17/03/2020</v>
          </cell>
          <cell r="P443" t="str">
            <v>DOU</v>
          </cell>
          <cell r="Z443" t="str">
            <v>Sem designação</v>
          </cell>
          <cell r="AF443" t="str">
            <v>Masculino</v>
          </cell>
          <cell r="AG443" t="str">
            <v>Branca</v>
          </cell>
          <cell r="AH443" t="str">
            <v>04/01/1984</v>
          </cell>
          <cell r="AI443">
            <v>36</v>
          </cell>
          <cell r="AJ443">
            <v>10166.94</v>
          </cell>
          <cell r="AL443" t="str">
            <v>FA</v>
          </cell>
          <cell r="AM443">
            <v>10166.94</v>
          </cell>
          <cell r="AN443" t="str">
            <v>rodrigo.limp@mme.gov.br</v>
          </cell>
          <cell r="AO443" t="str">
            <v>(61) 2032-5923</v>
          </cell>
          <cell r="AP443" t="str">
            <v>SEE01</v>
          </cell>
        </row>
        <row r="444">
          <cell r="A444" t="str">
            <v>RODRIGO SANTANA</v>
          </cell>
          <cell r="B444" t="str">
            <v>815.000.761-04</v>
          </cell>
          <cell r="C444">
            <v>1510926</v>
          </cell>
          <cell r="D444" t="str">
            <v>Especialista em Regulação de Serv Púb de Energia</v>
          </cell>
          <cell r="E444" t="str">
            <v>Requisitado de Órgãos</v>
          </cell>
          <cell r="F444" t="str">
            <v>ANEEL - Agência Nacional de Energia Elétrica</v>
          </cell>
          <cell r="G444" t="str">
            <v>SEE / DEPARTAMENTO DE POLÍTICAS SOCIAIS E UNIVERSALIZAÇÃO DO ACESSO À ENERGIA ELÉTRICA - DPUE</v>
          </cell>
          <cell r="H444" t="str">
            <v>12.103.000</v>
          </cell>
          <cell r="I444" t="str">
            <v>Diretor do Departamento de Políticas Sociais e Universalização do Acesso à Energia Elétrica</v>
          </cell>
          <cell r="J444" t="str">
            <v>DAS</v>
          </cell>
          <cell r="K444" t="str">
            <v>101.5</v>
          </cell>
          <cell r="L444" t="str">
            <v xml:space="preserve">Portaria nº </v>
          </cell>
          <cell r="M444">
            <v>197</v>
          </cell>
          <cell r="N444" t="str">
            <v>27/04/2020</v>
          </cell>
          <cell r="O444" t="str">
            <v>28/04/2020</v>
          </cell>
          <cell r="P444" t="str">
            <v>DOU</v>
          </cell>
          <cell r="Z444" t="str">
            <v>Sem designação</v>
          </cell>
          <cell r="AF444" t="str">
            <v>Masculino</v>
          </cell>
          <cell r="AG444" t="str">
            <v>Branca</v>
          </cell>
          <cell r="AH444" t="str">
            <v>27/08/1977</v>
          </cell>
          <cell r="AI444">
            <v>43</v>
          </cell>
          <cell r="AJ444">
            <v>8174.03</v>
          </cell>
          <cell r="AK444">
            <v>31092.61</v>
          </cell>
          <cell r="AL444" t="str">
            <v>FA</v>
          </cell>
          <cell r="AM444">
            <v>39266.639999999999</v>
          </cell>
          <cell r="AN444" t="str">
            <v>rodrigo.santana@mme.gov.br</v>
          </cell>
          <cell r="AO444" t="str">
            <v>(61) 2032-5809</v>
          </cell>
          <cell r="AP444" t="str">
            <v>SEE27</v>
          </cell>
        </row>
        <row r="445">
          <cell r="A445" t="str">
            <v>ROGÉRIO GUEDES DA SILVA</v>
          </cell>
          <cell r="B445" t="str">
            <v>020.370.987-07</v>
          </cell>
          <cell r="C445">
            <v>3661905</v>
          </cell>
          <cell r="D445" t="str">
            <v>Analista de Infraestrutura</v>
          </cell>
          <cell r="E445" t="str">
            <v>Exercício Descentralizado</v>
          </cell>
          <cell r="F445" t="str">
            <v>ME - Ministério da Economia</v>
          </cell>
          <cell r="G445" t="str">
            <v>SPE / DOC / COORDENAÇÃO GERAL DE OUTORGAS DE SERVIÇOS DE TRANSMISSÃO E DISTRIBUIÇÃO DE ENERGIA</v>
          </cell>
          <cell r="H445" t="str">
            <v>10.103.200</v>
          </cell>
          <cell r="I445" t="str">
            <v>Assistente do Departamento de Outorgas de Concessões, Permissões e Autorizações</v>
          </cell>
          <cell r="J445" t="str">
            <v>FCPE</v>
          </cell>
          <cell r="K445" t="str">
            <v>102.2</v>
          </cell>
          <cell r="L445" t="str">
            <v xml:space="preserve">Portaria nº </v>
          </cell>
          <cell r="M445">
            <v>455</v>
          </cell>
          <cell r="N445" t="str">
            <v>23/11/2017</v>
          </cell>
          <cell r="O445" t="str">
            <v>27/11/2017</v>
          </cell>
          <cell r="P445" t="str">
            <v>DOU</v>
          </cell>
          <cell r="Y445" t="str">
            <v>Coordenação Geral de Outorgas de Serviços de Transmissão e Distribuição</v>
          </cell>
          <cell r="Z445" t="str">
            <v>Eventual</v>
          </cell>
          <cell r="AA445" t="str">
            <v xml:space="preserve">Portaria nº </v>
          </cell>
          <cell r="AB445">
            <v>279</v>
          </cell>
          <cell r="AC445" t="str">
            <v>05/07/2019</v>
          </cell>
          <cell r="AD445" t="str">
            <v>11/07/2019</v>
          </cell>
          <cell r="AE445" t="str">
            <v>DOU</v>
          </cell>
          <cell r="AF445" t="str">
            <v>Masculino</v>
          </cell>
          <cell r="AG445" t="str">
            <v>Branca</v>
          </cell>
          <cell r="AH445" t="str">
            <v>08/03/1971</v>
          </cell>
          <cell r="AI445">
            <v>49</v>
          </cell>
          <cell r="AJ445">
            <v>4144.21</v>
          </cell>
          <cell r="AK445">
            <v>17428.669999999998</v>
          </cell>
          <cell r="AL445" t="str">
            <v>FA</v>
          </cell>
          <cell r="AM445">
            <v>21572.879999999997</v>
          </cell>
          <cell r="AN445" t="str">
            <v>rogerio.guedes@mme.gov.br</v>
          </cell>
          <cell r="AO445" t="str">
            <v>(61) 2032-5761</v>
          </cell>
          <cell r="AP445" t="str">
            <v>SPE24</v>
          </cell>
          <cell r="AQ445" t="str">
            <v>SPE13S</v>
          </cell>
        </row>
        <row r="446">
          <cell r="A446" t="str">
            <v>ROGERIO SOUZA TAVARES</v>
          </cell>
          <cell r="B446" t="str">
            <v>011.519.511-45</v>
          </cell>
          <cell r="C446">
            <v>3658274</v>
          </cell>
          <cell r="D446" t="str">
            <v>Analista de Infraestrutura</v>
          </cell>
          <cell r="E446" t="str">
            <v>Exercício Descentralizado</v>
          </cell>
          <cell r="F446" t="str">
            <v>ME - Ministério da Economia</v>
          </cell>
          <cell r="G446" t="str">
            <v>SPE / DOC / COORDENAÇÃO GERAL DE OUTORGAS DE GERAÇÃO DE ENERGIA ELÉTRICA</v>
          </cell>
          <cell r="H446" t="str">
            <v>10.103.100</v>
          </cell>
          <cell r="I446" t="str">
            <v>Coordenador Geral de Outorgas de Geração de Energia Elétrica do Departamento de Outorgas de Concessões, Permissões e Autorizações</v>
          </cell>
          <cell r="J446" t="str">
            <v>DAS</v>
          </cell>
          <cell r="K446" t="str">
            <v>101.4</v>
          </cell>
          <cell r="L446" t="str">
            <v xml:space="preserve">Portaria nº </v>
          </cell>
          <cell r="M446">
            <v>4</v>
          </cell>
          <cell r="N446" t="str">
            <v>08/01/2018</v>
          </cell>
          <cell r="O446" t="str">
            <v>10/01/2018</v>
          </cell>
          <cell r="P446" t="str">
            <v>DOU</v>
          </cell>
          <cell r="Z446" t="str">
            <v>Sem designação</v>
          </cell>
          <cell r="AF446" t="str">
            <v>Masculino</v>
          </cell>
          <cell r="AG446" t="str">
            <v>Parda</v>
          </cell>
          <cell r="AH446" t="str">
            <v>16/01/1985</v>
          </cell>
          <cell r="AI446">
            <v>35</v>
          </cell>
          <cell r="AJ446">
            <v>6223.98</v>
          </cell>
          <cell r="AK446">
            <v>16205.8</v>
          </cell>
          <cell r="AL446" t="str">
            <v>FA</v>
          </cell>
          <cell r="AM446">
            <v>22429.78</v>
          </cell>
          <cell r="AN446" t="str">
            <v>rogerio.tavares@mme.gov.br</v>
          </cell>
          <cell r="AO446" t="str">
            <v>(61) 2032-5963</v>
          </cell>
          <cell r="AP446" t="str">
            <v>SPE25</v>
          </cell>
        </row>
        <row r="447">
          <cell r="A447" t="str">
            <v>ROLIANA DE SOUSA ARAÚJO LEMOS</v>
          </cell>
          <cell r="B447" t="str">
            <v>037.338.822-53</v>
          </cell>
          <cell r="C447">
            <v>1586366</v>
          </cell>
          <cell r="D447" t="str">
            <v>Escriturário</v>
          </cell>
          <cell r="E447" t="str">
            <v>Anistiado MME</v>
          </cell>
          <cell r="F447" t="str">
            <v>MME - Ministério de Minas e Energia</v>
          </cell>
          <cell r="G447" t="str">
            <v>SE / SPOA / CGRH / COORDENAÇÃO DE DESENVOLVIMENTO E SEGURIDADE SOCIAL - CODES</v>
          </cell>
          <cell r="H447" t="str">
            <v>8.105.220</v>
          </cell>
          <cell r="I447" t="str">
            <v>Chefe da Divisão de Treinamento e Desenvolvimento da Coordenação de Desenvolvimento e Seguridade Social</v>
          </cell>
          <cell r="J447" t="str">
            <v>DAS</v>
          </cell>
          <cell r="K447" t="str">
            <v>101.2</v>
          </cell>
          <cell r="L447" t="str">
            <v xml:space="preserve">Portaria nº </v>
          </cell>
          <cell r="M447">
            <v>556</v>
          </cell>
          <cell r="N447" t="str">
            <v>03/11/2016</v>
          </cell>
          <cell r="O447" t="str">
            <v>04/11/2016</v>
          </cell>
          <cell r="P447" t="str">
            <v>DOU</v>
          </cell>
          <cell r="Y447" t="str">
            <v>Coordenação de Desenvolvimento e Seguridade Social</v>
          </cell>
          <cell r="Z447" t="str">
            <v>Eventual</v>
          </cell>
          <cell r="AA447" t="str">
            <v xml:space="preserve">Portaria nº </v>
          </cell>
          <cell r="AB447">
            <v>166</v>
          </cell>
          <cell r="AC447" t="str">
            <v>25/04/2017</v>
          </cell>
          <cell r="AD447" t="str">
            <v>27/04/2017</v>
          </cell>
          <cell r="AE447" t="str">
            <v>DOU</v>
          </cell>
          <cell r="AF447" t="str">
            <v>Feminino</v>
          </cell>
          <cell r="AG447" t="str">
            <v>Branca</v>
          </cell>
          <cell r="AH447" t="str">
            <v>21/02/1956</v>
          </cell>
          <cell r="AI447">
            <v>64</v>
          </cell>
          <cell r="AJ447">
            <v>6474.84</v>
          </cell>
          <cell r="AL447" t="str">
            <v>FA</v>
          </cell>
          <cell r="AM447">
            <v>6474.84</v>
          </cell>
          <cell r="AN447" t="str">
            <v>roliana.araujo@mme.gov.br</v>
          </cell>
          <cell r="AO447" t="str">
            <v>(61) 2032-5668</v>
          </cell>
          <cell r="AP447" t="str">
            <v>SE68</v>
          </cell>
          <cell r="AQ447" t="str">
            <v>SE33S</v>
          </cell>
        </row>
        <row r="448">
          <cell r="A448" t="str">
            <v>ROMUALDO GOULART ARNOLDO</v>
          </cell>
          <cell r="B448" t="str">
            <v>462.055.781-15</v>
          </cell>
          <cell r="C448">
            <v>454706</v>
          </cell>
          <cell r="D448" t="str">
            <v>Agente Administrativo</v>
          </cell>
          <cell r="E448" t="str">
            <v>Ativo Permanente</v>
          </cell>
          <cell r="F448" t="str">
            <v>MME - Ministério de Minas e Energia</v>
          </cell>
          <cell r="G448" t="str">
            <v>SE / SPOA / COORDENAÇÃO GERAL DE RECURSOS HUMANOS - CGRH</v>
          </cell>
          <cell r="H448" t="str">
            <v>8.105.200</v>
          </cell>
          <cell r="Z448" t="str">
            <v>Sem designação</v>
          </cell>
          <cell r="AF448" t="str">
            <v>Masculino</v>
          </cell>
          <cell r="AG448" t="str">
            <v>Branca</v>
          </cell>
          <cell r="AH448" t="str">
            <v>16/12/1967</v>
          </cell>
          <cell r="AI448">
            <v>52</v>
          </cell>
          <cell r="AJ448">
            <v>4750.2</v>
          </cell>
          <cell r="AL448" t="str">
            <v>FA</v>
          </cell>
          <cell r="AM448">
            <v>4750.2</v>
          </cell>
          <cell r="AN448" t="str">
            <v>romualdo.arnoldo@mme.gov.br</v>
          </cell>
          <cell r="AO448" t="str">
            <v>(61) 2032-5263</v>
          </cell>
        </row>
        <row r="449">
          <cell r="A449" t="str">
            <v>RONAN PINTO DE ARAUJO</v>
          </cell>
          <cell r="B449" t="str">
            <v>028.858.241-15</v>
          </cell>
          <cell r="C449">
            <v>1670307</v>
          </cell>
          <cell r="D449" t="str">
            <v>Assistente Administrativo</v>
          </cell>
          <cell r="E449" t="str">
            <v>Anistiado MME</v>
          </cell>
          <cell r="F449" t="str">
            <v>MME - Ministério de Minas e Energia</v>
          </cell>
          <cell r="G449" t="str">
            <v>SEE / DPUE / COORDENAÇÃO GERAL DE DESENVOLVIMENTO DE POLÍTICAS SOCIAIS</v>
          </cell>
          <cell r="H449" t="str">
            <v>12.103.100</v>
          </cell>
          <cell r="Z449" t="str">
            <v>Sem designação</v>
          </cell>
          <cell r="AF449" t="str">
            <v>Masculino</v>
          </cell>
          <cell r="AG449" t="str">
            <v>Branca</v>
          </cell>
          <cell r="AH449" t="str">
            <v>23/09/1945</v>
          </cell>
          <cell r="AI449">
            <v>75</v>
          </cell>
          <cell r="AJ449">
            <v>8274.56</v>
          </cell>
          <cell r="AL449" t="str">
            <v>FA</v>
          </cell>
          <cell r="AM449">
            <v>8274.56</v>
          </cell>
          <cell r="AN449" t="str">
            <v>ronan.araujo@mme.gov.br</v>
          </cell>
          <cell r="AO449" t="str">
            <v>(61) 2032-5499</v>
          </cell>
        </row>
        <row r="450">
          <cell r="A450" t="str">
            <v>RONNY JOSE PEIXOTO</v>
          </cell>
          <cell r="B450" t="str">
            <v>725.703.264-53</v>
          </cell>
          <cell r="C450">
            <v>1314783</v>
          </cell>
          <cell r="D450" t="str">
            <v>Analista de Infraestrutura</v>
          </cell>
          <cell r="E450" t="str">
            <v>Exercício Descentralizado</v>
          </cell>
          <cell r="F450" t="str">
            <v>ME - Ministério da Economia</v>
          </cell>
          <cell r="G450" t="str">
            <v>SPG / DEPARTAMENTO DE COMBUSTÍVEIS DERIVADOS DE PETRÓLEOS - DCDP</v>
          </cell>
          <cell r="H450" t="str">
            <v>11.103.000</v>
          </cell>
          <cell r="Z450" t="str">
            <v>Sem designação</v>
          </cell>
          <cell r="AF450" t="str">
            <v>Masculino</v>
          </cell>
          <cell r="AG450" t="str">
            <v>Parda</v>
          </cell>
          <cell r="AH450" t="str">
            <v>01/07/1971</v>
          </cell>
          <cell r="AI450">
            <v>49</v>
          </cell>
          <cell r="AJ450">
            <v>0</v>
          </cell>
          <cell r="AK450">
            <v>17026.400000000001</v>
          </cell>
          <cell r="AL450" t="str">
            <v>FA</v>
          </cell>
          <cell r="AM450">
            <v>17026.400000000001</v>
          </cell>
          <cell r="AN450" t="str">
            <v>ronny.peixoto@mme.gov.br</v>
          </cell>
          <cell r="AO450" t="str">
            <v>(61) 2032-5987</v>
          </cell>
        </row>
        <row r="451">
          <cell r="A451" t="str">
            <v>ROSA MARIA PONTES DA CUNHA</v>
          </cell>
          <cell r="B451" t="str">
            <v>452.538.546-49</v>
          </cell>
          <cell r="C451">
            <v>455957</v>
          </cell>
          <cell r="D451" t="str">
            <v>Odontólogo</v>
          </cell>
          <cell r="E451" t="str">
            <v>Ativo Permanente</v>
          </cell>
          <cell r="F451" t="str">
            <v>MME - Ministério de Minas e Energia</v>
          </cell>
          <cell r="G451" t="str">
            <v>SE / SPOA / CGRH / COORDENAÇÃO DE DESENVOLVIMENTO E SEGURIDADE SOCIAL - CODES</v>
          </cell>
          <cell r="H451" t="str">
            <v>8.105.220</v>
          </cell>
          <cell r="I451" t="str">
            <v>Função Gratificada</v>
          </cell>
          <cell r="J451" t="str">
            <v>FGR</v>
          </cell>
          <cell r="K451">
            <v>1</v>
          </cell>
          <cell r="L451" t="str">
            <v xml:space="preserve">Portaria nº </v>
          </cell>
          <cell r="M451">
            <v>524</v>
          </cell>
          <cell r="N451" t="str">
            <v>03/11/2016</v>
          </cell>
          <cell r="O451" t="str">
            <v>04/11/2016</v>
          </cell>
          <cell r="P451" t="str">
            <v>BPE</v>
          </cell>
          <cell r="Q451" t="str">
            <v>GSISTE</v>
          </cell>
          <cell r="R451" t="str">
            <v>Superior</v>
          </cell>
          <cell r="S451" t="str">
            <v>SIPEC  - Sistema de Pessoal Civil da Administração Federal</v>
          </cell>
          <cell r="T451" t="str">
            <v xml:space="preserve">Portaria nº </v>
          </cell>
          <cell r="U451">
            <v>31</v>
          </cell>
          <cell r="V451" t="str">
            <v>01/04/2011</v>
          </cell>
          <cell r="W451" t="str">
            <v>01/04/2011</v>
          </cell>
          <cell r="X451" t="str">
            <v>BP</v>
          </cell>
          <cell r="Z451" t="str">
            <v>Sem designação</v>
          </cell>
          <cell r="AF451" t="str">
            <v>Feminino</v>
          </cell>
          <cell r="AG451" t="str">
            <v>Parda</v>
          </cell>
          <cell r="AH451" t="str">
            <v>01/02/1959</v>
          </cell>
          <cell r="AI451">
            <v>61</v>
          </cell>
          <cell r="AJ451">
            <v>15588.19</v>
          </cell>
          <cell r="AL451" t="str">
            <v>FA</v>
          </cell>
          <cell r="AM451">
            <v>15588.19</v>
          </cell>
          <cell r="AN451" t="str">
            <v>rosamaria@mme.gov.br</v>
          </cell>
          <cell r="AO451" t="str">
            <v>(61) 2032-5398</v>
          </cell>
        </row>
        <row r="452">
          <cell r="A452" t="str">
            <v>ROSA MARIA SCHOOL MARQUES DE ANDRADE MARCET DE OLIVEIRA</v>
          </cell>
          <cell r="B452" t="str">
            <v>024.815.197-52</v>
          </cell>
          <cell r="C452">
            <v>3090882</v>
          </cell>
          <cell r="D452" t="str">
            <v>Sem Cargo/Emprego</v>
          </cell>
          <cell r="E452" t="str">
            <v>Sem Vínculo</v>
          </cell>
          <cell r="F452" t="str">
            <v>Sem Vínculo</v>
          </cell>
          <cell r="G452" t="str">
            <v>GM / ASSESSORIA PARLAMENTAR - ASPAR</v>
          </cell>
          <cell r="H452" t="str">
            <v>2.100.200</v>
          </cell>
          <cell r="I452" t="str">
            <v>Chefe da Assessoria Parlamentar do Gabinete do Ministro</v>
          </cell>
          <cell r="J452" t="str">
            <v>DAS</v>
          </cell>
          <cell r="K452" t="str">
            <v>101.4</v>
          </cell>
          <cell r="L452" t="str">
            <v xml:space="preserve">Portaria nº </v>
          </cell>
          <cell r="M452">
            <v>1270</v>
          </cell>
          <cell r="N452" t="str">
            <v>20/02/2019</v>
          </cell>
          <cell r="O452" t="str">
            <v>21/02/2019</v>
          </cell>
          <cell r="P452" t="str">
            <v>DOU</v>
          </cell>
          <cell r="Z452" t="str">
            <v>Sem designação</v>
          </cell>
          <cell r="AF452" t="str">
            <v>Feminino</v>
          </cell>
          <cell r="AG452" t="str">
            <v>Branca</v>
          </cell>
          <cell r="AH452" t="str">
            <v>18/03/1969</v>
          </cell>
          <cell r="AI452">
            <v>51</v>
          </cell>
          <cell r="AJ452">
            <v>10373.299999999999</v>
          </cell>
          <cell r="AL452" t="str">
            <v>FA</v>
          </cell>
          <cell r="AM452">
            <v>10373.299999999999</v>
          </cell>
          <cell r="AN452" t="str">
            <v>rosa.oliveira@mme.gov.br</v>
          </cell>
          <cell r="AO452" t="str">
            <v>(61) 2032-5076</v>
          </cell>
          <cell r="AP452" t="str">
            <v>GM26</v>
          </cell>
        </row>
        <row r="453">
          <cell r="A453" t="str">
            <v>ROSANGELA DE FREITAS BARBOSA CESAR</v>
          </cell>
          <cell r="B453" t="str">
            <v>383.364.213-00</v>
          </cell>
          <cell r="C453">
            <v>2145181</v>
          </cell>
          <cell r="D453" t="str">
            <v>Sem Cargo/Emprego</v>
          </cell>
          <cell r="E453" t="str">
            <v>Sem Vínculo</v>
          </cell>
          <cell r="F453" t="str">
            <v>Sem Vínculo</v>
          </cell>
          <cell r="G453" t="str">
            <v>CONJUR / CGAA / COORDENAÇÃO DE APOIO ADMINISTRATIVO</v>
          </cell>
          <cell r="H453" t="str">
            <v>7.100.310</v>
          </cell>
          <cell r="I453" t="str">
            <v>Assistente da Consultoria Jurídica</v>
          </cell>
          <cell r="J453" t="str">
            <v>DAS</v>
          </cell>
          <cell r="K453" t="str">
            <v>102.2</v>
          </cell>
          <cell r="L453" t="str">
            <v xml:space="preserve">Portaria nº </v>
          </cell>
          <cell r="M453">
            <v>524</v>
          </cell>
          <cell r="N453" t="str">
            <v>03/11/2016</v>
          </cell>
          <cell r="O453" t="str">
            <v>04/11/2016</v>
          </cell>
          <cell r="P453" t="str">
            <v>BPE</v>
          </cell>
          <cell r="Z453" t="str">
            <v>Sem designação</v>
          </cell>
          <cell r="AF453" t="str">
            <v>Feminino</v>
          </cell>
          <cell r="AG453" t="str">
            <v>Branca</v>
          </cell>
          <cell r="AH453" t="str">
            <v>31/03/1964</v>
          </cell>
          <cell r="AI453">
            <v>56</v>
          </cell>
          <cell r="AJ453">
            <v>3440.75</v>
          </cell>
          <cell r="AL453" t="str">
            <v>FA</v>
          </cell>
          <cell r="AM453">
            <v>3440.75</v>
          </cell>
          <cell r="AN453" t="str">
            <v>rosangela.cesar@mme.gov.br</v>
          </cell>
          <cell r="AO453" t="str">
            <v>(61) 2032-5191</v>
          </cell>
          <cell r="AP453" t="str">
            <v>CONJUR09</v>
          </cell>
        </row>
        <row r="454">
          <cell r="A454" t="str">
            <v>ROSANGELA MOURA DA FONSECA SILVA</v>
          </cell>
          <cell r="B454" t="str">
            <v>327.101.511-20</v>
          </cell>
          <cell r="C454">
            <v>451634</v>
          </cell>
          <cell r="D454" t="str">
            <v>Agente Administrativo</v>
          </cell>
          <cell r="E454" t="str">
            <v>Ativo Permanente</v>
          </cell>
          <cell r="F454" t="str">
            <v>MME - Ministério de Minas e Energia</v>
          </cell>
          <cell r="G454" t="str">
            <v>SE / SPOA / CGOF / COORDENAÇÃO DE CONTABILIDADE - CONT</v>
          </cell>
          <cell r="H454" t="str">
            <v>8.105.520</v>
          </cell>
          <cell r="I454" t="str">
            <v>Função Comissionada Técnica - Assistente Técnico de Orçamento e Finanças</v>
          </cell>
          <cell r="J454" t="str">
            <v>FCT</v>
          </cell>
          <cell r="K454">
            <v>5</v>
          </cell>
          <cell r="L454" t="str">
            <v xml:space="preserve">Portaria nº </v>
          </cell>
          <cell r="M454">
            <v>686</v>
          </cell>
          <cell r="N454" t="str">
            <v>07/12/2016</v>
          </cell>
          <cell r="O454" t="str">
            <v>08/12/2016</v>
          </cell>
          <cell r="P454" t="str">
            <v>DOU</v>
          </cell>
          <cell r="Q454" t="str">
            <v>GSISTE</v>
          </cell>
          <cell r="R454" t="str">
            <v>Intermediário (MPEOF)</v>
          </cell>
          <cell r="S454" t="str">
            <v>SCF - Sistema de Controle Federal</v>
          </cell>
          <cell r="T454" t="str">
            <v xml:space="preserve">Portaria nº </v>
          </cell>
          <cell r="U454">
            <v>105</v>
          </cell>
          <cell r="V454" t="str">
            <v>08/12/2009</v>
          </cell>
          <cell r="W454" t="str">
            <v>08/12/2009</v>
          </cell>
          <cell r="X454" t="str">
            <v>BPE</v>
          </cell>
          <cell r="Z454" t="str">
            <v>Sem designação</v>
          </cell>
          <cell r="AF454" t="str">
            <v>Feminino</v>
          </cell>
          <cell r="AG454" t="str">
            <v>Parda</v>
          </cell>
          <cell r="AH454" t="str">
            <v>19/04/1964</v>
          </cell>
          <cell r="AI454">
            <v>56</v>
          </cell>
          <cell r="AJ454">
            <v>9183.39</v>
          </cell>
          <cell r="AL454" t="str">
            <v>FA</v>
          </cell>
          <cell r="AM454">
            <v>9183.39</v>
          </cell>
          <cell r="AN454" t="str">
            <v>rosangelasilva@mme.gov.br</v>
          </cell>
          <cell r="AO454" t="str">
            <v>(61) 2032-5227</v>
          </cell>
        </row>
        <row r="455">
          <cell r="A455" t="str">
            <v>ROSE MARY DE CARVALHO RODRIGUES</v>
          </cell>
          <cell r="B455" t="str">
            <v>084.951.301-49</v>
          </cell>
          <cell r="C455">
            <v>2257292</v>
          </cell>
          <cell r="D455" t="str">
            <v>Secretária</v>
          </cell>
          <cell r="E455" t="str">
            <v>Anistiado MME</v>
          </cell>
          <cell r="F455" t="str">
            <v>MME - Ministério de Minas e Energia</v>
          </cell>
          <cell r="G455" t="str">
            <v>Aguardando Lotação/Exercício</v>
          </cell>
          <cell r="H455" t="str">
            <v>88.000.000</v>
          </cell>
          <cell r="Z455" t="str">
            <v>Sem designação</v>
          </cell>
          <cell r="AF455" t="str">
            <v>Feminino</v>
          </cell>
          <cell r="AG455" t="str">
            <v>Branca</v>
          </cell>
          <cell r="AH455" t="str">
            <v>02/03/1954</v>
          </cell>
          <cell r="AI455">
            <v>66</v>
          </cell>
          <cell r="AJ455">
            <v>2053.12</v>
          </cell>
          <cell r="AL455" t="str">
            <v>FA</v>
          </cell>
          <cell r="AM455">
            <v>2053.12</v>
          </cell>
          <cell r="AN455" t="str">
            <v>rose.rodrigues@mme.gov.br</v>
          </cell>
          <cell r="AO455" t="str">
            <v>(61) 2032-5472</v>
          </cell>
        </row>
        <row r="456">
          <cell r="A456" t="str">
            <v>ROSIMEIRE BATISTA FERRO</v>
          </cell>
          <cell r="B456" t="str">
            <v>116.318.051-34</v>
          </cell>
          <cell r="C456">
            <v>451848</v>
          </cell>
          <cell r="D456" t="str">
            <v>Agente Administrativo</v>
          </cell>
          <cell r="E456" t="str">
            <v>Ativo Permanente</v>
          </cell>
          <cell r="F456" t="str">
            <v>MME - Ministério de Minas e Energia</v>
          </cell>
          <cell r="G456" t="str">
            <v>SE / SPOA / CGCC / COORDENAÇÃO DE LICITAÇÕES E COMPRA - CLC</v>
          </cell>
          <cell r="H456" t="str">
            <v>8.105.420</v>
          </cell>
          <cell r="I456" t="str">
            <v>Função Comissionada Técnica - Auxilar de Sistemas Operacionais e Administrativos</v>
          </cell>
          <cell r="J456" t="str">
            <v>FCT</v>
          </cell>
          <cell r="K456">
            <v>11</v>
          </cell>
          <cell r="L456" t="str">
            <v xml:space="preserve">Portaria nº </v>
          </cell>
          <cell r="M456">
            <v>463</v>
          </cell>
          <cell r="N456" t="str">
            <v>30/09/2005</v>
          </cell>
          <cell r="O456" t="str">
            <v>03/10/2005</v>
          </cell>
          <cell r="P456" t="str">
            <v>DOU</v>
          </cell>
          <cell r="Z456" t="str">
            <v>Sem designação</v>
          </cell>
          <cell r="AF456" t="str">
            <v>Feminino</v>
          </cell>
          <cell r="AG456" t="str">
            <v>Parda</v>
          </cell>
          <cell r="AH456" t="str">
            <v>18/02/1949</v>
          </cell>
          <cell r="AI456">
            <v>71</v>
          </cell>
          <cell r="AJ456">
            <v>6185.38</v>
          </cell>
          <cell r="AL456" t="str">
            <v>FA</v>
          </cell>
          <cell r="AM456">
            <v>6185.38</v>
          </cell>
          <cell r="AN456" t="str">
            <v>rosimeire@mme.gov.br</v>
          </cell>
          <cell r="AO456" t="str">
            <v>(61) 2032-5457</v>
          </cell>
        </row>
        <row r="457">
          <cell r="A457" t="str">
            <v>ROSINETE RODRIGUES DE SOUZA</v>
          </cell>
          <cell r="B457" t="str">
            <v>105.920.593-91</v>
          </cell>
          <cell r="C457">
            <v>1716015</v>
          </cell>
          <cell r="D457" t="str">
            <v>Copeiro</v>
          </cell>
          <cell r="E457" t="str">
            <v>Anistiado MME</v>
          </cell>
          <cell r="F457" t="str">
            <v>MME - Ministério de Minas e Energia</v>
          </cell>
          <cell r="G457" t="str">
            <v>SE / SPOA / CGRH / COORDENAÇÃO DE DESENVOLVIMENTO E SEGURIDADE SOCIAL - CODES</v>
          </cell>
          <cell r="H457" t="str">
            <v>8.105.220</v>
          </cell>
          <cell r="Z457" t="str">
            <v>Sem designação</v>
          </cell>
          <cell r="AF457" t="str">
            <v>Feminino</v>
          </cell>
          <cell r="AG457" t="str">
            <v>Branca</v>
          </cell>
          <cell r="AH457" t="str">
            <v>28/05/1952</v>
          </cell>
          <cell r="AI457">
            <v>68</v>
          </cell>
          <cell r="AJ457">
            <v>3268.41</v>
          </cell>
          <cell r="AL457" t="str">
            <v>FA</v>
          </cell>
          <cell r="AM457">
            <v>3268.41</v>
          </cell>
          <cell r="AN457" t="str">
            <v>rosinete.souza@mme.gov.br</v>
          </cell>
          <cell r="AO457" t="str">
            <v>(61) 2032-5321</v>
          </cell>
        </row>
        <row r="458">
          <cell r="A458" t="str">
            <v>ROZANA SANTOS PEREIRA CAIXETA</v>
          </cell>
          <cell r="B458" t="str">
            <v>003.733.071-36</v>
          </cell>
          <cell r="C458">
            <v>1454093</v>
          </cell>
          <cell r="D458" t="str">
            <v>Sem Cargo/Emprego</v>
          </cell>
          <cell r="E458" t="str">
            <v>Sem Vínculo</v>
          </cell>
          <cell r="F458" t="str">
            <v>Sem Vínculo</v>
          </cell>
          <cell r="G458" t="str">
            <v>SPG / CHEFIA DE GABINETE SPG</v>
          </cell>
          <cell r="H458" t="str">
            <v>11.100.000</v>
          </cell>
          <cell r="I458" t="str">
            <v>Assistente da Chefia de Gabinete da Secretaria Executiva</v>
          </cell>
          <cell r="J458" t="str">
            <v>DAS</v>
          </cell>
          <cell r="K458" t="str">
            <v>102.2</v>
          </cell>
          <cell r="L458" t="str">
            <v xml:space="preserve">Portaria nº </v>
          </cell>
          <cell r="M458">
            <v>524</v>
          </cell>
          <cell r="N458" t="str">
            <v>03/11/2016</v>
          </cell>
          <cell r="O458" t="str">
            <v>04/11/2016</v>
          </cell>
          <cell r="P458" t="str">
            <v>BPE</v>
          </cell>
          <cell r="Z458" t="str">
            <v>Sem designação</v>
          </cell>
          <cell r="AF458" t="str">
            <v>Feminino</v>
          </cell>
          <cell r="AG458" t="str">
            <v>Branca</v>
          </cell>
          <cell r="AH458" t="str">
            <v>11/09/1963</v>
          </cell>
          <cell r="AI458">
            <v>57</v>
          </cell>
          <cell r="AJ458">
            <v>3440.75</v>
          </cell>
          <cell r="AL458" t="str">
            <v>FA</v>
          </cell>
          <cell r="AM458">
            <v>3440.75</v>
          </cell>
          <cell r="AN458" t="str">
            <v>rozana.caixeta@mme.gov.br</v>
          </cell>
          <cell r="AO458" t="str">
            <v>(61) 2032-5103</v>
          </cell>
          <cell r="AP458" t="str">
            <v>SE15</v>
          </cell>
        </row>
        <row r="459">
          <cell r="A459" t="str">
            <v>RUBENS HORACIO FRANCISCO DE ARAUJO</v>
          </cell>
          <cell r="B459" t="str">
            <v>183.635.201-87</v>
          </cell>
          <cell r="C459">
            <v>455297</v>
          </cell>
          <cell r="D459" t="str">
            <v>Agente de Vigilância</v>
          </cell>
          <cell r="E459" t="str">
            <v>Ativo Permanente</v>
          </cell>
          <cell r="F459" t="str">
            <v>MME - Ministério de Minas e Energia</v>
          </cell>
          <cell r="G459" t="str">
            <v>SE / SPOA / CGRL / COORDENAÇÃO DE ATIVIDADES GERAIS - COAGE</v>
          </cell>
          <cell r="H459" t="str">
            <v>8.105.120</v>
          </cell>
          <cell r="I459" t="str">
            <v>Função Gratificada</v>
          </cell>
          <cell r="J459" t="str">
            <v>FGR</v>
          </cell>
          <cell r="K459">
            <v>1</v>
          </cell>
          <cell r="L459" t="str">
            <v xml:space="preserve">Portaria nº </v>
          </cell>
          <cell r="M459">
            <v>524</v>
          </cell>
          <cell r="N459" t="str">
            <v>03/11/2016</v>
          </cell>
          <cell r="O459" t="str">
            <v>04/11/2016</v>
          </cell>
          <cell r="P459" t="str">
            <v>BPE</v>
          </cell>
          <cell r="Z459" t="str">
            <v>Sem designação</v>
          </cell>
          <cell r="AF459" t="str">
            <v>Masculino</v>
          </cell>
          <cell r="AG459" t="str">
            <v>Parda</v>
          </cell>
          <cell r="AH459" t="str">
            <v>05/06/1958</v>
          </cell>
          <cell r="AI459">
            <v>62</v>
          </cell>
          <cell r="AJ459">
            <v>5857.89</v>
          </cell>
          <cell r="AL459" t="str">
            <v>FA</v>
          </cell>
          <cell r="AM459">
            <v>5857.89</v>
          </cell>
          <cell r="AN459" t="str">
            <v>RubensAraujo@mme.gov.br</v>
          </cell>
          <cell r="AO459" t="str">
            <v>(61) 2032-5488</v>
          </cell>
        </row>
        <row r="460">
          <cell r="A460" t="str">
            <v>RUBSON JOSE BOAVENTURA</v>
          </cell>
          <cell r="B460" t="str">
            <v>121.142.781-15</v>
          </cell>
          <cell r="C460">
            <v>1758894</v>
          </cell>
          <cell r="D460" t="str">
            <v>Assistente Técnico</v>
          </cell>
          <cell r="E460" t="str">
            <v>Anistiado MME</v>
          </cell>
          <cell r="F460" t="str">
            <v>MME - Ministério de Minas e Energia</v>
          </cell>
          <cell r="G460" t="str">
            <v>SE / SPOA / CGRL / COORDENAÇÃO DE ATIVIDADES GERAIS - COAGE</v>
          </cell>
          <cell r="H460" t="str">
            <v>8.105.120</v>
          </cell>
          <cell r="Z460" t="str">
            <v>Sem designação</v>
          </cell>
          <cell r="AF460" t="str">
            <v>Masculino</v>
          </cell>
          <cell r="AG460" t="str">
            <v>Branca</v>
          </cell>
          <cell r="AH460" t="str">
            <v>01/08/1954</v>
          </cell>
          <cell r="AI460">
            <v>66</v>
          </cell>
          <cell r="AJ460">
            <v>4275.71</v>
          </cell>
          <cell r="AL460" t="str">
            <v>FA</v>
          </cell>
          <cell r="AM460">
            <v>4275.71</v>
          </cell>
          <cell r="AN460" t="str">
            <v>rubson.boaventura@mme.gov.br</v>
          </cell>
          <cell r="AO460" t="str">
            <v>(61) 2032-</v>
          </cell>
        </row>
        <row r="461">
          <cell r="A461" t="str">
            <v>RUTH BERNADETE ARAUJO DE PAULA</v>
          </cell>
          <cell r="B461" t="str">
            <v>243.916.541.72</v>
          </cell>
          <cell r="C461">
            <v>1282065</v>
          </cell>
          <cell r="D461" t="str">
            <v>Auxiliar de Controle</v>
          </cell>
          <cell r="E461" t="str">
            <v>Anistiado MME</v>
          </cell>
          <cell r="F461" t="str">
            <v>MME - Ministério de Minas e Energia</v>
          </cell>
          <cell r="G461" t="str">
            <v>SEE / CHEFIA DE GABINETE SEE</v>
          </cell>
          <cell r="H461" t="str">
            <v>12.100.000</v>
          </cell>
          <cell r="I461" t="str">
            <v>Assessora Técnica da Coordenação Geral de Universalização do Acesso à Energia do Departamento de Políticas Sociais e Universalização do Acesso à Energia</v>
          </cell>
          <cell r="J461" t="str">
            <v>DAS</v>
          </cell>
          <cell r="K461" t="str">
            <v>102.3</v>
          </cell>
          <cell r="L461" t="str">
            <v xml:space="preserve">Portaria nº </v>
          </cell>
          <cell r="M461">
            <v>524</v>
          </cell>
          <cell r="N461" t="str">
            <v>03/11/2016</v>
          </cell>
          <cell r="O461" t="str">
            <v>04/11/2016</v>
          </cell>
          <cell r="P461" t="str">
            <v>BPE</v>
          </cell>
          <cell r="Z461" t="str">
            <v>Sem designação</v>
          </cell>
          <cell r="AF461" t="str">
            <v>Feminino</v>
          </cell>
          <cell r="AG461" t="str">
            <v>Branca</v>
          </cell>
          <cell r="AH461" t="str">
            <v>30/09/1959</v>
          </cell>
          <cell r="AI461">
            <v>61</v>
          </cell>
          <cell r="AJ461">
            <v>7327.23</v>
          </cell>
          <cell r="AL461" t="str">
            <v>FA</v>
          </cell>
          <cell r="AM461">
            <v>7327.23</v>
          </cell>
          <cell r="AN461" t="str">
            <v>ruth.paula@mme.gov.br</v>
          </cell>
          <cell r="AO461" t="str">
            <v>(61) 2032-5273</v>
          </cell>
          <cell r="AP461" t="str">
            <v>SEE31</v>
          </cell>
        </row>
        <row r="462">
          <cell r="A462" t="str">
            <v>RUTH LEAO ARANTES SANTOS VASCONCELOS</v>
          </cell>
          <cell r="B462" t="str">
            <v>196.464.961-72</v>
          </cell>
          <cell r="C462">
            <v>1259418</v>
          </cell>
          <cell r="D462" t="str">
            <v>Programador de Sistema III</v>
          </cell>
          <cell r="E462" t="str">
            <v>Anistiado MME</v>
          </cell>
          <cell r="F462" t="str">
            <v>MME - Ministério de Minas e Energia</v>
          </cell>
          <cell r="G462" t="str">
            <v>SE / SPOA / CGCC / COORDENAÇÃO DE LICITAÇÕES E COMPRA - CLC</v>
          </cell>
          <cell r="H462" t="str">
            <v>8.105.420</v>
          </cell>
          <cell r="Z462" t="str">
            <v>Sem designação</v>
          </cell>
          <cell r="AF462" t="str">
            <v>Feminino</v>
          </cell>
          <cell r="AG462" t="str">
            <v>Branca</v>
          </cell>
          <cell r="AH462" t="str">
            <v>15/11/1952</v>
          </cell>
          <cell r="AI462">
            <v>67</v>
          </cell>
          <cell r="AJ462">
            <v>4578.2299999999996</v>
          </cell>
          <cell r="AL462" t="str">
            <v>FA</v>
          </cell>
          <cell r="AM462">
            <v>4578.2299999999996</v>
          </cell>
          <cell r="AN462" t="str">
            <v>ruth.vasconcelos@mme.gov.br</v>
          </cell>
          <cell r="AO462" t="str">
            <v>(61) 2032-5579</v>
          </cell>
        </row>
        <row r="463">
          <cell r="A463" t="str">
            <v>SAMIR NAHASS</v>
          </cell>
          <cell r="B463" t="str">
            <v>001.681.062-72</v>
          </cell>
          <cell r="C463">
            <v>1247097</v>
          </cell>
          <cell r="D463" t="str">
            <v>Sem Cargo/Emprego</v>
          </cell>
          <cell r="E463" t="str">
            <v>Sem Vínculo</v>
          </cell>
          <cell r="F463" t="str">
            <v>Sem Vínculo</v>
          </cell>
          <cell r="G463" t="str">
            <v>SGM / DTTM / COORDENAÇÃO GERAL DE CAPACITAÇÃO E DESENVOLVIMENTO TECNOLÓGICO</v>
          </cell>
          <cell r="H463" t="str">
            <v>9.103.100</v>
          </cell>
          <cell r="I463" t="str">
            <v>Coordenador Geral de Capacitação e Desenvolvimento do Departamento de Transformação e Tecnologia Mineral</v>
          </cell>
          <cell r="J463" t="str">
            <v>DAS</v>
          </cell>
          <cell r="K463" t="str">
            <v>101.4</v>
          </cell>
          <cell r="L463" t="str">
            <v xml:space="preserve">Portaria nº </v>
          </cell>
          <cell r="M463">
            <v>524</v>
          </cell>
          <cell r="N463" t="str">
            <v>03/11/2016</v>
          </cell>
          <cell r="O463" t="str">
            <v>04/11/2016</v>
          </cell>
          <cell r="P463" t="str">
            <v>BPE</v>
          </cell>
          <cell r="Z463" t="str">
            <v>Sem designação</v>
          </cell>
          <cell r="AF463" t="str">
            <v>Masculino</v>
          </cell>
          <cell r="AG463" t="str">
            <v>Parda</v>
          </cell>
          <cell r="AH463" t="str">
            <v>15/05/1938</v>
          </cell>
          <cell r="AI463">
            <v>82</v>
          </cell>
          <cell r="AJ463">
            <v>10373.299999999999</v>
          </cell>
          <cell r="AL463" t="str">
            <v>FA</v>
          </cell>
          <cell r="AM463">
            <v>10373.299999999999</v>
          </cell>
          <cell r="AN463" t="str">
            <v>samir.nahass@mme.gov.br</v>
          </cell>
          <cell r="AO463" t="str">
            <v>(61) 2032-5635</v>
          </cell>
          <cell r="AP463" t="str">
            <v>SGM24</v>
          </cell>
        </row>
        <row r="464">
          <cell r="A464" t="str">
            <v>SAMIRA SANA FERNANDES DE SOUSA CARMO</v>
          </cell>
          <cell r="B464" t="str">
            <v>703.508.171-20</v>
          </cell>
          <cell r="C464">
            <v>3420721</v>
          </cell>
          <cell r="D464" t="str">
            <v>Especialista em Política Pública e Gestão Governamental</v>
          </cell>
          <cell r="E464" t="str">
            <v>Requisitado de Órgãos</v>
          </cell>
          <cell r="F464" t="str">
            <v>ME - Ministério da Economia</v>
          </cell>
          <cell r="G464" t="str">
            <v>SPE / DDE / COORDENAÇÃO GERAL DE EFICIÊNCIA ENERGÉTICA</v>
          </cell>
          <cell r="H464" t="str">
            <v>10.102.100</v>
          </cell>
          <cell r="I464" t="str">
            <v>Coordenadora Geral de Eficiência Energética do Departamento de Desenvolvimento Energético</v>
          </cell>
          <cell r="J464" t="str">
            <v>DAS</v>
          </cell>
          <cell r="K464" t="str">
            <v>101.4</v>
          </cell>
          <cell r="L464" t="str">
            <v xml:space="preserve">Portaria nº </v>
          </cell>
          <cell r="M464">
            <v>66</v>
          </cell>
          <cell r="N464" t="str">
            <v>01/03/2018</v>
          </cell>
          <cell r="O464" t="str">
            <v>02/03/2018</v>
          </cell>
          <cell r="P464" t="str">
            <v>DOU</v>
          </cell>
          <cell r="Z464" t="str">
            <v>Sem designação</v>
          </cell>
          <cell r="AF464" t="str">
            <v>Feminino</v>
          </cell>
          <cell r="AG464" t="str">
            <v>Branca</v>
          </cell>
          <cell r="AH464" t="str">
            <v>05/10/1979</v>
          </cell>
          <cell r="AI464">
            <v>41</v>
          </cell>
          <cell r="AJ464">
            <v>6223.98</v>
          </cell>
          <cell r="AK464">
            <v>24662.95</v>
          </cell>
          <cell r="AL464" t="str">
            <v>FA</v>
          </cell>
          <cell r="AM464">
            <v>30886.93</v>
          </cell>
          <cell r="AN464" t="str">
            <v>samira.sousa@mme.gov.br</v>
          </cell>
          <cell r="AO464" t="str">
            <v>(61) 2032-5004</v>
          </cell>
          <cell r="AP464" t="str">
            <v>SPE19</v>
          </cell>
        </row>
        <row r="465">
          <cell r="A465" t="str">
            <v>SANDRA MARIA MONTEIRO DE ALMEIDA ANGELO</v>
          </cell>
          <cell r="B465" t="str">
            <v>049.522.355-72</v>
          </cell>
          <cell r="C465">
            <v>8673642</v>
          </cell>
          <cell r="D465" t="str">
            <v>Sem Cargo/Emprego</v>
          </cell>
          <cell r="E465" t="str">
            <v>Sem Vínculo</v>
          </cell>
          <cell r="F465" t="str">
            <v>Sem Vínculo</v>
          </cell>
          <cell r="G465" t="str">
            <v>SGM / DEPARTAMENTO DE GEOLOGIA E PRODUÇÃO MINERAL - DGPM</v>
          </cell>
          <cell r="H465" t="str">
            <v>9.102.000</v>
          </cell>
          <cell r="I465" t="str">
            <v>Assistente Departamento de Geologia e Produção Mineral</v>
          </cell>
          <cell r="J465" t="str">
            <v>DAS</v>
          </cell>
          <cell r="K465" t="str">
            <v>102.2</v>
          </cell>
          <cell r="L465" t="str">
            <v xml:space="preserve">Portaria nº </v>
          </cell>
          <cell r="M465">
            <v>594</v>
          </cell>
          <cell r="N465" t="str">
            <v>03/11/2016</v>
          </cell>
          <cell r="O465" t="str">
            <v>04/11/2016</v>
          </cell>
          <cell r="P465" t="str">
            <v>DOU</v>
          </cell>
          <cell r="Z465" t="str">
            <v>Sem designação</v>
          </cell>
          <cell r="AF465" t="str">
            <v>Feminino</v>
          </cell>
          <cell r="AG465" t="str">
            <v>Branca</v>
          </cell>
          <cell r="AH465" t="str">
            <v>12/06/1950</v>
          </cell>
          <cell r="AI465">
            <v>70</v>
          </cell>
          <cell r="AJ465">
            <v>3440.75</v>
          </cell>
          <cell r="AL465" t="str">
            <v>FA</v>
          </cell>
          <cell r="AM465">
            <v>3440.75</v>
          </cell>
          <cell r="AN465" t="str">
            <v>sandra.angelo@mme.gov.br</v>
          </cell>
          <cell r="AO465" t="str">
            <v>(61) 2032-5291</v>
          </cell>
          <cell r="AP465" t="str">
            <v>SGM16</v>
          </cell>
        </row>
        <row r="466">
          <cell r="A466" t="str">
            <v>SANDRA MONICA DE ALMEIDA PY</v>
          </cell>
          <cell r="B466" t="str">
            <v>462.512.271-68</v>
          </cell>
          <cell r="C466">
            <v>1669868</v>
          </cell>
          <cell r="D466" t="str">
            <v>Auxiliar Codificação e Conferência</v>
          </cell>
          <cell r="E466" t="str">
            <v>Anistiado MME</v>
          </cell>
          <cell r="F466" t="str">
            <v>MME - Ministério de Minas e Energia</v>
          </cell>
          <cell r="G466" t="str">
            <v>SE / SPOA / CGRH / COORDENAÇÃO DE DESENVOLVIMENTO E SEGURIDADE SOCIAL - CODES</v>
          </cell>
          <cell r="H466" t="str">
            <v>8.105.220</v>
          </cell>
          <cell r="I466" t="str">
            <v>Coordenadora de Desenvolvimento e Seguridade Social da Coordenação Geral de Recursos Humanos</v>
          </cell>
          <cell r="J466" t="str">
            <v>DAS</v>
          </cell>
          <cell r="K466" t="str">
            <v>101.3</v>
          </cell>
          <cell r="L466" t="str">
            <v xml:space="preserve">Portaria nº </v>
          </cell>
          <cell r="M466">
            <v>524</v>
          </cell>
          <cell r="N466" t="str">
            <v>03/11/2016</v>
          </cell>
          <cell r="O466" t="str">
            <v>04/11/2016</v>
          </cell>
          <cell r="P466" t="str">
            <v>BPE</v>
          </cell>
          <cell r="Z466" t="str">
            <v>Sem designação</v>
          </cell>
          <cell r="AF466" t="str">
            <v>Feminino</v>
          </cell>
          <cell r="AG466" t="str">
            <v>Branca</v>
          </cell>
          <cell r="AH466" t="str">
            <v>17/09/1965</v>
          </cell>
          <cell r="AI466">
            <v>55</v>
          </cell>
          <cell r="AJ466">
            <v>6679.74</v>
          </cell>
          <cell r="AL466" t="str">
            <v>FA</v>
          </cell>
          <cell r="AM466">
            <v>6679.74</v>
          </cell>
          <cell r="AN466" t="str">
            <v>sandra.py@mme.gov.br</v>
          </cell>
          <cell r="AO466" t="str">
            <v>(61) 2032-5652</v>
          </cell>
          <cell r="AP466" t="str">
            <v>SE62</v>
          </cell>
        </row>
        <row r="467">
          <cell r="A467" t="str">
            <v>SANDRA REGINA DE ANDRADE</v>
          </cell>
          <cell r="B467" t="str">
            <v>648.105.931-34</v>
          </cell>
          <cell r="C467">
            <v>1567453</v>
          </cell>
          <cell r="D467" t="str">
            <v>Sem Cargo/Emprego</v>
          </cell>
          <cell r="E467" t="str">
            <v>Sem Vínculo</v>
          </cell>
          <cell r="F467" t="str">
            <v>Sem Vínculo</v>
          </cell>
          <cell r="G467" t="str">
            <v>SPE / CHEFIA DE GABINETE SPE</v>
          </cell>
          <cell r="H467" t="str">
            <v>10.100.000</v>
          </cell>
          <cell r="I467" t="str">
            <v>Assistente do Departamento de Desenvolvimento Energético</v>
          </cell>
          <cell r="J467" t="str">
            <v>DAS</v>
          </cell>
          <cell r="K467" t="str">
            <v>102.2</v>
          </cell>
          <cell r="L467" t="str">
            <v xml:space="preserve">Portaria nº </v>
          </cell>
          <cell r="M467">
            <v>567</v>
          </cell>
          <cell r="N467" t="str">
            <v>03/11/2016</v>
          </cell>
          <cell r="O467" t="str">
            <v>04/11/2016</v>
          </cell>
          <cell r="P467" t="str">
            <v>DOU</v>
          </cell>
          <cell r="Z467" t="str">
            <v>Sem designação</v>
          </cell>
          <cell r="AF467" t="str">
            <v>Feminino</v>
          </cell>
          <cell r="AG467" t="str">
            <v>Branca</v>
          </cell>
          <cell r="AH467" t="str">
            <v>09/05/1974</v>
          </cell>
          <cell r="AI467">
            <v>46</v>
          </cell>
          <cell r="AJ467">
            <v>3440.75</v>
          </cell>
          <cell r="AL467" t="str">
            <v>FA</v>
          </cell>
          <cell r="AM467">
            <v>3440.75</v>
          </cell>
          <cell r="AN467" t="str">
            <v>sandra.andrade@mme.gov.br</v>
          </cell>
          <cell r="AO467" t="str">
            <v>(61) 2032-5762</v>
          </cell>
          <cell r="AP467" t="str">
            <v>SPE17</v>
          </cell>
        </row>
        <row r="468">
          <cell r="A468" t="str">
            <v>SAULO ROBERTO DE VARGAS</v>
          </cell>
          <cell r="B468" t="str">
            <v>005.219.990-81</v>
          </cell>
          <cell r="C468">
            <v>3196995</v>
          </cell>
          <cell r="D468" t="str">
            <v>Sem Cargo/Emprego</v>
          </cell>
          <cell r="E468" t="str">
            <v>Sem Vínculo</v>
          </cell>
          <cell r="F468" t="str">
            <v>S/VÍNCULO</v>
          </cell>
          <cell r="G468" t="str">
            <v>GM / ASSESSORIA DE COMUNICAÇÃO SOCIAL - ASCOM</v>
          </cell>
          <cell r="H468" t="str">
            <v>2.100.300</v>
          </cell>
          <cell r="I468" t="str">
            <v>Chefe da Assessoria de Comunicação Social</v>
          </cell>
          <cell r="J468" t="str">
            <v>DAS</v>
          </cell>
          <cell r="K468" t="str">
            <v>101.4</v>
          </cell>
          <cell r="L468" t="str">
            <v xml:space="preserve">Portaria nº </v>
          </cell>
          <cell r="M468">
            <v>265</v>
          </cell>
          <cell r="N468" t="str">
            <v>30/01/2020</v>
          </cell>
          <cell r="O468" t="str">
            <v>01/07/2020</v>
          </cell>
          <cell r="P468" t="str">
            <v>DOU</v>
          </cell>
          <cell r="Z468" t="str">
            <v>Sem designação</v>
          </cell>
          <cell r="AF468" t="str">
            <v>Masculino</v>
          </cell>
          <cell r="AG468" t="str">
            <v>Branca</v>
          </cell>
          <cell r="AH468" t="str">
            <v>29/03/1984</v>
          </cell>
          <cell r="AI468">
            <v>36</v>
          </cell>
          <cell r="AJ468">
            <v>10373.299999999999</v>
          </cell>
          <cell r="AL468" t="str">
            <v>FA</v>
          </cell>
          <cell r="AM468">
            <v>10373.299999999999</v>
          </cell>
          <cell r="AN468" t="str">
            <v>saulo.vargas@mme.gov.br</v>
          </cell>
          <cell r="AO468" t="str">
            <v>(61) 2032-5620</v>
          </cell>
          <cell r="AP468" t="str">
            <v>GM32</v>
          </cell>
        </row>
        <row r="469">
          <cell r="A469" t="str">
            <v>SEBASTIANA CARDOSO DE MORAES</v>
          </cell>
          <cell r="B469" t="str">
            <v>258.353.191-34</v>
          </cell>
          <cell r="C469">
            <v>1314571</v>
          </cell>
          <cell r="D469" t="str">
            <v>Perfurador Digitador</v>
          </cell>
          <cell r="E469" t="str">
            <v>Ativo Permanente</v>
          </cell>
          <cell r="F469" t="str">
            <v>MME - Ministério de Minas e Energia</v>
          </cell>
          <cell r="G469" t="str">
            <v>SE / SPOA / CGRL / COORDENAÇÃO DE ADMINISTRAÇÃO DE MATERIAL E EXECUÇÃO FINANCEIRA - COMEF</v>
          </cell>
          <cell r="H469" t="str">
            <v>8.105.110</v>
          </cell>
          <cell r="Q469" t="str">
            <v>GSISTE</v>
          </cell>
          <cell r="R469" t="str">
            <v>Intermediário</v>
          </cell>
          <cell r="S469" t="str">
            <v>SISG - Sistema de Serviços Gerais</v>
          </cell>
          <cell r="T469" t="str">
            <v xml:space="preserve">Portaria nº </v>
          </cell>
          <cell r="U469">
            <v>75</v>
          </cell>
          <cell r="V469" t="str">
            <v>13/07/2017</v>
          </cell>
          <cell r="W469" t="str">
            <v>13/07/2017</v>
          </cell>
          <cell r="X469" t="str">
            <v>BPE</v>
          </cell>
          <cell r="Z469" t="str">
            <v>Sem designação</v>
          </cell>
          <cell r="AF469" t="str">
            <v>Feminino</v>
          </cell>
          <cell r="AG469" t="str">
            <v>Branca</v>
          </cell>
          <cell r="AH469" t="str">
            <v>31/05/1950</v>
          </cell>
          <cell r="AI469">
            <v>70</v>
          </cell>
          <cell r="AJ469">
            <v>6617.06</v>
          </cell>
          <cell r="AL469" t="str">
            <v>FA</v>
          </cell>
          <cell r="AM469">
            <v>6617.06</v>
          </cell>
          <cell r="AN469" t="str">
            <v>sebastiana.cardoso@mme.gov.br</v>
          </cell>
          <cell r="AO469" t="str">
            <v>(61) 2032-5763</v>
          </cell>
        </row>
        <row r="470">
          <cell r="A470" t="str">
            <v>SEBASTIANA LUIZA MARQUES</v>
          </cell>
          <cell r="B470" t="str">
            <v>784.346.707-63</v>
          </cell>
          <cell r="C470">
            <v>1714856</v>
          </cell>
          <cell r="D470" t="str">
            <v>Telefonista</v>
          </cell>
          <cell r="E470" t="str">
            <v>Anistiado MME</v>
          </cell>
          <cell r="F470" t="str">
            <v>MME - Ministério de Minas e Energia</v>
          </cell>
          <cell r="G470" t="str">
            <v>Aguardando Lotação/Exercício</v>
          </cell>
          <cell r="H470" t="str">
            <v>88.000.000</v>
          </cell>
          <cell r="Z470" t="str">
            <v>Sem designação</v>
          </cell>
          <cell r="AF470" t="str">
            <v>Feminino</v>
          </cell>
          <cell r="AG470" t="str">
            <v>Branca</v>
          </cell>
          <cell r="AH470" t="str">
            <v>29/08/1951</v>
          </cell>
          <cell r="AI470">
            <v>69</v>
          </cell>
          <cell r="AJ470">
            <v>0</v>
          </cell>
          <cell r="AL470" t="str">
            <v>FA</v>
          </cell>
          <cell r="AM470">
            <v>0</v>
          </cell>
        </row>
        <row r="471">
          <cell r="A471" t="str">
            <v>SERGIO FERREIRA CORTIZO</v>
          </cell>
          <cell r="B471" t="str">
            <v>333.338.071-49</v>
          </cell>
          <cell r="C471">
            <v>1696265</v>
          </cell>
          <cell r="D471" t="str">
            <v>Especialista em Política Pública e Gestão Governamental</v>
          </cell>
          <cell r="E471" t="str">
            <v>Exercício Descentralizado</v>
          </cell>
          <cell r="F471" t="str">
            <v>ME - Ministério da Economia</v>
          </cell>
          <cell r="G471" t="str">
            <v>SPE / DDE / COORDENAÇÃO GERAL DE SUSTENTABILIDADE AMBIENTAL DO SETOR ENERGÉTICO</v>
          </cell>
          <cell r="H471" t="str">
            <v>10.102.200</v>
          </cell>
          <cell r="Z471" t="str">
            <v>Sem designação</v>
          </cell>
          <cell r="AF471" t="str">
            <v>Masculino</v>
          </cell>
          <cell r="AG471" t="str">
            <v>Branca</v>
          </cell>
          <cell r="AH471" t="str">
            <v>21/05/1965</v>
          </cell>
          <cell r="AI471">
            <v>55</v>
          </cell>
          <cell r="AJ471">
            <v>0</v>
          </cell>
          <cell r="AK471">
            <v>26596.79</v>
          </cell>
          <cell r="AL471" t="str">
            <v>FA</v>
          </cell>
          <cell r="AM471">
            <v>26596.79</v>
          </cell>
          <cell r="AN471" t="str">
            <v>sergio.cortizo@mme.gov.br</v>
          </cell>
          <cell r="AO471" t="str">
            <v>(61) 2032-5268</v>
          </cell>
        </row>
        <row r="472">
          <cell r="A472" t="str">
            <v>SERGIO HENRIQUE LOPES DE SOUSA</v>
          </cell>
          <cell r="B472" t="str">
            <v>884.939.707-00</v>
          </cell>
          <cell r="C472">
            <v>3090789</v>
          </cell>
          <cell r="D472" t="str">
            <v>Sem Cargo/Emprego</v>
          </cell>
          <cell r="E472" t="str">
            <v>Sem Vínculo</v>
          </cell>
          <cell r="F472" t="str">
            <v>Sem Vínculo</v>
          </cell>
          <cell r="G472" t="str">
            <v>ASSESSORIA ESPECIAL DE CONTROLE INTERNO - AECI</v>
          </cell>
          <cell r="H472" t="str">
            <v>5.000.000</v>
          </cell>
          <cell r="I472" t="str">
            <v>Chefe de Assessoria Especial de Controle Interno</v>
          </cell>
          <cell r="J472" t="str">
            <v>DAS</v>
          </cell>
          <cell r="K472" t="str">
            <v>101.5</v>
          </cell>
          <cell r="L472" t="str">
            <v xml:space="preserve">Portaria nº </v>
          </cell>
          <cell r="M472">
            <v>1251</v>
          </cell>
          <cell r="N472" t="str">
            <v>19/02/2019</v>
          </cell>
          <cell r="O472" t="str">
            <v>20/02/2019</v>
          </cell>
          <cell r="P472" t="str">
            <v>DOU</v>
          </cell>
          <cell r="Z472" t="str">
            <v>Sem designação</v>
          </cell>
          <cell r="AF472" t="str">
            <v>Masculino</v>
          </cell>
          <cell r="AG472" t="str">
            <v>Branca</v>
          </cell>
          <cell r="AH472" t="str">
            <v>28/07/1966</v>
          </cell>
          <cell r="AI472">
            <v>54</v>
          </cell>
          <cell r="AJ472">
            <v>13623.39</v>
          </cell>
          <cell r="AL472" t="str">
            <v>FA</v>
          </cell>
          <cell r="AM472">
            <v>13623.39</v>
          </cell>
          <cell r="AN472" t="str">
            <v>sergio.lopes@mme.gov.br</v>
          </cell>
          <cell r="AO472" t="str">
            <v>(61) 2032-5028</v>
          </cell>
          <cell r="AP472" t="str">
            <v>AECI01</v>
          </cell>
        </row>
        <row r="473">
          <cell r="A473" t="str">
            <v>SEVERINO BARBOSA DOS SANTOS</v>
          </cell>
          <cell r="B473" t="str">
            <v>258.353.191-34</v>
          </cell>
          <cell r="C473">
            <v>455490</v>
          </cell>
          <cell r="D473" t="str">
            <v>Agente Administrativo</v>
          </cell>
          <cell r="E473" t="str">
            <v>Ativo Permanente</v>
          </cell>
          <cell r="F473" t="str">
            <v>MME - Ministério de Minas e Energia</v>
          </cell>
          <cell r="G473" t="str">
            <v>SE / SPOA / CGRH / COORDENAÇÃO DE ADMINISTRAÇÃO DE PESSOAL - CAPES</v>
          </cell>
          <cell r="H473" t="str">
            <v>8.105.210</v>
          </cell>
          <cell r="I473" t="str">
            <v>Chefe da Divisão de Execução Orçamentária e Financeira da Folha de Pagamento de Pessoal da Coordenação de Administração de Pessoal</v>
          </cell>
          <cell r="J473" t="str">
            <v>FCPE</v>
          </cell>
          <cell r="K473" t="str">
            <v>101.2</v>
          </cell>
          <cell r="L473" t="str">
            <v xml:space="preserve">Portaria nº </v>
          </cell>
          <cell r="M473">
            <v>524</v>
          </cell>
          <cell r="N473" t="str">
            <v>03/11/2016</v>
          </cell>
          <cell r="O473" t="str">
            <v>04/11/2016</v>
          </cell>
          <cell r="P473" t="str">
            <v>BPE</v>
          </cell>
          <cell r="Q473" t="str">
            <v>GSISTE</v>
          </cell>
          <cell r="R473" t="str">
            <v>Intermediário</v>
          </cell>
          <cell r="S473" t="str">
            <v>SIPEC  - Sistema de Pessoal Civil da Administração Federal</v>
          </cell>
          <cell r="T473" t="str">
            <v xml:space="preserve">Portaria nº </v>
          </cell>
          <cell r="U473">
            <v>74</v>
          </cell>
          <cell r="V473" t="str">
            <v>13/07/2017</v>
          </cell>
          <cell r="W473" t="str">
            <v>13/07/2017</v>
          </cell>
          <cell r="X473" t="str">
            <v>BPE</v>
          </cell>
          <cell r="Z473" t="str">
            <v>Sem designação</v>
          </cell>
          <cell r="AF473" t="str">
            <v>Masculino</v>
          </cell>
          <cell r="AG473" t="str">
            <v>Parda</v>
          </cell>
          <cell r="AH473" t="str">
            <v>23/01/1964</v>
          </cell>
          <cell r="AI473">
            <v>56</v>
          </cell>
          <cell r="AJ473">
            <v>9846.0300000000007</v>
          </cell>
          <cell r="AL473" t="str">
            <v>FA</v>
          </cell>
          <cell r="AM473">
            <v>9846.0300000000007</v>
          </cell>
          <cell r="AN473" t="str">
            <v>Severino@mme.gov.br</v>
          </cell>
          <cell r="AO473" t="str">
            <v>(61) 2032-5197</v>
          </cell>
          <cell r="AP473" t="str">
            <v>SE69</v>
          </cell>
        </row>
        <row r="474">
          <cell r="A474" t="str">
            <v>SILVANA ALBUQUERQUE PEIXOTO</v>
          </cell>
          <cell r="B474" t="str">
            <v>021.430.337-37</v>
          </cell>
          <cell r="C474">
            <v>1456277</v>
          </cell>
          <cell r="D474" t="str">
            <v>Sem Cargo/Emprego</v>
          </cell>
          <cell r="E474" t="str">
            <v>Sem Vínculo</v>
          </cell>
          <cell r="F474" t="str">
            <v>Sem Vínculo</v>
          </cell>
          <cell r="G474" t="str">
            <v>CONJUR / CHEFIA DE GABINETE CONJUR</v>
          </cell>
          <cell r="H474" t="str">
            <v>7.100.000</v>
          </cell>
          <cell r="I474" t="str">
            <v>Assistente da Consultoria Jurídica</v>
          </cell>
          <cell r="J474" t="str">
            <v>DAS</v>
          </cell>
          <cell r="K474" t="str">
            <v>102.2</v>
          </cell>
          <cell r="L474" t="str">
            <v xml:space="preserve">Boletim de Pessoal - BP nº </v>
          </cell>
          <cell r="M474">
            <v>524</v>
          </cell>
          <cell r="N474" t="str">
            <v>03/11/2016</v>
          </cell>
          <cell r="O474" t="str">
            <v>04/11/2016</v>
          </cell>
          <cell r="P474" t="str">
            <v>BPE</v>
          </cell>
          <cell r="Z474" t="str">
            <v>Sem designação</v>
          </cell>
          <cell r="AF474" t="str">
            <v>Feminino</v>
          </cell>
          <cell r="AG474" t="str">
            <v>Branca</v>
          </cell>
          <cell r="AH474" t="str">
            <v>02/11/1968</v>
          </cell>
          <cell r="AI474">
            <v>52</v>
          </cell>
          <cell r="AJ474">
            <v>3440.75</v>
          </cell>
          <cell r="AL474" t="str">
            <v>FA</v>
          </cell>
          <cell r="AM474">
            <v>3440.75</v>
          </cell>
          <cell r="AN474" t="str">
            <v>silvana.albuquerque@mme.gov.br</v>
          </cell>
          <cell r="AO474" t="str">
            <v>(61) 2032-5331</v>
          </cell>
          <cell r="AP474" t="str">
            <v>CONJUR08</v>
          </cell>
        </row>
        <row r="475">
          <cell r="A475" t="str">
            <v>SILVANA SOARES DE GODOI E SOUSA</v>
          </cell>
          <cell r="B475" t="str">
            <v>224.439.401-87</v>
          </cell>
          <cell r="C475">
            <v>1702338</v>
          </cell>
          <cell r="D475" t="str">
            <v>Analista Comercial Internacional</v>
          </cell>
          <cell r="E475" t="str">
            <v>Anistiado MME</v>
          </cell>
          <cell r="F475" t="str">
            <v>MME - Ministério de Minas e Energia</v>
          </cell>
          <cell r="G475" t="str">
            <v>SE / SPOA / COORDENAÇÃO GERAL DE RECURSOS HUMANOS - CGRH</v>
          </cell>
          <cell r="H475" t="str">
            <v>8.105.200</v>
          </cell>
          <cell r="I475" t="str">
            <v>Assistente da Coordenação Geral de Recursos Humanos</v>
          </cell>
          <cell r="J475" t="str">
            <v>DAS</v>
          </cell>
          <cell r="K475" t="str">
            <v>102.2</v>
          </cell>
          <cell r="L475" t="str">
            <v xml:space="preserve">Portaria nº </v>
          </cell>
          <cell r="M475">
            <v>524</v>
          </cell>
          <cell r="N475" t="str">
            <v>03/11/2016</v>
          </cell>
          <cell r="O475" t="str">
            <v>04/11/2016</v>
          </cell>
          <cell r="P475" t="str">
            <v>BPE</v>
          </cell>
          <cell r="Z475" t="str">
            <v>Sem designação</v>
          </cell>
          <cell r="AF475" t="str">
            <v>Feminino</v>
          </cell>
          <cell r="AG475" t="str">
            <v>Branca</v>
          </cell>
          <cell r="AH475" t="str">
            <v>07/07/1960</v>
          </cell>
          <cell r="AI475">
            <v>60</v>
          </cell>
          <cell r="AJ475">
            <v>10181.5</v>
          </cell>
          <cell r="AL475" t="str">
            <v>FA</v>
          </cell>
          <cell r="AM475">
            <v>10181.5</v>
          </cell>
          <cell r="AN475" t="str">
            <v>silvana.sousa@mme.gov.br</v>
          </cell>
          <cell r="AO475" t="str">
            <v>(61) 2032-5365</v>
          </cell>
          <cell r="AP475" t="str">
            <v>SE63</v>
          </cell>
        </row>
        <row r="476">
          <cell r="A476" t="str">
            <v>SILVIO CASTILHO DAS OLIVEIRAS</v>
          </cell>
          <cell r="B476" t="str">
            <v>384.918.421-87</v>
          </cell>
          <cell r="C476">
            <v>1310555</v>
          </cell>
          <cell r="D476" t="str">
            <v>Analista de Planejamento e Orçamento</v>
          </cell>
          <cell r="E476" t="str">
            <v>Exercício Descentralizado</v>
          </cell>
          <cell r="F476" t="str">
            <v>ME - Ministério da Economia</v>
          </cell>
          <cell r="G476" t="str">
            <v>SE / AEGE / CGPE / COORDENAÇÃO DE PLANEJAMENTO ESTRATÉGICO E ORÇAMENTO</v>
          </cell>
          <cell r="H476" t="str">
            <v>8.101.110</v>
          </cell>
          <cell r="I476" t="str">
            <v>Coordenador da Coordenação de Planejamento Estratégico e Orçamento da Geral de Planejamento Estratégico, Supervisão e Avaliação da Gestão</v>
          </cell>
          <cell r="J476" t="str">
            <v>DAS</v>
          </cell>
          <cell r="K476" t="str">
            <v>101.3</v>
          </cell>
          <cell r="L476" t="str">
            <v xml:space="preserve">Portaria nº </v>
          </cell>
          <cell r="M476">
            <v>524</v>
          </cell>
          <cell r="N476" t="str">
            <v>03/11/2016</v>
          </cell>
          <cell r="O476" t="str">
            <v>04/11/2016</v>
          </cell>
          <cell r="P476" t="str">
            <v>BPE</v>
          </cell>
          <cell r="Z476" t="str">
            <v>Sem designação</v>
          </cell>
          <cell r="AF476" t="str">
            <v>Masculino</v>
          </cell>
          <cell r="AG476" t="str">
            <v>Branca</v>
          </cell>
          <cell r="AH476" t="str">
            <v>29/01/1967</v>
          </cell>
          <cell r="AI476">
            <v>53</v>
          </cell>
          <cell r="AJ476">
            <v>3411.34</v>
          </cell>
          <cell r="AK476">
            <v>27827.67</v>
          </cell>
          <cell r="AL476" t="str">
            <v>FA</v>
          </cell>
          <cell r="AM476">
            <v>31239.01</v>
          </cell>
          <cell r="AN476" t="str">
            <v>silviooliveiras@mme.gov.br</v>
          </cell>
          <cell r="AO476" t="str">
            <v>(61) 2032-5238</v>
          </cell>
          <cell r="AP476" t="str">
            <v>SE25</v>
          </cell>
        </row>
        <row r="477">
          <cell r="A477" t="str">
            <v>SIMONE MARIA DA SILVA SALGADO</v>
          </cell>
          <cell r="B477" t="str">
            <v>284.959.421-00</v>
          </cell>
          <cell r="C477">
            <v>172897</v>
          </cell>
          <cell r="D477" t="str">
            <v>Administrador</v>
          </cell>
          <cell r="E477" t="str">
            <v>Requisitado de Órgãos</v>
          </cell>
          <cell r="F477" t="str">
            <v>ME - Ministério da Economia</v>
          </cell>
          <cell r="G477" t="str">
            <v>SE / SPOA / CGCC / COORDENAÇÃO DE LICITAÇÕES E COMPRA - CLC</v>
          </cell>
          <cell r="H477" t="str">
            <v>8.105.420</v>
          </cell>
          <cell r="Q477" t="str">
            <v>GSISTE</v>
          </cell>
          <cell r="R477" t="str">
            <v>Superior</v>
          </cell>
          <cell r="S477" t="str">
            <v>SISG - Sistema de Serviços Gerais</v>
          </cell>
          <cell r="T477" t="str">
            <v xml:space="preserve">Portaria nº </v>
          </cell>
          <cell r="U477">
            <v>29</v>
          </cell>
          <cell r="V477" t="str">
            <v>31/05/2019</v>
          </cell>
          <cell r="W477" t="str">
            <v>04/06/2019</v>
          </cell>
          <cell r="X477" t="str">
            <v>BPE</v>
          </cell>
          <cell r="Z477" t="str">
            <v>Sem designação</v>
          </cell>
          <cell r="AF477" t="str">
            <v>Feminino</v>
          </cell>
          <cell r="AG477" t="str">
            <v>Branca</v>
          </cell>
          <cell r="AH477" t="str">
            <v>24/11/1962</v>
          </cell>
          <cell r="AI477">
            <v>57</v>
          </cell>
          <cell r="AJ477">
            <v>3158</v>
          </cell>
          <cell r="AK477">
            <v>11985.49</v>
          </cell>
          <cell r="AL477" t="str">
            <v>FA</v>
          </cell>
          <cell r="AM477">
            <v>15143.49</v>
          </cell>
          <cell r="AN477" t="str">
            <v>simone.salgado@mme.gov.br</v>
          </cell>
          <cell r="AO477" t="str">
            <v>(61) 2032-5630</v>
          </cell>
        </row>
        <row r="478">
          <cell r="A478" t="str">
            <v>SYMONE CHRISTINE DE SANTANA ARAUJO</v>
          </cell>
          <cell r="B478" t="str">
            <v>358.921.965-34</v>
          </cell>
          <cell r="C478">
            <v>3089587</v>
          </cell>
          <cell r="D478" t="str">
            <v>Especialista em Política Pública e Gestão Governamental</v>
          </cell>
          <cell r="E478" t="str">
            <v>Exercício Descentralizado</v>
          </cell>
          <cell r="F478" t="str">
            <v>ME - Ministério da Economia</v>
          </cell>
          <cell r="G478" t="str">
            <v>SPG / DEPARTAMENTO DE GÁS NATURAL - DGN</v>
          </cell>
          <cell r="H478" t="str">
            <v>11.102.000</v>
          </cell>
          <cell r="I478" t="str">
            <v>Diretora do Departamento de Gás Natural</v>
          </cell>
          <cell r="J478" t="str">
            <v>DAS</v>
          </cell>
          <cell r="K478" t="str">
            <v>101.5</v>
          </cell>
          <cell r="L478" t="str">
            <v xml:space="preserve">Portaria nº </v>
          </cell>
          <cell r="M478">
            <v>524</v>
          </cell>
          <cell r="N478" t="str">
            <v>03/11/2016</v>
          </cell>
          <cell r="O478" t="str">
            <v>04/11/2016</v>
          </cell>
          <cell r="P478" t="str">
            <v>BPE</v>
          </cell>
          <cell r="Z478" t="str">
            <v>Sem designação</v>
          </cell>
          <cell r="AF478" t="str">
            <v>Feminino</v>
          </cell>
          <cell r="AG478" t="str">
            <v>Branca</v>
          </cell>
          <cell r="AH478" t="str">
            <v>06/09/1965</v>
          </cell>
          <cell r="AI478">
            <v>55</v>
          </cell>
          <cell r="AJ478">
            <v>8174.03</v>
          </cell>
          <cell r="AK478">
            <v>27827.67</v>
          </cell>
          <cell r="AL478" t="str">
            <v>FA</v>
          </cell>
          <cell r="AM478">
            <v>36001.699999999997</v>
          </cell>
          <cell r="AN478" t="str">
            <v>symone.araujo@mme.gov.br</v>
          </cell>
          <cell r="AO478" t="str">
            <v>(61) 2032-5181</v>
          </cell>
          <cell r="AP478" t="str">
            <v>SPG14</v>
          </cell>
        </row>
        <row r="479">
          <cell r="A479" t="str">
            <v>TACIANA MARIA SABATO DE CASTRO</v>
          </cell>
          <cell r="B479" t="str">
            <v>373.229.581-87</v>
          </cell>
          <cell r="C479">
            <v>1282663</v>
          </cell>
          <cell r="D479" t="str">
            <v>Escriturário</v>
          </cell>
          <cell r="E479" t="str">
            <v>Anistiado MME</v>
          </cell>
          <cell r="F479" t="str">
            <v>MME - Ministério de Minas e Energia</v>
          </cell>
          <cell r="G479" t="str">
            <v>SE / SPOA / CGRH / COORDENAÇÃO DE DESENVOLVIMENTO E SEGURIDADE SOCIAL - CODES</v>
          </cell>
          <cell r="H479" t="str">
            <v>8.105.220</v>
          </cell>
          <cell r="Z479" t="str">
            <v>Sem designação</v>
          </cell>
          <cell r="AF479" t="str">
            <v>Feminino</v>
          </cell>
          <cell r="AG479" t="str">
            <v>Branca</v>
          </cell>
          <cell r="AH479" t="str">
            <v>26/01/1966</v>
          </cell>
          <cell r="AI479">
            <v>54</v>
          </cell>
          <cell r="AJ479">
            <v>4129.55</v>
          </cell>
          <cell r="AL479" t="str">
            <v>FA</v>
          </cell>
          <cell r="AM479">
            <v>4129.55</v>
          </cell>
          <cell r="AN479" t="str">
            <v>taciana.castro@mme.gov.br</v>
          </cell>
          <cell r="AO479" t="str">
            <v>(61) 2032-5198</v>
          </cell>
        </row>
        <row r="480">
          <cell r="A480" t="str">
            <v>TANIA GOMES RIBEIRO DE MORAES</v>
          </cell>
          <cell r="B480" t="str">
            <v>504.403.141-00</v>
          </cell>
          <cell r="C480">
            <v>1095438</v>
          </cell>
          <cell r="D480" t="str">
            <v>Contador</v>
          </cell>
          <cell r="E480" t="str">
            <v>Ativo Permanente</v>
          </cell>
          <cell r="F480" t="str">
            <v>MME - Ministério de Minas e Energia</v>
          </cell>
          <cell r="G480" t="str">
            <v>GM / OUVIDORIA GERAL - OUVIR</v>
          </cell>
          <cell r="H480" t="str">
            <v>2.100.500</v>
          </cell>
          <cell r="Q480" t="str">
            <v>GSISTE</v>
          </cell>
          <cell r="R480" t="str">
            <v>Superior</v>
          </cell>
          <cell r="S480" t="str">
            <v>SISG - Sistema de Serviços Gerais</v>
          </cell>
          <cell r="T480" t="str">
            <v xml:space="preserve">Portaria nº </v>
          </cell>
          <cell r="U480">
            <v>27</v>
          </cell>
          <cell r="V480" t="str">
            <v>15/03/2017</v>
          </cell>
          <cell r="W480" t="str">
            <v>15/03/2017</v>
          </cell>
          <cell r="X480" t="str">
            <v>BPE</v>
          </cell>
          <cell r="Y480" t="str">
            <v>Ouvidoria Geral</v>
          </cell>
          <cell r="Z480" t="str">
            <v>Eventual</v>
          </cell>
          <cell r="AA480" t="str">
            <v xml:space="preserve">Portaria nº </v>
          </cell>
          <cell r="AB480">
            <v>327</v>
          </cell>
          <cell r="AC480" t="str">
            <v>21/08/2017</v>
          </cell>
          <cell r="AD480" t="str">
            <v>22/08/2017</v>
          </cell>
          <cell r="AE480" t="str">
            <v>DOU</v>
          </cell>
          <cell r="AF480" t="str">
            <v>Feminino</v>
          </cell>
          <cell r="AG480" t="str">
            <v>Branca</v>
          </cell>
          <cell r="AH480" t="str">
            <v>15/10/1969</v>
          </cell>
          <cell r="AI480">
            <v>51</v>
          </cell>
          <cell r="AJ480">
            <v>12282.71</v>
          </cell>
          <cell r="AL480" t="str">
            <v>FA</v>
          </cell>
          <cell r="AM480">
            <v>12282.71</v>
          </cell>
          <cell r="AN480" t="str">
            <v>taniamoraes@mme.gov.br</v>
          </cell>
          <cell r="AO480" t="str">
            <v>(61) 2032-5036</v>
          </cell>
          <cell r="AQ480" t="str">
            <v>GM09S</v>
          </cell>
        </row>
        <row r="481">
          <cell r="A481" t="str">
            <v>TARCISIO TADEU DE CASTRO</v>
          </cell>
          <cell r="B481" t="str">
            <v>264.790.876-15</v>
          </cell>
          <cell r="C481">
            <v>2682087</v>
          </cell>
          <cell r="D481" t="str">
            <v>Analista de Infraestrutura</v>
          </cell>
          <cell r="E481" t="str">
            <v>Exercício Descentralizado</v>
          </cell>
          <cell r="F481" t="str">
            <v>ME - Ministério da Economia</v>
          </cell>
          <cell r="G481" t="str">
            <v>SEE / DMSE / COORDENAÇÃO GERAL DE MONITORAMENTO DA DISTRIBUIÇÃO</v>
          </cell>
          <cell r="H481" t="str">
            <v>12.102.300</v>
          </cell>
          <cell r="Y481" t="str">
            <v>Gerente de Projeto  da CG de Monitoramento da Expansão da Geração</v>
          </cell>
          <cell r="Z481" t="str">
            <v>Eventual</v>
          </cell>
          <cell r="AA481" t="str">
            <v xml:space="preserve">Portaria nº </v>
          </cell>
          <cell r="AB481">
            <v>259</v>
          </cell>
          <cell r="AC481" t="str">
            <v>26/06/2020</v>
          </cell>
          <cell r="AD481" t="str">
            <v>30/06/2020</v>
          </cell>
          <cell r="AE481" t="str">
            <v>DOU</v>
          </cell>
          <cell r="AF481" t="str">
            <v>Masculino</v>
          </cell>
          <cell r="AG481" t="str">
            <v>Branca</v>
          </cell>
          <cell r="AH481" t="str">
            <v>05/07/1952</v>
          </cell>
          <cell r="AI481">
            <v>68</v>
          </cell>
          <cell r="AJ481">
            <v>0</v>
          </cell>
          <cell r="AK481">
            <v>17938.05</v>
          </cell>
          <cell r="AL481" t="str">
            <v>FA</v>
          </cell>
          <cell r="AM481">
            <v>17938.05</v>
          </cell>
          <cell r="AN481" t="str">
            <v>tarcisio.castro@mme.gov.br</v>
          </cell>
          <cell r="AO481" t="str">
            <v>(61) 2032-5169</v>
          </cell>
          <cell r="AQ481" t="str">
            <v>SEE08S</v>
          </cell>
        </row>
        <row r="482">
          <cell r="A482" t="str">
            <v>TARITA DA SILVA COSTA</v>
          </cell>
          <cell r="B482" t="str">
            <v>007.768.255-69</v>
          </cell>
          <cell r="C482">
            <v>3707401</v>
          </cell>
          <cell r="D482" t="str">
            <v>Analista de Infraestrutura</v>
          </cell>
          <cell r="E482" t="str">
            <v>Exercício Descentralizado</v>
          </cell>
          <cell r="F482" t="str">
            <v>ME - Ministério da Economia</v>
          </cell>
          <cell r="G482" t="str">
            <v>SPE / DPE / COORDENAÇÃO GERAL DE PLANEJAMENTO DA GERAÇÃO</v>
          </cell>
          <cell r="H482" t="str">
            <v>10.101.200</v>
          </cell>
          <cell r="I482" t="str">
            <v>Coordenadora Geral de Planejamento da Geração do Departamento de Planejamento Energético</v>
          </cell>
          <cell r="J482" t="str">
            <v>DAS</v>
          </cell>
          <cell r="K482" t="str">
            <v>101.4</v>
          </cell>
          <cell r="L482" t="str">
            <v xml:space="preserve">Portaria nº </v>
          </cell>
          <cell r="M482">
            <v>30</v>
          </cell>
          <cell r="N482" t="str">
            <v>29/01/2018</v>
          </cell>
          <cell r="O482" t="str">
            <v>30/01/2018</v>
          </cell>
          <cell r="P482" t="str">
            <v>DOU</v>
          </cell>
          <cell r="Z482" t="str">
            <v>Sem designação</v>
          </cell>
          <cell r="AF482" t="str">
            <v>Feminino</v>
          </cell>
          <cell r="AG482" t="str">
            <v>Branca</v>
          </cell>
          <cell r="AH482" t="str">
            <v>18/09/1982</v>
          </cell>
          <cell r="AI482">
            <v>38</v>
          </cell>
          <cell r="AJ482">
            <v>6223.98</v>
          </cell>
          <cell r="AK482">
            <v>16847.8</v>
          </cell>
          <cell r="AL482" t="str">
            <v>FA</v>
          </cell>
          <cell r="AM482">
            <v>23071.78</v>
          </cell>
          <cell r="AN482" t="str">
            <v>tarita.costa@mme.gov.br</v>
          </cell>
          <cell r="AO482" t="str">
            <v>(61) 2032-5576</v>
          </cell>
          <cell r="AP482" t="str">
            <v>SPE14</v>
          </cell>
        </row>
        <row r="483">
          <cell r="A483" t="str">
            <v>TATIANNA GOMES BEZERRA PEREIRA</v>
          </cell>
          <cell r="B483" t="str">
            <v>807.236.241-00</v>
          </cell>
          <cell r="C483">
            <v>1301430</v>
          </cell>
          <cell r="D483" t="str">
            <v>Sem Cargo/Emprego</v>
          </cell>
          <cell r="E483" t="str">
            <v>Sem Vínculo</v>
          </cell>
          <cell r="F483" t="str">
            <v>Sem Vínculo</v>
          </cell>
          <cell r="G483" t="str">
            <v>SEE / CHEFIA DE GABINETE SEE</v>
          </cell>
          <cell r="H483" t="str">
            <v>12.100.000</v>
          </cell>
          <cell r="I483" t="str">
            <v>Assistente da Secretaria de Energia Elétrica</v>
          </cell>
          <cell r="J483" t="str">
            <v>DAS</v>
          </cell>
          <cell r="K483" t="str">
            <v>102.2</v>
          </cell>
          <cell r="L483" t="str">
            <v xml:space="preserve">Portaria nº </v>
          </cell>
          <cell r="M483">
            <v>524</v>
          </cell>
          <cell r="N483" t="str">
            <v>03/11/2016</v>
          </cell>
          <cell r="O483" t="str">
            <v>04/11/2016</v>
          </cell>
          <cell r="P483" t="str">
            <v>BPE</v>
          </cell>
          <cell r="Z483" t="str">
            <v>Sem designação</v>
          </cell>
          <cell r="AF483" t="str">
            <v>Feminino</v>
          </cell>
          <cell r="AG483" t="str">
            <v>Branca</v>
          </cell>
          <cell r="AH483" t="str">
            <v>21/02/1979</v>
          </cell>
          <cell r="AI483">
            <v>41</v>
          </cell>
          <cell r="AJ483">
            <v>3440.75</v>
          </cell>
          <cell r="AL483" t="str">
            <v>FA</v>
          </cell>
          <cell r="AM483">
            <v>3440.75</v>
          </cell>
          <cell r="AN483" t="str">
            <v>tatianna.pereira@mme.gov.br</v>
          </cell>
          <cell r="AO483" t="str">
            <v>(61) 2032-5923</v>
          </cell>
          <cell r="AP483" t="str">
            <v>SEE08</v>
          </cell>
        </row>
        <row r="484">
          <cell r="A484" t="str">
            <v>TATIELE LIMA GUIMARAES</v>
          </cell>
          <cell r="B484" t="str">
            <v>012.515.371-62</v>
          </cell>
          <cell r="C484">
            <v>2192999</v>
          </cell>
          <cell r="D484" t="str">
            <v>Sem Cargo/Emprego</v>
          </cell>
          <cell r="E484" t="str">
            <v>Sem Vínculo</v>
          </cell>
          <cell r="F484" t="str">
            <v>Sem Vínculo</v>
          </cell>
          <cell r="G484" t="str">
            <v>GM / ASSESSORIA PARLAMENTAR - ASPAR</v>
          </cell>
          <cell r="H484" t="str">
            <v>2.100.200</v>
          </cell>
          <cell r="I484" t="str">
            <v>Assessora Técnica da Assessoria Especial de Assuntos Econômicos</v>
          </cell>
          <cell r="J484" t="str">
            <v>DAS</v>
          </cell>
          <cell r="K484" t="str">
            <v>102.3</v>
          </cell>
          <cell r="L484" t="str">
            <v xml:space="preserve">Portaria nº </v>
          </cell>
          <cell r="M484">
            <v>177</v>
          </cell>
          <cell r="N484" t="str">
            <v>26/03/2019</v>
          </cell>
          <cell r="O484" t="str">
            <v>28/03/2019</v>
          </cell>
          <cell r="P484" t="str">
            <v>DOU</v>
          </cell>
          <cell r="Z484" t="str">
            <v>Sem designação</v>
          </cell>
          <cell r="AF484" t="str">
            <v>Feminino</v>
          </cell>
          <cell r="AG484" t="str">
            <v>Branca</v>
          </cell>
          <cell r="AH484" t="str">
            <v>17/08/1990</v>
          </cell>
          <cell r="AI484">
            <v>30</v>
          </cell>
          <cell r="AJ484">
            <v>5685.55</v>
          </cell>
          <cell r="AL484" t="str">
            <v>FA</v>
          </cell>
          <cell r="AM484">
            <v>5685.55</v>
          </cell>
          <cell r="AN484" t="str">
            <v>tatiele.guimaraes@mme.gov.br</v>
          </cell>
          <cell r="AO484" t="str">
            <v>(61) 2032-5132</v>
          </cell>
          <cell r="AP484" t="str">
            <v>ASSEC09</v>
          </cell>
        </row>
        <row r="485">
          <cell r="A485" t="str">
            <v>TERENCIO TONHA BRANDAO JUNIOR</v>
          </cell>
          <cell r="B485" t="str">
            <v>005.684.631-29</v>
          </cell>
          <cell r="C485">
            <v>2604383</v>
          </cell>
          <cell r="D485" t="str">
            <v>Sem Cargo/Emprego</v>
          </cell>
          <cell r="E485" t="str">
            <v>Sem Vínculo</v>
          </cell>
          <cell r="F485" t="str">
            <v>Sem Vínculo</v>
          </cell>
          <cell r="G485" t="str">
            <v>SE / SPOA / CGRL / COORDENAÇÃO DE ATIVIDADES GERAIS - COAGE</v>
          </cell>
          <cell r="H485" t="str">
            <v>8.105.120</v>
          </cell>
          <cell r="I485" t="str">
            <v xml:space="preserve">Chefe da Divisão de Administração de Transporte da Coordenação de Atividades Gerais </v>
          </cell>
          <cell r="J485" t="str">
            <v>DAS</v>
          </cell>
          <cell r="K485" t="str">
            <v>101.2</v>
          </cell>
          <cell r="L485" t="str">
            <v xml:space="preserve">Portaria nº </v>
          </cell>
          <cell r="M485">
            <v>388</v>
          </cell>
          <cell r="N485" t="str">
            <v>14/09/2018</v>
          </cell>
          <cell r="O485" t="str">
            <v>17/09/2018</v>
          </cell>
          <cell r="P485" t="str">
            <v>DOU</v>
          </cell>
          <cell r="Z485" t="str">
            <v>Sem designação</v>
          </cell>
          <cell r="AF485" t="str">
            <v>Masculino</v>
          </cell>
          <cell r="AG485" t="str">
            <v>Branca</v>
          </cell>
          <cell r="AH485" t="str">
            <v>20/12/1983</v>
          </cell>
          <cell r="AI485">
            <v>36</v>
          </cell>
          <cell r="AJ485">
            <v>3440.75</v>
          </cell>
          <cell r="AL485" t="str">
            <v>FA</v>
          </cell>
          <cell r="AM485">
            <v>3440.75</v>
          </cell>
          <cell r="AN485" t="str">
            <v>terencio.junior@mme.gov.br</v>
          </cell>
          <cell r="AO485" t="str">
            <v>(61) 2032-5314</v>
          </cell>
          <cell r="AP485" t="str">
            <v>SE56</v>
          </cell>
        </row>
        <row r="486">
          <cell r="A486" t="str">
            <v>TEREZA MARIA DA COSTA</v>
          </cell>
          <cell r="B486" t="str">
            <v>400.666.731-00</v>
          </cell>
          <cell r="C486">
            <v>455999</v>
          </cell>
          <cell r="D486" t="str">
            <v>Telefonista</v>
          </cell>
          <cell r="E486" t="str">
            <v>Ativo Permanente</v>
          </cell>
          <cell r="F486" t="str">
            <v>MME - Ministério de Minas e Energia</v>
          </cell>
          <cell r="G486" t="str">
            <v>SE / AEGP / CGPF / COORDENAÇÃO ADMINISTRATIVA</v>
          </cell>
          <cell r="H486" t="str">
            <v>8.103.110</v>
          </cell>
          <cell r="I486" t="str">
            <v>Função Comissionada Técnica - Técnico de Sistemas Operacionais e Administrativos</v>
          </cell>
          <cell r="J486" t="str">
            <v>FCT</v>
          </cell>
          <cell r="K486">
            <v>10</v>
          </cell>
          <cell r="L486" t="str">
            <v xml:space="preserve">Portaria nº </v>
          </cell>
          <cell r="M486">
            <v>478</v>
          </cell>
          <cell r="N486" t="str">
            <v>15/08/2012</v>
          </cell>
          <cell r="O486" t="str">
            <v>16/08/2012</v>
          </cell>
          <cell r="P486" t="str">
            <v>DOU</v>
          </cell>
          <cell r="Y486" t="str">
            <v>Coordenação Administrativa da CG de Planejamento, Finanças e Controle</v>
          </cell>
          <cell r="Z486" t="str">
            <v>Eventual</v>
          </cell>
          <cell r="AA486" t="str">
            <v xml:space="preserve">Portaria nº </v>
          </cell>
          <cell r="AB486">
            <v>216</v>
          </cell>
          <cell r="AC486" t="str">
            <v>05/06/2017</v>
          </cell>
          <cell r="AD486" t="str">
            <v>06/06/2017</v>
          </cell>
          <cell r="AE486" t="str">
            <v>DOU</v>
          </cell>
          <cell r="AF486" t="str">
            <v>Feminino</v>
          </cell>
          <cell r="AG486" t="str">
            <v>Parda</v>
          </cell>
          <cell r="AH486" t="str">
            <v>06/01/1969</v>
          </cell>
          <cell r="AI486">
            <v>51</v>
          </cell>
          <cell r="AJ486">
            <v>5595.64</v>
          </cell>
          <cell r="AL486" t="str">
            <v>FA</v>
          </cell>
          <cell r="AM486">
            <v>5595.64</v>
          </cell>
          <cell r="AN486" t="str">
            <v>tereza.costa@mme.gov.br</v>
          </cell>
          <cell r="AO486" t="str">
            <v>(61) 2032-5529</v>
          </cell>
          <cell r="AQ486" t="str">
            <v>SE13S</v>
          </cell>
        </row>
        <row r="487">
          <cell r="A487" t="str">
            <v>TEREZINHA AGUIAR ALMEIDA</v>
          </cell>
          <cell r="B487" t="str">
            <v>153.378.041-20</v>
          </cell>
          <cell r="C487">
            <v>95496</v>
          </cell>
          <cell r="D487" t="str">
            <v>Administrador</v>
          </cell>
          <cell r="E487" t="str">
            <v>Ativo Permanente</v>
          </cell>
          <cell r="F487" t="str">
            <v>MME - Ministério de Minas e Energia</v>
          </cell>
          <cell r="G487" t="str">
            <v>SE / SPOA / COORDENAÇÃO DE MODERNIZAÇÃO ADMINISTRATIVA - CMA</v>
          </cell>
          <cell r="H487" t="str">
            <v>8.105.010</v>
          </cell>
          <cell r="I487" t="str">
            <v>Coordenadora de Modernização Administrativa da Subsecretaria de Planejamento, Orçamento e Administração</v>
          </cell>
          <cell r="J487" t="str">
            <v>DAS</v>
          </cell>
          <cell r="K487" t="str">
            <v>101.3</v>
          </cell>
          <cell r="L487" t="str">
            <v xml:space="preserve">Portaria nº </v>
          </cell>
          <cell r="M487">
            <v>524</v>
          </cell>
          <cell r="N487" t="str">
            <v>03/11/2016</v>
          </cell>
          <cell r="O487" t="str">
            <v>04/11/2016</v>
          </cell>
          <cell r="P487" t="str">
            <v>BPE</v>
          </cell>
          <cell r="Q487" t="str">
            <v>GSISTE</v>
          </cell>
          <cell r="R487" t="str">
            <v>Superior</v>
          </cell>
          <cell r="S487" t="str">
            <v>SISG - Sistema de Serviços Gerais</v>
          </cell>
          <cell r="T487" t="str">
            <v xml:space="preserve">Portaria nº </v>
          </cell>
          <cell r="U487">
            <v>60</v>
          </cell>
          <cell r="V487" t="str">
            <v>19/06/2009</v>
          </cell>
          <cell r="W487" t="str">
            <v>19/06/2009</v>
          </cell>
          <cell r="X487" t="str">
            <v>BPE</v>
          </cell>
          <cell r="Z487" t="str">
            <v>Sem designação</v>
          </cell>
          <cell r="AF487" t="str">
            <v>Feminino</v>
          </cell>
          <cell r="AG487" t="str">
            <v>Parda</v>
          </cell>
          <cell r="AH487" t="str">
            <v>11/10/1953</v>
          </cell>
          <cell r="AI487">
            <v>67</v>
          </cell>
          <cell r="AJ487">
            <v>18459.150000000001</v>
          </cell>
          <cell r="AL487" t="str">
            <v>FA</v>
          </cell>
          <cell r="AM487">
            <v>18459.150000000001</v>
          </cell>
          <cell r="AN487" t="str">
            <v>Terezinha@mme.gov.br</v>
          </cell>
          <cell r="AO487" t="str">
            <v>(61) 2032-5287</v>
          </cell>
          <cell r="AP487" t="str">
            <v>SE44</v>
          </cell>
        </row>
        <row r="488">
          <cell r="A488" t="str">
            <v>THAIS MARCIA FERNANDES MATANO LACERDA</v>
          </cell>
          <cell r="B488" t="str">
            <v>392.758.251-49</v>
          </cell>
          <cell r="C488">
            <v>1997387</v>
          </cell>
          <cell r="D488" t="str">
            <v>Sem Cargo/Emprego</v>
          </cell>
          <cell r="E488" t="str">
            <v>Sem Vínculo</v>
          </cell>
          <cell r="F488" t="str">
            <v>Sem Vínculo</v>
          </cell>
          <cell r="G488" t="str">
            <v>CONSULTORIA JURÍDICA - CONJUR</v>
          </cell>
          <cell r="H488" t="str">
            <v>7.000.000</v>
          </cell>
          <cell r="I488" t="str">
            <v>Consultora Jurídica</v>
          </cell>
          <cell r="J488" t="str">
            <v>DAS</v>
          </cell>
          <cell r="K488" t="str">
            <v>101.5</v>
          </cell>
          <cell r="L488" t="str">
            <v xml:space="preserve">Portaria nº </v>
          </cell>
          <cell r="M488">
            <v>1352</v>
          </cell>
          <cell r="N488" t="str">
            <v>28/02/2019</v>
          </cell>
          <cell r="O488" t="str">
            <v>01/03/2019</v>
          </cell>
          <cell r="P488" t="str">
            <v>DOU</v>
          </cell>
          <cell r="Z488" t="str">
            <v>Sem designação</v>
          </cell>
          <cell r="AF488" t="str">
            <v>Feminino</v>
          </cell>
          <cell r="AG488" t="str">
            <v>Branca</v>
          </cell>
          <cell r="AH488" t="str">
            <v>08/08/1964</v>
          </cell>
          <cell r="AI488">
            <v>56</v>
          </cell>
          <cell r="AJ488">
            <v>13623.39</v>
          </cell>
          <cell r="AL488" t="str">
            <v>FA</v>
          </cell>
          <cell r="AM488">
            <v>13623.39</v>
          </cell>
          <cell r="AN488" t="str">
            <v>thais.lacerda@mme.gov.br</v>
          </cell>
          <cell r="AO488" t="str">
            <v>(61) 2032-5583</v>
          </cell>
          <cell r="AP488" t="str">
            <v>CONJUR01</v>
          </cell>
        </row>
        <row r="489">
          <cell r="A489" t="str">
            <v>THANIA REGINA PEREIRA LOPES</v>
          </cell>
          <cell r="B489" t="str">
            <v>437.092.572-04</v>
          </cell>
          <cell r="C489">
            <v>1093546</v>
          </cell>
          <cell r="D489" t="str">
            <v>Técnico de Contabilidade</v>
          </cell>
          <cell r="E489" t="str">
            <v>Requisitado de Órgãos</v>
          </cell>
          <cell r="F489" t="str">
            <v>MCTIC - Ministério da Ciência, Tecnologia, Inovações e Comunicações</v>
          </cell>
          <cell r="G489" t="str">
            <v>SE / SPOA / CGOF / COORDENAÇÃO DE CONTABILIDADE - CONT</v>
          </cell>
          <cell r="H489" t="str">
            <v>8.105.520</v>
          </cell>
          <cell r="I489" t="str">
            <v>Função Comissionada Técnica - Assistente Técnico de Orçamento e Finanças</v>
          </cell>
          <cell r="J489" t="str">
            <v>FCT</v>
          </cell>
          <cell r="K489">
            <v>5</v>
          </cell>
          <cell r="L489" t="str">
            <v xml:space="preserve">Portaria nº </v>
          </cell>
          <cell r="M489">
            <v>637</v>
          </cell>
          <cell r="N489" t="str">
            <v>23/11/2016</v>
          </cell>
          <cell r="O489" t="str">
            <v>24/11/2016</v>
          </cell>
          <cell r="P489" t="str">
            <v>DOU</v>
          </cell>
          <cell r="Q489" t="str">
            <v>GSISTE</v>
          </cell>
          <cell r="R489" t="str">
            <v>Intermediário (MPAAC)</v>
          </cell>
          <cell r="S489" t="str">
            <v>SCF - Sistema de Controle Federal</v>
          </cell>
          <cell r="T489" t="str">
            <v xml:space="preserve">Portaria nº </v>
          </cell>
          <cell r="U489">
            <v>5</v>
          </cell>
          <cell r="V489" t="str">
            <v>01/02/2016</v>
          </cell>
          <cell r="W489" t="str">
            <v>03/02/2016</v>
          </cell>
          <cell r="X489" t="str">
            <v>DOU</v>
          </cell>
          <cell r="Z489" t="str">
            <v>Sem designação</v>
          </cell>
          <cell r="AF489" t="str">
            <v>Feminino</v>
          </cell>
          <cell r="AG489" t="str">
            <v>Parda</v>
          </cell>
          <cell r="AH489" t="str">
            <v>23/04/1970</v>
          </cell>
          <cell r="AI489">
            <v>50</v>
          </cell>
          <cell r="AJ489">
            <v>3299.22</v>
          </cell>
          <cell r="AK489">
            <v>5299.76</v>
          </cell>
          <cell r="AL489" t="str">
            <v>FA</v>
          </cell>
          <cell r="AM489">
            <v>8598.98</v>
          </cell>
          <cell r="AN489" t="str">
            <v>thania.lopes@mme.gov.br</v>
          </cell>
          <cell r="AO489" t="str">
            <v>(61) 2032-5571</v>
          </cell>
        </row>
        <row r="490">
          <cell r="A490" t="str">
            <v>THELMA DE OLIVEIRA FALCÃO</v>
          </cell>
          <cell r="B490" t="str">
            <v>220.428.141-72</v>
          </cell>
          <cell r="C490">
            <v>451661</v>
          </cell>
          <cell r="D490" t="str">
            <v>Agente Administrativo</v>
          </cell>
          <cell r="E490" t="str">
            <v>Ativo Permanente</v>
          </cell>
          <cell r="F490" t="str">
            <v>MME - Ministério de Minas e Energia</v>
          </cell>
          <cell r="G490" t="str">
            <v>Aguardando Lotação/Exercício</v>
          </cell>
          <cell r="H490" t="str">
            <v>88.000.000</v>
          </cell>
          <cell r="Z490" t="str">
            <v>Sem designação</v>
          </cell>
          <cell r="AF490" t="str">
            <v>Feminino</v>
          </cell>
          <cell r="AG490" t="str">
            <v>Branca</v>
          </cell>
          <cell r="AH490" t="str">
            <v>27/11/1960</v>
          </cell>
          <cell r="AI490">
            <v>59</v>
          </cell>
          <cell r="AJ490">
            <v>5153.32</v>
          </cell>
          <cell r="AL490" t="str">
            <v>DIR</v>
          </cell>
          <cell r="AM490">
            <v>5153.32</v>
          </cell>
        </row>
        <row r="491">
          <cell r="A491" t="str">
            <v>THEREZA CHRISTINA DE ALMEIDA CASTRO</v>
          </cell>
          <cell r="B491" t="str">
            <v>437.092.572-04</v>
          </cell>
          <cell r="C491">
            <v>4458996</v>
          </cell>
          <cell r="D491" t="str">
            <v>Especialista em Política Pública e Gestão Governamental</v>
          </cell>
          <cell r="E491" t="str">
            <v>Requisitado de Órgãos</v>
          </cell>
          <cell r="F491" t="str">
            <v>ME - Ministério da Economia</v>
          </cell>
          <cell r="G491" t="str">
            <v>SPG / CHEFIA DE GABINETE SPG</v>
          </cell>
          <cell r="H491" t="str">
            <v>11.100.000</v>
          </cell>
          <cell r="I491" t="str">
            <v>Assessora da Secretaria de Petróleo, Gás Natural e Biocombustíveis</v>
          </cell>
          <cell r="J491" t="str">
            <v>DAS</v>
          </cell>
          <cell r="K491" t="str">
            <v>101.4</v>
          </cell>
          <cell r="L491" t="str">
            <v xml:space="preserve">Portaria nº </v>
          </cell>
          <cell r="M491">
            <v>582</v>
          </cell>
          <cell r="N491" t="str">
            <v>03/11/2016</v>
          </cell>
          <cell r="O491" t="str">
            <v>04/11/2016</v>
          </cell>
          <cell r="P491" t="str">
            <v>DOU</v>
          </cell>
          <cell r="Z491" t="str">
            <v>Sem designação</v>
          </cell>
          <cell r="AF491" t="str">
            <v>Feminino</v>
          </cell>
          <cell r="AG491" t="str">
            <v>Branca</v>
          </cell>
          <cell r="AH491" t="str">
            <v>05/07/1973</v>
          </cell>
          <cell r="AI491">
            <v>47</v>
          </cell>
          <cell r="AJ491">
            <v>6223.98</v>
          </cell>
          <cell r="AK491">
            <v>27827.67</v>
          </cell>
          <cell r="AL491" t="str">
            <v>FA</v>
          </cell>
          <cell r="AM491">
            <v>34051.649999999994</v>
          </cell>
          <cell r="AN491" t="str">
            <v>thereza.almeida@mme.gov.br</v>
          </cell>
          <cell r="AO491" t="str">
            <v>(61) 2032-5664</v>
          </cell>
          <cell r="AP491" t="str">
            <v>SPG03</v>
          </cell>
        </row>
        <row r="492">
          <cell r="A492" t="str">
            <v>THIAGO COSMO LUCENA</v>
          </cell>
          <cell r="B492" t="str">
            <v>905.031.551-87</v>
          </cell>
          <cell r="C492">
            <v>3103299</v>
          </cell>
          <cell r="D492" t="str">
            <v>Administrador</v>
          </cell>
          <cell r="E492" t="str">
            <v>Requisitado de Órgãos</v>
          </cell>
          <cell r="F492" t="str">
            <v>MJSP - Ministério da Justiça e Segurança Pública</v>
          </cell>
          <cell r="G492" t="str">
            <v>SE / SPOA / COORDENAÇÃO GERAL DE RECURSOS LOGÍSTICOS - CGRL</v>
          </cell>
          <cell r="H492" t="str">
            <v>8.105.100</v>
          </cell>
          <cell r="Q492" t="str">
            <v>GSISTE</v>
          </cell>
          <cell r="R492" t="str">
            <v>Superior</v>
          </cell>
          <cell r="S492" t="str">
            <v>SISG - Sistema de Serviços Gerais</v>
          </cell>
          <cell r="T492" t="str">
            <v xml:space="preserve">Portaria nº </v>
          </cell>
          <cell r="U492">
            <v>1</v>
          </cell>
          <cell r="V492" t="str">
            <v>09/01/2017</v>
          </cell>
          <cell r="W492" t="str">
            <v>12/06/2017</v>
          </cell>
          <cell r="X492" t="str">
            <v>BPE</v>
          </cell>
          <cell r="Z492" t="str">
            <v>Sem designação</v>
          </cell>
          <cell r="AF492" t="str">
            <v>Masculino</v>
          </cell>
          <cell r="AG492" t="str">
            <v>Branca</v>
          </cell>
          <cell r="AH492" t="str">
            <v>09/11/1982</v>
          </cell>
          <cell r="AI492">
            <v>37</v>
          </cell>
          <cell r="AJ492">
            <v>3158</v>
          </cell>
          <cell r="AK492">
            <v>8713.01</v>
          </cell>
          <cell r="AL492" t="str">
            <v>FA</v>
          </cell>
          <cell r="AM492">
            <v>11871.01</v>
          </cell>
          <cell r="AN492" t="str">
            <v>thiago.lucena@mme.gov.br</v>
          </cell>
          <cell r="AO492" t="str">
            <v>(61) 2032-5827</v>
          </cell>
        </row>
        <row r="493">
          <cell r="A493" t="str">
            <v>THIAGO DE FREITAS BENEVENUTO</v>
          </cell>
          <cell r="B493" t="str">
            <v>797.868.471-72</v>
          </cell>
          <cell r="C493">
            <v>3507933</v>
          </cell>
          <cell r="D493" t="str">
            <v>Advogado da União</v>
          </cell>
          <cell r="E493" t="str">
            <v>Exercício Descentralizado</v>
          </cell>
          <cell r="F493" t="str">
            <v>AGU - Advocacia Geral da União</v>
          </cell>
          <cell r="G493" t="str">
            <v>CONJUR / COORDENAÇÃO GERAL DE ASSUNTOS DE PETRÓLEO E MINERAÇÃO</v>
          </cell>
          <cell r="H493" t="str">
            <v>7.100.200</v>
          </cell>
          <cell r="I493" t="str">
            <v>Coordenador Geral de Assuntos de Petróleo e Mineração da Consultoria Jurídica</v>
          </cell>
          <cell r="J493" t="str">
            <v>FCPE</v>
          </cell>
          <cell r="K493" t="str">
            <v>101.4</v>
          </cell>
          <cell r="L493" t="str">
            <v xml:space="preserve">Portaria nº </v>
          </cell>
          <cell r="M493">
            <v>140</v>
          </cell>
          <cell r="N493" t="str">
            <v>10/04/2017</v>
          </cell>
          <cell r="O493" t="str">
            <v>13/04/2017</v>
          </cell>
          <cell r="P493" t="str">
            <v>DOU</v>
          </cell>
          <cell r="Y493" t="str">
            <v>Consultor Jurídico</v>
          </cell>
          <cell r="Z493" t="str">
            <v>Eventual</v>
          </cell>
          <cell r="AA493" t="str">
            <v xml:space="preserve">Portaria nº </v>
          </cell>
          <cell r="AB493">
            <v>410</v>
          </cell>
          <cell r="AC493" t="str">
            <v>24/09/2018</v>
          </cell>
          <cell r="AD493" t="str">
            <v>26/09/2018</v>
          </cell>
          <cell r="AE493" t="str">
            <v>DOU</v>
          </cell>
          <cell r="AF493" t="str">
            <v>Masculino</v>
          </cell>
          <cell r="AG493" t="str">
            <v>Branca</v>
          </cell>
          <cell r="AH493" t="str">
            <v>21/07/1980</v>
          </cell>
          <cell r="AI493">
            <v>40</v>
          </cell>
          <cell r="AJ493">
            <v>6223.98</v>
          </cell>
          <cell r="AK493">
            <v>28199.08</v>
          </cell>
          <cell r="AL493" t="str">
            <v>FA</v>
          </cell>
          <cell r="AM493">
            <v>34423.06</v>
          </cell>
          <cell r="AN493" t="str">
            <v>thiago.benevenuto@mme.gov.br</v>
          </cell>
          <cell r="AO493" t="str">
            <v>(61) 2032-5152</v>
          </cell>
          <cell r="AP493" t="str">
            <v>CONJUR10</v>
          </cell>
          <cell r="AQ493" t="str">
            <v>CONJUR01S</v>
          </cell>
        </row>
        <row r="494">
          <cell r="A494" t="str">
            <v>THIAGO GUILHERME FERREIRA PRADO</v>
          </cell>
          <cell r="B494" t="str">
            <v>857.938.841-49</v>
          </cell>
          <cell r="C494">
            <v>1435826</v>
          </cell>
          <cell r="D494" t="str">
            <v>Especialista em Regulação de Serv Púb de Energia</v>
          </cell>
          <cell r="E494" t="str">
            <v>Requisitado de Órgãos</v>
          </cell>
          <cell r="F494" t="str">
            <v>ANEEL - Agência Nacional de Energia Elétrica</v>
          </cell>
          <cell r="G494" t="str">
            <v>SPE / DEPARTAMENTO DE PLANEJAMENTO ENERGÉTICO - DPE</v>
          </cell>
          <cell r="H494" t="str">
            <v>10.101.000</v>
          </cell>
          <cell r="I494" t="str">
            <v>Diretor do Departamento de Planejamento Energético</v>
          </cell>
          <cell r="J494" t="str">
            <v>DAS</v>
          </cell>
          <cell r="K494" t="str">
            <v>101.5</v>
          </cell>
          <cell r="L494" t="str">
            <v xml:space="preserve">Portaria nº </v>
          </cell>
          <cell r="M494">
            <v>1358</v>
          </cell>
          <cell r="N494" t="str">
            <v>01/03/2019</v>
          </cell>
          <cell r="O494" t="str">
            <v>06/03/2019</v>
          </cell>
          <cell r="P494" t="str">
            <v>DOU</v>
          </cell>
          <cell r="Z494" t="str">
            <v>Sem designação</v>
          </cell>
          <cell r="AF494" t="str">
            <v>Masculino</v>
          </cell>
          <cell r="AG494" t="str">
            <v>Parda</v>
          </cell>
          <cell r="AH494" t="str">
            <v>10/05/1980</v>
          </cell>
          <cell r="AI494">
            <v>40</v>
          </cell>
          <cell r="AJ494">
            <v>8174.03</v>
          </cell>
          <cell r="AK494">
            <v>21140.07</v>
          </cell>
          <cell r="AL494" t="str">
            <v>FA</v>
          </cell>
          <cell r="AM494">
            <v>29314.1</v>
          </cell>
          <cell r="AN494" t="str">
            <v>thiago.prado@mme.gov.br</v>
          </cell>
          <cell r="AO494" t="str">
            <v>(61) 2032-5985</v>
          </cell>
          <cell r="AP494" t="str">
            <v>SPE09</v>
          </cell>
        </row>
        <row r="495">
          <cell r="A495" t="str">
            <v>UMBERTO MATTEI</v>
          </cell>
          <cell r="B495" t="str">
            <v>089.138.217-88</v>
          </cell>
          <cell r="C495">
            <v>3460202</v>
          </cell>
          <cell r="D495" t="str">
            <v>Especialista em Política Pública e Gestão Governamental</v>
          </cell>
          <cell r="E495" t="str">
            <v>Exercício Descentralizado</v>
          </cell>
          <cell r="F495" t="str">
            <v>ME - Ministério da Economia</v>
          </cell>
          <cell r="G495" t="str">
            <v>SPG / DEPARTAMENTO DE BIOCOMBUSTÍVEIS - DBIO</v>
          </cell>
          <cell r="H495" t="str">
            <v>11.104.000</v>
          </cell>
          <cell r="Y495" t="str">
            <v>Coordenação Geral de Biodiesel e outros Combustíveis</v>
          </cell>
          <cell r="Z495" t="str">
            <v>Eventual</v>
          </cell>
          <cell r="AA495" t="str">
            <v xml:space="preserve">Portaria nº </v>
          </cell>
          <cell r="AB495">
            <v>321</v>
          </cell>
          <cell r="AC495" t="str">
            <v>15/08/2019</v>
          </cell>
          <cell r="AD495" t="str">
            <v>16/08/2019</v>
          </cell>
          <cell r="AE495" t="str">
            <v>DOU</v>
          </cell>
          <cell r="AF495" t="str">
            <v>Masculino</v>
          </cell>
          <cell r="AG495" t="str">
            <v>Branca</v>
          </cell>
          <cell r="AH495" t="str">
            <v>17/07/1974</v>
          </cell>
          <cell r="AI495">
            <v>46</v>
          </cell>
          <cell r="AJ495">
            <v>0</v>
          </cell>
          <cell r="AK495">
            <v>27827.67</v>
          </cell>
          <cell r="AL495" t="str">
            <v>FA</v>
          </cell>
          <cell r="AM495">
            <v>27827.67</v>
          </cell>
          <cell r="AN495" t="str">
            <v>umberto.mattei@mme.gov.br</v>
          </cell>
          <cell r="AO495" t="str">
            <v>(61) 2032-5346</v>
          </cell>
          <cell r="AQ495" t="str">
            <v>SPG15S</v>
          </cell>
        </row>
        <row r="496">
          <cell r="A496" t="str">
            <v>VALDIR BORGES SOUZA JUNIOR</v>
          </cell>
          <cell r="B496" t="str">
            <v>905.031.551-87</v>
          </cell>
          <cell r="C496">
            <v>3661467</v>
          </cell>
          <cell r="D496" t="str">
            <v>Analista de Infraestrutura</v>
          </cell>
          <cell r="E496" t="str">
            <v>Requisitado de Órgãos</v>
          </cell>
          <cell r="F496" t="str">
            <v>ME - Ministério da Economia</v>
          </cell>
          <cell r="G496" t="str">
            <v>SPE / CHEFIA DE GABINETE SPE</v>
          </cell>
          <cell r="H496" t="str">
            <v>10.100.000</v>
          </cell>
          <cell r="I496" t="str">
            <v>Assessor da Secretaria de Planejamento e Desenvolvimento Energético</v>
          </cell>
          <cell r="J496" t="str">
            <v>DAS</v>
          </cell>
          <cell r="K496" t="str">
            <v>102.4</v>
          </cell>
          <cell r="L496" t="str">
            <v xml:space="preserve">Portaria nº </v>
          </cell>
          <cell r="M496">
            <v>241</v>
          </cell>
          <cell r="N496" t="str">
            <v>11/06/2018</v>
          </cell>
          <cell r="O496" t="str">
            <v>14/06/2018</v>
          </cell>
          <cell r="P496" t="str">
            <v>DOU</v>
          </cell>
          <cell r="Y496" t="str">
            <v>Coordenação Geral de Sustentabilidade Ambiental do Setor Energético</v>
          </cell>
          <cell r="Z496" t="str">
            <v>Eventual</v>
          </cell>
          <cell r="AA496" t="str">
            <v xml:space="preserve">Portaria nº </v>
          </cell>
          <cell r="AB496">
            <v>704</v>
          </cell>
          <cell r="AC496" t="str">
            <v>13/12/2016</v>
          </cell>
          <cell r="AD496" t="str">
            <v>14/12/2016</v>
          </cell>
          <cell r="AE496" t="str">
            <v>DOU</v>
          </cell>
          <cell r="AF496" t="str">
            <v>Masculino</v>
          </cell>
          <cell r="AG496" t="str">
            <v>Parda</v>
          </cell>
          <cell r="AH496" t="str">
            <v>05/01/1981</v>
          </cell>
          <cell r="AI496">
            <v>39</v>
          </cell>
          <cell r="AJ496">
            <v>6223.98</v>
          </cell>
          <cell r="AK496">
            <v>16205.8</v>
          </cell>
          <cell r="AL496" t="str">
            <v>FA</v>
          </cell>
          <cell r="AM496">
            <v>22429.78</v>
          </cell>
          <cell r="AN496" t="str">
            <v>valdir.junior@mme.gov.br</v>
          </cell>
          <cell r="AO496" t="str">
            <v>(61) 2032-5814</v>
          </cell>
          <cell r="AP496" t="str">
            <v>SPE04</v>
          </cell>
          <cell r="AQ496" t="str">
            <v>SPE09S</v>
          </cell>
        </row>
        <row r="497">
          <cell r="A497" t="str">
            <v>VALDIVINO ANTONIO DE SOUZA</v>
          </cell>
          <cell r="B497" t="str">
            <v>084.867.191-00</v>
          </cell>
          <cell r="C497">
            <v>1314309</v>
          </cell>
          <cell r="D497" t="str">
            <v>Artífice de Eletricidade e Comunicação</v>
          </cell>
          <cell r="E497" t="str">
            <v>Ativo Permanente</v>
          </cell>
          <cell r="F497" t="str">
            <v>MME - Ministério de Minas e Energia</v>
          </cell>
          <cell r="G497" t="str">
            <v xml:space="preserve">SE / SPOA / CGTI / COORDENAÇÃO DE INFRAESTRUTURA TECNOLÓGICA - </v>
          </cell>
          <cell r="H497" t="str">
            <v>8.105.310</v>
          </cell>
          <cell r="I497" t="str">
            <v>Função Comissionada Técnica - Técnico em Modernização e Tecnologia da Informação</v>
          </cell>
          <cell r="J497" t="str">
            <v>FCT</v>
          </cell>
          <cell r="K497">
            <v>9</v>
          </cell>
          <cell r="L497" t="str">
            <v xml:space="preserve">Portaria nº </v>
          </cell>
          <cell r="M497">
            <v>55</v>
          </cell>
          <cell r="N497" t="str">
            <v>15/02/2013</v>
          </cell>
          <cell r="O497" t="str">
            <v>18/02/2013</v>
          </cell>
          <cell r="P497" t="str">
            <v>DOU</v>
          </cell>
          <cell r="Q497" t="str">
            <v>GSISTE</v>
          </cell>
          <cell r="R497" t="str">
            <v>Intermediário</v>
          </cell>
          <cell r="S497" t="str">
            <v>SIPEC  - Sistema de Pessoal Civil da Administração Federal</v>
          </cell>
          <cell r="T497" t="str">
            <v xml:space="preserve">Portaria nº </v>
          </cell>
          <cell r="U497">
            <v>16</v>
          </cell>
          <cell r="V497" t="str">
            <v>15/01/2018</v>
          </cell>
          <cell r="W497" t="str">
            <v>15/01/2018</v>
          </cell>
          <cell r="X497" t="str">
            <v>BP</v>
          </cell>
          <cell r="Z497" t="str">
            <v>Sem designação</v>
          </cell>
          <cell r="AF497" t="str">
            <v>Masculino</v>
          </cell>
          <cell r="AG497" t="str">
            <v>Branca</v>
          </cell>
          <cell r="AH497" t="str">
            <v>14/05/1949</v>
          </cell>
          <cell r="AI497">
            <v>71</v>
          </cell>
          <cell r="AJ497">
            <v>8329.5400000000009</v>
          </cell>
          <cell r="AL497" t="str">
            <v>FA</v>
          </cell>
          <cell r="AM497">
            <v>8329.5400000000009</v>
          </cell>
          <cell r="AN497" t="str">
            <v>Valdivino.Souza@mme.gov.br</v>
          </cell>
          <cell r="AO497" t="str">
            <v>(61) 2032-5665</v>
          </cell>
        </row>
        <row r="498">
          <cell r="A498" t="str">
            <v>VALERIA DE JESUS RODRIGUES SOUZA</v>
          </cell>
          <cell r="B498" t="str">
            <v>053.129.797-75</v>
          </cell>
          <cell r="C498">
            <v>3086147</v>
          </cell>
          <cell r="D498" t="str">
            <v>Marinha</v>
          </cell>
          <cell r="E498" t="str">
            <v>Requisitado Militar</v>
          </cell>
          <cell r="F498" t="str">
            <v>Marinha</v>
          </cell>
          <cell r="G498" t="str">
            <v>GABINETE DO MINISTRO - GM</v>
          </cell>
          <cell r="H498" t="str">
            <v>2.000.000</v>
          </cell>
          <cell r="I498" t="str">
            <v>Assessora do Ministro</v>
          </cell>
          <cell r="J498" t="str">
            <v>DAS</v>
          </cell>
          <cell r="K498" t="str">
            <v>102.4</v>
          </cell>
          <cell r="L498" t="str">
            <v xml:space="preserve">Portaria nº </v>
          </cell>
          <cell r="M498">
            <v>60</v>
          </cell>
          <cell r="N498" t="str">
            <v>24/01/2019</v>
          </cell>
          <cell r="O498" t="str">
            <v>29/01/2019</v>
          </cell>
          <cell r="P498" t="str">
            <v>DOU</v>
          </cell>
          <cell r="Z498" t="str">
            <v>Sem designação</v>
          </cell>
          <cell r="AF498" t="str">
            <v>Feminino</v>
          </cell>
          <cell r="AG498" t="str">
            <v>Branca</v>
          </cell>
          <cell r="AH498" t="str">
            <v>21/11/1977</v>
          </cell>
          <cell r="AI498">
            <v>42</v>
          </cell>
          <cell r="AJ498">
            <v>6223.98</v>
          </cell>
          <cell r="AK498">
            <v>11625.45</v>
          </cell>
          <cell r="AL498" t="str">
            <v>FA</v>
          </cell>
          <cell r="AM498">
            <v>17849.43</v>
          </cell>
          <cell r="AN498" t="str">
            <v>valeria.jesus@mme.gov.br</v>
          </cell>
          <cell r="AO498" t="str">
            <v>(61) 2032-5914</v>
          </cell>
          <cell r="AP498" t="str">
            <v>GM08</v>
          </cell>
        </row>
        <row r="499">
          <cell r="A499" t="str">
            <v>VALTER PEREIRA DA SILVA</v>
          </cell>
          <cell r="B499" t="str">
            <v>241.059.297-04</v>
          </cell>
          <cell r="C499">
            <v>2281146</v>
          </cell>
          <cell r="D499" t="str">
            <v>Contador</v>
          </cell>
          <cell r="E499" t="str">
            <v>Anistiado MME</v>
          </cell>
          <cell r="F499" t="str">
            <v>MME - Ministério de Minas e Energia</v>
          </cell>
          <cell r="G499" t="str">
            <v>SEE / DPUE / COORDENAÇÃO GERAL DE DESENVOLVIMENTO DE POLÍTICAS SOCIAIS</v>
          </cell>
          <cell r="H499" t="str">
            <v>12.103.100</v>
          </cell>
          <cell r="Z499" t="str">
            <v>Sem designação</v>
          </cell>
          <cell r="AF499" t="str">
            <v>Masculino</v>
          </cell>
          <cell r="AG499" t="str">
            <v>Branca</v>
          </cell>
          <cell r="AH499" t="str">
            <v>24/11/1947</v>
          </cell>
          <cell r="AI499">
            <v>72</v>
          </cell>
          <cell r="AJ499">
            <v>6413.47</v>
          </cell>
          <cell r="AL499" t="str">
            <v>FA</v>
          </cell>
          <cell r="AM499">
            <v>6413.47</v>
          </cell>
          <cell r="AN499" t="str">
            <v>valter.silva@mme.gov.br</v>
          </cell>
          <cell r="AO499" t="str">
            <v>(61) 2032-5436</v>
          </cell>
        </row>
        <row r="500">
          <cell r="A500" t="str">
            <v>VANDERLINO AUGUSTO DA ROCHA</v>
          </cell>
          <cell r="B500" t="str">
            <v>145.953.891-91</v>
          </cell>
          <cell r="C500">
            <v>452193</v>
          </cell>
          <cell r="D500" t="str">
            <v>Agente de Vigilância</v>
          </cell>
          <cell r="E500" t="str">
            <v>Ativo Permanente</v>
          </cell>
          <cell r="F500" t="str">
            <v>MME - Ministério de Minas e Energia</v>
          </cell>
          <cell r="G500" t="str">
            <v>SE / SPOA / CGRL / COORDENAÇÃO DE ATIVIDADES GERAIS - COAGE</v>
          </cell>
          <cell r="H500" t="str">
            <v>8.105.120</v>
          </cell>
          <cell r="I500" t="str">
            <v>Função Gratificada</v>
          </cell>
          <cell r="J500" t="str">
            <v>FGR</v>
          </cell>
          <cell r="K500">
            <v>1</v>
          </cell>
          <cell r="L500" t="str">
            <v xml:space="preserve">Portaria nº </v>
          </cell>
          <cell r="M500">
            <v>524</v>
          </cell>
          <cell r="N500" t="str">
            <v>03/11/2016</v>
          </cell>
          <cell r="O500" t="str">
            <v>04/11/2016</v>
          </cell>
          <cell r="P500" t="str">
            <v>BPE</v>
          </cell>
          <cell r="Z500" t="str">
            <v>Sem designação</v>
          </cell>
          <cell r="AF500" t="str">
            <v>Masculino</v>
          </cell>
          <cell r="AG500" t="str">
            <v>Parda</v>
          </cell>
          <cell r="AH500" t="str">
            <v>18/12/1947</v>
          </cell>
          <cell r="AI500">
            <v>72</v>
          </cell>
          <cell r="AJ500">
            <v>5881.71</v>
          </cell>
          <cell r="AL500" t="str">
            <v>FA</v>
          </cell>
          <cell r="AM500">
            <v>5881.71</v>
          </cell>
          <cell r="AO500" t="str">
            <v>(61) 2032-5242</v>
          </cell>
        </row>
        <row r="501">
          <cell r="A501" t="str">
            <v>VANIALUCIA LINS SOUTO</v>
          </cell>
          <cell r="B501" t="str">
            <v>363.700.614-68</v>
          </cell>
          <cell r="C501">
            <v>2207236</v>
          </cell>
          <cell r="D501" t="str">
            <v>Especialista em Política Pública e Gestão Governamental</v>
          </cell>
          <cell r="E501" t="str">
            <v>Exercício Descentralizado</v>
          </cell>
          <cell r="F501" t="str">
            <v>ME - Ministério da Economia</v>
          </cell>
          <cell r="G501" t="str">
            <v>SEE / DGSE / COORDENAÇÃO GERAL DE GESTÃO DA COMERCIALIZAÇÃO DE ENERGIA</v>
          </cell>
          <cell r="H501" t="str">
            <v>12.101.100</v>
          </cell>
          <cell r="I501" t="str">
            <v>Assistente da Coordenação Geral de Gestão da Comercialização de Energia</v>
          </cell>
          <cell r="J501" t="str">
            <v>DAS</v>
          </cell>
          <cell r="K501" t="str">
            <v>102.2</v>
          </cell>
          <cell r="L501" t="str">
            <v xml:space="preserve">Portaria nº </v>
          </cell>
          <cell r="M501">
            <v>373</v>
          </cell>
          <cell r="N501" t="str">
            <v>08/10/2020</v>
          </cell>
          <cell r="O501" t="str">
            <v>13/10/2020</v>
          </cell>
          <cell r="P501" t="str">
            <v>DOU</v>
          </cell>
          <cell r="Y501" t="str">
            <v>Coordenação Geral de Gestão da Comercialização de Energia</v>
          </cell>
          <cell r="Z501" t="str">
            <v>Eventual</v>
          </cell>
          <cell r="AA501" t="str">
            <v xml:space="preserve">Portaria nº </v>
          </cell>
          <cell r="AB501">
            <v>397</v>
          </cell>
          <cell r="AC501" t="str">
            <v>03/11/2020</v>
          </cell>
          <cell r="AD501" t="str">
            <v>04/11/2020</v>
          </cell>
          <cell r="AE501" t="str">
            <v>DOU</v>
          </cell>
          <cell r="AF501" t="str">
            <v>Feminino</v>
          </cell>
          <cell r="AG501" t="str">
            <v>Parda</v>
          </cell>
          <cell r="AH501" t="str">
            <v>07/12/1963</v>
          </cell>
          <cell r="AI501">
            <v>56</v>
          </cell>
          <cell r="AJ501">
            <v>0</v>
          </cell>
          <cell r="AK501">
            <v>27827.67</v>
          </cell>
          <cell r="AL501" t="str">
            <v>FA</v>
          </cell>
          <cell r="AM501">
            <v>27827.67</v>
          </cell>
          <cell r="AN501" t="str">
            <v>vanialucia.souto@mme.gov.br</v>
          </cell>
          <cell r="AO501" t="str">
            <v>(61) 2032-5569</v>
          </cell>
          <cell r="AP501" t="str">
            <v>SEE13</v>
          </cell>
          <cell r="AQ501" t="str">
            <v>SEE05S</v>
          </cell>
        </row>
        <row r="502">
          <cell r="A502" t="str">
            <v>VANIUS ROBERTO SOARES DA CUNHA</v>
          </cell>
          <cell r="B502" t="str">
            <v>392.807.561-68</v>
          </cell>
          <cell r="C502">
            <v>454701</v>
          </cell>
          <cell r="D502" t="str">
            <v>Agente Administrativo</v>
          </cell>
          <cell r="E502" t="str">
            <v>Ativo Permanente</v>
          </cell>
          <cell r="F502" t="str">
            <v>MME - Ministério de Minas e Energia</v>
          </cell>
          <cell r="G502" t="str">
            <v>GM / OUVIDORIA GERAL - OUVIR</v>
          </cell>
          <cell r="H502" t="str">
            <v>2.100.500</v>
          </cell>
          <cell r="I502" t="str">
            <v>Função Comissionada Técnica - Técnico de Sistemas Operacionais e Administrativos</v>
          </cell>
          <cell r="J502" t="str">
            <v>FCT</v>
          </cell>
          <cell r="K502">
            <v>10</v>
          </cell>
          <cell r="L502" t="str">
            <v xml:space="preserve">Portaria nº </v>
          </cell>
          <cell r="M502">
            <v>100</v>
          </cell>
          <cell r="N502" t="str">
            <v>13/03/2017</v>
          </cell>
          <cell r="O502" t="str">
            <v>15/03/2017</v>
          </cell>
          <cell r="P502" t="str">
            <v>DOU</v>
          </cell>
          <cell r="Z502" t="str">
            <v>Sem designação</v>
          </cell>
          <cell r="AF502" t="str">
            <v>Masculino</v>
          </cell>
          <cell r="AG502" t="str">
            <v>Parda</v>
          </cell>
          <cell r="AH502" t="str">
            <v>27/01/1966</v>
          </cell>
          <cell r="AI502">
            <v>54</v>
          </cell>
          <cell r="AJ502">
            <v>5856.13</v>
          </cell>
          <cell r="AL502" t="str">
            <v>FA</v>
          </cell>
          <cell r="AM502">
            <v>5856.13</v>
          </cell>
          <cell r="AN502" t="str">
            <v>vanius@mme.gov.br</v>
          </cell>
          <cell r="AO502" t="str">
            <v>(61) 2032-5654</v>
          </cell>
        </row>
        <row r="503">
          <cell r="A503" t="str">
            <v>VERONICA E SILVA SOUSA</v>
          </cell>
          <cell r="B503" t="str">
            <v>797.868.471-72</v>
          </cell>
          <cell r="C503">
            <v>1741317</v>
          </cell>
          <cell r="D503" t="str">
            <v>Sem Cargo/Emprego</v>
          </cell>
          <cell r="E503" t="str">
            <v>Sem Vínculo</v>
          </cell>
          <cell r="F503" t="str">
            <v>Sem Vínculo</v>
          </cell>
          <cell r="G503" t="str">
            <v xml:space="preserve">SE / AESA / COORDENAÇÃO GERAL DE AVALIAÇÃO AMBIENTAL E ACOMPANHAMENTO DE LICENCIAMENTO - </v>
          </cell>
          <cell r="H503" t="str">
            <v>8.104.100</v>
          </cell>
          <cell r="I503" t="str">
            <v>Coordenadora Geral de Avaliação Ambientale Acompanhamento de Licenciamento da Assessoria Especial de Meio Ambiente</v>
          </cell>
          <cell r="J503" t="str">
            <v>DAS</v>
          </cell>
          <cell r="K503" t="str">
            <v>101.4</v>
          </cell>
          <cell r="L503" t="str">
            <v xml:space="preserve">Portaria nº </v>
          </cell>
          <cell r="M503">
            <v>543</v>
          </cell>
          <cell r="N503" t="str">
            <v>03/11/2016</v>
          </cell>
          <cell r="O503" t="str">
            <v>04/11/2016</v>
          </cell>
          <cell r="P503" t="str">
            <v>DOU</v>
          </cell>
          <cell r="Y503" t="str">
            <v>Chefe da AESA</v>
          </cell>
          <cell r="Z503" t="str">
            <v>Eventual</v>
          </cell>
          <cell r="AA503" t="str">
            <v xml:space="preserve">Portaria nº </v>
          </cell>
          <cell r="AB503">
            <v>206</v>
          </cell>
          <cell r="AC503" t="str">
            <v>16/05/2014</v>
          </cell>
          <cell r="AD503" t="str">
            <v>19/05/2014</v>
          </cell>
          <cell r="AE503" t="str">
            <v>DOU</v>
          </cell>
          <cell r="AF503" t="str">
            <v>Feminino</v>
          </cell>
          <cell r="AG503" t="str">
            <v>Branca</v>
          </cell>
          <cell r="AH503" t="str">
            <v>03/03/1977</v>
          </cell>
          <cell r="AI503">
            <v>43</v>
          </cell>
          <cell r="AJ503">
            <v>10373.299999999999</v>
          </cell>
          <cell r="AL503" t="str">
            <v>FA</v>
          </cell>
          <cell r="AM503">
            <v>10373.299999999999</v>
          </cell>
          <cell r="AN503" t="str">
            <v>veronica.sousa@mme.gov.br</v>
          </cell>
          <cell r="AO503" t="str">
            <v>(61) 2032-5749</v>
          </cell>
          <cell r="AP503" t="str">
            <v>SE37</v>
          </cell>
          <cell r="AQ503" t="str">
            <v>SE16S</v>
          </cell>
        </row>
        <row r="504">
          <cell r="A504" t="str">
            <v>VICTOR PROTAZIO DA SILVA</v>
          </cell>
          <cell r="B504" t="str">
            <v>075.446.137-80</v>
          </cell>
          <cell r="C504">
            <v>2748300</v>
          </cell>
          <cell r="D504" t="str">
            <v>Analista de Infraestrutura</v>
          </cell>
          <cell r="E504" t="str">
            <v>Exercício Descentralizado</v>
          </cell>
          <cell r="F504" t="str">
            <v>ME - Ministério da Economia</v>
          </cell>
          <cell r="G504" t="str">
            <v>SEE / DMSE / COORDENAÇÃO GERAL DE MONITORAMENTO DA DISTRIBUIÇÃO</v>
          </cell>
          <cell r="H504" t="str">
            <v>12.102.300</v>
          </cell>
          <cell r="I504" t="str">
            <v>Coordenador Geral de Monitoramento da Distribuição do Departamento de Monitoramento do Sistema Elétrico</v>
          </cell>
          <cell r="J504" t="str">
            <v>DAS</v>
          </cell>
          <cell r="K504" t="str">
            <v>101.4</v>
          </cell>
          <cell r="L504" t="str">
            <v xml:space="preserve">Portaria nº </v>
          </cell>
          <cell r="M504">
            <v>53</v>
          </cell>
          <cell r="N504" t="str">
            <v>17/02/2020</v>
          </cell>
          <cell r="O504" t="str">
            <v>20/02/2020</v>
          </cell>
          <cell r="P504" t="str">
            <v>DOU</v>
          </cell>
          <cell r="Z504" t="str">
            <v>Sem designação</v>
          </cell>
          <cell r="AF504" t="str">
            <v>Masculino</v>
          </cell>
          <cell r="AG504" t="str">
            <v>Parda</v>
          </cell>
          <cell r="AH504" t="str">
            <v>05/04/1977</v>
          </cell>
          <cell r="AI504">
            <v>43</v>
          </cell>
          <cell r="AJ504">
            <v>6223.98</v>
          </cell>
          <cell r="AK504">
            <v>16665.27</v>
          </cell>
          <cell r="AL504" t="str">
            <v>FA</v>
          </cell>
          <cell r="AM504">
            <v>22889.25</v>
          </cell>
          <cell r="AN504" t="str">
            <v>victor.protazio@mme.gov.br</v>
          </cell>
          <cell r="AO504" t="str">
            <v>(61) 2032-5015</v>
          </cell>
          <cell r="AP504" t="str">
            <v>SEE24</v>
          </cell>
        </row>
        <row r="505">
          <cell r="A505" t="str">
            <v>VICTOR VALE CANTARINO</v>
          </cell>
          <cell r="B505" t="str">
            <v>075.446.137-80</v>
          </cell>
          <cell r="C505">
            <v>1356378</v>
          </cell>
          <cell r="D505" t="str">
            <v>Advogado da União</v>
          </cell>
          <cell r="E505" t="str">
            <v>Exercício Descentralizado</v>
          </cell>
          <cell r="F505" t="str">
            <v>AGU - Advocacia Geral da União</v>
          </cell>
          <cell r="G505" t="str">
            <v>CONJUR / COORDENAÇÃO GERAL DE ASSUNTOS DE PETRÓLEO E MINERAÇÃO</v>
          </cell>
          <cell r="H505" t="str">
            <v>7.100.200</v>
          </cell>
          <cell r="Z505" t="str">
            <v>Sem designação</v>
          </cell>
          <cell r="AF505" t="str">
            <v>Masculino</v>
          </cell>
          <cell r="AG505" t="str">
            <v>Branca</v>
          </cell>
          <cell r="AH505" t="str">
            <v>10/04/1992</v>
          </cell>
          <cell r="AI505">
            <v>28</v>
          </cell>
          <cell r="AJ505">
            <v>0</v>
          </cell>
          <cell r="AK505">
            <v>24604.6</v>
          </cell>
          <cell r="AL505" t="str">
            <v>FA</v>
          </cell>
          <cell r="AM505">
            <v>24604.6</v>
          </cell>
          <cell r="AN505" t="str">
            <v>victor.cantarino@mme.gov.br</v>
          </cell>
          <cell r="AO505" t="str">
            <v>(61) 2032-5450</v>
          </cell>
        </row>
        <row r="506">
          <cell r="A506" t="str">
            <v>VINICIUS SALES PEREIRA</v>
          </cell>
          <cell r="B506" t="str">
            <v>092.438.427-14</v>
          </cell>
          <cell r="C506">
            <v>3133057</v>
          </cell>
          <cell r="D506" t="str">
            <v>Marinha</v>
          </cell>
          <cell r="E506" t="str">
            <v>Requisitado Militar</v>
          </cell>
          <cell r="F506" t="str">
            <v>Marinha</v>
          </cell>
          <cell r="G506" t="str">
            <v>Escritório Rio de Janeiro/RJ</v>
          </cell>
          <cell r="H506" t="str">
            <v>99.000.000</v>
          </cell>
          <cell r="I506" t="str">
            <v>Assessor Técnico Escritório RJ</v>
          </cell>
          <cell r="J506" t="str">
            <v>DAS</v>
          </cell>
          <cell r="K506" t="str">
            <v>102.3</v>
          </cell>
          <cell r="L506" t="str">
            <v xml:space="preserve">Portaria nº </v>
          </cell>
          <cell r="M506">
            <v>287</v>
          </cell>
          <cell r="N506" t="str">
            <v>17/07/2020</v>
          </cell>
          <cell r="O506" t="str">
            <v>20/07/2020</v>
          </cell>
          <cell r="P506" t="str">
            <v>DOU</v>
          </cell>
          <cell r="Z506" t="str">
            <v>Sem designação</v>
          </cell>
          <cell r="AF506" t="str">
            <v>Masculino</v>
          </cell>
          <cell r="AG506" t="str">
            <v>Branca</v>
          </cell>
          <cell r="AH506" t="str">
            <v>08/07/1982</v>
          </cell>
          <cell r="AI506">
            <v>38</v>
          </cell>
          <cell r="AJ506">
            <v>3411.33</v>
          </cell>
          <cell r="AK506">
            <v>8310.1</v>
          </cell>
          <cell r="AL506" t="str">
            <v>FA</v>
          </cell>
          <cell r="AM506">
            <v>11721.43</v>
          </cell>
          <cell r="AN506" t="str">
            <v>vinicius.pereira@mme.gov.br</v>
          </cell>
          <cell r="AO506" t="str">
            <v>(61) 2032-5046</v>
          </cell>
          <cell r="AP506" t="str">
            <v>TEMP02</v>
          </cell>
        </row>
        <row r="507">
          <cell r="A507" t="str">
            <v>VIVALDO BELARMINO VALENCA</v>
          </cell>
          <cell r="B507" t="str">
            <v>247.689.871-68</v>
          </cell>
          <cell r="C507">
            <v>452145</v>
          </cell>
          <cell r="D507" t="str">
            <v>Administrador</v>
          </cell>
          <cell r="E507" t="str">
            <v>Ativo Permanente</v>
          </cell>
          <cell r="F507" t="str">
            <v>MME - Ministério de Minas e Energia</v>
          </cell>
          <cell r="G507" t="str">
            <v>SE / AEGE / CGPE / COORDENAÇÃO DE SUPERVISÃO E AVALIAÇÃO DA GESTÃO</v>
          </cell>
          <cell r="H507" t="str">
            <v>8.101.120</v>
          </cell>
          <cell r="I507" t="str">
            <v>Coordenador da Coordenação Geral de Planejamento Estratégico, Supervisão e Avaliação da Gestão</v>
          </cell>
          <cell r="J507" t="str">
            <v>DAS</v>
          </cell>
          <cell r="K507" t="str">
            <v>101.3</v>
          </cell>
          <cell r="L507" t="str">
            <v xml:space="preserve">Portaria nº </v>
          </cell>
          <cell r="M507">
            <v>115</v>
          </cell>
          <cell r="N507" t="str">
            <v>18/03/2020</v>
          </cell>
          <cell r="O507" t="str">
            <v>19/03/2020</v>
          </cell>
          <cell r="P507" t="str">
            <v>DOU</v>
          </cell>
          <cell r="Q507" t="str">
            <v>GSISTE</v>
          </cell>
          <cell r="R507" t="str">
            <v>Superior</v>
          </cell>
          <cell r="S507" t="str">
            <v>SPO - Sistema de Planejamento e Orçamento Federal</v>
          </cell>
          <cell r="T507" t="str">
            <v xml:space="preserve">Portaria nº </v>
          </cell>
          <cell r="U507">
            <v>60</v>
          </cell>
          <cell r="V507" t="str">
            <v>19/06/2009</v>
          </cell>
          <cell r="W507" t="str">
            <v>19/06/2009</v>
          </cell>
          <cell r="X507" t="str">
            <v>BPE</v>
          </cell>
          <cell r="Z507" t="str">
            <v>Sem designação</v>
          </cell>
          <cell r="AF507" t="str">
            <v>Masculino</v>
          </cell>
          <cell r="AG507" t="str">
            <v>Parda</v>
          </cell>
          <cell r="AH507" t="str">
            <v>27/12/1960</v>
          </cell>
          <cell r="AI507">
            <v>59</v>
          </cell>
          <cell r="AJ507">
            <v>18864.55</v>
          </cell>
          <cell r="AL507" t="str">
            <v>FA</v>
          </cell>
          <cell r="AM507">
            <v>18864.55</v>
          </cell>
          <cell r="AN507" t="str">
            <v>vivaldovalenca@mme.gov.br</v>
          </cell>
          <cell r="AO507" t="str">
            <v>(61) 2032-5310</v>
          </cell>
          <cell r="AP507" t="str">
            <v>SE24</v>
          </cell>
        </row>
        <row r="508">
          <cell r="A508" t="str">
            <v>VIVIANO ROCHA NEIVA</v>
          </cell>
          <cell r="B508" t="str">
            <v>009.242.376-00</v>
          </cell>
          <cell r="C508">
            <v>1799889</v>
          </cell>
          <cell r="D508" t="str">
            <v>Analista de Relações Internacionais</v>
          </cell>
          <cell r="E508" t="str">
            <v>Anistiado MME</v>
          </cell>
          <cell r="F508" t="str">
            <v>MME - Ministério de Minas e Energia</v>
          </cell>
          <cell r="G508" t="str">
            <v>Aguardando Lotação/Exercício</v>
          </cell>
          <cell r="H508" t="str">
            <v>88.000.000</v>
          </cell>
          <cell r="Z508" t="str">
            <v>Sem designação</v>
          </cell>
          <cell r="AF508" t="str">
            <v>Masculino</v>
          </cell>
          <cell r="AG508" t="str">
            <v>Branca</v>
          </cell>
          <cell r="AH508" t="str">
            <v>02/01/1937</v>
          </cell>
          <cell r="AI508">
            <v>83</v>
          </cell>
          <cell r="AJ508">
            <v>8575.5</v>
          </cell>
          <cell r="AL508" t="str">
            <v>FA</v>
          </cell>
          <cell r="AM508">
            <v>8575.5</v>
          </cell>
        </row>
        <row r="509">
          <cell r="A509" t="str">
            <v>WAGNER COELHO SABINO</v>
          </cell>
          <cell r="B509" t="str">
            <v>725.272.341-00</v>
          </cell>
          <cell r="C509">
            <v>3182221</v>
          </cell>
          <cell r="D509" t="str">
            <v>Sem Cargo/Emprego</v>
          </cell>
          <cell r="E509" t="str">
            <v>Sem Vínculo</v>
          </cell>
          <cell r="F509" t="str">
            <v>S/VÍNCULO</v>
          </cell>
          <cell r="G509" t="str">
            <v>SE / SPOA / CGTI / COORDENAÇÃO DE TECNOLOGIA DE SISTEMAS DE INFORMAÇÃO - CTSI</v>
          </cell>
          <cell r="H509" t="str">
            <v>8.105.320</v>
          </cell>
          <cell r="I509" t="str">
            <v>Coordenador de Tecnologia de Sistemas de Informação</v>
          </cell>
          <cell r="J509" t="str">
            <v>DAS</v>
          </cell>
          <cell r="K509" t="str">
            <v>101.3</v>
          </cell>
          <cell r="L509" t="str">
            <v xml:space="preserve">Portaria nº </v>
          </cell>
          <cell r="M509">
            <v>137</v>
          </cell>
          <cell r="N509" t="str">
            <v>29/03/2020</v>
          </cell>
          <cell r="O509" t="str">
            <v>31/03/2020</v>
          </cell>
          <cell r="P509" t="str">
            <v>DOU</v>
          </cell>
          <cell r="Z509" t="str">
            <v>Sem designação</v>
          </cell>
          <cell r="AA509" t="str">
            <v xml:space="preserve">Portaria nº </v>
          </cell>
          <cell r="AB509">
            <v>251</v>
          </cell>
          <cell r="AC509" t="str">
            <v>18/06/2020</v>
          </cell>
          <cell r="AD509" t="str">
            <v>19/06/2020</v>
          </cell>
          <cell r="AE509" t="str">
            <v>DOU</v>
          </cell>
          <cell r="AF509" t="str">
            <v>Masculino</v>
          </cell>
          <cell r="AG509" t="str">
            <v>Branca</v>
          </cell>
          <cell r="AH509" t="str">
            <v>22/10/1982</v>
          </cell>
          <cell r="AI509">
            <v>38</v>
          </cell>
          <cell r="AJ509">
            <v>6464.55</v>
          </cell>
          <cell r="AK509">
            <v>0</v>
          </cell>
          <cell r="AL509" t="str">
            <v>FA</v>
          </cell>
          <cell r="AM509">
            <v>6464.55</v>
          </cell>
          <cell r="AN509" t="str">
            <v>wagner.sabino@mme.gov.br</v>
          </cell>
          <cell r="AO509" t="str">
            <v>(61) 2032-5641</v>
          </cell>
          <cell r="AP509" t="str">
            <v>SE81</v>
          </cell>
          <cell r="AQ509" t="str">
            <v>SE45S</v>
          </cell>
        </row>
        <row r="510">
          <cell r="A510" t="str">
            <v>WALDIR ANTONIO GERVASIO</v>
          </cell>
          <cell r="B510" t="str">
            <v>372.862.341-53</v>
          </cell>
          <cell r="C510">
            <v>451630</v>
          </cell>
          <cell r="D510" t="str">
            <v>Agente Administrativo</v>
          </cell>
          <cell r="E510" t="str">
            <v>Ativo Permanente</v>
          </cell>
          <cell r="F510" t="str">
            <v>MME - Ministério de Minas e Energia</v>
          </cell>
          <cell r="G510" t="str">
            <v>GM / ASTAD / COORDENAÇÃO DE ATIVIDADES ADMINISTRATIVAS</v>
          </cell>
          <cell r="H510" t="str">
            <v>2.100.101</v>
          </cell>
          <cell r="I510" t="str">
            <v>Assessor Técnico da Secretaria Executiva</v>
          </cell>
          <cell r="J510" t="str">
            <v>DAS</v>
          </cell>
          <cell r="K510" t="str">
            <v>102.3</v>
          </cell>
          <cell r="L510" t="str">
            <v xml:space="preserve">Portaria nº </v>
          </cell>
          <cell r="M510">
            <v>390</v>
          </cell>
          <cell r="N510" t="str">
            <v>15/10/2019</v>
          </cell>
          <cell r="O510" t="str">
            <v>23/10/2019</v>
          </cell>
          <cell r="P510" t="str">
            <v>DOU</v>
          </cell>
          <cell r="Q510" t="str">
            <v>GSISTE</v>
          </cell>
          <cell r="R510" t="str">
            <v>Intermediário</v>
          </cell>
          <cell r="S510" t="str">
            <v>SPO - Sistema de Planejamento e Orçamento Federal</v>
          </cell>
          <cell r="T510" t="str">
            <v xml:space="preserve">Portaria nº </v>
          </cell>
          <cell r="U510">
            <v>67</v>
          </cell>
          <cell r="V510" t="str">
            <v>07/11/2019</v>
          </cell>
          <cell r="W510" t="str">
            <v>08/11/2019</v>
          </cell>
          <cell r="X510" t="str">
            <v>BPE</v>
          </cell>
          <cell r="Z510" t="str">
            <v>Sem designação</v>
          </cell>
          <cell r="AF510" t="str">
            <v>Masculino</v>
          </cell>
          <cell r="AG510" t="str">
            <v>Branca</v>
          </cell>
          <cell r="AH510" t="str">
            <v>26/06/1966</v>
          </cell>
          <cell r="AI510">
            <v>54</v>
          </cell>
          <cell r="AJ510">
            <v>11104.59</v>
          </cell>
          <cell r="AL510" t="str">
            <v>FA</v>
          </cell>
          <cell r="AM510">
            <v>11104.59</v>
          </cell>
          <cell r="AN510" t="str">
            <v>Waldir@mme.gov.br</v>
          </cell>
          <cell r="AO510" t="str">
            <v>(61) 2032-5830</v>
          </cell>
          <cell r="AP510" t="str">
            <v>SE09</v>
          </cell>
        </row>
        <row r="511">
          <cell r="A511" t="str">
            <v>WANDERLEY TEIXEIRA RIBEIRO</v>
          </cell>
          <cell r="B511" t="str">
            <v>184.772.677-15</v>
          </cell>
          <cell r="C511">
            <v>1669730</v>
          </cell>
          <cell r="D511" t="str">
            <v>Programador de Aplicação II</v>
          </cell>
          <cell r="E511" t="str">
            <v>Anistiado MME</v>
          </cell>
          <cell r="F511" t="str">
            <v>MME - Ministério de Minas e Energia</v>
          </cell>
          <cell r="G511" t="str">
            <v>Aguardando Lotação/Exercício</v>
          </cell>
          <cell r="H511" t="str">
            <v>88.000.000</v>
          </cell>
          <cell r="Z511" t="str">
            <v>Sem designação</v>
          </cell>
          <cell r="AF511" t="str">
            <v>Masculino</v>
          </cell>
          <cell r="AG511" t="str">
            <v>Branca</v>
          </cell>
          <cell r="AH511" t="str">
            <v>28/05/1948</v>
          </cell>
          <cell r="AI511">
            <v>72</v>
          </cell>
          <cell r="AJ511">
            <v>4275.71</v>
          </cell>
          <cell r="AL511" t="str">
            <v>FA</v>
          </cell>
          <cell r="AM511">
            <v>4275.71</v>
          </cell>
          <cell r="AN511" t="str">
            <v>wanderley.ribeiro@mme.gov.br</v>
          </cell>
          <cell r="AO511" t="str">
            <v>(61) 2032-5580</v>
          </cell>
        </row>
        <row r="512">
          <cell r="A512" t="str">
            <v>WASHINGTON CAVALCANTE VERAS DINIZ</v>
          </cell>
          <cell r="B512" t="str">
            <v>288.045.701-72</v>
          </cell>
          <cell r="C512">
            <v>6054932</v>
          </cell>
          <cell r="D512" t="str">
            <v>Agente Administrativo</v>
          </cell>
          <cell r="E512" t="str">
            <v>Requisitado de Órgãos</v>
          </cell>
          <cell r="F512" t="str">
            <v>ME - Ministério da Economia</v>
          </cell>
          <cell r="G512" t="str">
            <v>SE / SPOA / CGRL / COORDENAÇÃO DE ATIVIDADES GERAIS - COAGE</v>
          </cell>
          <cell r="H512" t="str">
            <v>8.105.120</v>
          </cell>
          <cell r="I512" t="str">
            <v>Função Comissionada Técnica - Técnico de Sistemas Operacionais e Administrativos</v>
          </cell>
          <cell r="J512" t="str">
            <v>FCT</v>
          </cell>
          <cell r="K512">
            <v>10</v>
          </cell>
          <cell r="L512" t="str">
            <v xml:space="preserve">Portaria nº </v>
          </cell>
          <cell r="M512">
            <v>426</v>
          </cell>
          <cell r="N512" t="str">
            <v>21/11/2019</v>
          </cell>
          <cell r="O512" t="str">
            <v>22/11/2019</v>
          </cell>
          <cell r="P512" t="str">
            <v>DOU</v>
          </cell>
          <cell r="Q512" t="str">
            <v>GSISTE</v>
          </cell>
          <cell r="R512" t="str">
            <v>Intermediário</v>
          </cell>
          <cell r="S512" t="str">
            <v>SISG - Sistema de Serviços Gerais</v>
          </cell>
          <cell r="T512" t="str">
            <v xml:space="preserve">Portaria nº </v>
          </cell>
          <cell r="U512">
            <v>26</v>
          </cell>
          <cell r="V512" t="str">
            <v>12/04/2016</v>
          </cell>
          <cell r="W512" t="str">
            <v>13/04/2016</v>
          </cell>
          <cell r="X512" t="str">
            <v>BPE</v>
          </cell>
          <cell r="Y512" t="str">
            <v>Chefe da Divisão de Administração de Transporte</v>
          </cell>
          <cell r="Z512" t="str">
            <v>Eventual</v>
          </cell>
          <cell r="AA512" t="str">
            <v xml:space="preserve">Portaria nº </v>
          </cell>
          <cell r="AB512">
            <v>466</v>
          </cell>
          <cell r="AC512" t="str">
            <v>16/09/2016</v>
          </cell>
          <cell r="AD512" t="str">
            <v>19/09/2016</v>
          </cell>
          <cell r="AE512" t="str">
            <v>DOU</v>
          </cell>
          <cell r="AF512" t="str">
            <v>Masculino</v>
          </cell>
          <cell r="AG512" t="str">
            <v>Branca</v>
          </cell>
          <cell r="AH512" t="str">
            <v>04/03/1965</v>
          </cell>
          <cell r="AI512">
            <v>55</v>
          </cell>
          <cell r="AJ512">
            <v>2910.34</v>
          </cell>
          <cell r="AK512">
            <v>6262.32</v>
          </cell>
          <cell r="AL512" t="str">
            <v>FA</v>
          </cell>
          <cell r="AM512">
            <v>9172.66</v>
          </cell>
          <cell r="AN512" t="str">
            <v>washington.diniz@mme.gov.br</v>
          </cell>
          <cell r="AO512" t="str">
            <v>(61) 2032-5484</v>
          </cell>
          <cell r="AQ512" t="str">
            <v>SE29S</v>
          </cell>
        </row>
        <row r="513">
          <cell r="A513" t="str">
            <v>WIDISMAR MARTINS DA SILVA</v>
          </cell>
          <cell r="B513" t="str">
            <v>462.403.061-34</v>
          </cell>
          <cell r="C513">
            <v>2543882</v>
          </cell>
          <cell r="D513" t="str">
            <v>Sem Cargo/Emprego</v>
          </cell>
          <cell r="E513" t="str">
            <v>Sem Vínculo</v>
          </cell>
          <cell r="F513" t="str">
            <v>Sem Vínculo</v>
          </cell>
          <cell r="G513" t="str">
            <v>SE / CHEFIA DE GABINETE SE</v>
          </cell>
          <cell r="H513" t="str">
            <v>8.100.000</v>
          </cell>
          <cell r="I513" t="str">
            <v>Assessor da Secretaria Executiva</v>
          </cell>
          <cell r="J513" t="str">
            <v>DAS</v>
          </cell>
          <cell r="K513" t="str">
            <v>102.4</v>
          </cell>
          <cell r="L513" t="str">
            <v xml:space="preserve">Portaria nº </v>
          </cell>
          <cell r="M513">
            <v>524</v>
          </cell>
          <cell r="N513" t="str">
            <v>03/11/2016</v>
          </cell>
          <cell r="O513" t="str">
            <v>04/11/2016</v>
          </cell>
          <cell r="P513" t="str">
            <v>DOU</v>
          </cell>
          <cell r="Z513" t="str">
            <v>Sem designação</v>
          </cell>
          <cell r="AF513" t="str">
            <v>Masculino</v>
          </cell>
          <cell r="AG513" t="str">
            <v>Branca</v>
          </cell>
          <cell r="AH513" t="str">
            <v>29/01/1972</v>
          </cell>
          <cell r="AI513">
            <v>48</v>
          </cell>
          <cell r="AJ513">
            <v>10373.299999999999</v>
          </cell>
          <cell r="AL513" t="str">
            <v>FA</v>
          </cell>
          <cell r="AM513">
            <v>10373.299999999999</v>
          </cell>
          <cell r="AN513" t="str">
            <v>widismar.silva@mme.gov.br</v>
          </cell>
          <cell r="AO513" t="str">
            <v>(61) 2032-5983</v>
          </cell>
          <cell r="AP513" t="str">
            <v>SE06</v>
          </cell>
        </row>
        <row r="514">
          <cell r="A514" t="str">
            <v>WILMA DO COUTO DOS SANTOS CRUZ</v>
          </cell>
          <cell r="B514" t="str">
            <v>144.975.061-34</v>
          </cell>
          <cell r="C514">
            <v>6455860</v>
          </cell>
          <cell r="D514" t="str">
            <v>Administrador</v>
          </cell>
          <cell r="E514" t="str">
            <v>Anistiado MME</v>
          </cell>
          <cell r="F514" t="str">
            <v>MME - Ministério de Minas e Energia</v>
          </cell>
          <cell r="G514" t="str">
            <v>SE / ASSESSORIA ESPECIAL DE MEIO AMBIENTE - AESA</v>
          </cell>
          <cell r="H514" t="str">
            <v>8.104.000</v>
          </cell>
          <cell r="Z514" t="str">
            <v>Sem designação</v>
          </cell>
          <cell r="AF514" t="str">
            <v>Feminino</v>
          </cell>
          <cell r="AG514" t="str">
            <v>Branca</v>
          </cell>
          <cell r="AH514" t="str">
            <v>29/11/1949</v>
          </cell>
          <cell r="AI514">
            <v>70</v>
          </cell>
          <cell r="AJ514">
            <v>8117.05</v>
          </cell>
          <cell r="AL514" t="str">
            <v>FA</v>
          </cell>
          <cell r="AM514">
            <v>8117.05</v>
          </cell>
          <cell r="AN514" t="str">
            <v>wilma.cruz@mme.gov.br</v>
          </cell>
          <cell r="AO514" t="str">
            <v>(61) 2032-5559</v>
          </cell>
        </row>
        <row r="515">
          <cell r="A515" t="str">
            <v>WILMA SALES FERREIRA NUNES ROSA</v>
          </cell>
          <cell r="B515" t="str">
            <v>270.772.841-15</v>
          </cell>
          <cell r="C515">
            <v>2112</v>
          </cell>
          <cell r="D515" t="str">
            <v>Administrador</v>
          </cell>
          <cell r="E515" t="str">
            <v>Ativo Permanente</v>
          </cell>
          <cell r="F515" t="str">
            <v>MME - Ministério de Minas e Energia</v>
          </cell>
          <cell r="G515" t="str">
            <v>SE / SPOA / CGRL / COORDENAÇÃO DE ATIVIDADES GERAIS - COAGE</v>
          </cell>
          <cell r="H515" t="str">
            <v>8.105.120</v>
          </cell>
          <cell r="Q515" t="str">
            <v>GSISTE</v>
          </cell>
          <cell r="R515" t="str">
            <v>Superior</v>
          </cell>
          <cell r="S515" t="str">
            <v>SISG - Sistema de Serviços Gerais</v>
          </cell>
          <cell r="T515" t="str">
            <v xml:space="preserve">Portaria nº </v>
          </cell>
          <cell r="U515">
            <v>48</v>
          </cell>
          <cell r="V515" t="str">
            <v>21/09/2016</v>
          </cell>
          <cell r="W515" t="str">
            <v>03/10/2016</v>
          </cell>
          <cell r="X515" t="str">
            <v>BP</v>
          </cell>
          <cell r="Z515" t="str">
            <v>Sem designação</v>
          </cell>
          <cell r="AF515" t="str">
            <v>Feminino</v>
          </cell>
          <cell r="AG515" t="str">
            <v>Branca</v>
          </cell>
          <cell r="AH515" t="str">
            <v>20/07/1964</v>
          </cell>
          <cell r="AI515">
            <v>56</v>
          </cell>
          <cell r="AJ515">
            <v>13900.81</v>
          </cell>
          <cell r="AL515" t="str">
            <v>FA</v>
          </cell>
          <cell r="AM515">
            <v>13900.81</v>
          </cell>
          <cell r="AN515" t="str">
            <v>wilma.rosa@mme.gov.br</v>
          </cell>
          <cell r="AO515" t="str">
            <v>(61) 2032-5391</v>
          </cell>
        </row>
        <row r="516">
          <cell r="A516" t="str">
            <v>WILSON RODRIGUES PEREIRA</v>
          </cell>
          <cell r="B516" t="str">
            <v>002.277.811-04</v>
          </cell>
          <cell r="C516">
            <v>2094507</v>
          </cell>
          <cell r="D516" t="str">
            <v>Engenheiro</v>
          </cell>
          <cell r="E516" t="str">
            <v>Anistiado MME</v>
          </cell>
          <cell r="F516" t="str">
            <v>MME - Ministério de Minas e Energia</v>
          </cell>
          <cell r="G516" t="str">
            <v>SGM / DEPARTAMENTO DE TRANSFORMAÇÃO E TECNOLOGIA MINERAL - DTTM</v>
          </cell>
          <cell r="H516" t="str">
            <v>9.103.000</v>
          </cell>
          <cell r="Z516" t="str">
            <v>Sem designação</v>
          </cell>
          <cell r="AF516" t="str">
            <v>Feminino</v>
          </cell>
          <cell r="AG516" t="str">
            <v>Branca</v>
          </cell>
          <cell r="AH516" t="str">
            <v>16/12/1974</v>
          </cell>
          <cell r="AI516">
            <v>45</v>
          </cell>
          <cell r="AJ516">
            <v>14324.73</v>
          </cell>
          <cell r="AL516" t="str">
            <v>FA</v>
          </cell>
          <cell r="AM516">
            <v>14324.73</v>
          </cell>
          <cell r="AN516" t="str">
            <v>wilson.pereira@mme.gov.br</v>
          </cell>
          <cell r="AO516" t="str">
            <v>(61) 2032-5931</v>
          </cell>
        </row>
        <row r="517">
          <cell r="A517" t="str">
            <v>ZAIRA ROCHA DE NOVAIS LOBO</v>
          </cell>
          <cell r="B517" t="str">
            <v>752.681.245-87</v>
          </cell>
          <cell r="C517">
            <v>1097783</v>
          </cell>
          <cell r="D517" t="str">
            <v>Agente Administrativo</v>
          </cell>
          <cell r="E517" t="str">
            <v>Ativo Permanente</v>
          </cell>
          <cell r="F517" t="str">
            <v>MME - Ministério de Minas e Energia</v>
          </cell>
          <cell r="G517" t="str">
            <v xml:space="preserve">SE / SPOA / CGTI / COORDENAÇÃO DE INFRAESTRUTURA TECNOLÓGICA - </v>
          </cell>
          <cell r="H517" t="str">
            <v>8.105.310</v>
          </cell>
          <cell r="I517" t="str">
            <v>Assistente da Coordenação Geral de Tecnologia da Informação</v>
          </cell>
          <cell r="J517" t="str">
            <v>DAS</v>
          </cell>
          <cell r="K517" t="str">
            <v>102.2</v>
          </cell>
          <cell r="L517" t="str">
            <v xml:space="preserve">Portaria nº </v>
          </cell>
          <cell r="M517">
            <v>138</v>
          </cell>
          <cell r="N517" t="str">
            <v>20/04/2018</v>
          </cell>
          <cell r="O517" t="str">
            <v>23/04/2018</v>
          </cell>
          <cell r="P517" t="str">
            <v>DOU</v>
          </cell>
          <cell r="Q517" t="str">
            <v>GSISP</v>
          </cell>
          <cell r="R517" t="str">
            <v>Intermediário</v>
          </cell>
          <cell r="S517" t="str">
            <v>SISP - Sistema dos Recursos de Informação e Informática</v>
          </cell>
          <cell r="T517" t="str">
            <v xml:space="preserve">Portaria nº </v>
          </cell>
          <cell r="U517">
            <v>100</v>
          </cell>
          <cell r="V517" t="str">
            <v>19/11/2009</v>
          </cell>
          <cell r="W517" t="str">
            <v>19/11/2009</v>
          </cell>
          <cell r="X517" t="str">
            <v>BPE</v>
          </cell>
          <cell r="Y517" t="str">
            <v>Coordenação de Infraestrutura Tecnológica</v>
          </cell>
          <cell r="Z517" t="str">
            <v>Eventual</v>
          </cell>
          <cell r="AA517" t="str">
            <v xml:space="preserve">Portaria nº </v>
          </cell>
          <cell r="AB517">
            <v>41</v>
          </cell>
          <cell r="AC517" t="str">
            <v>08/02/2018</v>
          </cell>
          <cell r="AD517" t="str">
            <v>14/02/2018</v>
          </cell>
          <cell r="AE517" t="str">
            <v>DOU</v>
          </cell>
          <cell r="AF517" t="str">
            <v>Feminino</v>
          </cell>
          <cell r="AG517" t="str">
            <v>Branca</v>
          </cell>
          <cell r="AH517" t="str">
            <v>16/12/1974</v>
          </cell>
          <cell r="AI517">
            <v>45</v>
          </cell>
          <cell r="AJ517">
            <v>10088.92</v>
          </cell>
          <cell r="AL517" t="str">
            <v>FA</v>
          </cell>
          <cell r="AM517">
            <v>10088.92</v>
          </cell>
          <cell r="AN517" t="str">
            <v>zaira.rocha@mme.gov.br</v>
          </cell>
          <cell r="AO517" t="str">
            <v>(61) 2032-5708</v>
          </cell>
          <cell r="AP517" t="str">
            <v>SE83</v>
          </cell>
          <cell r="AQ517" t="str">
            <v>SE46S</v>
          </cell>
        </row>
        <row r="518">
          <cell r="A518" t="str">
            <v>ZULMIRA DA SILVA DE LIMA</v>
          </cell>
          <cell r="B518" t="str">
            <v>226.857.901-87</v>
          </cell>
          <cell r="C518">
            <v>455333</v>
          </cell>
          <cell r="D518" t="str">
            <v>Agente de Portaria</v>
          </cell>
          <cell r="E518" t="str">
            <v>Ativo Permanente</v>
          </cell>
          <cell r="F518" t="str">
            <v>MME - Ministério de Minas e Energia</v>
          </cell>
          <cell r="G518" t="str">
            <v>SE / SPOA / CGRH / COORDENAÇÃO DE DESENVOLVIMENTO E SEGURIDADE SOCIAL - CODES</v>
          </cell>
          <cell r="H518" t="str">
            <v>8.105.220</v>
          </cell>
          <cell r="I518" t="str">
            <v>Função Comissionada Técnica - Auxilar de Sistemas Operacionais e Administrativos</v>
          </cell>
          <cell r="J518" t="str">
            <v>FCT</v>
          </cell>
          <cell r="K518">
            <v>11</v>
          </cell>
          <cell r="L518" t="str">
            <v xml:space="preserve">Portaria nº </v>
          </cell>
          <cell r="M518">
            <v>128</v>
          </cell>
          <cell r="N518" t="str">
            <v>07/06/2006</v>
          </cell>
          <cell r="O518" t="str">
            <v>08/06/2006</v>
          </cell>
          <cell r="P518" t="str">
            <v>DOU</v>
          </cell>
          <cell r="Q518" t="str">
            <v>GSISTE</v>
          </cell>
          <cell r="R518" t="str">
            <v>Intermediário</v>
          </cell>
          <cell r="S518" t="str">
            <v>SIPEC  - Sistema de Pessoal Civil da Administração Federal</v>
          </cell>
          <cell r="T518" t="str">
            <v xml:space="preserve">Portaria nº </v>
          </cell>
          <cell r="U518">
            <v>110</v>
          </cell>
          <cell r="V518" t="str">
            <v>20/09/2017</v>
          </cell>
          <cell r="W518" t="str">
            <v>20/09/2017</v>
          </cell>
          <cell r="X518" t="str">
            <v>BPE</v>
          </cell>
          <cell r="Z518" t="str">
            <v>Sem designação</v>
          </cell>
          <cell r="AF518" t="str">
            <v>Feminino</v>
          </cell>
          <cell r="AG518" t="str">
            <v>Branca</v>
          </cell>
          <cell r="AH518" t="str">
            <v>29/07/1962</v>
          </cell>
          <cell r="AI518">
            <v>58</v>
          </cell>
          <cell r="AJ518">
            <v>8159.75</v>
          </cell>
          <cell r="AL518" t="str">
            <v>FA</v>
          </cell>
          <cell r="AM518">
            <v>8159.75</v>
          </cell>
          <cell r="AN518" t="str">
            <v>zulmiralima@mme.gov.br</v>
          </cell>
          <cell r="AO518" t="str">
            <v>(61) 2032-5479</v>
          </cell>
        </row>
        <row r="519">
          <cell r="H519" t="e">
            <v>#N/A</v>
          </cell>
          <cell r="AI519" t="str">
            <v/>
          </cell>
        </row>
        <row r="520">
          <cell r="H520" t="e">
            <v>#N/A</v>
          </cell>
          <cell r="AI520" t="str">
            <v/>
          </cell>
        </row>
        <row r="521">
          <cell r="H521" t="e">
            <v>#N/A</v>
          </cell>
          <cell r="AI521" t="str">
            <v/>
          </cell>
          <cell r="AQ521" t="str">
            <v>SE02S</v>
          </cell>
        </row>
        <row r="522">
          <cell r="H522" t="e">
            <v>#N/A</v>
          </cell>
          <cell r="AP522" t="str">
            <v>SE51</v>
          </cell>
          <cell r="AQ522" t="str">
            <v>SE03S</v>
          </cell>
        </row>
        <row r="523">
          <cell r="H523" t="e">
            <v>#N/A</v>
          </cell>
          <cell r="AI523" t="str">
            <v/>
          </cell>
          <cell r="AP523" t="str">
            <v>SE86</v>
          </cell>
          <cell r="AQ523" t="str">
            <v>SE04S</v>
          </cell>
        </row>
        <row r="524">
          <cell r="H524" t="e">
            <v>#N/A</v>
          </cell>
          <cell r="AI524" t="str">
            <v/>
          </cell>
          <cell r="AP524" t="str">
            <v>SE91</v>
          </cell>
          <cell r="AQ524" t="str">
            <v>SE05S</v>
          </cell>
        </row>
        <row r="525">
          <cell r="H525" t="e">
            <v>#N/A</v>
          </cell>
          <cell r="AI525" t="str">
            <v/>
          </cell>
          <cell r="AQ525" t="str">
            <v>SE08S</v>
          </cell>
        </row>
        <row r="526">
          <cell r="H526" t="e">
            <v>#N/A</v>
          </cell>
          <cell r="AI526" t="str">
            <v/>
          </cell>
          <cell r="AQ526" t="str">
            <v>SE09S</v>
          </cell>
        </row>
        <row r="527">
          <cell r="H527" t="e">
            <v>#N/A</v>
          </cell>
          <cell r="AI527" t="str">
            <v/>
          </cell>
          <cell r="AQ527" t="str">
            <v>SE10S</v>
          </cell>
        </row>
        <row r="528">
          <cell r="H528" t="e">
            <v>#N/A</v>
          </cell>
          <cell r="AI528" t="str">
            <v/>
          </cell>
          <cell r="AQ528" t="str">
            <v>SE11S</v>
          </cell>
        </row>
        <row r="529">
          <cell r="H529" t="e">
            <v>#N/A</v>
          </cell>
          <cell r="AI529" t="str">
            <v/>
          </cell>
          <cell r="AQ529" t="str">
            <v>SE12S</v>
          </cell>
        </row>
        <row r="530">
          <cell r="H530" t="e">
            <v>#N/A</v>
          </cell>
          <cell r="AI530" t="str">
            <v/>
          </cell>
          <cell r="AQ530" t="str">
            <v>SE15S</v>
          </cell>
        </row>
        <row r="531">
          <cell r="H531" t="e">
            <v>#N/A</v>
          </cell>
          <cell r="AI531" t="str">
            <v/>
          </cell>
        </row>
        <row r="532">
          <cell r="H532" t="e">
            <v>#N/A</v>
          </cell>
          <cell r="AI532" t="str">
            <v/>
          </cell>
          <cell r="AQ532" t="str">
            <v>SE34S</v>
          </cell>
        </row>
        <row r="533">
          <cell r="H533" t="e">
            <v>#N/A</v>
          </cell>
          <cell r="AI533" t="str">
            <v/>
          </cell>
          <cell r="AQ533" t="str">
            <v>SE43S</v>
          </cell>
        </row>
        <row r="534">
          <cell r="H534" t="e">
            <v>#N/A</v>
          </cell>
          <cell r="AI534" t="str">
            <v/>
          </cell>
          <cell r="AQ534" t="str">
            <v>SE26S</v>
          </cell>
        </row>
        <row r="535">
          <cell r="H535" t="e">
            <v>#N/A</v>
          </cell>
          <cell r="AI535" t="str">
            <v/>
          </cell>
        </row>
        <row r="536">
          <cell r="H536" t="e">
            <v>#N/A</v>
          </cell>
          <cell r="AI536" t="str">
            <v/>
          </cell>
          <cell r="AP536" t="str">
            <v>SEE28</v>
          </cell>
        </row>
        <row r="537">
          <cell r="H537" t="e">
            <v>#N/A</v>
          </cell>
          <cell r="AI537" t="str">
            <v/>
          </cell>
          <cell r="AQ537" t="str">
            <v>SEE06S</v>
          </cell>
        </row>
        <row r="538">
          <cell r="H538" t="e">
            <v>#N/A</v>
          </cell>
          <cell r="AI538" t="str">
            <v/>
          </cell>
        </row>
        <row r="539">
          <cell r="H539" t="e">
            <v>#N/A</v>
          </cell>
          <cell r="AI539" t="str">
            <v/>
          </cell>
          <cell r="AQ539" t="str">
            <v>SEE09S</v>
          </cell>
        </row>
        <row r="540">
          <cell r="H540" t="e">
            <v>#N/A</v>
          </cell>
          <cell r="AI540" t="str">
            <v/>
          </cell>
          <cell r="AQ540" t="str">
            <v>SEE13S</v>
          </cell>
        </row>
        <row r="541">
          <cell r="H541" t="e">
            <v>#N/A</v>
          </cell>
          <cell r="AI541" t="str">
            <v/>
          </cell>
        </row>
        <row r="542">
          <cell r="H542" t="e">
            <v>#N/A</v>
          </cell>
          <cell r="AI542" t="str">
            <v/>
          </cell>
          <cell r="AQ542" t="str">
            <v>TEMP01S</v>
          </cell>
        </row>
        <row r="543">
          <cell r="H543" t="e">
            <v>#N/A</v>
          </cell>
          <cell r="AI543" t="str">
            <v/>
          </cell>
        </row>
        <row r="544">
          <cell r="H544" t="e">
            <v>#N/A</v>
          </cell>
          <cell r="AI544" t="str">
            <v/>
          </cell>
        </row>
        <row r="545">
          <cell r="H545" t="e">
            <v>#N/A</v>
          </cell>
          <cell r="AI545" t="str">
            <v/>
          </cell>
          <cell r="AQ545" t="str">
            <v>SGM06S</v>
          </cell>
        </row>
        <row r="546">
          <cell r="H546" t="e">
            <v>#N/A</v>
          </cell>
          <cell r="AI546" t="str">
            <v/>
          </cell>
          <cell r="AQ546" t="str">
            <v>SGM11S</v>
          </cell>
        </row>
        <row r="547">
          <cell r="H547" t="e">
            <v>#N/A</v>
          </cell>
          <cell r="AI547" t="str">
            <v/>
          </cell>
          <cell r="AQ547" t="str">
            <v>SGM14S</v>
          </cell>
        </row>
        <row r="548">
          <cell r="H548" t="e">
            <v>#N/A</v>
          </cell>
          <cell r="AI548" t="str">
            <v/>
          </cell>
        </row>
        <row r="549">
          <cell r="H549" t="e">
            <v>#N/A</v>
          </cell>
          <cell r="AI549" t="str">
            <v/>
          </cell>
          <cell r="AP549" t="str">
            <v>SPG08</v>
          </cell>
          <cell r="AQ549" t="str">
            <v>SPG02S</v>
          </cell>
        </row>
        <row r="550">
          <cell r="H550" t="e">
            <v>#N/A</v>
          </cell>
          <cell r="AI550" t="str">
            <v/>
          </cell>
          <cell r="AP550" t="str">
            <v>SPG23</v>
          </cell>
          <cell r="AQ550" t="str">
            <v>SPG10S</v>
          </cell>
        </row>
        <row r="551">
          <cell r="H551" t="e">
            <v>#N/A</v>
          </cell>
          <cell r="AI551" t="str">
            <v/>
          </cell>
          <cell r="AQ551" t="str">
            <v>SPG12S</v>
          </cell>
        </row>
        <row r="552">
          <cell r="H552" t="e">
            <v>#N/A</v>
          </cell>
          <cell r="AI552" t="str">
            <v/>
          </cell>
          <cell r="AQ552" t="str">
            <v>SPG09S</v>
          </cell>
        </row>
        <row r="553">
          <cell r="H553" t="e">
            <v>#N/A</v>
          </cell>
          <cell r="AI553" t="str">
            <v/>
          </cell>
          <cell r="AP553" t="str">
            <v>SPE01</v>
          </cell>
          <cell r="AQ553" t="str">
            <v>SPE02S</v>
          </cell>
        </row>
        <row r="554">
          <cell r="H554" t="e">
            <v>#N/A</v>
          </cell>
          <cell r="AI554" t="str">
            <v/>
          </cell>
          <cell r="AQ554" t="str">
            <v>SPE03S</v>
          </cell>
        </row>
        <row r="555">
          <cell r="H555" t="e">
            <v>#N/A</v>
          </cell>
          <cell r="AI555" t="str">
            <v/>
          </cell>
        </row>
        <row r="556">
          <cell r="H556" t="e">
            <v>#N/A</v>
          </cell>
          <cell r="AI556" t="str">
            <v/>
          </cell>
          <cell r="AQ556" t="str">
            <v>SPE10S</v>
          </cell>
        </row>
        <row r="557">
          <cell r="H557" t="e">
            <v>#N/A</v>
          </cell>
          <cell r="AI557" t="str">
            <v/>
          </cell>
          <cell r="AQ557" t="str">
            <v>SPE15S</v>
          </cell>
        </row>
        <row r="558">
          <cell r="H558" t="e">
            <v>#N/A</v>
          </cell>
          <cell r="AI558" t="str">
            <v/>
          </cell>
        </row>
        <row r="559">
          <cell r="H559" t="e">
            <v>#N/A</v>
          </cell>
          <cell r="AI559" t="str">
            <v/>
          </cell>
          <cell r="AQ559" t="str">
            <v>CONJUR04S</v>
          </cell>
        </row>
        <row r="560">
          <cell r="H560" t="e">
            <v>#N/A</v>
          </cell>
          <cell r="AI560" t="str">
            <v/>
          </cell>
        </row>
        <row r="561">
          <cell r="H561" t="e">
            <v>#N/A</v>
          </cell>
          <cell r="AI561" t="str">
            <v/>
          </cell>
          <cell r="AP561" t="str">
            <v>GM07</v>
          </cell>
          <cell r="AQ561" t="str">
            <v>GM01S</v>
          </cell>
        </row>
        <row r="562">
          <cell r="H562" t="e">
            <v>#N/A</v>
          </cell>
          <cell r="AI562" t="str">
            <v/>
          </cell>
          <cell r="AQ562" t="str">
            <v>GM02S</v>
          </cell>
        </row>
        <row r="563">
          <cell r="H563" t="e">
            <v>#N/A</v>
          </cell>
          <cell r="AI563" t="str">
            <v/>
          </cell>
          <cell r="AQ563" t="str">
            <v>GM05S</v>
          </cell>
        </row>
        <row r="564">
          <cell r="H564" t="e">
            <v>#N/A</v>
          </cell>
          <cell r="AI564" t="str">
            <v/>
          </cell>
          <cell r="AP564" t="str">
            <v>GM47</v>
          </cell>
          <cell r="AQ564" t="str">
            <v>GM06S</v>
          </cell>
        </row>
        <row r="565">
          <cell r="H565" t="e">
            <v>#N/A</v>
          </cell>
          <cell r="AI565" t="str">
            <v/>
          </cell>
          <cell r="AP565" t="str">
            <v>GM48</v>
          </cell>
          <cell r="AQ565" t="str">
            <v>GM07S</v>
          </cell>
        </row>
        <row r="566">
          <cell r="H566" t="e">
            <v>#N/A</v>
          </cell>
          <cell r="AI566" t="str">
            <v/>
          </cell>
          <cell r="AP566" t="str">
            <v>GM49</v>
          </cell>
          <cell r="AQ566" t="str">
            <v>GM08S</v>
          </cell>
        </row>
        <row r="567">
          <cell r="H567" t="e">
            <v>#N/A</v>
          </cell>
          <cell r="AI567" t="str">
            <v/>
          </cell>
        </row>
        <row r="568">
          <cell r="H568" t="e">
            <v>#N/A</v>
          </cell>
          <cell r="AI568" t="str">
            <v/>
          </cell>
          <cell r="AP568" t="str">
            <v>GM51</v>
          </cell>
        </row>
        <row r="569">
          <cell r="H569" t="e">
            <v>#N/A</v>
          </cell>
          <cell r="AI569" t="str">
            <v/>
          </cell>
        </row>
        <row r="570">
          <cell r="H570" t="e">
            <v>#N/A</v>
          </cell>
          <cell r="AI570" t="str">
            <v/>
          </cell>
        </row>
        <row r="571">
          <cell r="H571" t="e">
            <v>#N/A</v>
          </cell>
          <cell r="AI571" t="str">
            <v/>
          </cell>
        </row>
        <row r="572">
          <cell r="H572" t="e">
            <v>#N/A</v>
          </cell>
          <cell r="AI572" t="str">
            <v/>
          </cell>
        </row>
        <row r="573">
          <cell r="H573" t="e">
            <v>#N/A</v>
          </cell>
          <cell r="AI573" t="str">
            <v/>
          </cell>
        </row>
        <row r="574">
          <cell r="H574" t="e">
            <v>#N/A</v>
          </cell>
          <cell r="AI574" t="str">
            <v/>
          </cell>
        </row>
        <row r="575">
          <cell r="H575" t="e">
            <v>#N/A</v>
          </cell>
          <cell r="AI575" t="str">
            <v/>
          </cell>
        </row>
        <row r="576">
          <cell r="H576" t="e">
            <v>#N/A</v>
          </cell>
          <cell r="AI576" t="str">
            <v/>
          </cell>
        </row>
      </sheetData>
      <sheetData sheetId="64">
        <row r="3">
          <cell r="A3" t="str">
            <v>UNIDADE</v>
          </cell>
          <cell r="B3" t="str">
            <v>DENOMINAÇÃO CARGO/FUNÇÃO</v>
          </cell>
          <cell r="C3" t="str">
            <v>NE/DAS/FCPE</v>
          </cell>
          <cell r="D3" t="str">
            <v>ID FUNÇÃO</v>
          </cell>
          <cell r="E3" t="str">
            <v>ID SUBSTITUIÇÃO</v>
          </cell>
          <cell r="F3" t="str">
            <v>OBSERVAÇÃO           ID FUNÇÃO</v>
          </cell>
          <cell r="G3" t="str">
            <v>OBSERVAÇÃO           ID SUBSTITUIÇÃO</v>
          </cell>
        </row>
        <row r="5">
          <cell r="A5" t="str">
            <v>MME</v>
          </cell>
          <cell r="B5" t="str">
            <v>Ministro de Estado</v>
          </cell>
          <cell r="C5" t="str">
            <v>NE</v>
          </cell>
          <cell r="D5" t="str">
            <v>MIN01</v>
          </cell>
          <cell r="E5" t="str">
            <v>MIN01S</v>
          </cell>
          <cell r="F5" t="str">
            <v>OCUPADA</v>
          </cell>
          <cell r="G5" t="str">
            <v>OCUPADA</v>
          </cell>
        </row>
        <row r="7">
          <cell r="A7" t="str">
            <v>ESCRITÓRIO RIO DE JANEIRO/RJ</v>
          </cell>
          <cell r="B7" t="str">
            <v>Chefe de Escritório</v>
          </cell>
          <cell r="C7" t="str">
            <v>DAS 101.4</v>
          </cell>
          <cell r="D7" t="str">
            <v>TEMP01</v>
          </cell>
          <cell r="E7" t="str">
            <v>TEMP01S</v>
          </cell>
          <cell r="F7" t="str">
            <v>OCUPADA</v>
          </cell>
          <cell r="G7" t="str">
            <v>VAZIA</v>
          </cell>
        </row>
        <row r="8">
          <cell r="B8" t="str">
            <v>Assessor Técnico</v>
          </cell>
          <cell r="C8" t="str">
            <v>DAS 102.3</v>
          </cell>
          <cell r="D8" t="str">
            <v>TEMP02</v>
          </cell>
          <cell r="F8" t="str">
            <v>OCUPADA</v>
          </cell>
        </row>
        <row r="9">
          <cell r="B9" t="str">
            <v>Assessor Técnico</v>
          </cell>
          <cell r="C9" t="str">
            <v>DAS 102.3</v>
          </cell>
          <cell r="D9" t="str">
            <v>TEMP03</v>
          </cell>
          <cell r="F9" t="str">
            <v>OCUPADA</v>
          </cell>
        </row>
        <row r="10">
          <cell r="B10" t="str">
            <v>Assessor Técnico</v>
          </cell>
          <cell r="C10" t="str">
            <v>DAS 102.3</v>
          </cell>
          <cell r="D10" t="str">
            <v>TEMP04</v>
          </cell>
          <cell r="F10" t="str">
            <v>OCUPADA</v>
          </cell>
        </row>
        <row r="12">
          <cell r="A12" t="str">
            <v>ASSESSORES DO MINISTRO</v>
          </cell>
          <cell r="B12" t="str">
            <v>Assessor Especial</v>
          </cell>
          <cell r="C12" t="str">
            <v>DAS 102.5</v>
          </cell>
          <cell r="D12" t="str">
            <v>GM01</v>
          </cell>
          <cell r="F12" t="str">
            <v>OCUPADA</v>
          </cell>
        </row>
        <row r="13">
          <cell r="B13" t="str">
            <v>Assessor Especial</v>
          </cell>
          <cell r="C13" t="str">
            <v>DAS 102.5</v>
          </cell>
          <cell r="D13" t="str">
            <v>GM02</v>
          </cell>
          <cell r="F13" t="str">
            <v>OCUPADA</v>
          </cell>
        </row>
        <row r="14">
          <cell r="B14" t="str">
            <v>Assessor Especial</v>
          </cell>
          <cell r="C14" t="str">
            <v>DAS 102.5</v>
          </cell>
          <cell r="D14" t="str">
            <v>GM03</v>
          </cell>
          <cell r="F14" t="str">
            <v>OCUPADA</v>
          </cell>
        </row>
        <row r="15">
          <cell r="B15" t="str">
            <v>Assessor Especial</v>
          </cell>
          <cell r="C15" t="str">
            <v>DAS 102.5</v>
          </cell>
          <cell r="D15" t="str">
            <v>GM04</v>
          </cell>
          <cell r="F15" t="str">
            <v>OCUPADA</v>
          </cell>
        </row>
        <row r="16">
          <cell r="B16" t="str">
            <v>Assessor Especial</v>
          </cell>
          <cell r="C16" t="str">
            <v>DAS 102.5</v>
          </cell>
          <cell r="D16" t="str">
            <v>GM05</v>
          </cell>
          <cell r="F16" t="str">
            <v>OCUPADA</v>
          </cell>
        </row>
        <row r="17">
          <cell r="B17" t="str">
            <v>Diretor de Programa</v>
          </cell>
          <cell r="C17" t="str">
            <v>DAS 101.5</v>
          </cell>
          <cell r="D17" t="str">
            <v>GM06</v>
          </cell>
          <cell r="E17" t="str">
            <v>GM01S</v>
          </cell>
          <cell r="F17" t="str">
            <v>OCUPADA</v>
          </cell>
          <cell r="G17" t="str">
            <v>VAZIA</v>
          </cell>
        </row>
        <row r="18">
          <cell r="B18" t="str">
            <v>Diretor de Programa</v>
          </cell>
          <cell r="C18" t="str">
            <v>DAS 101.5</v>
          </cell>
          <cell r="D18" t="str">
            <v>GM07</v>
          </cell>
          <cell r="E18" t="str">
            <v>GM02S</v>
          </cell>
          <cell r="F18" t="str">
            <v>VAZIA</v>
          </cell>
          <cell r="G18" t="str">
            <v>VAZIA</v>
          </cell>
        </row>
        <row r="19">
          <cell r="B19" t="str">
            <v>Assessor</v>
          </cell>
          <cell r="C19" t="str">
            <v>DAS 102.4</v>
          </cell>
          <cell r="D19" t="str">
            <v>GM08</v>
          </cell>
          <cell r="F19" t="str">
            <v>OCUPADA</v>
          </cell>
        </row>
        <row r="20">
          <cell r="B20" t="str">
            <v>Assessor</v>
          </cell>
          <cell r="C20" t="str">
            <v>DAS 102.4</v>
          </cell>
          <cell r="D20" t="str">
            <v>GM09</v>
          </cell>
          <cell r="F20" t="str">
            <v>OCUPADA</v>
          </cell>
        </row>
        <row r="21">
          <cell r="B21" t="str">
            <v>Assessor</v>
          </cell>
          <cell r="C21" t="str">
            <v>DAS 102.4</v>
          </cell>
          <cell r="D21" t="str">
            <v>GM10</v>
          </cell>
          <cell r="F21" t="str">
            <v>OCUPADA</v>
          </cell>
        </row>
        <row r="22">
          <cell r="B22" t="str">
            <v>Assessor</v>
          </cell>
          <cell r="C22" t="str">
            <v>DAS 102.4</v>
          </cell>
          <cell r="D22" t="str">
            <v>GM45</v>
          </cell>
          <cell r="F22" t="str">
            <v>OCUPADA</v>
          </cell>
        </row>
        <row r="23">
          <cell r="B23" t="str">
            <v>Assessor</v>
          </cell>
          <cell r="C23" t="str">
            <v>DAS 102.4</v>
          </cell>
          <cell r="D23" t="str">
            <v>GM46</v>
          </cell>
          <cell r="F23" t="str">
            <v>OCUPADA</v>
          </cell>
        </row>
        <row r="24">
          <cell r="B24" t="str">
            <v>Assessor</v>
          </cell>
          <cell r="C24" t="str">
            <v>DAS 102.4</v>
          </cell>
          <cell r="D24" t="str">
            <v>GM47</v>
          </cell>
          <cell r="F24" t="str">
            <v>VAZIA</v>
          </cell>
        </row>
        <row r="25">
          <cell r="B25" t="str">
            <v>Assessor</v>
          </cell>
          <cell r="C25" t="str">
            <v>DAS 102.4</v>
          </cell>
          <cell r="D25" t="str">
            <v>GM48</v>
          </cell>
          <cell r="F25" t="str">
            <v>VAZIA</v>
          </cell>
        </row>
        <row r="26">
          <cell r="B26" t="str">
            <v>Assessor Técnico</v>
          </cell>
          <cell r="C26" t="str">
            <v>DAS 102.3</v>
          </cell>
          <cell r="D26" t="str">
            <v>GM49</v>
          </cell>
          <cell r="F26" t="str">
            <v>VAZIA</v>
          </cell>
        </row>
        <row r="27">
          <cell r="B27" t="str">
            <v>Assessor Técnico</v>
          </cell>
          <cell r="C27" t="str">
            <v>DAS 102.3</v>
          </cell>
          <cell r="D27" t="str">
            <v>GM50</v>
          </cell>
          <cell r="F27" t="str">
            <v>OCUPADA</v>
          </cell>
        </row>
        <row r="28">
          <cell r="B28" t="str">
            <v>Assessor Técnico</v>
          </cell>
          <cell r="C28" t="str">
            <v>DAS 102.3</v>
          </cell>
          <cell r="D28" t="str">
            <v>GM51</v>
          </cell>
          <cell r="F28" t="str">
            <v>VAZIA</v>
          </cell>
        </row>
        <row r="29">
          <cell r="A29" t="str">
            <v>GABINETE DO MINISTRO</v>
          </cell>
          <cell r="B29" t="str">
            <v>Chefe de Gabinete</v>
          </cell>
          <cell r="C29" t="str">
            <v>DAS 101.5</v>
          </cell>
          <cell r="D29" t="str">
            <v>GM11</v>
          </cell>
          <cell r="E29" t="str">
            <v>GM03S</v>
          </cell>
          <cell r="F29" t="str">
            <v>OCUPADA</v>
          </cell>
          <cell r="G29" t="str">
            <v>OCUPADA</v>
          </cell>
        </row>
        <row r="30">
          <cell r="B30" t="str">
            <v>Assessor Técnico</v>
          </cell>
          <cell r="C30" t="str">
            <v>DAS 102.3</v>
          </cell>
          <cell r="D30" t="str">
            <v>GM12</v>
          </cell>
          <cell r="F30" t="str">
            <v>OCUPADA</v>
          </cell>
        </row>
        <row r="31">
          <cell r="B31" t="str">
            <v>Assistente</v>
          </cell>
          <cell r="C31" t="str">
            <v>DAS 102.2</v>
          </cell>
          <cell r="D31" t="str">
            <v>GM13</v>
          </cell>
          <cell r="F31" t="str">
            <v>OCUPADA</v>
          </cell>
        </row>
        <row r="32">
          <cell r="B32" t="str">
            <v>Assistente</v>
          </cell>
          <cell r="C32" t="str">
            <v>FCPE 102.2</v>
          </cell>
          <cell r="D32" t="str">
            <v>GM14</v>
          </cell>
          <cell r="F32" t="str">
            <v>OCUPADA</v>
          </cell>
        </row>
        <row r="33">
          <cell r="B33" t="str">
            <v>Assistente</v>
          </cell>
          <cell r="C33" t="str">
            <v>FCPE 102.2</v>
          </cell>
          <cell r="D33" t="str">
            <v>GM15</v>
          </cell>
          <cell r="F33" t="str">
            <v>OCUPADA</v>
          </cell>
        </row>
        <row r="34">
          <cell r="B34" t="str">
            <v>Assistente</v>
          </cell>
          <cell r="C34" t="str">
            <v>FCPE 102.2</v>
          </cell>
          <cell r="D34" t="str">
            <v>GM16</v>
          </cell>
          <cell r="F34" t="str">
            <v>OCUPADA</v>
          </cell>
        </row>
        <row r="35">
          <cell r="A35" t="str">
            <v>Assessoria Técncia e Administrativa do GM</v>
          </cell>
          <cell r="B35" t="str">
            <v>Chefe de Assessoria</v>
          </cell>
          <cell r="C35" t="str">
            <v>DAS 101.4</v>
          </cell>
          <cell r="D35" t="str">
            <v>GM17</v>
          </cell>
          <cell r="E35" t="str">
            <v>GM04S</v>
          </cell>
          <cell r="F35" t="str">
            <v>OCUPADA</v>
          </cell>
          <cell r="G35" t="str">
            <v>OCUPADA</v>
          </cell>
        </row>
        <row r="36">
          <cell r="B36" t="str">
            <v>Assessor Técnico</v>
          </cell>
          <cell r="C36" t="str">
            <v>FCPE 102.3</v>
          </cell>
          <cell r="D36" t="str">
            <v>GM18</v>
          </cell>
          <cell r="F36" t="str">
            <v>OCUPADA</v>
          </cell>
        </row>
        <row r="37">
          <cell r="A37" t="str">
            <v>Coordenação de Atividades Administrativas do GM</v>
          </cell>
          <cell r="B37" t="str">
            <v>Coordenador</v>
          </cell>
          <cell r="C37" t="str">
            <v>FCPE 101.3</v>
          </cell>
          <cell r="D37" t="str">
            <v>GM19</v>
          </cell>
          <cell r="E37" t="str">
            <v>GM05S</v>
          </cell>
          <cell r="F37" t="str">
            <v>OCUPADA</v>
          </cell>
          <cell r="G37" t="str">
            <v>VAZIA</v>
          </cell>
        </row>
        <row r="38">
          <cell r="B38" t="str">
            <v>Assistente</v>
          </cell>
          <cell r="C38" t="str">
            <v>DAS 102.2</v>
          </cell>
          <cell r="D38" t="str">
            <v>GM20</v>
          </cell>
          <cell r="F38" t="str">
            <v>OCUPADA</v>
          </cell>
        </row>
        <row r="39">
          <cell r="B39" t="str">
            <v>Assistente Técnico</v>
          </cell>
          <cell r="C39" t="str">
            <v>DAS 102.1</v>
          </cell>
          <cell r="D39" t="str">
            <v>GM21</v>
          </cell>
          <cell r="F39" t="str">
            <v>OCUPADA</v>
          </cell>
        </row>
        <row r="40">
          <cell r="B40" t="str">
            <v>Assistente Técnico</v>
          </cell>
          <cell r="C40" t="str">
            <v>FCPE 102.1</v>
          </cell>
          <cell r="D40" t="str">
            <v>GM22</v>
          </cell>
          <cell r="F40" t="str">
            <v>OCUPADA</v>
          </cell>
        </row>
        <row r="41">
          <cell r="B41" t="str">
            <v>Assistente Técnico</v>
          </cell>
          <cell r="C41" t="str">
            <v>FCPE 102.1</v>
          </cell>
          <cell r="D41" t="str">
            <v>GM23</v>
          </cell>
          <cell r="F41" t="str">
            <v>OCUPADA</v>
          </cell>
        </row>
        <row r="42">
          <cell r="B42" t="str">
            <v>Assistente Técnico</v>
          </cell>
          <cell r="C42" t="str">
            <v>FCPE 102.1</v>
          </cell>
          <cell r="D42" t="str">
            <v>GM24</v>
          </cell>
          <cell r="F42" t="str">
            <v>OCUPADA</v>
          </cell>
        </row>
        <row r="43">
          <cell r="B43" t="str">
            <v>Assistente Técnico</v>
          </cell>
          <cell r="C43" t="str">
            <v>FCPE 102.1</v>
          </cell>
          <cell r="D43" t="str">
            <v>GM25</v>
          </cell>
          <cell r="F43" t="str">
            <v>OCUPADA</v>
          </cell>
        </row>
        <row r="44">
          <cell r="A44" t="str">
            <v>Assessoria Parlamentar</v>
          </cell>
          <cell r="B44" t="str">
            <v>Chefe de Assessoria</v>
          </cell>
          <cell r="C44" t="str">
            <v>DAS 101.4</v>
          </cell>
          <cell r="D44" t="str">
            <v>GM26</v>
          </cell>
          <cell r="E44" t="str">
            <v>GM06S</v>
          </cell>
          <cell r="F44" t="str">
            <v>OCUPADA</v>
          </cell>
          <cell r="G44" t="str">
            <v>VAZIA</v>
          </cell>
        </row>
        <row r="45">
          <cell r="B45" t="str">
            <v>Assessor Técnico</v>
          </cell>
          <cell r="C45" t="str">
            <v>DAS 102.3</v>
          </cell>
          <cell r="D45" t="str">
            <v>GM27</v>
          </cell>
          <cell r="F45" t="str">
            <v>OCUPADA</v>
          </cell>
        </row>
        <row r="46">
          <cell r="B46" t="str">
            <v>Assistente Técnico</v>
          </cell>
          <cell r="C46" t="str">
            <v>DAS 102.1</v>
          </cell>
          <cell r="D46" t="str">
            <v>GM28</v>
          </cell>
          <cell r="F46" t="str">
            <v>OCUPADA</v>
          </cell>
        </row>
        <row r="47">
          <cell r="B47" t="str">
            <v>Assistente Técnico</v>
          </cell>
          <cell r="C47" t="str">
            <v>DAS 102.1</v>
          </cell>
          <cell r="D47" t="str">
            <v>GM29</v>
          </cell>
          <cell r="F47" t="str">
            <v>OCUPADA</v>
          </cell>
        </row>
        <row r="48">
          <cell r="B48" t="str">
            <v>Assistente Técnico</v>
          </cell>
          <cell r="C48" t="str">
            <v>DAS 102.1</v>
          </cell>
          <cell r="D48" t="str">
            <v>GM30</v>
          </cell>
          <cell r="F48" t="str">
            <v>OCUPADA</v>
          </cell>
        </row>
        <row r="49">
          <cell r="B49" t="str">
            <v>Assistente Técnico</v>
          </cell>
          <cell r="C49" t="str">
            <v>DAS 102.1</v>
          </cell>
          <cell r="D49" t="str">
            <v>GM31</v>
          </cell>
          <cell r="F49" t="str">
            <v>OCUPADA</v>
          </cell>
        </row>
        <row r="50">
          <cell r="A50" t="str">
            <v>Assessoria de Comunicação Social</v>
          </cell>
          <cell r="B50" t="str">
            <v>Chefe de Assessoria</v>
          </cell>
          <cell r="C50" t="str">
            <v>DAS 101.4</v>
          </cell>
          <cell r="D50" t="str">
            <v>GM32</v>
          </cell>
          <cell r="E50" t="str">
            <v>GM07S</v>
          </cell>
          <cell r="F50" t="str">
            <v>OCUPADA</v>
          </cell>
          <cell r="G50" t="str">
            <v>VAZIA</v>
          </cell>
        </row>
        <row r="51">
          <cell r="B51" t="str">
            <v>Assessor Técnico</v>
          </cell>
          <cell r="C51" t="str">
            <v>DAS 102.3</v>
          </cell>
          <cell r="D51" t="str">
            <v>GM33</v>
          </cell>
          <cell r="F51" t="str">
            <v>OCUPADA</v>
          </cell>
        </row>
        <row r="52">
          <cell r="B52" t="str">
            <v>Assistente</v>
          </cell>
          <cell r="C52" t="str">
            <v>DAS 102.2</v>
          </cell>
          <cell r="D52" t="str">
            <v>GM34</v>
          </cell>
          <cell r="F52" t="str">
            <v>OCUPADA</v>
          </cell>
        </row>
        <row r="53">
          <cell r="B53" t="str">
            <v>Assistente</v>
          </cell>
          <cell r="C53" t="str">
            <v>DAS 102.2</v>
          </cell>
          <cell r="D53" t="str">
            <v>GM35</v>
          </cell>
          <cell r="F53" t="str">
            <v>OCUPADA</v>
          </cell>
        </row>
        <row r="54">
          <cell r="B54" t="str">
            <v>Assistente</v>
          </cell>
          <cell r="C54" t="str">
            <v>DAS 102.2</v>
          </cell>
          <cell r="D54" t="str">
            <v>GM36</v>
          </cell>
          <cell r="F54" t="str">
            <v>OCUPADA</v>
          </cell>
        </row>
        <row r="55">
          <cell r="A55" t="str">
            <v>Assessoria de Apoio ao Ministro</v>
          </cell>
          <cell r="B55" t="str">
            <v>Chefe de Assessoria</v>
          </cell>
          <cell r="C55" t="str">
            <v>DAS 101.4</v>
          </cell>
          <cell r="D55" t="str">
            <v>GM37</v>
          </cell>
          <cell r="E55" t="str">
            <v>GM08S</v>
          </cell>
          <cell r="F55" t="str">
            <v>OCUPADA</v>
          </cell>
          <cell r="G55" t="str">
            <v>VAZIA</v>
          </cell>
        </row>
        <row r="56">
          <cell r="B56" t="str">
            <v>Assessor</v>
          </cell>
          <cell r="C56" t="str">
            <v>DAS 102.4</v>
          </cell>
          <cell r="D56" t="str">
            <v>GM38</v>
          </cell>
          <cell r="F56" t="str">
            <v>OCUPADA</v>
          </cell>
        </row>
        <row r="57">
          <cell r="B57" t="str">
            <v>Assessor Técnico</v>
          </cell>
          <cell r="C57" t="str">
            <v>DAS 102.3</v>
          </cell>
          <cell r="D57" t="str">
            <v>GM39</v>
          </cell>
          <cell r="F57" t="str">
            <v>OCUPADA</v>
          </cell>
        </row>
        <row r="58">
          <cell r="B58" t="str">
            <v>Assistente</v>
          </cell>
          <cell r="C58" t="str">
            <v>DAS 102.2</v>
          </cell>
          <cell r="D58" t="str">
            <v>GM40</v>
          </cell>
          <cell r="F58" t="str">
            <v>OCUPADA</v>
          </cell>
        </row>
        <row r="59">
          <cell r="B59" t="str">
            <v>Assistente Técnico</v>
          </cell>
          <cell r="C59" t="str">
            <v>DAS 102.1</v>
          </cell>
          <cell r="D59" t="str">
            <v>GM41</v>
          </cell>
          <cell r="F59" t="str">
            <v>OCUPADA</v>
          </cell>
        </row>
        <row r="60">
          <cell r="A60" t="str">
            <v>Ouvidoria-Geral</v>
          </cell>
          <cell r="B60" t="str">
            <v>Ouvidor-Geral</v>
          </cell>
          <cell r="C60" t="str">
            <v>FCPE 101.4</v>
          </cell>
          <cell r="D60" t="str">
            <v>GM42</v>
          </cell>
          <cell r="E60" t="str">
            <v>GM09S</v>
          </cell>
          <cell r="F60" t="str">
            <v>OCUPADA</v>
          </cell>
          <cell r="G60" t="str">
            <v>OCUPADA</v>
          </cell>
        </row>
        <row r="61">
          <cell r="B61" t="str">
            <v>Assistente</v>
          </cell>
          <cell r="C61" t="str">
            <v>DAS 102.2</v>
          </cell>
          <cell r="D61" t="str">
            <v>GM43</v>
          </cell>
          <cell r="F61" t="str">
            <v>OCUPADA</v>
          </cell>
        </row>
        <row r="62">
          <cell r="B62" t="str">
            <v>Assistente Técnico</v>
          </cell>
          <cell r="C62" t="str">
            <v>FCPE 102.1</v>
          </cell>
          <cell r="D62" t="str">
            <v>GM44</v>
          </cell>
          <cell r="F62" t="str">
            <v>OCUPADA</v>
          </cell>
        </row>
        <row r="64">
          <cell r="A64" t="str">
            <v>SECRETARIA-EXECUTIVA</v>
          </cell>
          <cell r="B64" t="str">
            <v>Secretário-Executivo</v>
          </cell>
          <cell r="C64" t="str">
            <v>NE</v>
          </cell>
          <cell r="D64" t="str">
            <v>SE01</v>
          </cell>
          <cell r="E64" t="str">
            <v>SE01S</v>
          </cell>
          <cell r="F64" t="str">
            <v>OCUPADA</v>
          </cell>
          <cell r="G64" t="str">
            <v>OCUPADA</v>
          </cell>
        </row>
        <row r="65">
          <cell r="B65" t="str">
            <v>Secretário-Executivo Adjunto</v>
          </cell>
          <cell r="C65" t="str">
            <v>DAS 101.6</v>
          </cell>
          <cell r="D65" t="str">
            <v>SE02</v>
          </cell>
          <cell r="E65" t="str">
            <v>SE02S</v>
          </cell>
          <cell r="F65" t="str">
            <v>OCUPADA</v>
          </cell>
          <cell r="G65" t="str">
            <v>VAZIA</v>
          </cell>
        </row>
        <row r="66">
          <cell r="B66" t="str">
            <v>Diretor de Programa</v>
          </cell>
          <cell r="C66" t="str">
            <v>DAS 101.5</v>
          </cell>
          <cell r="D66" t="str">
            <v>SE03</v>
          </cell>
          <cell r="E66" t="str">
            <v>SE03S</v>
          </cell>
          <cell r="F66" t="str">
            <v>OCUPADA</v>
          </cell>
          <cell r="G66" t="str">
            <v>VAZIA</v>
          </cell>
        </row>
        <row r="67">
          <cell r="B67" t="str">
            <v>Diretor de Programa</v>
          </cell>
          <cell r="C67" t="str">
            <v>DAS 101.5</v>
          </cell>
          <cell r="D67" t="str">
            <v>SE04</v>
          </cell>
          <cell r="E67" t="str">
            <v>SE04S</v>
          </cell>
          <cell r="F67" t="str">
            <v>OCUPADA</v>
          </cell>
          <cell r="G67" t="str">
            <v>VAZIA</v>
          </cell>
        </row>
        <row r="68">
          <cell r="B68" t="str">
            <v>Assessor</v>
          </cell>
          <cell r="C68" t="str">
            <v>DAS 102.4</v>
          </cell>
          <cell r="D68" t="str">
            <v>SE05</v>
          </cell>
          <cell r="F68" t="str">
            <v>OCUPADA</v>
          </cell>
        </row>
        <row r="69">
          <cell r="B69" t="str">
            <v>Assessor</v>
          </cell>
          <cell r="C69" t="str">
            <v>DAS 102.4</v>
          </cell>
          <cell r="D69" t="str">
            <v>SE06</v>
          </cell>
          <cell r="F69" t="str">
            <v>OCUPADA</v>
          </cell>
        </row>
        <row r="70">
          <cell r="B70" t="str">
            <v>Assessor</v>
          </cell>
          <cell r="C70" t="str">
            <v>DAS 102.4</v>
          </cell>
          <cell r="D70" t="str">
            <v>SE07</v>
          </cell>
          <cell r="F70" t="str">
            <v>OCUPADA</v>
          </cell>
        </row>
        <row r="71">
          <cell r="B71" t="str">
            <v>Assessor</v>
          </cell>
          <cell r="C71" t="str">
            <v>DAS 102.4</v>
          </cell>
          <cell r="D71" t="str">
            <v>SE08</v>
          </cell>
          <cell r="F71" t="str">
            <v>OCUPADA</v>
          </cell>
        </row>
        <row r="72">
          <cell r="B72" t="str">
            <v>Assessor Técnico</v>
          </cell>
          <cell r="C72" t="str">
            <v>DAS 102.3</v>
          </cell>
          <cell r="D72" t="str">
            <v>SE09</v>
          </cell>
          <cell r="F72" t="str">
            <v>OCUPADA</v>
          </cell>
        </row>
        <row r="73">
          <cell r="B73" t="str">
            <v>Assessor Técnico</v>
          </cell>
          <cell r="C73" t="str">
            <v>DAS 102.3</v>
          </cell>
          <cell r="D73" t="str">
            <v>SE10</v>
          </cell>
          <cell r="F73" t="str">
            <v>OCUPADA</v>
          </cell>
        </row>
        <row r="74">
          <cell r="B74" t="str">
            <v>Assessor Técnico</v>
          </cell>
          <cell r="C74" t="str">
            <v>DAS 102.3</v>
          </cell>
          <cell r="D74" t="str">
            <v>SE11</v>
          </cell>
          <cell r="F74" t="str">
            <v>OCUPADA</v>
          </cell>
        </row>
        <row r="75">
          <cell r="B75" t="str">
            <v>Assessor Técnico</v>
          </cell>
          <cell r="C75" t="str">
            <v>DAS 102.3</v>
          </cell>
          <cell r="D75" t="str">
            <v>SE12</v>
          </cell>
          <cell r="F75" t="str">
            <v>OCUPADA</v>
          </cell>
        </row>
        <row r="76">
          <cell r="A76" t="str">
            <v>GABINETE DA SECRETARIA EXECUTIVA</v>
          </cell>
          <cell r="B76" t="str">
            <v>Chefe de Gabinete</v>
          </cell>
          <cell r="C76" t="str">
            <v>DAS 101.4</v>
          </cell>
          <cell r="D76" t="str">
            <v>SE13</v>
          </cell>
          <cell r="E76" t="str">
            <v>SE05S</v>
          </cell>
          <cell r="F76" t="str">
            <v>OCUPADA</v>
          </cell>
          <cell r="G76" t="str">
            <v>VAZIA</v>
          </cell>
        </row>
        <row r="77">
          <cell r="B77" t="str">
            <v>Assistente</v>
          </cell>
          <cell r="C77" t="str">
            <v>DAS 102.2</v>
          </cell>
          <cell r="D77" t="str">
            <v>SE14</v>
          </cell>
          <cell r="F77" t="str">
            <v>OCUPADA</v>
          </cell>
        </row>
        <row r="78">
          <cell r="B78" t="str">
            <v>Assistente</v>
          </cell>
          <cell r="C78" t="str">
            <v>DAS 102.2</v>
          </cell>
          <cell r="D78" t="str">
            <v>SE15</v>
          </cell>
          <cell r="F78" t="str">
            <v>OCUPADA</v>
          </cell>
        </row>
        <row r="79">
          <cell r="B79" t="str">
            <v>Assistente</v>
          </cell>
          <cell r="C79" t="str">
            <v>DAS 102.2</v>
          </cell>
          <cell r="D79" t="str">
            <v>SE16</v>
          </cell>
          <cell r="F79" t="str">
            <v>OCUPADA</v>
          </cell>
        </row>
        <row r="80">
          <cell r="B80" t="str">
            <v>Assistente Técnico</v>
          </cell>
          <cell r="C80" t="str">
            <v>FCPE 102.1</v>
          </cell>
          <cell r="D80" t="str">
            <v>SE17</v>
          </cell>
          <cell r="F80" t="str">
            <v>OCUPADA</v>
          </cell>
        </row>
        <row r="81">
          <cell r="B81" t="str">
            <v>Assistente Técnico</v>
          </cell>
          <cell r="C81" t="str">
            <v>FCPE 102.1</v>
          </cell>
          <cell r="D81" t="str">
            <v>SE18</v>
          </cell>
          <cell r="F81" t="str">
            <v>OCUPADA</v>
          </cell>
        </row>
        <row r="82">
          <cell r="B82" t="str">
            <v>Assistente Técnico</v>
          </cell>
          <cell r="C82" t="str">
            <v>FCPE 102.1</v>
          </cell>
          <cell r="D82" t="str">
            <v>SE19</v>
          </cell>
          <cell r="F82" t="str">
            <v>OCUPADA</v>
          </cell>
        </row>
        <row r="83">
          <cell r="A83" t="str">
            <v>ASSESSORIA ESPECIAL DE GESTÃO ESTRATÉGICA</v>
          </cell>
          <cell r="B83" t="str">
            <v>Chefe da Assessoria Especial</v>
          </cell>
          <cell r="C83" t="str">
            <v>DAS 101.5</v>
          </cell>
          <cell r="D83" t="str">
            <v>SE20</v>
          </cell>
          <cell r="E83" t="str">
            <v>SE06S</v>
          </cell>
          <cell r="F83" t="str">
            <v>OCUPADA</v>
          </cell>
          <cell r="G83" t="str">
            <v>OCUPADA</v>
          </cell>
        </row>
        <row r="84">
          <cell r="B84" t="str">
            <v>Assessor Técnico</v>
          </cell>
          <cell r="C84" t="str">
            <v>DAS 102.3</v>
          </cell>
          <cell r="D84" t="str">
            <v>SE21</v>
          </cell>
          <cell r="F84" t="str">
            <v>OCUPADA</v>
          </cell>
        </row>
        <row r="85">
          <cell r="B85" t="str">
            <v>Assistente</v>
          </cell>
          <cell r="C85" t="str">
            <v>DAS 102.2</v>
          </cell>
          <cell r="D85" t="str">
            <v>SE22</v>
          </cell>
          <cell r="F85" t="str">
            <v>OCUPADA</v>
          </cell>
        </row>
        <row r="86">
          <cell r="A86" t="str">
            <v>Coordenação-Geral de Planejamento Estratégico, Supervisão e Avaliação da Gestão</v>
          </cell>
          <cell r="B86" t="str">
            <v>Coordenador-Geral</v>
          </cell>
          <cell r="C86" t="str">
            <v>DAS 101.4</v>
          </cell>
          <cell r="D86" t="str">
            <v>SE23</v>
          </cell>
          <cell r="E86" t="str">
            <v>SE07S</v>
          </cell>
          <cell r="F86" t="str">
            <v>OCUPADA</v>
          </cell>
          <cell r="G86" t="str">
            <v>OCUPADA</v>
          </cell>
        </row>
        <row r="87">
          <cell r="A87" t="str">
            <v>Coordenação de Supervisão e Avalliação da Gestão</v>
          </cell>
          <cell r="B87" t="str">
            <v>Coordenador</v>
          </cell>
          <cell r="C87" t="str">
            <v>DAS 101.3</v>
          </cell>
          <cell r="D87" t="str">
            <v>SE24</v>
          </cell>
          <cell r="E87" t="str">
            <v>SE08S</v>
          </cell>
          <cell r="F87" t="str">
            <v>OCUPADA</v>
          </cell>
          <cell r="G87" t="str">
            <v>VAZIA</v>
          </cell>
        </row>
        <row r="88">
          <cell r="A88" t="str">
            <v>Coordenação de Planejamento Estratégico e Orçamento</v>
          </cell>
          <cell r="B88" t="str">
            <v>Coordenador</v>
          </cell>
          <cell r="C88" t="str">
            <v>FCPE 101.3</v>
          </cell>
          <cell r="D88" t="str">
            <v>SE25</v>
          </cell>
          <cell r="E88" t="str">
            <v>SE09S</v>
          </cell>
          <cell r="F88" t="str">
            <v>OCUPADA</v>
          </cell>
          <cell r="G88" t="str">
            <v>VAZIA</v>
          </cell>
        </row>
        <row r="89">
          <cell r="B89" t="str">
            <v>Assistente</v>
          </cell>
          <cell r="C89" t="str">
            <v>DAS 102.2</v>
          </cell>
          <cell r="D89" t="str">
            <v>SE26</v>
          </cell>
          <cell r="F89" t="str">
            <v>OCUPADA</v>
          </cell>
        </row>
        <row r="90">
          <cell r="B90" t="str">
            <v>Assistente Técnico</v>
          </cell>
          <cell r="C90" t="str">
            <v>DAS 102.1</v>
          </cell>
          <cell r="D90" t="str">
            <v>SE27</v>
          </cell>
          <cell r="F90" t="str">
            <v>OCUPADA</v>
          </cell>
        </row>
        <row r="91">
          <cell r="A91" t="str">
            <v>ASSESSORIA ESPECIAL EM ASSUNTOS REGULATÓRIOS</v>
          </cell>
          <cell r="B91" t="str">
            <v>Chefe da Assessoria Especial</v>
          </cell>
          <cell r="C91" t="str">
            <v>DAS 101.5</v>
          </cell>
          <cell r="D91" t="str">
            <v>SE28</v>
          </cell>
          <cell r="E91" t="str">
            <v>SE10S</v>
          </cell>
          <cell r="F91" t="str">
            <v>OCUPADA</v>
          </cell>
          <cell r="G91" t="str">
            <v>VAZIA</v>
          </cell>
        </row>
        <row r="92">
          <cell r="B92" t="str">
            <v>Assistente</v>
          </cell>
          <cell r="C92" t="str">
            <v>FCPE 102.2</v>
          </cell>
          <cell r="D92" t="str">
            <v>SE29</v>
          </cell>
          <cell r="F92" t="str">
            <v>OCUPADA</v>
          </cell>
        </row>
        <row r="93">
          <cell r="A93" t="str">
            <v>ASSESSORIA ESPECIAL DE GESTÃO DE PROJETOS</v>
          </cell>
          <cell r="B93" t="str">
            <v>Chefe da Assessoria Especial</v>
          </cell>
          <cell r="C93" t="str">
            <v>DAS 101.5</v>
          </cell>
          <cell r="D93" t="str">
            <v>SE30</v>
          </cell>
          <cell r="E93" t="str">
            <v>SE11S</v>
          </cell>
          <cell r="F93" t="str">
            <v>OCUPADA</v>
          </cell>
          <cell r="G93" t="str">
            <v>VAZIA</v>
          </cell>
        </row>
        <row r="94">
          <cell r="A94" t="str">
            <v>Coordenação-Geral de Planejamento, Finanças e Controle</v>
          </cell>
          <cell r="B94" t="str">
            <v>Coordenador-Geral</v>
          </cell>
          <cell r="C94" t="str">
            <v>FCPE 101.4</v>
          </cell>
          <cell r="D94" t="str">
            <v>SE31</v>
          </cell>
          <cell r="E94" t="str">
            <v>SE12S</v>
          </cell>
          <cell r="F94" t="str">
            <v>OCUPADA</v>
          </cell>
          <cell r="G94" t="str">
            <v>VAZIA</v>
          </cell>
        </row>
        <row r="95">
          <cell r="A95" t="str">
            <v>Coordenação Administrativa</v>
          </cell>
          <cell r="B95" t="str">
            <v>Coordenador</v>
          </cell>
          <cell r="C95" t="str">
            <v>DAS 101.3</v>
          </cell>
          <cell r="D95" t="str">
            <v>SE32</v>
          </cell>
          <cell r="E95" t="str">
            <v>SE13S</v>
          </cell>
          <cell r="F95" t="str">
            <v>OCUPADA</v>
          </cell>
          <cell r="G95" t="str">
            <v>OCUPADA</v>
          </cell>
        </row>
        <row r="96">
          <cell r="A96" t="str">
            <v>Coordenação-Geral de Gestão de Projetos</v>
          </cell>
          <cell r="B96" t="str">
            <v>Coordenador-Geral</v>
          </cell>
          <cell r="C96" t="str">
            <v>FCPE 101.4</v>
          </cell>
          <cell r="D96" t="str">
            <v>SE33</v>
          </cell>
          <cell r="E96" t="str">
            <v>SE14S</v>
          </cell>
          <cell r="F96" t="str">
            <v>OCUPADA</v>
          </cell>
          <cell r="G96" t="str">
            <v>OCUPADA</v>
          </cell>
        </row>
        <row r="97">
          <cell r="A97" t="str">
            <v>Coordenação de Licitação</v>
          </cell>
          <cell r="B97" t="str">
            <v>Coordenador</v>
          </cell>
          <cell r="C97" t="str">
            <v>FCPE 101.3</v>
          </cell>
          <cell r="D97" t="str">
            <v>SE34</v>
          </cell>
          <cell r="E97" t="str">
            <v>SE15S</v>
          </cell>
          <cell r="F97" t="str">
            <v>OCUPADA</v>
          </cell>
          <cell r="G97" t="str">
            <v>VAZIA</v>
          </cell>
        </row>
        <row r="98">
          <cell r="A98" t="str">
            <v>ASSESSORIA ESPECIAL DE MEIO AMBIENTE</v>
          </cell>
          <cell r="B98" t="str">
            <v>Chefe da Assessoria Especial</v>
          </cell>
          <cell r="C98" t="str">
            <v>DAS 101.5</v>
          </cell>
          <cell r="D98" t="str">
            <v>SE35</v>
          </cell>
          <cell r="E98" t="str">
            <v>SE16S</v>
          </cell>
          <cell r="F98" t="str">
            <v>OCUPADA</v>
          </cell>
          <cell r="G98" t="str">
            <v>OCUPADA</v>
          </cell>
        </row>
        <row r="99">
          <cell r="B99" t="str">
            <v>Assistente</v>
          </cell>
          <cell r="C99" t="str">
            <v>DAS 102.2</v>
          </cell>
          <cell r="D99" t="str">
            <v>SE36</v>
          </cell>
          <cell r="F99" t="str">
            <v>OCUPADA</v>
          </cell>
        </row>
        <row r="100">
          <cell r="A100" t="str">
            <v>Coordenação-Geral de Avaliação Ambiental e Acompanhamento de Licenciamento</v>
          </cell>
          <cell r="B100" t="str">
            <v>Coordenador-Geral</v>
          </cell>
          <cell r="C100" t="str">
            <v>DAS 101.4</v>
          </cell>
          <cell r="D100" t="str">
            <v>SE37</v>
          </cell>
          <cell r="E100" t="str">
            <v>SE17S</v>
          </cell>
          <cell r="F100" t="str">
            <v>OCUPADA</v>
          </cell>
          <cell r="G100" t="str">
            <v>OCUPADA</v>
          </cell>
        </row>
        <row r="101">
          <cell r="A101" t="str">
            <v>Coordenação-Geral de Articulação Institucional em Meio Ambiente</v>
          </cell>
          <cell r="B101" t="str">
            <v>Coordenador-Geral</v>
          </cell>
          <cell r="C101" t="str">
            <v>FCPE 101.4</v>
          </cell>
          <cell r="D101" t="str">
            <v>SE38</v>
          </cell>
          <cell r="E101" t="str">
            <v>SE18S</v>
          </cell>
          <cell r="F101" t="str">
            <v>OCUPADA</v>
          </cell>
          <cell r="G101" t="str">
            <v>OCUPADA</v>
          </cell>
        </row>
        <row r="102">
          <cell r="A102" t="str">
            <v>Subsecretaria de Planejamento, Orçamento e Administração</v>
          </cell>
          <cell r="B102" t="str">
            <v>Subsecretário</v>
          </cell>
          <cell r="C102" t="str">
            <v>DAS 101.5</v>
          </cell>
          <cell r="D102" t="str">
            <v>SE39</v>
          </cell>
          <cell r="E102" t="str">
            <v>SE19S</v>
          </cell>
          <cell r="F102" t="str">
            <v>OCUPADA</v>
          </cell>
          <cell r="G102" t="str">
            <v>OCUPADA</v>
          </cell>
        </row>
        <row r="103">
          <cell r="B103" t="str">
            <v>Assessor</v>
          </cell>
          <cell r="C103" t="str">
            <v>DAS 102.4</v>
          </cell>
          <cell r="D103" t="str">
            <v>SE40</v>
          </cell>
          <cell r="F103" t="str">
            <v>OCUPADA</v>
          </cell>
        </row>
        <row r="104">
          <cell r="B104" t="str">
            <v>Assistente</v>
          </cell>
          <cell r="C104" t="str">
            <v>DAS 102.2</v>
          </cell>
          <cell r="D104" t="str">
            <v>SE41</v>
          </cell>
          <cell r="F104" t="str">
            <v>OCUPADA</v>
          </cell>
        </row>
        <row r="105">
          <cell r="B105" t="str">
            <v>Assistente</v>
          </cell>
          <cell r="C105" t="str">
            <v>DAS 102.2</v>
          </cell>
          <cell r="D105" t="str">
            <v>SE42</v>
          </cell>
          <cell r="F105" t="str">
            <v>OCUPADA</v>
          </cell>
        </row>
        <row r="106">
          <cell r="B106" t="str">
            <v>Assistente Técnico</v>
          </cell>
          <cell r="C106" t="str">
            <v>DAS 102.1</v>
          </cell>
          <cell r="D106" t="str">
            <v>SE43</v>
          </cell>
          <cell r="F106" t="str">
            <v>OCUPADA</v>
          </cell>
        </row>
        <row r="107">
          <cell r="A107" t="str">
            <v>Coordenação de Modernização Administrativa</v>
          </cell>
          <cell r="B107" t="str">
            <v>Coordenador</v>
          </cell>
          <cell r="C107" t="str">
            <v>DAS 101.3</v>
          </cell>
          <cell r="D107" t="str">
            <v>SE44</v>
          </cell>
          <cell r="E107" t="str">
            <v>SE20S</v>
          </cell>
          <cell r="F107" t="str">
            <v>OCUPADA</v>
          </cell>
          <cell r="G107" t="str">
            <v>OCUPADA</v>
          </cell>
        </row>
        <row r="108">
          <cell r="B108" t="str">
            <v>Assistente Técnico</v>
          </cell>
          <cell r="C108" t="str">
            <v>FCPE 102.1</v>
          </cell>
          <cell r="D108" t="str">
            <v>SE45</v>
          </cell>
          <cell r="F108" t="str">
            <v>OCUPADA</v>
          </cell>
        </row>
        <row r="109">
          <cell r="B109" t="str">
            <v>Assistente Técnico</v>
          </cell>
          <cell r="C109" t="str">
            <v>FCPE 102.1</v>
          </cell>
          <cell r="D109" t="str">
            <v>SE46</v>
          </cell>
          <cell r="F109" t="str">
            <v>OCUPADA</v>
          </cell>
        </row>
        <row r="110">
          <cell r="B110" t="str">
            <v>Assistente Técnico</v>
          </cell>
          <cell r="C110" t="str">
            <v>FCPE 102.1</v>
          </cell>
          <cell r="D110" t="str">
            <v>SE47</v>
          </cell>
          <cell r="F110" t="str">
            <v>OCUPADA</v>
          </cell>
        </row>
        <row r="111">
          <cell r="A111" t="str">
            <v>Coordenação-Geral de Recursos Logísticos</v>
          </cell>
          <cell r="B111" t="str">
            <v>Coordenador-Geral</v>
          </cell>
          <cell r="C111" t="str">
            <v>DAS 101.4</v>
          </cell>
          <cell r="D111" t="str">
            <v>SE48</v>
          </cell>
          <cell r="E111" t="str">
            <v>SE21S</v>
          </cell>
          <cell r="F111" t="str">
            <v>OCUPADA</v>
          </cell>
          <cell r="G111" t="str">
            <v>OCUPADA</v>
          </cell>
        </row>
        <row r="112">
          <cell r="B112" t="str">
            <v>Coordenador de Administração de Material e Execução Financeira</v>
          </cell>
          <cell r="C112" t="str">
            <v>DAS 101.3</v>
          </cell>
          <cell r="D112" t="str">
            <v>SE49</v>
          </cell>
          <cell r="E112" t="str">
            <v>SE22S</v>
          </cell>
          <cell r="F112" t="str">
            <v>OCUPADA</v>
          </cell>
          <cell r="G112" t="str">
            <v>OCUPADA</v>
          </cell>
        </row>
        <row r="113">
          <cell r="B113" t="str">
            <v>Chefe de Serviço de Gestão de Patrimônio</v>
          </cell>
          <cell r="C113" t="str">
            <v>DAS 101.1</v>
          </cell>
          <cell r="D113" t="str">
            <v>SE50</v>
          </cell>
          <cell r="E113" t="str">
            <v>SE23S</v>
          </cell>
          <cell r="F113" t="str">
            <v>OCUPADA</v>
          </cell>
          <cell r="G113" t="str">
            <v>OCUPADA</v>
          </cell>
        </row>
        <row r="114">
          <cell r="B114" t="str">
            <v>Chefe de Serviço de Almoxarifado</v>
          </cell>
          <cell r="C114" t="str">
            <v>DAS 101.1</v>
          </cell>
          <cell r="D114" t="str">
            <v>SE51</v>
          </cell>
          <cell r="E114" t="str">
            <v>SE24S</v>
          </cell>
          <cell r="F114" t="str">
            <v>VAZIA</v>
          </cell>
          <cell r="G114" t="str">
            <v>OCUPADA</v>
          </cell>
        </row>
        <row r="115">
          <cell r="B115" t="str">
            <v>Chefe da Divisão de Controle de Diárias e Passagens</v>
          </cell>
          <cell r="C115" t="str">
            <v>DAS 101.2</v>
          </cell>
          <cell r="D115" t="str">
            <v>SE52</v>
          </cell>
          <cell r="E115" t="str">
            <v>SE25S</v>
          </cell>
          <cell r="F115" t="str">
            <v>OCUPADA</v>
          </cell>
          <cell r="G115" t="str">
            <v>OCUPADA</v>
          </cell>
        </row>
        <row r="116">
          <cell r="B116" t="str">
            <v>Chefe da Divisão de Execução Orçamentária e Financeira</v>
          </cell>
          <cell r="C116" t="str">
            <v>DAS 101.2</v>
          </cell>
          <cell r="D116" t="str">
            <v>SE53</v>
          </cell>
          <cell r="E116" t="str">
            <v>SE26S</v>
          </cell>
          <cell r="F116" t="str">
            <v>OCUPADA</v>
          </cell>
          <cell r="G116" t="str">
            <v>VAZIA</v>
          </cell>
        </row>
        <row r="117">
          <cell r="B117" t="str">
            <v>Coordenador de Atividades Gerais</v>
          </cell>
          <cell r="C117" t="str">
            <v>DAS 101.3</v>
          </cell>
          <cell r="D117" t="str">
            <v>SE54</v>
          </cell>
          <cell r="E117" t="str">
            <v>SE27S</v>
          </cell>
          <cell r="F117" t="str">
            <v>OCUPADA</v>
          </cell>
          <cell r="G117" t="str">
            <v>OCUPADA</v>
          </cell>
        </row>
        <row r="118">
          <cell r="B118" t="str">
            <v>Chefe da Divisão de Gestão de Documentos e Informação Bibliográfica</v>
          </cell>
          <cell r="C118" t="str">
            <v>DAS 101.2</v>
          </cell>
          <cell r="D118" t="str">
            <v>SE55</v>
          </cell>
          <cell r="E118" t="str">
            <v>SE28S</v>
          </cell>
          <cell r="F118" t="str">
            <v>OCUPADA</v>
          </cell>
          <cell r="G118" t="str">
            <v>OCUPADA</v>
          </cell>
        </row>
        <row r="119">
          <cell r="B119" t="str">
            <v>Chefe da Divisão de Administração de Transporte</v>
          </cell>
          <cell r="C119" t="str">
            <v>DAS 101.2</v>
          </cell>
          <cell r="D119" t="str">
            <v>SE56</v>
          </cell>
          <cell r="E119" t="str">
            <v>SE29S</v>
          </cell>
          <cell r="F119" t="str">
            <v>OCUPADA</v>
          </cell>
          <cell r="G119" t="str">
            <v>OCUPADA</v>
          </cell>
        </row>
        <row r="120">
          <cell r="B120" t="str">
            <v>Chefe da Divisão de Segurança</v>
          </cell>
          <cell r="C120" t="str">
            <v>DAS 101.2</v>
          </cell>
          <cell r="D120" t="str">
            <v>SE57</v>
          </cell>
          <cell r="E120" t="str">
            <v>SE30S</v>
          </cell>
          <cell r="F120" t="str">
            <v>OCUPADA</v>
          </cell>
          <cell r="G120" t="str">
            <v>OCUPADA</v>
          </cell>
        </row>
        <row r="121">
          <cell r="B121" t="str">
            <v>Assistente Técnico</v>
          </cell>
          <cell r="C121" t="str">
            <v>DAS 102.1</v>
          </cell>
          <cell r="D121" t="str">
            <v>SE58</v>
          </cell>
          <cell r="F121" t="str">
            <v>OCUPADA</v>
          </cell>
        </row>
        <row r="122">
          <cell r="B122" t="str">
            <v>Assistente Técnico</v>
          </cell>
          <cell r="C122" t="str">
            <v>DAS 102.1</v>
          </cell>
          <cell r="D122" t="str">
            <v>SE59</v>
          </cell>
          <cell r="F122" t="str">
            <v>OCUPADA</v>
          </cell>
        </row>
        <row r="123">
          <cell r="A123" t="str">
            <v>Coordenação-Geral de Recursos Humanos</v>
          </cell>
          <cell r="B123" t="str">
            <v>Coordenador-Geral</v>
          </cell>
          <cell r="C123" t="str">
            <v>DAS 101.4</v>
          </cell>
          <cell r="D123" t="str">
            <v>SE60</v>
          </cell>
          <cell r="E123" t="str">
            <v>SE31S</v>
          </cell>
          <cell r="F123" t="str">
            <v>OCUPADA</v>
          </cell>
          <cell r="G123" t="str">
            <v>OCUPADA</v>
          </cell>
        </row>
        <row r="124">
          <cell r="B124" t="str">
            <v>Coordenador de Administração de Pessoal</v>
          </cell>
          <cell r="C124" t="str">
            <v>DAS 101.3</v>
          </cell>
          <cell r="D124" t="str">
            <v>SE61</v>
          </cell>
          <cell r="E124" t="str">
            <v>SE32S</v>
          </cell>
          <cell r="F124" t="str">
            <v>OCUPADA</v>
          </cell>
          <cell r="G124" t="str">
            <v>OCUPADA</v>
          </cell>
        </row>
        <row r="125">
          <cell r="B125" t="str">
            <v>Coordenador de Desenvolvimento e Seguridade Social</v>
          </cell>
          <cell r="C125" t="str">
            <v>DAS 101.3</v>
          </cell>
          <cell r="D125" t="str">
            <v>SE62</v>
          </cell>
          <cell r="E125" t="str">
            <v>SE33S</v>
          </cell>
          <cell r="F125" t="str">
            <v>OCUPADA</v>
          </cell>
          <cell r="G125" t="str">
            <v>OCUPADA</v>
          </cell>
        </row>
        <row r="126">
          <cell r="B126" t="str">
            <v>Assistente</v>
          </cell>
          <cell r="C126" t="str">
            <v>DAS 102.2</v>
          </cell>
          <cell r="D126" t="str">
            <v>SE63</v>
          </cell>
          <cell r="F126" t="str">
            <v>OCUPADA</v>
          </cell>
        </row>
        <row r="127">
          <cell r="B127" t="str">
            <v>Chefe de Divisão de Gestão de Estágio</v>
          </cell>
          <cell r="C127" t="str">
            <v>DAS 101.2</v>
          </cell>
          <cell r="D127" t="str">
            <v>SE64</v>
          </cell>
          <cell r="E127" t="str">
            <v>SE34S</v>
          </cell>
          <cell r="F127" t="str">
            <v>OCUPADA</v>
          </cell>
          <cell r="G127" t="str">
            <v>VAZIA</v>
          </cell>
        </row>
        <row r="128">
          <cell r="B128" t="str">
            <v>Chefe de Divisão de Execução Orçamentária e Financeira de Despesas Diversas</v>
          </cell>
          <cell r="C128" t="str">
            <v>DAS 101.2</v>
          </cell>
          <cell r="D128" t="str">
            <v>SE65</v>
          </cell>
          <cell r="E128" t="str">
            <v>SE35S</v>
          </cell>
          <cell r="F128" t="str">
            <v>OCUPADA</v>
          </cell>
          <cell r="G128" t="str">
            <v>OCUPADA</v>
          </cell>
        </row>
        <row r="129">
          <cell r="B129" t="str">
            <v>Chefe de Divisão de Concessão e Atualização dos Registros de Pagamento de Aposentados</v>
          </cell>
          <cell r="C129" t="str">
            <v>DAS 101.2</v>
          </cell>
          <cell r="D129" t="str">
            <v>SE66</v>
          </cell>
          <cell r="E129" t="str">
            <v>SE36S</v>
          </cell>
          <cell r="F129" t="str">
            <v>OCUPADA</v>
          </cell>
          <cell r="G129" t="str">
            <v>OCUPADA</v>
          </cell>
        </row>
        <row r="130">
          <cell r="B130" t="str">
            <v>Chefe de Divisão de Concessão e Atualização dos Registros de Pagamento de Pensionista</v>
          </cell>
          <cell r="C130" t="str">
            <v>DAS 101.2</v>
          </cell>
          <cell r="D130" t="str">
            <v>SE67</v>
          </cell>
          <cell r="E130" t="str">
            <v>SE37S</v>
          </cell>
          <cell r="F130" t="str">
            <v>OCUPADA</v>
          </cell>
          <cell r="G130" t="str">
            <v>OCUPADA</v>
          </cell>
        </row>
        <row r="131">
          <cell r="B131" t="str">
            <v>Chefe de Divisão de Treinamento e Desenvolvimento</v>
          </cell>
          <cell r="C131" t="str">
            <v>DAS 101.2</v>
          </cell>
          <cell r="D131" t="str">
            <v>SE68</v>
          </cell>
          <cell r="E131" t="str">
            <v>SE38S</v>
          </cell>
          <cell r="F131" t="str">
            <v>OCUPADA</v>
          </cell>
          <cell r="G131" t="str">
            <v>OCUPADA</v>
          </cell>
        </row>
        <row r="132">
          <cell r="B132" t="str">
            <v>Chefe de Divisão de Execução Orçamentária e Financeira da Folha de Pagamento de Pessoal</v>
          </cell>
          <cell r="C132" t="str">
            <v>FCPE 101.2</v>
          </cell>
          <cell r="D132" t="str">
            <v>SE69</v>
          </cell>
          <cell r="E132" t="str">
            <v>SE39S</v>
          </cell>
          <cell r="F132" t="str">
            <v>OCUPADA</v>
          </cell>
          <cell r="G132" t="str">
            <v>OCUPADA</v>
          </cell>
        </row>
        <row r="133">
          <cell r="B133" t="str">
            <v>Chefe de Divisão de Cadastro e Controle de Pessoal</v>
          </cell>
          <cell r="C133" t="str">
            <v>FCPE 101.2</v>
          </cell>
          <cell r="D133" t="str">
            <v>SE70</v>
          </cell>
          <cell r="E133" t="str">
            <v>SE40S</v>
          </cell>
          <cell r="F133" t="str">
            <v>OCUPADA</v>
          </cell>
          <cell r="G133" t="str">
            <v>OCUPADA</v>
          </cell>
        </row>
        <row r="134">
          <cell r="A134" t="str">
            <v>Coordenação-Geral de Orçamento e Finanças</v>
          </cell>
          <cell r="B134" t="str">
            <v>Coordenador-Geral</v>
          </cell>
          <cell r="C134" t="str">
            <v>DAS 101.4</v>
          </cell>
          <cell r="D134" t="str">
            <v>SE71</v>
          </cell>
          <cell r="E134" t="str">
            <v>SE41S</v>
          </cell>
          <cell r="F134" t="str">
            <v>OCUPADA</v>
          </cell>
          <cell r="G134" t="str">
            <v>OCUPADA</v>
          </cell>
        </row>
        <row r="135">
          <cell r="B135" t="str">
            <v>Coordenador de Administração Financeira</v>
          </cell>
          <cell r="C135" t="str">
            <v>DAS 101.3</v>
          </cell>
          <cell r="D135" t="str">
            <v>SE72</v>
          </cell>
          <cell r="E135" t="str">
            <v>SE42S</v>
          </cell>
          <cell r="F135" t="str">
            <v>OCUPADA</v>
          </cell>
          <cell r="G135" t="str">
            <v>OCUPADA</v>
          </cell>
        </row>
        <row r="136">
          <cell r="B136" t="str">
            <v>Coordenador de Contabilidade</v>
          </cell>
          <cell r="C136" t="str">
            <v>DAS 101.3</v>
          </cell>
          <cell r="D136" t="str">
            <v>SE73</v>
          </cell>
          <cell r="E136" t="str">
            <v>SE43S</v>
          </cell>
          <cell r="F136" t="str">
            <v>OCUPADA</v>
          </cell>
          <cell r="G136" t="str">
            <v>VAZIA</v>
          </cell>
        </row>
        <row r="137">
          <cell r="B137" t="str">
            <v>Coordenador de Orçamento</v>
          </cell>
          <cell r="C137" t="str">
            <v>DAS 101.3</v>
          </cell>
          <cell r="D137" t="str">
            <v>SE74</v>
          </cell>
          <cell r="E137" t="str">
            <v>SE44S</v>
          </cell>
          <cell r="F137" t="str">
            <v>OCUPADA</v>
          </cell>
          <cell r="G137" t="str">
            <v>OCUPADA</v>
          </cell>
        </row>
        <row r="138">
          <cell r="B138" t="str">
            <v>Assistente</v>
          </cell>
          <cell r="C138" t="str">
            <v>DAS 102.2</v>
          </cell>
          <cell r="D138" t="str">
            <v>SE75</v>
          </cell>
          <cell r="F138" t="str">
            <v>OCUPADA</v>
          </cell>
        </row>
        <row r="139">
          <cell r="B139" t="str">
            <v>Assistente Técnico</v>
          </cell>
          <cell r="C139" t="str">
            <v>DAS 102.1</v>
          </cell>
          <cell r="D139" t="str">
            <v>SE76</v>
          </cell>
          <cell r="F139" t="str">
            <v>OCUPADA</v>
          </cell>
        </row>
        <row r="140">
          <cell r="B140" t="str">
            <v>Assistente Técnico</v>
          </cell>
          <cell r="C140" t="str">
            <v>FCPE 102.1</v>
          </cell>
          <cell r="D140" t="str">
            <v>SE77</v>
          </cell>
          <cell r="F140" t="str">
            <v>OCUPADA</v>
          </cell>
        </row>
        <row r="141">
          <cell r="B141" t="str">
            <v>Assistente Técnico</v>
          </cell>
          <cell r="C141" t="str">
            <v>FCPE 102.1</v>
          </cell>
          <cell r="D141" t="str">
            <v>SE78</v>
          </cell>
          <cell r="F141" t="str">
            <v>OCUPADA</v>
          </cell>
        </row>
        <row r="142">
          <cell r="A142" t="str">
            <v>Coordenação-Geral de Tecnologia da Informação</v>
          </cell>
          <cell r="B142" t="str">
            <v>Coordenador-Geral</v>
          </cell>
          <cell r="C142" t="str">
            <v>DAS 101.4</v>
          </cell>
          <cell r="D142" t="str">
            <v>SE79</v>
          </cell>
          <cell r="E142" t="str">
            <v>SE45S</v>
          </cell>
          <cell r="F142" t="str">
            <v>OCUPADA</v>
          </cell>
          <cell r="G142" t="str">
            <v>OCUPADA</v>
          </cell>
        </row>
        <row r="143">
          <cell r="B143" t="str">
            <v>Coordenador de Infraestrutura Tecnológica</v>
          </cell>
          <cell r="C143" t="str">
            <v>DAS 101.3</v>
          </cell>
          <cell r="D143" t="str">
            <v>SE80</v>
          </cell>
          <cell r="E143" t="str">
            <v>SE46S</v>
          </cell>
          <cell r="F143" t="str">
            <v>OCUPADA</v>
          </cell>
          <cell r="G143" t="str">
            <v>OCUPADA</v>
          </cell>
        </row>
        <row r="144">
          <cell r="B144" t="str">
            <v>Coordenador de Tecnologia de Sistemas de Informação</v>
          </cell>
          <cell r="C144" t="str">
            <v>DAS 101.3</v>
          </cell>
          <cell r="D144" t="str">
            <v>SE81</v>
          </cell>
          <cell r="E144" t="str">
            <v>SE47S</v>
          </cell>
          <cell r="F144" t="str">
            <v>OCUPADA</v>
          </cell>
          <cell r="G144" t="str">
            <v>OCUPADA</v>
          </cell>
        </row>
        <row r="145">
          <cell r="B145" t="str">
            <v>Assistente</v>
          </cell>
          <cell r="C145" t="str">
            <v>DAS 102.2</v>
          </cell>
          <cell r="D145" t="str">
            <v>SE82</v>
          </cell>
          <cell r="F145" t="str">
            <v>OCUPADA</v>
          </cell>
        </row>
        <row r="146">
          <cell r="B146" t="str">
            <v>Assistente</v>
          </cell>
          <cell r="C146" t="str">
            <v>DAS 102.2</v>
          </cell>
          <cell r="D146" t="str">
            <v>SE83</v>
          </cell>
          <cell r="F146" t="str">
            <v>OCUPADA</v>
          </cell>
        </row>
        <row r="147">
          <cell r="A147" t="str">
            <v>Coordenação-Geral de Compras e Contratos</v>
          </cell>
          <cell r="B147" t="str">
            <v>Coordenador-Geral</v>
          </cell>
          <cell r="C147" t="str">
            <v>DAS 101.4</v>
          </cell>
          <cell r="D147" t="str">
            <v>SE84</v>
          </cell>
          <cell r="E147" t="str">
            <v>SE48S</v>
          </cell>
          <cell r="F147" t="str">
            <v>OCUPADA</v>
          </cell>
          <cell r="G147" t="str">
            <v>OCUPADA</v>
          </cell>
        </row>
        <row r="148">
          <cell r="B148" t="str">
            <v>Coordenador de Administração de Contratos</v>
          </cell>
          <cell r="C148" t="str">
            <v>DAS 101.3</v>
          </cell>
          <cell r="D148" t="str">
            <v>SE85</v>
          </cell>
          <cell r="E148" t="str">
            <v>SE49S</v>
          </cell>
          <cell r="F148" t="str">
            <v>OCUPADA</v>
          </cell>
          <cell r="G148" t="str">
            <v>OCUPADA</v>
          </cell>
        </row>
        <row r="149">
          <cell r="B149" t="str">
            <v>Coordenador de Licitações e Compras</v>
          </cell>
          <cell r="C149" t="str">
            <v>DAS 101.3</v>
          </cell>
          <cell r="D149" t="str">
            <v>SE86</v>
          </cell>
          <cell r="E149" t="str">
            <v>SE50S</v>
          </cell>
          <cell r="F149" t="str">
            <v>VAZIA</v>
          </cell>
          <cell r="G149" t="str">
            <v>OCUPADA</v>
          </cell>
        </row>
        <row r="150">
          <cell r="B150" t="str">
            <v>Assistente</v>
          </cell>
          <cell r="C150" t="str">
            <v>DAS 102.2</v>
          </cell>
          <cell r="D150" t="str">
            <v>SE87</v>
          </cell>
          <cell r="F150" t="str">
            <v>OCUPADA</v>
          </cell>
        </row>
        <row r="151">
          <cell r="B151" t="str">
            <v>Assistente</v>
          </cell>
          <cell r="C151" t="str">
            <v>DAS 102.2</v>
          </cell>
          <cell r="D151" t="str">
            <v>SE88</v>
          </cell>
          <cell r="F151" t="str">
            <v>OCUPADA</v>
          </cell>
        </row>
        <row r="152">
          <cell r="B152" t="str">
            <v>Assistente</v>
          </cell>
          <cell r="C152" t="str">
            <v>FCPE 102.2</v>
          </cell>
          <cell r="D152" t="str">
            <v>SE89</v>
          </cell>
          <cell r="F152" t="str">
            <v>OCUPADA</v>
          </cell>
        </row>
        <row r="153">
          <cell r="B153" t="str">
            <v>Assistente</v>
          </cell>
          <cell r="C153" t="str">
            <v>FCPE 102.2</v>
          </cell>
          <cell r="D153" t="str">
            <v>SE90</v>
          </cell>
          <cell r="F153" t="str">
            <v>OCUPADA</v>
          </cell>
        </row>
        <row r="154">
          <cell r="B154" t="str">
            <v>Assistente Técnico</v>
          </cell>
          <cell r="C154" t="str">
            <v>DAS 102.1</v>
          </cell>
          <cell r="D154" t="str">
            <v>SE91</v>
          </cell>
          <cell r="F154" t="str">
            <v>VAZIA</v>
          </cell>
        </row>
        <row r="156">
          <cell r="A156" t="str">
            <v>CONSULTORIA JURÍDICA</v>
          </cell>
          <cell r="B156" t="str">
            <v>Consultor Jurídico</v>
          </cell>
          <cell r="C156" t="str">
            <v>DAS 101.5</v>
          </cell>
          <cell r="D156" t="str">
            <v>CONJUR01</v>
          </cell>
          <cell r="E156" t="str">
            <v>CONJUR01S</v>
          </cell>
          <cell r="F156" t="str">
            <v>OCUPADA</v>
          </cell>
          <cell r="G156" t="str">
            <v>OCUPADA</v>
          </cell>
        </row>
        <row r="157">
          <cell r="B157" t="str">
            <v>Assessor</v>
          </cell>
          <cell r="C157" t="str">
            <v>DAS 102.4</v>
          </cell>
          <cell r="D157" t="str">
            <v>CONJUR02</v>
          </cell>
          <cell r="F157" t="str">
            <v>OCUPADA</v>
          </cell>
        </row>
        <row r="158">
          <cell r="B158" t="str">
            <v>Assessor Técnico</v>
          </cell>
          <cell r="C158" t="str">
            <v>FCPE 102.3</v>
          </cell>
          <cell r="D158" t="str">
            <v>CONJUR03</v>
          </cell>
          <cell r="F158" t="str">
            <v>OCUPADA</v>
          </cell>
        </row>
        <row r="159">
          <cell r="B159" t="str">
            <v>Assistente</v>
          </cell>
          <cell r="C159" t="str">
            <v>FCPE 102.2</v>
          </cell>
          <cell r="D159" t="str">
            <v>CONJUR04</v>
          </cell>
          <cell r="F159" t="str">
            <v>OCUPADA</v>
          </cell>
        </row>
        <row r="160">
          <cell r="B160" t="str">
            <v>Assistente</v>
          </cell>
          <cell r="C160" t="str">
            <v>DAS 102.2</v>
          </cell>
          <cell r="D160" t="str">
            <v>CONJUR05</v>
          </cell>
          <cell r="F160" t="str">
            <v>OCUPADA</v>
          </cell>
        </row>
        <row r="161">
          <cell r="B161" t="str">
            <v>Assistente</v>
          </cell>
          <cell r="C161" t="str">
            <v>DAS 102.2</v>
          </cell>
          <cell r="D161" t="str">
            <v>CONJUR06</v>
          </cell>
          <cell r="F161" t="str">
            <v>OCUPADA</v>
          </cell>
        </row>
        <row r="162">
          <cell r="B162" t="str">
            <v>Assistente</v>
          </cell>
          <cell r="C162" t="str">
            <v>DAS 102.2</v>
          </cell>
          <cell r="D162" t="str">
            <v>CONJUR07</v>
          </cell>
          <cell r="F162" t="str">
            <v>OCUPADA</v>
          </cell>
        </row>
        <row r="163">
          <cell r="B163" t="str">
            <v>Assistente</v>
          </cell>
          <cell r="C163" t="str">
            <v>DAS 102.2</v>
          </cell>
          <cell r="D163" t="str">
            <v>CONJUR08</v>
          </cell>
          <cell r="F163" t="str">
            <v>OCUPADA</v>
          </cell>
        </row>
        <row r="164">
          <cell r="B164" t="str">
            <v>Assistente</v>
          </cell>
          <cell r="C164" t="str">
            <v>DAS 102.2</v>
          </cell>
          <cell r="D164" t="str">
            <v>CONJUR09</v>
          </cell>
          <cell r="F164" t="str">
            <v>OCUPADA</v>
          </cell>
        </row>
        <row r="165">
          <cell r="A165" t="str">
            <v>Coordenação-Geral de Assuntos de Petróleo e Mineração</v>
          </cell>
          <cell r="B165" t="str">
            <v>Coordenador-Geral</v>
          </cell>
          <cell r="C165" t="str">
            <v>FCPE 101.4</v>
          </cell>
          <cell r="D165" t="str">
            <v>CONJUR10</v>
          </cell>
          <cell r="E165" t="str">
            <v>CONJUR02S</v>
          </cell>
          <cell r="F165" t="str">
            <v>OCUPADA</v>
          </cell>
          <cell r="G165" t="str">
            <v>OCUPADA</v>
          </cell>
        </row>
        <row r="166">
          <cell r="A166" t="str">
            <v>Coordenação-Geral de Assuntos de Energia</v>
          </cell>
          <cell r="B166" t="str">
            <v>Coordenador-Geral</v>
          </cell>
          <cell r="C166" t="str">
            <v>FCPE 101.4</v>
          </cell>
          <cell r="D166" t="str">
            <v>CONJUR11</v>
          </cell>
          <cell r="E166" t="str">
            <v>CONJUR03S</v>
          </cell>
          <cell r="F166" t="str">
            <v>OCUPADA</v>
          </cell>
          <cell r="G166" t="str">
            <v>OCUPADA</v>
          </cell>
        </row>
        <row r="167">
          <cell r="A167" t="str">
            <v>Coordenação-Geral de Assuntos Administrativos</v>
          </cell>
          <cell r="B167" t="str">
            <v>Coordenador-Geral</v>
          </cell>
          <cell r="C167" t="str">
            <v>FCPE 101.4</v>
          </cell>
          <cell r="D167" t="str">
            <v>CONJUR12</v>
          </cell>
          <cell r="E167" t="str">
            <v>CONJUR04S</v>
          </cell>
          <cell r="F167" t="str">
            <v>OCUPADA</v>
          </cell>
          <cell r="G167" t="str">
            <v>VAZIA</v>
          </cell>
        </row>
        <row r="168">
          <cell r="A168" t="str">
            <v>Coordenação de Apoio Administrativo</v>
          </cell>
          <cell r="B168" t="str">
            <v>Coordenador</v>
          </cell>
          <cell r="C168" t="str">
            <v>FCPE 101.3</v>
          </cell>
          <cell r="D168" t="str">
            <v>CONJUR13</v>
          </cell>
          <cell r="E168" t="str">
            <v>CONJUR05S</v>
          </cell>
          <cell r="F168" t="str">
            <v>OCUPADA</v>
          </cell>
          <cell r="G168" t="str">
            <v>OCUPADA</v>
          </cell>
        </row>
        <row r="169">
          <cell r="B169" t="str">
            <v>Assistente Técnico</v>
          </cell>
          <cell r="C169" t="str">
            <v>DAS 102.1</v>
          </cell>
          <cell r="D169" t="str">
            <v>CONJUR14</v>
          </cell>
          <cell r="F169" t="str">
            <v>OCUPADA</v>
          </cell>
        </row>
        <row r="171">
          <cell r="A171" t="str">
            <v>ASSESSORIA ECONÔMICA</v>
          </cell>
          <cell r="B171" t="str">
            <v>Chefe de Assessoria Econômica</v>
          </cell>
          <cell r="C171" t="str">
            <v>DAS 101.5</v>
          </cell>
          <cell r="D171" t="str">
            <v>ASSEC01</v>
          </cell>
          <cell r="E171" t="str">
            <v>ASSEC01S</v>
          </cell>
          <cell r="F171" t="str">
            <v>OCUPADA</v>
          </cell>
          <cell r="G171" t="str">
            <v>OCUPADA</v>
          </cell>
        </row>
        <row r="172">
          <cell r="B172" t="str">
            <v>Assessor</v>
          </cell>
          <cell r="C172" t="str">
            <v>DAS 102.4</v>
          </cell>
          <cell r="D172" t="str">
            <v>ASSEC02</v>
          </cell>
          <cell r="F172" t="str">
            <v>OCUPADA</v>
          </cell>
        </row>
        <row r="173">
          <cell r="B173" t="str">
            <v>Assessor</v>
          </cell>
          <cell r="C173" t="str">
            <v>DAS 102.4</v>
          </cell>
          <cell r="D173" t="str">
            <v>ASSEC03</v>
          </cell>
          <cell r="F173" t="str">
            <v>OCUPADA</v>
          </cell>
        </row>
        <row r="174">
          <cell r="B174" t="str">
            <v>Assessor</v>
          </cell>
          <cell r="C174" t="str">
            <v>DAS 102.4</v>
          </cell>
          <cell r="D174" t="str">
            <v>ASSEC04</v>
          </cell>
          <cell r="F174" t="str">
            <v>OCUPADA</v>
          </cell>
        </row>
        <row r="175">
          <cell r="B175" t="str">
            <v>Assessor</v>
          </cell>
          <cell r="C175" t="str">
            <v>DAS 102.4</v>
          </cell>
          <cell r="D175" t="str">
            <v>ASSEC05</v>
          </cell>
          <cell r="F175" t="str">
            <v>OCUPADA</v>
          </cell>
        </row>
        <row r="176">
          <cell r="B176" t="str">
            <v>Assessor</v>
          </cell>
          <cell r="C176" t="str">
            <v>DAS 102.4</v>
          </cell>
          <cell r="D176" t="str">
            <v>ASSEC06</v>
          </cell>
          <cell r="F176" t="str">
            <v>OCUPADA</v>
          </cell>
        </row>
        <row r="177">
          <cell r="B177" t="str">
            <v>Assessor Técnico</v>
          </cell>
          <cell r="C177" t="str">
            <v>DAS 102.3</v>
          </cell>
          <cell r="D177" t="str">
            <v>ASSEC07</v>
          </cell>
          <cell r="F177" t="str">
            <v>OCUPADA</v>
          </cell>
        </row>
        <row r="178">
          <cell r="B178" t="str">
            <v>Assessor Técnico</v>
          </cell>
          <cell r="C178" t="str">
            <v>DAS 102.3</v>
          </cell>
          <cell r="D178" t="str">
            <v>ASSEC08</v>
          </cell>
          <cell r="F178" t="str">
            <v>OCUPADA</v>
          </cell>
        </row>
        <row r="179">
          <cell r="B179" t="str">
            <v>Assessor Técnico</v>
          </cell>
          <cell r="C179" t="str">
            <v>DAS 102.3</v>
          </cell>
          <cell r="D179" t="str">
            <v>ASSEC09</v>
          </cell>
          <cell r="F179" t="str">
            <v>OCUPADA</v>
          </cell>
        </row>
        <row r="181">
          <cell r="A181" t="str">
            <v>ASSESSORIA ESPECIAL DE RELAÇÕES INTERNACIONAIS</v>
          </cell>
          <cell r="B181" t="str">
            <v>Chefe da Assessoria Especial de Relações Internacionais</v>
          </cell>
          <cell r="C181" t="str">
            <v>DAS 101.5</v>
          </cell>
          <cell r="D181" t="str">
            <v>ASSINT01</v>
          </cell>
          <cell r="E181" t="str">
            <v>ASSINT01S</v>
          </cell>
          <cell r="F181" t="str">
            <v>OCUPADA</v>
          </cell>
          <cell r="G181" t="str">
            <v>OCUPADA</v>
          </cell>
        </row>
        <row r="182">
          <cell r="B182" t="str">
            <v>Assessor</v>
          </cell>
          <cell r="C182" t="str">
            <v>DAS 102.4</v>
          </cell>
          <cell r="D182" t="str">
            <v>ASSINT02</v>
          </cell>
          <cell r="F182" t="str">
            <v>OCUPADA</v>
          </cell>
        </row>
        <row r="183">
          <cell r="B183" t="str">
            <v>Assistente</v>
          </cell>
          <cell r="C183" t="str">
            <v>FCPE 102.2</v>
          </cell>
          <cell r="D183" t="str">
            <v>ASSINT03</v>
          </cell>
          <cell r="F183" t="str">
            <v>OCUPADA</v>
          </cell>
        </row>
        <row r="184">
          <cell r="B184" t="str">
            <v>Assitente</v>
          </cell>
          <cell r="C184" t="str">
            <v>DAS 102.2</v>
          </cell>
          <cell r="D184" t="str">
            <v>ASSINT04</v>
          </cell>
          <cell r="F184" t="str">
            <v>OCUPADA</v>
          </cell>
        </row>
        <row r="186">
          <cell r="A186" t="str">
            <v>ASSESSORIA ESPECIAL DE CONTROLE INTERNO</v>
          </cell>
          <cell r="B186" t="str">
            <v xml:space="preserve">Chefe da Assessoria Especial </v>
          </cell>
          <cell r="C186" t="str">
            <v>DAS 101.5</v>
          </cell>
          <cell r="D186" t="str">
            <v>AECI01</v>
          </cell>
          <cell r="E186" t="str">
            <v>AECI01S</v>
          </cell>
          <cell r="F186" t="str">
            <v>OCUPADA</v>
          </cell>
          <cell r="G186" t="str">
            <v>OCUPADA</v>
          </cell>
        </row>
        <row r="187">
          <cell r="B187" t="str">
            <v>Assessor</v>
          </cell>
          <cell r="C187" t="str">
            <v>FCPE 102.4</v>
          </cell>
          <cell r="D187" t="str">
            <v>AECI02</v>
          </cell>
          <cell r="F187" t="str">
            <v>OCUPADA</v>
          </cell>
        </row>
        <row r="188">
          <cell r="B188" t="str">
            <v>Assintente</v>
          </cell>
          <cell r="C188" t="str">
            <v>FCPE 102.2</v>
          </cell>
          <cell r="D188" t="str">
            <v>AECI03</v>
          </cell>
          <cell r="F188" t="str">
            <v>OCUPADA</v>
          </cell>
        </row>
        <row r="190">
          <cell r="A190" t="str">
            <v>ASSESSORIA ESPECIAL DE ACOMPANHAMENTO DE POLÍTICAS, ESTRATÉGIAS E DESEMPENHO SETORIAIS</v>
          </cell>
          <cell r="B190" t="str">
            <v xml:space="preserve">Chefe da Assessoria Especial </v>
          </cell>
          <cell r="C190" t="str">
            <v>DAS 101.5</v>
          </cell>
          <cell r="D190" t="str">
            <v>AEPED01</v>
          </cell>
          <cell r="E190" t="str">
            <v>AEPED01S</v>
          </cell>
          <cell r="F190" t="str">
            <v>OCUPADA</v>
          </cell>
          <cell r="G190" t="str">
            <v>OCUPADA</v>
          </cell>
        </row>
        <row r="191">
          <cell r="B191" t="str">
            <v>Assessor</v>
          </cell>
          <cell r="C191" t="str">
            <v>DAS 102.4</v>
          </cell>
          <cell r="D191" t="str">
            <v>AEPED02</v>
          </cell>
          <cell r="F191" t="str">
            <v>OCUPADA</v>
          </cell>
        </row>
        <row r="192">
          <cell r="B192" t="str">
            <v>Assessor</v>
          </cell>
          <cell r="C192" t="str">
            <v>FCPE 102.4</v>
          </cell>
          <cell r="D192" t="str">
            <v>AEPED03</v>
          </cell>
          <cell r="F192" t="str">
            <v>OCUPADA</v>
          </cell>
        </row>
        <row r="193">
          <cell r="B193" t="str">
            <v>Assessor Técnico</v>
          </cell>
          <cell r="C193" t="str">
            <v>DAS 102.3</v>
          </cell>
          <cell r="D193" t="str">
            <v>AEPED04</v>
          </cell>
          <cell r="F193" t="str">
            <v>OCUPADA</v>
          </cell>
        </row>
        <row r="195">
          <cell r="A195" t="str">
            <v>SECRETARIA DE PLANEJAMENTO E DESENVOLVIMENTO ENERGÉTICO</v>
          </cell>
          <cell r="B195" t="str">
            <v>Secretário</v>
          </cell>
          <cell r="C195" t="str">
            <v>DAS 101.6</v>
          </cell>
          <cell r="D195" t="str">
            <v>SPE01</v>
          </cell>
          <cell r="E195" t="str">
            <v>SPE01S</v>
          </cell>
          <cell r="F195" t="str">
            <v>VAZIA</v>
          </cell>
          <cell r="G195" t="str">
            <v>OCUPADA</v>
          </cell>
        </row>
        <row r="196">
          <cell r="B196" t="str">
            <v>Secretário-Adjunto</v>
          </cell>
          <cell r="C196" t="str">
            <v>DAS 101.5</v>
          </cell>
          <cell r="D196" t="str">
            <v>SPE02</v>
          </cell>
          <cell r="E196" t="str">
            <v>SPE02S</v>
          </cell>
          <cell r="F196" t="str">
            <v>OCUPADA</v>
          </cell>
          <cell r="G196" t="str">
            <v>VAZIA</v>
          </cell>
        </row>
        <row r="197">
          <cell r="B197" t="str">
            <v>Assessor</v>
          </cell>
          <cell r="C197" t="str">
            <v>DAS 102.4</v>
          </cell>
          <cell r="D197" t="str">
            <v>SPE03</v>
          </cell>
          <cell r="F197" t="str">
            <v>OCUPADA</v>
          </cell>
        </row>
        <row r="198">
          <cell r="B198" t="str">
            <v>Assessor</v>
          </cell>
          <cell r="C198" t="str">
            <v>DAS 102.4</v>
          </cell>
          <cell r="D198" t="str">
            <v>SPE04</v>
          </cell>
          <cell r="F198" t="str">
            <v>OCUPADA</v>
          </cell>
        </row>
        <row r="199">
          <cell r="B199" t="str">
            <v>Assessor Técnico</v>
          </cell>
          <cell r="C199" t="str">
            <v>FCPE 102.3</v>
          </cell>
          <cell r="D199" t="str">
            <v>SPE05</v>
          </cell>
          <cell r="F199" t="str">
            <v>OCUPADA</v>
          </cell>
        </row>
        <row r="200">
          <cell r="B200" t="str">
            <v>Assistente</v>
          </cell>
          <cell r="C200" t="str">
            <v>DAS 102.2</v>
          </cell>
          <cell r="D200" t="str">
            <v>SPE06</v>
          </cell>
          <cell r="F200" t="str">
            <v>OCUPADA</v>
          </cell>
        </row>
        <row r="201">
          <cell r="B201" t="str">
            <v>Assistente</v>
          </cell>
          <cell r="C201" t="str">
            <v>DAS 102.2</v>
          </cell>
          <cell r="D201" t="str">
            <v>SPE07</v>
          </cell>
          <cell r="F201" t="str">
            <v>OCUPADA</v>
          </cell>
        </row>
        <row r="202">
          <cell r="B202" t="str">
            <v>Assistente</v>
          </cell>
          <cell r="C202" t="str">
            <v>DAS 102.2</v>
          </cell>
          <cell r="D202" t="str">
            <v>SPE08</v>
          </cell>
          <cell r="F202" t="str">
            <v>OCUPADA</v>
          </cell>
        </row>
        <row r="203">
          <cell r="A203" t="str">
            <v>Departamento de Planejamento Energético</v>
          </cell>
          <cell r="B203" t="str">
            <v>Diretor</v>
          </cell>
          <cell r="C203" t="str">
            <v>DAS 101.5</v>
          </cell>
          <cell r="D203" t="str">
            <v>SPE09</v>
          </cell>
          <cell r="E203" t="str">
            <v>SPE03S</v>
          </cell>
          <cell r="F203" t="str">
            <v>OCUPADA</v>
          </cell>
          <cell r="G203" t="str">
            <v>VAZIA</v>
          </cell>
        </row>
        <row r="204">
          <cell r="B204" t="str">
            <v>Assessor</v>
          </cell>
          <cell r="C204" t="str">
            <v>DAS 102.4</v>
          </cell>
          <cell r="D204" t="str">
            <v>SPE10</v>
          </cell>
          <cell r="F204" t="str">
            <v>OCUPADA</v>
          </cell>
        </row>
        <row r="205">
          <cell r="B205" t="str">
            <v>Assessor Técnico</v>
          </cell>
          <cell r="C205" t="str">
            <v>DAS 102.3</v>
          </cell>
          <cell r="D205" t="str">
            <v>SPE11</v>
          </cell>
          <cell r="F205" t="str">
            <v>OCUPADA</v>
          </cell>
        </row>
        <row r="206">
          <cell r="B206" t="str">
            <v>Assistente</v>
          </cell>
          <cell r="C206" t="str">
            <v>FCPE 102.2</v>
          </cell>
          <cell r="D206" t="str">
            <v>SPE12</v>
          </cell>
          <cell r="F206" t="str">
            <v>OCUPADA</v>
          </cell>
        </row>
        <row r="207">
          <cell r="A207" t="str">
            <v>Coordenação-Geral de Planejamento da Transmissão</v>
          </cell>
          <cell r="B207" t="str">
            <v>Coordenador-Geral</v>
          </cell>
          <cell r="C207" t="str">
            <v>DAS 101.4</v>
          </cell>
          <cell r="D207" t="str">
            <v>SPE13</v>
          </cell>
          <cell r="E207" t="str">
            <v>SPE04S</v>
          </cell>
          <cell r="F207" t="str">
            <v>OCUPADA</v>
          </cell>
          <cell r="G207" t="str">
            <v>OCUPADA</v>
          </cell>
        </row>
        <row r="208">
          <cell r="A208" t="str">
            <v>Coordenação-Geral de Planejamento da Geração</v>
          </cell>
          <cell r="B208" t="str">
            <v>Coordenador-Geral</v>
          </cell>
          <cell r="C208" t="str">
            <v>DAS 101.4</v>
          </cell>
          <cell r="D208" t="str">
            <v>SPE14</v>
          </cell>
          <cell r="E208" t="str">
            <v>SPE05S</v>
          </cell>
          <cell r="F208" t="str">
            <v>OCUPADA</v>
          </cell>
          <cell r="G208" t="str">
            <v>OCUPADA</v>
          </cell>
        </row>
        <row r="209">
          <cell r="A209" t="str">
            <v>Coordenação-Geral da Expansão Eletroenergética</v>
          </cell>
          <cell r="B209" t="str">
            <v>Coordenador-Geral</v>
          </cell>
          <cell r="C209" t="str">
            <v>DAS 101.4</v>
          </cell>
          <cell r="D209" t="str">
            <v>SPE15</v>
          </cell>
          <cell r="E209" t="str">
            <v>SPE06S</v>
          </cell>
          <cell r="F209" t="str">
            <v>OCUPADA</v>
          </cell>
          <cell r="G209" t="str">
            <v>OCUPADA</v>
          </cell>
        </row>
        <row r="210">
          <cell r="A210" t="str">
            <v>Departamento de Desenvolvimento Energético</v>
          </cell>
          <cell r="B210" t="str">
            <v>Diretor</v>
          </cell>
          <cell r="C210" t="str">
            <v>DAS 101.5</v>
          </cell>
          <cell r="D210" t="str">
            <v>SPE16</v>
          </cell>
          <cell r="E210" t="str">
            <v>SPE07S</v>
          </cell>
          <cell r="F210" t="str">
            <v>OCUPADA</v>
          </cell>
          <cell r="G210" t="str">
            <v>OCUPADA</v>
          </cell>
        </row>
        <row r="211">
          <cell r="B211" t="str">
            <v>Assistente</v>
          </cell>
          <cell r="C211" t="str">
            <v>DAS 102.2</v>
          </cell>
          <cell r="D211" t="str">
            <v>SPE17</v>
          </cell>
          <cell r="F211" t="str">
            <v>OCUPADA</v>
          </cell>
        </row>
        <row r="212">
          <cell r="B212" t="str">
            <v>Assistente</v>
          </cell>
          <cell r="C212" t="str">
            <v>FCPE 102.2</v>
          </cell>
          <cell r="D212" t="str">
            <v>SPE18</v>
          </cell>
          <cell r="F212" t="str">
            <v>OCUPADA</v>
          </cell>
        </row>
        <row r="213">
          <cell r="A213" t="str">
            <v>Coordenação-Geral de Eficiência Energética</v>
          </cell>
          <cell r="B213" t="str">
            <v>Coordenador-Geral</v>
          </cell>
          <cell r="C213" t="str">
            <v>DAS 101.4</v>
          </cell>
          <cell r="D213" t="str">
            <v>SPE19</v>
          </cell>
          <cell r="E213" t="str">
            <v>SPE08S</v>
          </cell>
          <cell r="F213" t="str">
            <v>OCUPADA</v>
          </cell>
          <cell r="G213" t="str">
            <v>OCUPADA</v>
          </cell>
        </row>
        <row r="214">
          <cell r="A214" t="str">
            <v>Coordenação-Geral Sustentabilidade Ambiental do Setor Energético</v>
          </cell>
          <cell r="B214" t="str">
            <v>Coordenador-Geral</v>
          </cell>
          <cell r="C214" t="str">
            <v>FCPE 101.4</v>
          </cell>
          <cell r="D214" t="str">
            <v>SPE20</v>
          </cell>
          <cell r="E214" t="str">
            <v>SPE09S</v>
          </cell>
          <cell r="F214" t="str">
            <v>OCUPADA</v>
          </cell>
          <cell r="G214" t="str">
            <v>OCUPADA</v>
          </cell>
        </row>
        <row r="215">
          <cell r="A215" t="str">
            <v>Coordenação-Geral de Fontes Alternativas</v>
          </cell>
          <cell r="B215" t="str">
            <v>Coordenador-Geral</v>
          </cell>
          <cell r="C215" t="str">
            <v>DAS 101.4</v>
          </cell>
          <cell r="D215" t="str">
            <v>SPE21</v>
          </cell>
          <cell r="E215" t="str">
            <v>SPE10S</v>
          </cell>
          <cell r="F215" t="str">
            <v>OCUPADA</v>
          </cell>
          <cell r="G215" t="str">
            <v>VAZIA</v>
          </cell>
        </row>
        <row r="216">
          <cell r="A216" t="str">
            <v>Departamento de Outorgas de Concessões, Permissões e Autorizações</v>
          </cell>
          <cell r="B216" t="str">
            <v>Diretor</v>
          </cell>
          <cell r="C216" t="str">
            <v>DAS 101.5</v>
          </cell>
          <cell r="D216" t="str">
            <v>SPE22</v>
          </cell>
          <cell r="E216" t="str">
            <v>SPE11S</v>
          </cell>
          <cell r="F216" t="str">
            <v>OCUPADA</v>
          </cell>
          <cell r="G216" t="str">
            <v>OCUPADA</v>
          </cell>
        </row>
        <row r="217">
          <cell r="B217" t="str">
            <v>Assistente</v>
          </cell>
          <cell r="C217" t="str">
            <v>DAS 102.2</v>
          </cell>
          <cell r="D217" t="str">
            <v>SPE23</v>
          </cell>
          <cell r="F217" t="str">
            <v>OCUPADA</v>
          </cell>
        </row>
        <row r="218">
          <cell r="B218" t="str">
            <v>Assistente</v>
          </cell>
          <cell r="C218" t="str">
            <v>FCPE 102.2</v>
          </cell>
          <cell r="D218" t="str">
            <v>SPE24</v>
          </cell>
          <cell r="F218" t="str">
            <v>OCUPADA</v>
          </cell>
        </row>
        <row r="219">
          <cell r="A219" t="str">
            <v>Coordenação-Geral de Outorgas de Geração de Energia Elétrica</v>
          </cell>
          <cell r="B219" t="str">
            <v>Coordenador-Geral</v>
          </cell>
          <cell r="C219" t="str">
            <v>DAS 101.4</v>
          </cell>
          <cell r="D219" t="str">
            <v>SPE25</v>
          </cell>
          <cell r="E219" t="str">
            <v>SPE12S</v>
          </cell>
          <cell r="F219" t="str">
            <v>OCUPADA</v>
          </cell>
          <cell r="G219" t="str">
            <v>OCUPADA</v>
          </cell>
        </row>
        <row r="220">
          <cell r="A220" t="str">
            <v>Coordenação-Geral de Outorgas de Serviços de Transmissão e Distribuição de Energia Elétrica</v>
          </cell>
          <cell r="B220" t="str">
            <v>Coordenador-Geral</v>
          </cell>
          <cell r="C220" t="str">
            <v>DAS 101.4</v>
          </cell>
          <cell r="D220" t="str">
            <v>SPE26</v>
          </cell>
          <cell r="E220" t="str">
            <v>SPE13S</v>
          </cell>
          <cell r="F220" t="str">
            <v>OCUPADA</v>
          </cell>
          <cell r="G220" t="str">
            <v>OCUPADA</v>
          </cell>
        </row>
        <row r="221">
          <cell r="A221" t="str">
            <v>Departamento de Informações e Estudos Energéticos</v>
          </cell>
          <cell r="B221" t="str">
            <v>Diretor</v>
          </cell>
          <cell r="C221" t="str">
            <v>DAS 101.5</v>
          </cell>
          <cell r="D221" t="str">
            <v>SPE27</v>
          </cell>
          <cell r="E221" t="str">
            <v>SPE14S</v>
          </cell>
          <cell r="F221" t="str">
            <v>OCUPADA</v>
          </cell>
          <cell r="G221" t="str">
            <v>OCUPADA</v>
          </cell>
        </row>
        <row r="222">
          <cell r="B222" t="str">
            <v>Assistente</v>
          </cell>
          <cell r="C222" t="str">
            <v>DAS 102.2</v>
          </cell>
          <cell r="D222" t="str">
            <v>SPE28</v>
          </cell>
          <cell r="F222" t="str">
            <v>OCUPADA</v>
          </cell>
        </row>
        <row r="223">
          <cell r="A223" t="str">
            <v>Coordenação-Geral de Informações Energéticas</v>
          </cell>
          <cell r="B223" t="str">
            <v>Coordenador-Geral</v>
          </cell>
          <cell r="C223" t="str">
            <v>DAS 101.4</v>
          </cell>
          <cell r="D223" t="str">
            <v>SPE29</v>
          </cell>
          <cell r="E223" t="str">
            <v>SPE15S</v>
          </cell>
          <cell r="F223" t="str">
            <v>OCUPADA</v>
          </cell>
          <cell r="G223" t="str">
            <v>VAZIA</v>
          </cell>
        </row>
        <row r="224">
          <cell r="B224" t="str">
            <v>Assessor Técnico</v>
          </cell>
          <cell r="C224" t="str">
            <v>DAS 102.3</v>
          </cell>
          <cell r="D224" t="str">
            <v>SPE30</v>
          </cell>
          <cell r="F224" t="str">
            <v>OCUPADA</v>
          </cell>
        </row>
        <row r="226">
          <cell r="A226" t="str">
            <v>SECRETARIA DE ENERGIA ELÉTRICA</v>
          </cell>
          <cell r="B226" t="str">
            <v>Secretário</v>
          </cell>
          <cell r="C226" t="str">
            <v>DAS 101.6</v>
          </cell>
          <cell r="D226" t="str">
            <v>SEE01</v>
          </cell>
          <cell r="E226" t="str">
            <v>SEE01S</v>
          </cell>
          <cell r="F226" t="str">
            <v>OCUPADA</v>
          </cell>
          <cell r="G226" t="str">
            <v>OCUPADA</v>
          </cell>
        </row>
        <row r="227">
          <cell r="B227" t="str">
            <v>Secretário-Adjunto</v>
          </cell>
          <cell r="C227" t="str">
            <v>DAS 101.5</v>
          </cell>
          <cell r="D227" t="str">
            <v>SEE02</v>
          </cell>
          <cell r="E227" t="str">
            <v>SEE02S</v>
          </cell>
          <cell r="F227" t="str">
            <v>OCUPADA</v>
          </cell>
          <cell r="G227" t="str">
            <v>OCUPADA</v>
          </cell>
        </row>
        <row r="228">
          <cell r="B228" t="str">
            <v>Diretor de Programa</v>
          </cell>
          <cell r="C228" t="str">
            <v>DAS 101.5</v>
          </cell>
          <cell r="D228" t="str">
            <v>SEE03</v>
          </cell>
          <cell r="E228" t="str">
            <v>SEE03S</v>
          </cell>
          <cell r="F228" t="str">
            <v>OCUPADA</v>
          </cell>
          <cell r="G228" t="str">
            <v>OCUPADA</v>
          </cell>
        </row>
        <row r="229">
          <cell r="B229" t="str">
            <v>Assessor</v>
          </cell>
          <cell r="C229" t="str">
            <v>DAS 102.4</v>
          </cell>
          <cell r="D229" t="str">
            <v>SEE04</v>
          </cell>
          <cell r="F229" t="str">
            <v>OCUPADA</v>
          </cell>
        </row>
        <row r="230">
          <cell r="B230" t="str">
            <v>Assessor Técnico</v>
          </cell>
          <cell r="C230" t="str">
            <v>FCPE 102.3</v>
          </cell>
          <cell r="D230" t="str">
            <v>SEE05</v>
          </cell>
          <cell r="F230" t="str">
            <v>OCUPADA</v>
          </cell>
        </row>
        <row r="231">
          <cell r="B231" t="str">
            <v>Assistente</v>
          </cell>
          <cell r="C231" t="str">
            <v>DAS 102.2</v>
          </cell>
          <cell r="D231" t="str">
            <v>SEE06</v>
          </cell>
          <cell r="F231" t="str">
            <v>OCUPADA</v>
          </cell>
        </row>
        <row r="232">
          <cell r="B232" t="str">
            <v>Assistente</v>
          </cell>
          <cell r="C232" t="str">
            <v>DAS 102.2</v>
          </cell>
          <cell r="D232" t="str">
            <v>SEE07</v>
          </cell>
          <cell r="F232" t="str">
            <v>OCUPADA</v>
          </cell>
        </row>
        <row r="233">
          <cell r="B233" t="str">
            <v>Assistente</v>
          </cell>
          <cell r="C233" t="str">
            <v>DAS 102.2</v>
          </cell>
          <cell r="D233" t="str">
            <v>SEE08</v>
          </cell>
          <cell r="F233" t="str">
            <v>OCUPADA</v>
          </cell>
        </row>
        <row r="234">
          <cell r="B234" t="str">
            <v>Assistente</v>
          </cell>
          <cell r="C234" t="str">
            <v>DAS 102.2</v>
          </cell>
          <cell r="D234" t="str">
            <v>SEE09</v>
          </cell>
          <cell r="F234" t="str">
            <v>OCUPADA</v>
          </cell>
        </row>
        <row r="235">
          <cell r="A235" t="str">
            <v>Departamento de Gestão do Setor Elétrico</v>
          </cell>
          <cell r="B235" t="str">
            <v>Diretor</v>
          </cell>
          <cell r="C235" t="str">
            <v>DAS 101.5</v>
          </cell>
          <cell r="D235" t="str">
            <v>SEE10</v>
          </cell>
          <cell r="E235" t="str">
            <v>SEE04S</v>
          </cell>
          <cell r="F235" t="str">
            <v>OCUPADA</v>
          </cell>
          <cell r="G235" t="str">
            <v>OCUPADA</v>
          </cell>
        </row>
        <row r="236">
          <cell r="B236" t="str">
            <v>Assistente</v>
          </cell>
          <cell r="C236" t="str">
            <v>DAS 102.2</v>
          </cell>
          <cell r="D236" t="str">
            <v>SEE11</v>
          </cell>
          <cell r="F236" t="str">
            <v>OCUPADA</v>
          </cell>
        </row>
        <row r="237">
          <cell r="A237" t="str">
            <v>Coordenação-Geral de Gestão da Comercialização de Energia</v>
          </cell>
          <cell r="B237" t="str">
            <v>Coordenador-Geral</v>
          </cell>
          <cell r="C237" t="str">
            <v>DAS 101.4</v>
          </cell>
          <cell r="D237" t="str">
            <v>SEE12</v>
          </cell>
          <cell r="E237" t="str">
            <v>SEE05S</v>
          </cell>
          <cell r="F237" t="str">
            <v>OCUPADA</v>
          </cell>
          <cell r="G237" t="str">
            <v>OCUPADA</v>
          </cell>
        </row>
        <row r="238">
          <cell r="B238" t="str">
            <v>Assistente</v>
          </cell>
          <cell r="C238" t="str">
            <v>DAS 102.2</v>
          </cell>
          <cell r="D238" t="str">
            <v>SEE13</v>
          </cell>
          <cell r="F238" t="str">
            <v>OCUPADA</v>
          </cell>
        </row>
        <row r="239">
          <cell r="A239" t="str">
            <v>Coordenação-Geral Gestão de Programas e Regulamentação</v>
          </cell>
          <cell r="B239" t="str">
            <v>Coordenador-Geral</v>
          </cell>
          <cell r="C239" t="str">
            <v>DAS 101.4</v>
          </cell>
          <cell r="D239" t="str">
            <v>SEE14</v>
          </cell>
          <cell r="E239" t="str">
            <v>SEE06S</v>
          </cell>
          <cell r="F239" t="str">
            <v>OCUPADA</v>
          </cell>
          <cell r="G239" t="str">
            <v>VAZIA</v>
          </cell>
        </row>
        <row r="240">
          <cell r="B240" t="str">
            <v>Assessor Técnico</v>
          </cell>
          <cell r="C240" t="str">
            <v>FCPE 102.3</v>
          </cell>
          <cell r="D240" t="str">
            <v>SEE15</v>
          </cell>
          <cell r="F240" t="str">
            <v>OCUPADA</v>
          </cell>
        </row>
        <row r="241">
          <cell r="A241" t="str">
            <v>Departamento de Monitoramento do Sistema Elétrico</v>
          </cell>
          <cell r="B241" t="str">
            <v>Diretor</v>
          </cell>
          <cell r="C241" t="str">
            <v>DAS 101.5</v>
          </cell>
          <cell r="D241" t="str">
            <v>SEE16</v>
          </cell>
          <cell r="E241" t="str">
            <v>SEE07S</v>
          </cell>
          <cell r="F241" t="str">
            <v>OCUPADA</v>
          </cell>
          <cell r="G241" t="str">
            <v>OCUPADA</v>
          </cell>
        </row>
        <row r="242">
          <cell r="B242" t="str">
            <v>Assistente</v>
          </cell>
          <cell r="C242" t="str">
            <v>DAS 102.2</v>
          </cell>
          <cell r="D242" t="str">
            <v>SEE17</v>
          </cell>
          <cell r="F242" t="str">
            <v>OCUPADA</v>
          </cell>
        </row>
        <row r="243">
          <cell r="B243" t="str">
            <v>Assistente</v>
          </cell>
          <cell r="C243" t="str">
            <v>DAS 102.2</v>
          </cell>
          <cell r="D243" t="str">
            <v>SEE18</v>
          </cell>
          <cell r="F243" t="str">
            <v>OCUPADA</v>
          </cell>
        </row>
        <row r="244">
          <cell r="A244" t="str">
            <v>Coordenação-Geral de Monitoramento da Expansão da Geração</v>
          </cell>
          <cell r="B244" t="str">
            <v>Coordenador-Geral</v>
          </cell>
          <cell r="C244" t="str">
            <v>DAS 101.4</v>
          </cell>
          <cell r="D244" t="str">
            <v>SEE19</v>
          </cell>
          <cell r="E244" t="str">
            <v>SEE08S</v>
          </cell>
          <cell r="F244" t="str">
            <v>OCUPADA</v>
          </cell>
          <cell r="G244" t="str">
            <v>OCUPADA</v>
          </cell>
        </row>
        <row r="245">
          <cell r="B245" t="str">
            <v>Gerente de Projeto</v>
          </cell>
          <cell r="C245" t="str">
            <v>DAS 101.4</v>
          </cell>
          <cell r="D245" t="str">
            <v>SEE20</v>
          </cell>
          <cell r="E245" t="str">
            <v>SEE09S</v>
          </cell>
          <cell r="F245" t="str">
            <v>OCUPADA</v>
          </cell>
          <cell r="G245" t="str">
            <v>VAZIA</v>
          </cell>
        </row>
        <row r="246">
          <cell r="B246" t="str">
            <v>Assistente</v>
          </cell>
          <cell r="C246" t="str">
            <v>DAS 102.2</v>
          </cell>
          <cell r="D246" t="str">
            <v>SEE21</v>
          </cell>
          <cell r="F246" t="str">
            <v>OCUPADA</v>
          </cell>
        </row>
        <row r="247">
          <cell r="A247" t="str">
            <v xml:space="preserve">Coordenação-Geral de Monitoramento da Expansão da Transmissão </v>
          </cell>
          <cell r="B247" t="str">
            <v>Coordenador-Geral</v>
          </cell>
          <cell r="C247" t="str">
            <v xml:space="preserve"> FCPE 101.4</v>
          </cell>
          <cell r="D247" t="str">
            <v>SEE22</v>
          </cell>
          <cell r="E247" t="str">
            <v>SEE10S</v>
          </cell>
          <cell r="F247" t="str">
            <v>OCUPADA</v>
          </cell>
          <cell r="G247" t="str">
            <v>OCUPADA</v>
          </cell>
        </row>
        <row r="248">
          <cell r="B248" t="str">
            <v>Assessor Técnico</v>
          </cell>
          <cell r="C248" t="str">
            <v>DAS 102.3</v>
          </cell>
          <cell r="D248" t="str">
            <v>SEE23</v>
          </cell>
          <cell r="F248" t="str">
            <v>OCUPADA</v>
          </cell>
        </row>
        <row r="249">
          <cell r="A249" t="str">
            <v>Coordenação-Geral de Monitoramento da Distribuição</v>
          </cell>
          <cell r="B249" t="str">
            <v>Coordenador-Geral</v>
          </cell>
          <cell r="C249" t="str">
            <v>DAS 101.4</v>
          </cell>
          <cell r="D249" t="str">
            <v>SEE24</v>
          </cell>
          <cell r="E249" t="str">
            <v>SEE11S</v>
          </cell>
          <cell r="F249" t="str">
            <v>OCUPADA</v>
          </cell>
          <cell r="G249" t="str">
            <v>OCUPADA</v>
          </cell>
        </row>
        <row r="250">
          <cell r="A250" t="str">
            <v>Coordenação-Geral Monitoramento do Desempenho do Sistema Elétrico</v>
          </cell>
          <cell r="B250" t="str">
            <v>Coordenador-Geral</v>
          </cell>
          <cell r="C250" t="str">
            <v xml:space="preserve">  FCPE 101.4</v>
          </cell>
          <cell r="D250" t="str">
            <v>SEE25</v>
          </cell>
          <cell r="E250" t="str">
            <v>SEE12S</v>
          </cell>
          <cell r="F250" t="str">
            <v>OCUPADA</v>
          </cell>
          <cell r="G250" t="str">
            <v>OCUPADA</v>
          </cell>
        </row>
        <row r="251">
          <cell r="B251" t="str">
            <v>Gerente de Projeto</v>
          </cell>
          <cell r="C251" t="str">
            <v>DAS 101.4</v>
          </cell>
          <cell r="D251" t="str">
            <v>SEE26</v>
          </cell>
          <cell r="E251" t="str">
            <v>SEE13S</v>
          </cell>
          <cell r="F251" t="str">
            <v>OCUPADA</v>
          </cell>
          <cell r="G251" t="str">
            <v>VAZIA</v>
          </cell>
        </row>
        <row r="252">
          <cell r="A252" t="str">
            <v>Departamento de Políticas Sociais e Universalização do Acesso à Energia</v>
          </cell>
          <cell r="B252" t="str">
            <v>Diretor</v>
          </cell>
          <cell r="C252" t="str">
            <v>DAS 101.5</v>
          </cell>
          <cell r="D252" t="str">
            <v>SEE27</v>
          </cell>
          <cell r="E252" t="str">
            <v>SEE14S</v>
          </cell>
          <cell r="F252" t="str">
            <v>OCUPADA</v>
          </cell>
          <cell r="G252" t="str">
            <v>OCUPADA</v>
          </cell>
        </row>
        <row r="253">
          <cell r="B253" t="str">
            <v>Assistente</v>
          </cell>
          <cell r="C253" t="str">
            <v>DAS 102.2</v>
          </cell>
          <cell r="D253" t="str">
            <v>SEE28</v>
          </cell>
          <cell r="F253" t="str">
            <v>VAZIA</v>
          </cell>
        </row>
        <row r="254">
          <cell r="A254" t="str">
            <v>Coordenação-Geral de Desenvolvimento de Políticas Sociais</v>
          </cell>
          <cell r="B254" t="str">
            <v>Coordenador-Geral</v>
          </cell>
          <cell r="C254" t="str">
            <v>DAS 101.4</v>
          </cell>
          <cell r="D254" t="str">
            <v>SEE29</v>
          </cell>
          <cell r="E254" t="str">
            <v>SEE15S</v>
          </cell>
          <cell r="F254" t="str">
            <v>OCUPADA</v>
          </cell>
          <cell r="G254" t="str">
            <v>OCUPADA</v>
          </cell>
        </row>
        <row r="255">
          <cell r="A255" t="str">
            <v>Coordenação-Geral de Universalização do Acesso à Energia</v>
          </cell>
          <cell r="B255" t="str">
            <v>Coordenador-Geral</v>
          </cell>
          <cell r="C255" t="str">
            <v>DAS 101.4</v>
          </cell>
          <cell r="D255" t="str">
            <v>SEE30</v>
          </cell>
          <cell r="E255" t="str">
            <v>SEE16S</v>
          </cell>
          <cell r="F255" t="str">
            <v>OCUPADA</v>
          </cell>
          <cell r="G255" t="str">
            <v>OCUPADA</v>
          </cell>
        </row>
        <row r="256">
          <cell r="B256" t="str">
            <v>Assessor Técnico</v>
          </cell>
          <cell r="C256" t="str">
            <v>DAS 102.3</v>
          </cell>
          <cell r="D256" t="str">
            <v>SEE31</v>
          </cell>
          <cell r="F256" t="str">
            <v>OCUPADA</v>
          </cell>
        </row>
        <row r="257">
          <cell r="B257" t="str">
            <v>Assistente</v>
          </cell>
          <cell r="C257" t="str">
            <v>DAS 102.2</v>
          </cell>
          <cell r="D257" t="str">
            <v>SEE32</v>
          </cell>
          <cell r="F257" t="str">
            <v>OCUPADA</v>
          </cell>
        </row>
        <row r="259">
          <cell r="A259" t="str">
            <v>SECRETARIA DE PETRÓLEO, GÁS NATURAL E BIOCOMBUSTÍVEIS</v>
          </cell>
          <cell r="B259" t="str">
            <v>Secretário</v>
          </cell>
          <cell r="C259" t="str">
            <v>DAS 101.6</v>
          </cell>
          <cell r="D259" t="str">
            <v>SPG01</v>
          </cell>
          <cell r="E259" t="str">
            <v>SPG01S</v>
          </cell>
          <cell r="F259" t="str">
            <v>OCUPADA</v>
          </cell>
          <cell r="G259" t="str">
            <v>OCUPADA</v>
          </cell>
        </row>
        <row r="260">
          <cell r="B260" t="str">
            <v>Secretário-Adjunto</v>
          </cell>
          <cell r="C260" t="str">
            <v>DAS 101.5</v>
          </cell>
          <cell r="D260" t="str">
            <v>SPG02</v>
          </cell>
          <cell r="E260" t="str">
            <v>SPG02S</v>
          </cell>
          <cell r="F260" t="str">
            <v>OCUPADA</v>
          </cell>
          <cell r="G260" t="str">
            <v>VAZIA</v>
          </cell>
        </row>
        <row r="261">
          <cell r="B261" t="str">
            <v>Assessor</v>
          </cell>
          <cell r="C261" t="str">
            <v>DAS 102.4</v>
          </cell>
          <cell r="D261" t="str">
            <v>SPG03</v>
          </cell>
          <cell r="F261" t="str">
            <v>OCUPADA</v>
          </cell>
        </row>
        <row r="262">
          <cell r="B262" t="str">
            <v>Assessor</v>
          </cell>
          <cell r="C262" t="str">
            <v>DAS 102.4</v>
          </cell>
          <cell r="D262" t="str">
            <v>SPG04</v>
          </cell>
          <cell r="F262" t="str">
            <v>OCUPADA</v>
          </cell>
        </row>
        <row r="263">
          <cell r="B263" t="str">
            <v>Assessor Técnico</v>
          </cell>
          <cell r="C263" t="str">
            <v>DAS 102.3</v>
          </cell>
          <cell r="D263" t="str">
            <v>SPG05</v>
          </cell>
          <cell r="F263" t="str">
            <v>OCUPADA</v>
          </cell>
        </row>
        <row r="264">
          <cell r="B264" t="str">
            <v>Assistente</v>
          </cell>
          <cell r="C264" t="str">
            <v>DAS 102.2</v>
          </cell>
          <cell r="D264" t="str">
            <v>SPG06</v>
          </cell>
          <cell r="F264" t="str">
            <v>OCUPADA</v>
          </cell>
        </row>
        <row r="265">
          <cell r="B265" t="str">
            <v>Assistente</v>
          </cell>
          <cell r="C265" t="str">
            <v>DAS 102.2</v>
          </cell>
          <cell r="D265" t="str">
            <v>SPG07</v>
          </cell>
          <cell r="F265" t="str">
            <v>OCUPADA</v>
          </cell>
        </row>
        <row r="266">
          <cell r="B266" t="str">
            <v>Assistente Técnico</v>
          </cell>
          <cell r="C266" t="str">
            <v>DAS 102.1</v>
          </cell>
          <cell r="D266" t="str">
            <v>SPG08</v>
          </cell>
          <cell r="F266" t="str">
            <v>VAZIA</v>
          </cell>
        </row>
        <row r="267">
          <cell r="A267" t="str">
            <v>Departamento de Política de Exploração e Produção de Petróleo e Gás Natural</v>
          </cell>
          <cell r="B267" t="str">
            <v>Diretor</v>
          </cell>
          <cell r="C267" t="str">
            <v>DAS 101.5</v>
          </cell>
          <cell r="D267" t="str">
            <v>SPG09</v>
          </cell>
          <cell r="E267" t="str">
            <v>SPG03S</v>
          </cell>
          <cell r="F267" t="str">
            <v>OCUPADA</v>
          </cell>
          <cell r="G267" t="str">
            <v>OCUPADA</v>
          </cell>
        </row>
        <row r="268">
          <cell r="B268" t="str">
            <v>Gerente de Projeto</v>
          </cell>
          <cell r="C268" t="str">
            <v>DAS 101.4</v>
          </cell>
          <cell r="D268" t="str">
            <v>SPG10</v>
          </cell>
          <cell r="E268" t="str">
            <v>SPG04S</v>
          </cell>
          <cell r="F268" t="str">
            <v>OCUPADA</v>
          </cell>
          <cell r="G268" t="str">
            <v>OCUPADA</v>
          </cell>
        </row>
        <row r="269">
          <cell r="B269" t="str">
            <v>Assistente</v>
          </cell>
          <cell r="C269" t="str">
            <v>FCPE 102.2</v>
          </cell>
          <cell r="D269" t="str">
            <v>SPG11</v>
          </cell>
          <cell r="F269" t="str">
            <v>OCUPADA</v>
          </cell>
        </row>
        <row r="270">
          <cell r="A270" t="str">
            <v>Coordenação-Geral de Reserva, Exploração e Produção de Petróleo e Gás Natural</v>
          </cell>
          <cell r="B270" t="str">
            <v>Coordenador-Geral</v>
          </cell>
          <cell r="C270" t="str">
            <v>DAS 101.4</v>
          </cell>
          <cell r="D270" t="str">
            <v>SPG12</v>
          </cell>
          <cell r="E270" t="str">
            <v>SPG05S</v>
          </cell>
          <cell r="F270" t="str">
            <v>OCUPADA</v>
          </cell>
          <cell r="G270" t="str">
            <v>OCUPADA</v>
          </cell>
        </row>
        <row r="271">
          <cell r="A271" t="str">
            <v>Coordenação-Geral de Política de Concessão de Blocos Exploratórios</v>
          </cell>
          <cell r="B271" t="str">
            <v>Coordenador-Geral</v>
          </cell>
          <cell r="C271" t="str">
            <v>DAS 101.4</v>
          </cell>
          <cell r="D271" t="str">
            <v>SPG13</v>
          </cell>
          <cell r="E271" t="str">
            <v>SPG06S</v>
          </cell>
          <cell r="F271" t="str">
            <v>OCUPADA</v>
          </cell>
          <cell r="G271" t="str">
            <v>OCUPADA</v>
          </cell>
        </row>
        <row r="272">
          <cell r="A272" t="str">
            <v>Departamento de Gás Natural</v>
          </cell>
          <cell r="B272" t="str">
            <v>Diretor</v>
          </cell>
          <cell r="C272" t="str">
            <v>DAS 101.5</v>
          </cell>
          <cell r="D272" t="str">
            <v>SPG14</v>
          </cell>
          <cell r="E272" t="str">
            <v>SPG07S</v>
          </cell>
          <cell r="F272" t="str">
            <v>OCUPADA</v>
          </cell>
          <cell r="G272" t="str">
            <v>OCUPADA</v>
          </cell>
        </row>
        <row r="273">
          <cell r="B273" t="str">
            <v>Gerente de Projeto</v>
          </cell>
          <cell r="C273" t="str">
            <v>DAS 101.4</v>
          </cell>
          <cell r="D273" t="str">
            <v>SPG15</v>
          </cell>
          <cell r="E273" t="str">
            <v>SPG08S</v>
          </cell>
          <cell r="F273" t="str">
            <v>OCUPADA</v>
          </cell>
          <cell r="G273" t="str">
            <v>OCUPADA</v>
          </cell>
        </row>
        <row r="274">
          <cell r="B274" t="str">
            <v>Assistente</v>
          </cell>
          <cell r="C274" t="str">
            <v>FCPE 102.2</v>
          </cell>
          <cell r="D274" t="str">
            <v>SPG16</v>
          </cell>
          <cell r="F274" t="str">
            <v>OCUPADA</v>
          </cell>
        </row>
        <row r="275">
          <cell r="A275" t="str">
            <v>Coordenação-Geral de Acompanhamento, Desenvolvimento de Mercado e Produção</v>
          </cell>
          <cell r="B275" t="str">
            <v>Coordenador-Geral</v>
          </cell>
          <cell r="C275" t="str">
            <v>DAS 101.4</v>
          </cell>
          <cell r="D275" t="str">
            <v>SPG17</v>
          </cell>
          <cell r="E275" t="str">
            <v>SPG09S</v>
          </cell>
          <cell r="F275" t="str">
            <v>OCUPADA</v>
          </cell>
          <cell r="G275" t="str">
            <v>VAZIA</v>
          </cell>
        </row>
        <row r="276">
          <cell r="A276" t="str">
            <v>Coordenação-Geral de Processamento de Infraestrutura e Logística</v>
          </cell>
          <cell r="B276" t="str">
            <v>Coordenador-Geral</v>
          </cell>
          <cell r="C276" t="str">
            <v>DAS 101.4</v>
          </cell>
          <cell r="D276" t="str">
            <v>SPG18</v>
          </cell>
          <cell r="E276" t="str">
            <v>SPG10S</v>
          </cell>
          <cell r="F276" t="str">
            <v>OCUPADA</v>
          </cell>
          <cell r="G276" t="str">
            <v>VAZIA</v>
          </cell>
        </row>
        <row r="277">
          <cell r="A277" t="str">
            <v xml:space="preserve">Departamento de Combustíveis Derivados de Petróleo </v>
          </cell>
          <cell r="B277" t="str">
            <v>Diretor</v>
          </cell>
          <cell r="C277" t="str">
            <v>DAS 101.5</v>
          </cell>
          <cell r="D277" t="str">
            <v>SPG19</v>
          </cell>
          <cell r="E277" t="str">
            <v>SPG11S</v>
          </cell>
          <cell r="F277" t="str">
            <v>OCUPADA</v>
          </cell>
          <cell r="G277" t="str">
            <v>OCUPADA</v>
          </cell>
        </row>
        <row r="278">
          <cell r="B278" t="str">
            <v>Assistente</v>
          </cell>
          <cell r="C278" t="str">
            <v>FCPE 102.2</v>
          </cell>
          <cell r="D278" t="str">
            <v>SPG20</v>
          </cell>
          <cell r="F278" t="str">
            <v>OCUPADA</v>
          </cell>
        </row>
        <row r="279">
          <cell r="A279" t="str">
            <v>Coordenação-Geral de Acompanhamento do Mercado</v>
          </cell>
          <cell r="B279" t="str">
            <v>Coordenador-Geral</v>
          </cell>
          <cell r="C279" t="str">
            <v>DAS 101.4</v>
          </cell>
          <cell r="D279" t="str">
            <v>SPG21</v>
          </cell>
          <cell r="E279" t="str">
            <v>SPG12S</v>
          </cell>
          <cell r="F279" t="str">
            <v>OCUPADA</v>
          </cell>
          <cell r="G279" t="str">
            <v>VAZIA</v>
          </cell>
        </row>
        <row r="280">
          <cell r="A280" t="str">
            <v>Coordenação-Geral de Refino, Abastecimento e Infraestrutura</v>
          </cell>
          <cell r="B280" t="str">
            <v>Coordenador-Geral</v>
          </cell>
          <cell r="C280" t="str">
            <v>DAS 101.4</v>
          </cell>
          <cell r="D280" t="str">
            <v>SPG22</v>
          </cell>
          <cell r="E280" t="str">
            <v>SPG13S</v>
          </cell>
          <cell r="F280" t="str">
            <v>OCUPADA</v>
          </cell>
          <cell r="G280" t="str">
            <v>OCUPADA</v>
          </cell>
        </row>
        <row r="281">
          <cell r="A281" t="str">
            <v>Departamento de Biocombustíveis</v>
          </cell>
          <cell r="B281" t="str">
            <v>Diretor</v>
          </cell>
          <cell r="C281" t="str">
            <v>DAS 101.5</v>
          </cell>
          <cell r="D281" t="str">
            <v>SPG23</v>
          </cell>
          <cell r="E281" t="str">
            <v>SPG14S</v>
          </cell>
          <cell r="F281" t="str">
            <v>VAZIA</v>
          </cell>
          <cell r="G281" t="str">
            <v>OCUPADA</v>
          </cell>
        </row>
        <row r="282">
          <cell r="B282" t="str">
            <v>Assistente</v>
          </cell>
          <cell r="C282" t="str">
            <v>FCPE 102.2</v>
          </cell>
          <cell r="D282" t="str">
            <v>SPG24</v>
          </cell>
          <cell r="F282" t="str">
            <v>OCUPADA</v>
          </cell>
        </row>
        <row r="283">
          <cell r="A283" t="str">
            <v>Coordenação-Geral de Biodiesel e outros BIocombustíveis</v>
          </cell>
          <cell r="B283" t="str">
            <v>Coordenador-Geral</v>
          </cell>
          <cell r="C283" t="str">
            <v>DAS 101.4</v>
          </cell>
          <cell r="D283" t="str">
            <v>SPG25</v>
          </cell>
          <cell r="E283" t="str">
            <v>SPG15S</v>
          </cell>
          <cell r="F283" t="str">
            <v>OCUPADA</v>
          </cell>
          <cell r="G283" t="str">
            <v>OCUPADA</v>
          </cell>
        </row>
        <row r="284">
          <cell r="A284" t="str">
            <v>Coordenação-Geral de Etanol</v>
          </cell>
          <cell r="B284" t="str">
            <v>Coordenador-Geral</v>
          </cell>
          <cell r="C284" t="str">
            <v>DAS 101.4</v>
          </cell>
          <cell r="D284" t="str">
            <v>SPG26</v>
          </cell>
          <cell r="E284" t="str">
            <v>SPG16S</v>
          </cell>
          <cell r="F284" t="str">
            <v>OCUPADA</v>
          </cell>
          <cell r="G284" t="str">
            <v>OCUPADA</v>
          </cell>
        </row>
        <row r="286">
          <cell r="A286" t="str">
            <v>SECRETARIA DE GEOLOGIA, MINERAÇÃO E TRANSFORMAÇÃO MINERAL</v>
          </cell>
          <cell r="B286" t="str">
            <v>Secretário</v>
          </cell>
          <cell r="C286" t="str">
            <v>DAS 101.6</v>
          </cell>
          <cell r="D286" t="str">
            <v>SGM01</v>
          </cell>
          <cell r="E286" t="str">
            <v>SGM01S</v>
          </cell>
          <cell r="F286" t="str">
            <v>OCUPADA</v>
          </cell>
          <cell r="G286" t="str">
            <v>OCUPADA</v>
          </cell>
        </row>
        <row r="287">
          <cell r="B287" t="str">
            <v>Secretário-Adjunto</v>
          </cell>
          <cell r="C287" t="str">
            <v>DAS 101.5</v>
          </cell>
          <cell r="D287" t="str">
            <v>SGM02</v>
          </cell>
          <cell r="E287" t="str">
            <v>SGM02S</v>
          </cell>
          <cell r="F287" t="str">
            <v>OCUPADA</v>
          </cell>
          <cell r="G287" t="str">
            <v>OCUPADA</v>
          </cell>
        </row>
        <row r="288">
          <cell r="B288" t="str">
            <v>Assessor Técnico</v>
          </cell>
          <cell r="C288" t="str">
            <v>DAS 102.3</v>
          </cell>
          <cell r="D288" t="str">
            <v>SGM03</v>
          </cell>
          <cell r="F288" t="str">
            <v>OCUPADA</v>
          </cell>
        </row>
        <row r="289">
          <cell r="B289" t="str">
            <v>Assessor Técnico</v>
          </cell>
          <cell r="C289" t="str">
            <v>FCPE 102.3</v>
          </cell>
          <cell r="D289" t="str">
            <v>SGM04</v>
          </cell>
          <cell r="F289" t="str">
            <v>OCUPADA</v>
          </cell>
        </row>
        <row r="290">
          <cell r="B290" t="str">
            <v>Assessor Técnico</v>
          </cell>
          <cell r="C290" t="str">
            <v>FCPE 102.3</v>
          </cell>
          <cell r="D290" t="str">
            <v>SGM05</v>
          </cell>
          <cell r="F290" t="str">
            <v>OCUPADA</v>
          </cell>
        </row>
        <row r="291">
          <cell r="B291" t="str">
            <v>Assistente</v>
          </cell>
          <cell r="C291" t="str">
            <v>DAS 102.2</v>
          </cell>
          <cell r="D291" t="str">
            <v>SGM06</v>
          </cell>
          <cell r="F291" t="str">
            <v>OCUPADA</v>
          </cell>
        </row>
        <row r="292">
          <cell r="B292" t="str">
            <v>Assistente Técnico</v>
          </cell>
          <cell r="C292" t="str">
            <v>DAS 102.1</v>
          </cell>
          <cell r="D292" t="str">
            <v>SGM07</v>
          </cell>
          <cell r="F292" t="str">
            <v>OCUPADA</v>
          </cell>
        </row>
        <row r="293">
          <cell r="A293" t="str">
            <v>Departamento de Gestão das Políticas de Geologia, Mineração e Transformação Mineral</v>
          </cell>
          <cell r="B293" t="str">
            <v>Diretor</v>
          </cell>
          <cell r="C293" t="str">
            <v>DAS 101.5</v>
          </cell>
          <cell r="D293" t="str">
            <v>SGM08</v>
          </cell>
          <cell r="E293" t="str">
            <v>SGM03S</v>
          </cell>
          <cell r="F293" t="str">
            <v>OCUPADA</v>
          </cell>
          <cell r="G293" t="str">
            <v>OCUPADA</v>
          </cell>
        </row>
        <row r="294">
          <cell r="B294" t="str">
            <v>Assessor Técnico</v>
          </cell>
          <cell r="C294" t="str">
            <v>DAS 102.3</v>
          </cell>
          <cell r="D294" t="str">
            <v>SGM09</v>
          </cell>
          <cell r="F294" t="str">
            <v>OCUPADA</v>
          </cell>
        </row>
        <row r="295">
          <cell r="B295" t="str">
            <v>Assitente</v>
          </cell>
          <cell r="C295" t="str">
            <v>DAS 102.2</v>
          </cell>
          <cell r="D295" t="str">
            <v>SGM10</v>
          </cell>
          <cell r="F295" t="str">
            <v>OCUPADA</v>
          </cell>
        </row>
        <row r="296">
          <cell r="A296" t="str">
            <v>Coordenação-Geral de Política e Programas para Mineração</v>
          </cell>
          <cell r="B296" t="str">
            <v>Coordenador-Geral</v>
          </cell>
          <cell r="C296" t="str">
            <v>FCPE 101.4</v>
          </cell>
          <cell r="D296" t="str">
            <v>SGM11</v>
          </cell>
          <cell r="E296" t="str">
            <v>SGM04S</v>
          </cell>
          <cell r="F296" t="str">
            <v>OCUPADA</v>
          </cell>
          <cell r="G296" t="str">
            <v>OCUPADA</v>
          </cell>
        </row>
        <row r="297">
          <cell r="A297" t="str">
            <v>Coordenação-Geral de Monitoramento e Controle da Gestão de Programa</v>
          </cell>
          <cell r="B297" t="str">
            <v>Coordenador-Geral</v>
          </cell>
          <cell r="C297" t="str">
            <v>DAS 101.4</v>
          </cell>
          <cell r="D297" t="str">
            <v>SGM12</v>
          </cell>
          <cell r="E297" t="str">
            <v>SGM05S</v>
          </cell>
          <cell r="F297" t="str">
            <v>OCUPADA</v>
          </cell>
          <cell r="G297" t="str">
            <v>OCUPADA</v>
          </cell>
        </row>
        <row r="298">
          <cell r="B298" t="str">
            <v>Assistente</v>
          </cell>
          <cell r="C298" t="str">
            <v>DAS 102.2</v>
          </cell>
          <cell r="D298" t="str">
            <v>SGM13</v>
          </cell>
          <cell r="F298" t="str">
            <v>OCUPADA</v>
          </cell>
        </row>
        <row r="299">
          <cell r="A299" t="str">
            <v>Coordenação-Geral de Economia Mineral</v>
          </cell>
          <cell r="B299" t="str">
            <v>Coordenador-Geral</v>
          </cell>
          <cell r="C299" t="str">
            <v>FCPE 101.4</v>
          </cell>
          <cell r="D299" t="str">
            <v>SGM14</v>
          </cell>
          <cell r="E299" t="str">
            <v>SGM06S</v>
          </cell>
          <cell r="F299" t="str">
            <v>OCUPADA</v>
          </cell>
          <cell r="G299" t="str">
            <v>VAZIA</v>
          </cell>
        </row>
        <row r="300">
          <cell r="A300" t="str">
            <v>Departamento de Geologia e Produção Mineral</v>
          </cell>
          <cell r="B300" t="str">
            <v>Diretor</v>
          </cell>
          <cell r="C300" t="str">
            <v>DAS 101.5</v>
          </cell>
          <cell r="D300" t="str">
            <v>SGM15</v>
          </cell>
          <cell r="E300" t="str">
            <v>SGM07S</v>
          </cell>
          <cell r="F300" t="str">
            <v>OCUPADA</v>
          </cell>
          <cell r="G300" t="str">
            <v>OCUPADA</v>
          </cell>
        </row>
        <row r="301">
          <cell r="B301" t="str">
            <v>Assistente</v>
          </cell>
          <cell r="C301" t="str">
            <v>DAS 102.2</v>
          </cell>
          <cell r="D301" t="str">
            <v>SGM16</v>
          </cell>
          <cell r="F301" t="str">
            <v>OCUPADA</v>
          </cell>
        </row>
        <row r="302">
          <cell r="B302" t="str">
            <v>Assistente</v>
          </cell>
          <cell r="C302" t="str">
            <v>FCPE 102.2</v>
          </cell>
          <cell r="D302" t="str">
            <v>SGM17</v>
          </cell>
          <cell r="F302" t="str">
            <v>OCUPADA</v>
          </cell>
        </row>
        <row r="303">
          <cell r="A303" t="str">
            <v>Coordenação-Geral de Geologia e Recursos Minerais</v>
          </cell>
          <cell r="B303" t="str">
            <v>Coordenador-Geral</v>
          </cell>
          <cell r="C303" t="str">
            <v>FCPE 101.4</v>
          </cell>
          <cell r="D303" t="str">
            <v>SGM18</v>
          </cell>
          <cell r="E303" t="str">
            <v>SGM08S</v>
          </cell>
          <cell r="F303" t="str">
            <v>OCUPADA</v>
          </cell>
          <cell r="G303" t="str">
            <v>OCUPADA</v>
          </cell>
        </row>
        <row r="304">
          <cell r="A304" t="str">
            <v>Coordenação-Geral de Monitoramento e Controle de Concessões Minerais</v>
          </cell>
          <cell r="B304" t="str">
            <v>Coordenador-Geral</v>
          </cell>
          <cell r="C304" t="str">
            <v>DAS 101.4</v>
          </cell>
          <cell r="D304" t="str">
            <v>SGM19</v>
          </cell>
          <cell r="E304" t="str">
            <v>SGM09S</v>
          </cell>
          <cell r="F304" t="str">
            <v>OCUPADA</v>
          </cell>
          <cell r="G304" t="str">
            <v>OCUPADA</v>
          </cell>
        </row>
        <row r="305">
          <cell r="A305" t="str">
            <v>Departamento de Transformação e Tecnologia Mineral</v>
          </cell>
          <cell r="B305" t="str">
            <v>Diretor</v>
          </cell>
          <cell r="C305" t="str">
            <v>DAS 101.5</v>
          </cell>
          <cell r="D305" t="str">
            <v>SGM20</v>
          </cell>
          <cell r="E305" t="str">
            <v>SGM10S</v>
          </cell>
          <cell r="F305" t="str">
            <v>OCUPADA</v>
          </cell>
          <cell r="G305" t="str">
            <v>OCUPADA</v>
          </cell>
        </row>
        <row r="306">
          <cell r="B306" t="str">
            <v>Assistente</v>
          </cell>
          <cell r="C306" t="str">
            <v>DAS 102.2</v>
          </cell>
          <cell r="D306" t="str">
            <v>SGM21</v>
          </cell>
          <cell r="F306" t="str">
            <v>OCUPADA</v>
          </cell>
        </row>
        <row r="307">
          <cell r="B307" t="str">
            <v>Assistente</v>
          </cell>
          <cell r="C307" t="str">
            <v>FCPE 102.2</v>
          </cell>
          <cell r="D307" t="str">
            <v>SGM22</v>
          </cell>
          <cell r="F307" t="str">
            <v>OCUPADA</v>
          </cell>
        </row>
        <row r="308">
          <cell r="B308" t="str">
            <v>Assistente</v>
          </cell>
          <cell r="C308" t="str">
            <v>FCPE 102.2</v>
          </cell>
          <cell r="D308" t="str">
            <v>SGM23</v>
          </cell>
          <cell r="F308" t="str">
            <v>OCUPADA</v>
          </cell>
        </row>
        <row r="309">
          <cell r="A309" t="str">
            <v>Coordenação-Geral de Capacitação e Desenvolvimento Tecnológico</v>
          </cell>
          <cell r="B309" t="str">
            <v>Coordenador-Geral</v>
          </cell>
          <cell r="C309" t="str">
            <v>DAS 101.4</v>
          </cell>
          <cell r="D309" t="str">
            <v>SGM24</v>
          </cell>
          <cell r="E309" t="str">
            <v>SGM11S</v>
          </cell>
          <cell r="F309" t="str">
            <v>OCUPADA</v>
          </cell>
          <cell r="G309" t="str">
            <v>VAZIA</v>
          </cell>
        </row>
        <row r="310">
          <cell r="A310" t="str">
            <v>Departamento de Desenvolvimento Sustentável na Mineração</v>
          </cell>
          <cell r="B310" t="str">
            <v>Diretor</v>
          </cell>
          <cell r="C310" t="str">
            <v>DAS 101.5</v>
          </cell>
          <cell r="D310" t="str">
            <v>SGM25</v>
          </cell>
          <cell r="E310" t="str">
            <v>SGM12S</v>
          </cell>
          <cell r="F310" t="str">
            <v>OCUPADA</v>
          </cell>
          <cell r="G310" t="str">
            <v>OCUPADA</v>
          </cell>
        </row>
        <row r="311">
          <cell r="B311" t="str">
            <v>Assistente</v>
          </cell>
          <cell r="C311" t="str">
            <v>DAS 102.2</v>
          </cell>
          <cell r="D311" t="str">
            <v>SGM26</v>
          </cell>
          <cell r="F311" t="str">
            <v>OCUPADA</v>
          </cell>
        </row>
        <row r="312">
          <cell r="A312" t="str">
            <v>Coordenação-Geral de Desenvolvimento Sócio Ambiental na Mineração</v>
          </cell>
          <cell r="B312" t="str">
            <v>Coordenador-Geral</v>
          </cell>
          <cell r="C312" t="str">
            <v>DAS 101.4</v>
          </cell>
          <cell r="D312" t="str">
            <v>SGM27</v>
          </cell>
          <cell r="E312" t="str">
            <v>SGM13S</v>
          </cell>
          <cell r="F312" t="str">
            <v>OCUPADA</v>
          </cell>
          <cell r="G312" t="str">
            <v>OCUPADA</v>
          </cell>
        </row>
        <row r="313">
          <cell r="B313" t="str">
            <v>Assistente</v>
          </cell>
          <cell r="C313" t="str">
            <v>DAS 102.2</v>
          </cell>
          <cell r="D313" t="str">
            <v>SGM28</v>
          </cell>
          <cell r="F313" t="str">
            <v>OCUPADA</v>
          </cell>
        </row>
        <row r="314">
          <cell r="A314" t="str">
            <v>Coordenação-Geral de Mineração em Áreas de Conservação e Conflito</v>
          </cell>
          <cell r="B314" t="str">
            <v>Coordenador-Geral</v>
          </cell>
          <cell r="C314" t="str">
            <v>FCPE 101.4</v>
          </cell>
          <cell r="D314" t="str">
            <v>SGM29</v>
          </cell>
          <cell r="E314" t="str">
            <v>SGM14S</v>
          </cell>
          <cell r="F314" t="str">
            <v>OCUPADA</v>
          </cell>
          <cell r="G314" t="str">
            <v>VAZIA</v>
          </cell>
        </row>
        <row r="315">
          <cell r="B315" t="str">
            <v>Assistente</v>
          </cell>
          <cell r="C315" t="str">
            <v>FCPE 102.2</v>
          </cell>
          <cell r="D315" t="str">
            <v>SGM30</v>
          </cell>
          <cell r="F315" t="str">
            <v>OCUPADA</v>
          </cell>
        </row>
      </sheetData>
      <sheetData sheetId="65" refreshError="1"/>
      <sheetData sheetId="66" refreshError="1"/>
      <sheetData sheetId="67" refreshError="1"/>
      <sheetData sheetId="68" refreshError="1"/>
      <sheetData sheetId="69" refreshError="1"/>
      <sheetData sheetId="70">
        <row r="6">
          <cell r="A6" t="str">
            <v>SERVIDOR/EMPREGADO</v>
          </cell>
          <cell r="B6" t="str">
            <v>MATRÍCULA SIAPE</v>
          </cell>
          <cell r="C6" t="str">
            <v>CARGO/EMPREGO</v>
          </cell>
          <cell r="D6" t="str">
            <v>SITUAÇÃO FUNCIONAL</v>
          </cell>
          <cell r="E6" t="str">
            <v>ORGÃO DE ORIGEM</v>
          </cell>
          <cell r="F6" t="str">
            <v>FUNÇÃO</v>
          </cell>
          <cell r="G6" t="str">
            <v>GRATIFICAÇÃO</v>
          </cell>
          <cell r="H6" t="str">
            <v xml:space="preserve"> UNIDADE DE EXERCÍCIO</v>
          </cell>
          <cell r="I6" t="str">
            <v>CÓDIGO UNIDADE</v>
          </cell>
        </row>
        <row r="7">
          <cell r="A7" t="str">
            <v>ABADIA RODRIGUES DA SILVA</v>
          </cell>
          <cell r="B7">
            <v>451653</v>
          </cell>
          <cell r="C7" t="str">
            <v>Datilógrafo</v>
          </cell>
          <cell r="D7" t="str">
            <v>Ativo Permanente</v>
          </cell>
          <cell r="E7" t="str">
            <v>MME - Ministério de Minas e Energia</v>
          </cell>
          <cell r="F7" t="str">
            <v>FGR 1</v>
          </cell>
          <cell r="G7" t="str">
            <v xml:space="preserve"> </v>
          </cell>
          <cell r="H7" t="str">
            <v>SPE / CHEFIA DE GABINETE SPE</v>
          </cell>
          <cell r="I7" t="str">
            <v>10.100.000</v>
          </cell>
        </row>
        <row r="8">
          <cell r="A8" t="str">
            <v>ABDON TAVARES REIS</v>
          </cell>
          <cell r="B8">
            <v>7129830</v>
          </cell>
          <cell r="C8" t="str">
            <v>Técnico de Orçamento</v>
          </cell>
          <cell r="D8" t="str">
            <v>Exercício Descentralizado</v>
          </cell>
          <cell r="E8" t="str">
            <v>ME - Ministério da Economia</v>
          </cell>
          <cell r="F8" t="str">
            <v>FCPE 102.1</v>
          </cell>
          <cell r="G8" t="str">
            <v xml:space="preserve"> </v>
          </cell>
          <cell r="H8" t="str">
            <v>SE / SPOA / CGOF / COORDENAÇÃO DE ADMINISTRAÇÃO FINANCEIRA -COAF</v>
          </cell>
          <cell r="I8" t="str">
            <v>8.105.510</v>
          </cell>
        </row>
        <row r="9">
          <cell r="A9" t="str">
            <v>ADAO MARTINS TEIXEIRA JUNIOR</v>
          </cell>
          <cell r="B9">
            <v>2280944</v>
          </cell>
          <cell r="C9" t="str">
            <v>Auxiliar Administrativo</v>
          </cell>
          <cell r="D9" t="str">
            <v>Anistiado MME</v>
          </cell>
          <cell r="E9" t="str">
            <v>MME - Ministério de Minas e Energia</v>
          </cell>
          <cell r="F9" t="str">
            <v xml:space="preserve"> </v>
          </cell>
          <cell r="G9" t="str">
            <v xml:space="preserve"> </v>
          </cell>
          <cell r="H9" t="str">
            <v>SPE / DEPARTAMENTO DE PLANEJAMENTO ENERGÉTICO - DPE</v>
          </cell>
          <cell r="I9" t="str">
            <v>10.101.000</v>
          </cell>
        </row>
        <row r="10">
          <cell r="A10" t="str">
            <v>ADÍLIA EVANGELISTA DE SOUSA</v>
          </cell>
          <cell r="B10">
            <v>451457</v>
          </cell>
          <cell r="C10" t="str">
            <v>Agente Administrativo</v>
          </cell>
          <cell r="D10" t="str">
            <v>Ativo Permanente</v>
          </cell>
          <cell r="E10" t="str">
            <v>MME - Ministério de Minas e Energia</v>
          </cell>
          <cell r="F10" t="str">
            <v>FCT 11</v>
          </cell>
          <cell r="G10" t="str">
            <v xml:space="preserve"> </v>
          </cell>
          <cell r="H10" t="str">
            <v>SE / SPOA / CGRL / COORDENAÇÃO DE ADMINISTRAÇÃO DE MATERIAL E EXECUÇÃO FINANCEIRA - COMEF</v>
          </cell>
          <cell r="I10" t="str">
            <v>8.105.110</v>
          </cell>
        </row>
        <row r="11">
          <cell r="A11" t="str">
            <v>ADILSON DE MELO RAMOS</v>
          </cell>
          <cell r="B11">
            <v>451568</v>
          </cell>
          <cell r="C11" t="str">
            <v>Agente Administrativo</v>
          </cell>
          <cell r="D11" t="str">
            <v>Ativo Permanente</v>
          </cell>
          <cell r="E11" t="str">
            <v>MME - Ministério de Minas e Energia</v>
          </cell>
          <cell r="F11" t="str">
            <v xml:space="preserve"> </v>
          </cell>
          <cell r="G11" t="str">
            <v>GSISTE Intermediário</v>
          </cell>
          <cell r="H11" t="str">
            <v>SE / SPOA / COORDENAÇÃO GERAL DE RECURSOS LOGÍSTICOS - CGRL</v>
          </cell>
          <cell r="I11" t="str">
            <v>8.105.100</v>
          </cell>
        </row>
        <row r="12">
          <cell r="A12" t="str">
            <v>ADRIMAR VENANCIO DO NASCIMENTO</v>
          </cell>
          <cell r="B12">
            <v>5692188</v>
          </cell>
          <cell r="C12" t="str">
            <v>Analista de Infraestrutura</v>
          </cell>
          <cell r="D12" t="str">
            <v>Exercício Descentralizado</v>
          </cell>
          <cell r="E12" t="str">
            <v>ME - Ministério da Economia</v>
          </cell>
          <cell r="F12" t="str">
            <v>DAS 101.4</v>
          </cell>
          <cell r="G12" t="str">
            <v xml:space="preserve"> </v>
          </cell>
          <cell r="H12" t="str">
            <v>SEE / DGSE / COORDENAÇÃO GERAL DE GESTÃO DE PROGRAMAS E REGULAMENTAÇÃO</v>
          </cell>
          <cell r="I12" t="str">
            <v>12.101.200</v>
          </cell>
        </row>
        <row r="13">
          <cell r="A13" t="str">
            <v>AGDA LELES ZEDES</v>
          </cell>
          <cell r="B13">
            <v>1974215</v>
          </cell>
          <cell r="C13" t="str">
            <v>Analista de Infraestrutura</v>
          </cell>
          <cell r="D13" t="str">
            <v>Exercício Descentralizado</v>
          </cell>
          <cell r="E13" t="str">
            <v>ME - Ministério da Economia</v>
          </cell>
          <cell r="F13" t="str">
            <v xml:space="preserve"> </v>
          </cell>
          <cell r="G13" t="str">
            <v xml:space="preserve"> </v>
          </cell>
          <cell r="H13" t="str">
            <v>SGM / DEPARTAMENTO DE GEOLOGIA E PRODUÇÃO MINERAL - DGPM</v>
          </cell>
          <cell r="I13" t="str">
            <v>9.102.000</v>
          </cell>
        </row>
        <row r="14">
          <cell r="A14" t="str">
            <v>AGNES MARIA DE ARAGAO DA COSTA</v>
          </cell>
          <cell r="B14">
            <v>3482731</v>
          </cell>
          <cell r="C14" t="str">
            <v>Especialista em Política Pública e Gestão Governamental</v>
          </cell>
          <cell r="D14" t="str">
            <v>Exercício Descentralizado</v>
          </cell>
          <cell r="E14" t="str">
            <v>ME - Ministério da Economia</v>
          </cell>
          <cell r="F14" t="str">
            <v>DAS 101.5</v>
          </cell>
          <cell r="G14" t="str">
            <v xml:space="preserve"> </v>
          </cell>
          <cell r="H14" t="str">
            <v>SE / ASSESSORIA ESPECIAL EM ASSUNTOS REGULATÓRIOS - AEREG</v>
          </cell>
          <cell r="I14" t="str">
            <v>8.102.000</v>
          </cell>
        </row>
        <row r="15">
          <cell r="A15" t="str">
            <v>AIDA MARIA RODRIGUES CORDEIRO</v>
          </cell>
          <cell r="B15">
            <v>2172526</v>
          </cell>
          <cell r="C15" t="str">
            <v>Escriturário III</v>
          </cell>
          <cell r="D15" t="str">
            <v>Anistiado MME</v>
          </cell>
          <cell r="E15" t="str">
            <v>MME - Ministério de Minas e Energia</v>
          </cell>
          <cell r="F15" t="str">
            <v xml:space="preserve"> </v>
          </cell>
          <cell r="G15" t="str">
            <v xml:space="preserve"> </v>
          </cell>
          <cell r="H15" t="str">
            <v>Aguardando Lotação/Exercício</v>
          </cell>
          <cell r="I15" t="str">
            <v>88.000.000</v>
          </cell>
        </row>
        <row r="16">
          <cell r="A16" t="str">
            <v>AIRTON OLIVEIRA LIMA</v>
          </cell>
          <cell r="B16">
            <v>1466129</v>
          </cell>
          <cell r="C16" t="str">
            <v>Sem Cargo/Emprego</v>
          </cell>
          <cell r="D16" t="str">
            <v>Sem Vínculo</v>
          </cell>
          <cell r="E16" t="str">
            <v>Sem Vínculo</v>
          </cell>
          <cell r="F16" t="str">
            <v>DAS 102.1</v>
          </cell>
          <cell r="G16" t="str">
            <v xml:space="preserve"> </v>
          </cell>
          <cell r="H16" t="str">
            <v>SE / SPOA / CGRL / COORDENAÇÃO DE ATIVIDADES GERAIS - COAGE</v>
          </cell>
          <cell r="I16" t="str">
            <v>8.105.120</v>
          </cell>
        </row>
        <row r="17">
          <cell r="A17" t="str">
            <v>ALAN SAMPAIO SANTOS</v>
          </cell>
          <cell r="B17">
            <v>1310848</v>
          </cell>
          <cell r="C17" t="str">
            <v>Sem Cargo/Emprego</v>
          </cell>
          <cell r="D17" t="str">
            <v>Sem Vínculo</v>
          </cell>
          <cell r="E17" t="str">
            <v>Sem Vínculo</v>
          </cell>
          <cell r="F17" t="str">
            <v>DAS 102.5</v>
          </cell>
          <cell r="G17" t="str">
            <v xml:space="preserve"> </v>
          </cell>
          <cell r="H17" t="str">
            <v>ASSESSORIA ESPECIAL DE ACOMPANHAMENTO DE POLÍTICAS, ESTRATÉGIAS E DESEMPENHO SETORIAL - AEPED</v>
          </cell>
          <cell r="I17" t="str">
            <v>4.000.000</v>
          </cell>
        </row>
        <row r="18">
          <cell r="A18" t="str">
            <v>ALCIDEMES LIMA FRANCO</v>
          </cell>
          <cell r="B18">
            <v>454362</v>
          </cell>
          <cell r="C18" t="str">
            <v>Agente Administrativo</v>
          </cell>
          <cell r="D18" t="str">
            <v>Ativo Permanente</v>
          </cell>
          <cell r="E18" t="str">
            <v>MME - Ministério de Minas e Energia</v>
          </cell>
          <cell r="F18" t="str">
            <v>FCPE 102.1</v>
          </cell>
          <cell r="G18" t="str">
            <v>GSISTE Intermediário</v>
          </cell>
          <cell r="H18" t="str">
            <v>GM / ASTAD / COORDENAÇÃO DE ATIVIDADES ADMINISTRATIVAS</v>
          </cell>
          <cell r="I18" t="str">
            <v>2.100.101</v>
          </cell>
        </row>
        <row r="19">
          <cell r="A19" t="str">
            <v>ALDAIDES CAVALCANTE MAGALHAES</v>
          </cell>
          <cell r="B19">
            <v>14800666</v>
          </cell>
          <cell r="C19" t="str">
            <v>Sem Cargo/Emprego</v>
          </cell>
          <cell r="D19" t="str">
            <v>Sem Vínculo</v>
          </cell>
          <cell r="E19" t="str">
            <v>Sem Vínculo</v>
          </cell>
          <cell r="F19" t="str">
            <v>DAS 102.2</v>
          </cell>
          <cell r="G19" t="str">
            <v xml:space="preserve"> </v>
          </cell>
          <cell r="H19" t="str">
            <v>SEE / CHEFIA DE GABINETE SEE</v>
          </cell>
          <cell r="I19" t="str">
            <v>12.100.000</v>
          </cell>
        </row>
        <row r="20">
          <cell r="A20" t="str">
            <v>ALDINEA DO CARMO CORDEIRO NOGUEIRA</v>
          </cell>
          <cell r="B20">
            <v>1771716</v>
          </cell>
          <cell r="C20" t="str">
            <v>Sem Cargo/Emprego</v>
          </cell>
          <cell r="D20" t="str">
            <v>Sem Vínculo</v>
          </cell>
          <cell r="E20" t="str">
            <v>Sem Vínculo</v>
          </cell>
          <cell r="F20" t="str">
            <v>DAS 102.2</v>
          </cell>
          <cell r="G20" t="str">
            <v xml:space="preserve"> </v>
          </cell>
          <cell r="H20" t="str">
            <v>SE / CHEFIA DE GABINETE SE</v>
          </cell>
          <cell r="I20" t="str">
            <v>8.100.000</v>
          </cell>
        </row>
        <row r="21">
          <cell r="A21" t="str">
            <v>ALDO BARROSO CORES JUNIOR</v>
          </cell>
          <cell r="B21">
            <v>2660765</v>
          </cell>
          <cell r="C21" t="str">
            <v>Analista de Infraestrutura</v>
          </cell>
          <cell r="D21" t="str">
            <v>Exercício Descentralizado</v>
          </cell>
          <cell r="E21" t="str">
            <v>ME - Ministério da Economia</v>
          </cell>
          <cell r="F21" t="str">
            <v>DAS 101.4</v>
          </cell>
          <cell r="G21" t="str">
            <v xml:space="preserve"> </v>
          </cell>
          <cell r="H21" t="str">
            <v>SPG / DGN / COORDENAÇÃO GERAL DE PROCESSAMENTO DE INFRAESTRUTURA E LOGÍSTICA</v>
          </cell>
          <cell r="I21" t="str">
            <v>11.102.200</v>
          </cell>
        </row>
        <row r="22">
          <cell r="A22" t="str">
            <v>ALEXANDRA ALBUQUERQUE MACIEL</v>
          </cell>
          <cell r="B22">
            <v>1651345</v>
          </cell>
          <cell r="C22" t="str">
            <v>Analista de Infraestrutura</v>
          </cell>
          <cell r="D22" t="str">
            <v>Exercício Descentralizado</v>
          </cell>
          <cell r="E22" t="str">
            <v>ME - Ministério da Economia</v>
          </cell>
          <cell r="F22" t="str">
            <v xml:space="preserve"> </v>
          </cell>
          <cell r="G22" t="str">
            <v xml:space="preserve"> </v>
          </cell>
          <cell r="H22" t="str">
            <v>SPE / DEPARTAMENTO DE DESENVOLVIMENTO ENERGÉTICO - DDE</v>
          </cell>
          <cell r="I22" t="str">
            <v>10.102.000</v>
          </cell>
        </row>
        <row r="23">
          <cell r="A23" t="str">
            <v>ALEXANDRE BRAZ DA SILVA</v>
          </cell>
          <cell r="B23">
            <v>2061035</v>
          </cell>
          <cell r="C23" t="str">
            <v>Sem Cargo/Emprego</v>
          </cell>
          <cell r="D23" t="str">
            <v>Sem Vínculo</v>
          </cell>
          <cell r="E23" t="str">
            <v>Sem Vínculo</v>
          </cell>
          <cell r="F23" t="str">
            <v>DAS 102.2</v>
          </cell>
          <cell r="G23" t="str">
            <v xml:space="preserve"> </v>
          </cell>
          <cell r="H23" t="str">
            <v>CONJUR / CGAA / COORDENAÇÃO DE APOIO ADMINISTRATIVO</v>
          </cell>
          <cell r="I23" t="str">
            <v>7.100.310</v>
          </cell>
        </row>
        <row r="24">
          <cell r="A24" t="str">
            <v>ALEXANDRE LAURI HENRIKSEN</v>
          </cell>
          <cell r="B24">
            <v>2535472</v>
          </cell>
          <cell r="C24" t="str">
            <v>Especialista em Política Pública e Gestão Governamental</v>
          </cell>
          <cell r="D24" t="str">
            <v>Requisitado de Órgãos</v>
          </cell>
          <cell r="E24" t="str">
            <v>ME - Ministério da Economia</v>
          </cell>
          <cell r="F24" t="str">
            <v>DAS 102.4</v>
          </cell>
          <cell r="G24" t="str">
            <v xml:space="preserve"> </v>
          </cell>
          <cell r="H24" t="str">
            <v>ASSESSORIA ESPECIAL DE ASSUNTOS ECONÔMICOS - ASSEC</v>
          </cell>
          <cell r="I24" t="str">
            <v>6.000.000</v>
          </cell>
        </row>
        <row r="25">
          <cell r="A25" t="str">
            <v>ALEXANDRE LEME FRANCO</v>
          </cell>
          <cell r="B25">
            <v>1356383</v>
          </cell>
          <cell r="C25" t="str">
            <v>Advogado da União</v>
          </cell>
          <cell r="D25" t="str">
            <v>Exercício Descentralizado</v>
          </cell>
          <cell r="E25" t="str">
            <v>AGU - Advocacia Geral da União</v>
          </cell>
          <cell r="F25" t="str">
            <v xml:space="preserve"> </v>
          </cell>
          <cell r="G25" t="str">
            <v xml:space="preserve"> </v>
          </cell>
          <cell r="H25" t="str">
            <v>CONJUR / COORDENAÇÃO GERAL DE ASSUNTOS DE PETRÓLEO E MINERAÇÃO</v>
          </cell>
          <cell r="I25" t="str">
            <v>7.100.200</v>
          </cell>
        </row>
        <row r="26">
          <cell r="A26" t="str">
            <v>ALEXANDRE VIDIGAL DE OLIVEIRA</v>
          </cell>
          <cell r="B26">
            <v>3085737</v>
          </cell>
          <cell r="C26" t="str">
            <v>Sem Cargo/Emprego</v>
          </cell>
          <cell r="D26" t="str">
            <v>Sem Vínculo</v>
          </cell>
          <cell r="E26" t="str">
            <v>Sem Vínculo</v>
          </cell>
          <cell r="F26" t="str">
            <v>DAS 101.6</v>
          </cell>
          <cell r="G26" t="str">
            <v xml:space="preserve"> </v>
          </cell>
          <cell r="H26" t="str">
            <v>SECRETARIA DE GEOLOGIA, MINERAÇÃO E TRANSFORMAÇÃO MINERAL - SGM</v>
          </cell>
          <cell r="I26" t="str">
            <v>9.000.000</v>
          </cell>
        </row>
        <row r="27">
          <cell r="A27" t="str">
            <v>ALEXANDRE XISTO DE ASSIS</v>
          </cell>
          <cell r="B27">
            <v>1092745</v>
          </cell>
          <cell r="C27" t="str">
            <v>Agente Administrativo</v>
          </cell>
          <cell r="D27" t="str">
            <v>Ativo Permanente</v>
          </cell>
          <cell r="E27" t="str">
            <v>MME - Ministério de Minas e Energia</v>
          </cell>
          <cell r="F27" t="str">
            <v>FCT 7</v>
          </cell>
          <cell r="G27" t="str">
            <v>GSISTE Intermediário</v>
          </cell>
          <cell r="H27" t="str">
            <v>SE / SPOA / CGRH / COORDENAÇÃO DE ADMINISTRAÇÃO DE PESSOAL - CAPES</v>
          </cell>
          <cell r="I27" t="str">
            <v>8.105.210</v>
          </cell>
        </row>
        <row r="28">
          <cell r="A28" t="str">
            <v>ALINE DA COSTA PINHEIRO</v>
          </cell>
          <cell r="B28">
            <v>1753322</v>
          </cell>
          <cell r="C28" t="str">
            <v>Sem Cargo/Emprego</v>
          </cell>
          <cell r="D28" t="str">
            <v>Sem Vínculo</v>
          </cell>
          <cell r="E28" t="str">
            <v>Sem Vínculo</v>
          </cell>
          <cell r="F28" t="str">
            <v>DAS 101.2</v>
          </cell>
          <cell r="G28" t="str">
            <v xml:space="preserve"> </v>
          </cell>
          <cell r="H28" t="str">
            <v>SE / SPOA / CGRL / COORDENAÇÃO DE ADMINISTRAÇÃO DE MATERIAL E EXECUÇÃO FINANCEIRA - COMEF</v>
          </cell>
          <cell r="I28" t="str">
            <v>8.105.110</v>
          </cell>
        </row>
        <row r="29">
          <cell r="A29" t="str">
            <v>ALLAN CARLO LOPES DE MENEZES</v>
          </cell>
          <cell r="B29">
            <v>54498</v>
          </cell>
          <cell r="C29" t="str">
            <v>Sem Cargo/Emprego</v>
          </cell>
          <cell r="D29" t="str">
            <v>Sem Vínculo</v>
          </cell>
          <cell r="E29" t="str">
            <v>Sem Vínculo</v>
          </cell>
          <cell r="F29" t="str">
            <v>DAS 102.2</v>
          </cell>
          <cell r="G29" t="str">
            <v xml:space="preserve"> </v>
          </cell>
          <cell r="H29" t="str">
            <v>SE / AEGE / CGPE / COORDENAÇÃO DE SUPERVISÃO E AVALIAÇÃO DA GESTÃO</v>
          </cell>
          <cell r="I29" t="str">
            <v>8.101.120</v>
          </cell>
        </row>
        <row r="30">
          <cell r="A30" t="str">
            <v>ALMIR DE SOUZA FIGUEIREDO</v>
          </cell>
          <cell r="B30">
            <v>1093237</v>
          </cell>
          <cell r="C30" t="str">
            <v>Motorista Oficial</v>
          </cell>
          <cell r="D30" t="str">
            <v>Ativo Permanente</v>
          </cell>
          <cell r="E30" t="str">
            <v>MME - Ministério de Minas e Energia</v>
          </cell>
          <cell r="F30" t="str">
            <v>FCPE 102.1</v>
          </cell>
          <cell r="G30" t="str">
            <v xml:space="preserve"> </v>
          </cell>
          <cell r="H30" t="str">
            <v>GM / ASTAD / COORDENAÇÃO DE ATIVIDADES ADMINISTRATIVAS</v>
          </cell>
          <cell r="I30" t="str">
            <v>2.100.101</v>
          </cell>
        </row>
        <row r="31">
          <cell r="A31" t="str">
            <v>ALTAMIRO MOREIRA CALDEIRA</v>
          </cell>
          <cell r="B31">
            <v>1094291</v>
          </cell>
          <cell r="C31" t="str">
            <v>Agente Administrativo</v>
          </cell>
          <cell r="D31" t="str">
            <v>Ativo Permanente</v>
          </cell>
          <cell r="E31" t="str">
            <v>MME - Ministério de Minas e Energia</v>
          </cell>
          <cell r="F31" t="str">
            <v>FCPE 102.2</v>
          </cell>
          <cell r="G31" t="str">
            <v xml:space="preserve"> </v>
          </cell>
          <cell r="H31" t="str">
            <v>GM / ASTAD / COORDENAÇÃO DE ATIVIDADES ADMINISTRATIVAS</v>
          </cell>
          <cell r="I31" t="str">
            <v>2.100.101</v>
          </cell>
        </row>
        <row r="32">
          <cell r="A32" t="str">
            <v>ALVANIR DA SILVA CARVALHO</v>
          </cell>
          <cell r="B32">
            <v>6053314</v>
          </cell>
          <cell r="C32" t="str">
            <v>Sem Cargo/Emprego</v>
          </cell>
          <cell r="D32" t="str">
            <v>Sem Vínculo</v>
          </cell>
          <cell r="E32" t="str">
            <v>Sem Vínculo</v>
          </cell>
          <cell r="F32" t="str">
            <v>DAS 101.3</v>
          </cell>
          <cell r="G32" t="str">
            <v xml:space="preserve"> </v>
          </cell>
          <cell r="H32" t="str">
            <v>SE / SPOA / CGRL / COORDENAÇÃO DE ATIVIDADES GERAIS - COAGE</v>
          </cell>
          <cell r="I32" t="str">
            <v>8.105.120</v>
          </cell>
        </row>
        <row r="33">
          <cell r="A33" t="str">
            <v>ALYNE SOUSA CARVALHO LIBERAL FERREIRA</v>
          </cell>
          <cell r="B33">
            <v>2745994</v>
          </cell>
          <cell r="C33" t="str">
            <v>Sem Cargo/Emprego</v>
          </cell>
          <cell r="D33" t="str">
            <v>Sem Vínculo</v>
          </cell>
          <cell r="E33" t="str">
            <v>Sem Vínculo</v>
          </cell>
          <cell r="F33" t="str">
            <v>DAS 102.2</v>
          </cell>
          <cell r="G33" t="str">
            <v xml:space="preserve"> </v>
          </cell>
          <cell r="H33" t="str">
            <v>SE / CHEFIA DE GABINETE SE</v>
          </cell>
          <cell r="I33" t="str">
            <v>8.100.000</v>
          </cell>
        </row>
        <row r="34">
          <cell r="A34" t="str">
            <v>AMANTINO SOARES DE OLIVEIRA</v>
          </cell>
          <cell r="B34">
            <v>7129831</v>
          </cell>
          <cell r="C34" t="str">
            <v>Técnico de Orçamento</v>
          </cell>
          <cell r="D34" t="str">
            <v>Exercício Descentralizado</v>
          </cell>
          <cell r="E34" t="str">
            <v>ME - Ministério da Economia</v>
          </cell>
          <cell r="F34" t="str">
            <v>DAS 101.3</v>
          </cell>
          <cell r="G34" t="str">
            <v xml:space="preserve"> </v>
          </cell>
          <cell r="H34" t="str">
            <v>SE / SPOA / CGOF / COORDENAÇÃO DE ADMINISTRAÇÃO FINANCEIRA -COAF</v>
          </cell>
          <cell r="I34" t="str">
            <v>8.105.510</v>
          </cell>
        </row>
        <row r="35">
          <cell r="A35" t="str">
            <v>ANA CARLOTA OLIVEIRA VIEIRA</v>
          </cell>
          <cell r="B35">
            <v>1686942</v>
          </cell>
          <cell r="C35" t="str">
            <v>Telefonista</v>
          </cell>
          <cell r="D35" t="str">
            <v>Anistiado MME</v>
          </cell>
          <cell r="E35" t="str">
            <v>MME - Ministério de Minas e Energia</v>
          </cell>
          <cell r="F35" t="str">
            <v xml:space="preserve"> </v>
          </cell>
          <cell r="G35" t="str">
            <v xml:space="preserve"> </v>
          </cell>
          <cell r="H35" t="str">
            <v>Aguardando Lotação/Exercício</v>
          </cell>
          <cell r="I35" t="str">
            <v>88.000.000</v>
          </cell>
        </row>
        <row r="36">
          <cell r="A36" t="str">
            <v>ANA CAROLINA CARVALHO RODRIGUES</v>
          </cell>
          <cell r="B36">
            <v>1483473</v>
          </cell>
          <cell r="C36" t="str">
            <v>Sem Cargo/Emprego</v>
          </cell>
          <cell r="D36" t="str">
            <v>Sem Vínculo</v>
          </cell>
          <cell r="E36" t="str">
            <v>Sem Vínculo</v>
          </cell>
          <cell r="F36" t="str">
            <v>DAS 102.1</v>
          </cell>
          <cell r="G36" t="str">
            <v xml:space="preserve"> </v>
          </cell>
          <cell r="H36" t="str">
            <v>CONJUR / CGAA / COORDENAÇÃO DE APOIO ADMINISTRATIVO</v>
          </cell>
          <cell r="I36" t="str">
            <v>7.100.310</v>
          </cell>
        </row>
        <row r="37">
          <cell r="A37" t="str">
            <v>ANA CRISTINA NOGUEIRA GONCALVES</v>
          </cell>
          <cell r="B37">
            <v>1586250</v>
          </cell>
          <cell r="C37" t="str">
            <v>Codificador de Dados I</v>
          </cell>
          <cell r="D37" t="str">
            <v>Anistiado MME</v>
          </cell>
          <cell r="E37" t="str">
            <v>MME - Ministério de Minas e Energia</v>
          </cell>
          <cell r="F37" t="str">
            <v xml:space="preserve"> </v>
          </cell>
          <cell r="G37" t="str">
            <v xml:space="preserve"> </v>
          </cell>
          <cell r="H37" t="str">
            <v>SE / SPOA / CGRH / COORDENAÇÃO DE DESENVOLVIMENTO E SEGURIDADE SOCIAL - CODES</v>
          </cell>
          <cell r="I37" t="str">
            <v>8.105.220</v>
          </cell>
        </row>
        <row r="38">
          <cell r="A38" t="str">
            <v>ANA LUCIA ALVARES ALVES</v>
          </cell>
          <cell r="B38">
            <v>1165470</v>
          </cell>
          <cell r="C38" t="str">
            <v>Analista de Infraestrutura</v>
          </cell>
          <cell r="D38" t="str">
            <v>Requisitado de Órgãos</v>
          </cell>
          <cell r="E38" t="str">
            <v>ME - Ministério da Economia</v>
          </cell>
          <cell r="F38" t="str">
            <v>DAS 102.3</v>
          </cell>
          <cell r="G38" t="str">
            <v xml:space="preserve"> </v>
          </cell>
          <cell r="H38" t="str">
            <v>SEE / DMSE / COORDENAÇÃO GERAL DE MONITORAMENTO DO DESEMPENHO DO SISTEMA ELÉTRICO</v>
          </cell>
          <cell r="I38" t="str">
            <v>12.102.400</v>
          </cell>
        </row>
        <row r="39">
          <cell r="A39" t="str">
            <v>ANA MARIA DIAS DE OLIVEIRA DINIZ</v>
          </cell>
          <cell r="B39">
            <v>451529</v>
          </cell>
          <cell r="C39" t="str">
            <v>Agente Administrativo</v>
          </cell>
          <cell r="D39" t="str">
            <v>Ativo Permanente</v>
          </cell>
          <cell r="E39" t="str">
            <v>MME - Ministério de Minas e Energia</v>
          </cell>
          <cell r="F39" t="str">
            <v>FGR 1</v>
          </cell>
          <cell r="G39" t="str">
            <v xml:space="preserve"> </v>
          </cell>
          <cell r="H39" t="str">
            <v>SE / SPOA / CGRH / COORDENAÇÃO DE DESENVOLVIMENTO E SEGURIDADE SOCIAL - CODES</v>
          </cell>
          <cell r="I39" t="str">
            <v>8.105.220</v>
          </cell>
        </row>
        <row r="40">
          <cell r="A40" t="str">
            <v>ANA MARIA FIGUEIREDO AGUIAR</v>
          </cell>
          <cell r="B40">
            <v>452229</v>
          </cell>
          <cell r="C40" t="str">
            <v>Agente Administrativo</v>
          </cell>
          <cell r="D40" t="str">
            <v>Ativo Permanente</v>
          </cell>
          <cell r="E40" t="str">
            <v>MME - Ministério de Minas e Energia</v>
          </cell>
          <cell r="F40" t="str">
            <v xml:space="preserve"> </v>
          </cell>
          <cell r="G40" t="str">
            <v>GSISTE Intermediário</v>
          </cell>
          <cell r="H40" t="str">
            <v>SE / SPOA / CGRL / COORDENAÇÃO DE ATIVIDADES GERAIS - COAGE</v>
          </cell>
          <cell r="I40" t="str">
            <v>8.105.120</v>
          </cell>
        </row>
        <row r="41">
          <cell r="A41" t="str">
            <v>ANA PAULA ALVES DE SOUZA</v>
          </cell>
          <cell r="B41">
            <v>2603376</v>
          </cell>
          <cell r="C41" t="str">
            <v>Marinha</v>
          </cell>
          <cell r="D41" t="str">
            <v>Requisitado Militar</v>
          </cell>
          <cell r="E41" t="str">
            <v>Marinha</v>
          </cell>
          <cell r="F41" t="str">
            <v>DAS 102.5</v>
          </cell>
          <cell r="G41" t="str">
            <v xml:space="preserve"> </v>
          </cell>
          <cell r="H41" t="str">
            <v>GABINETE DO MINISTRO - GM</v>
          </cell>
          <cell r="I41" t="str">
            <v>2.000.000</v>
          </cell>
        </row>
        <row r="42">
          <cell r="A42" t="str">
            <v>ANA PAULA DE CASTRO</v>
          </cell>
          <cell r="B42">
            <v>1100246</v>
          </cell>
          <cell r="C42" t="str">
            <v>Técnico de Arquivo</v>
          </cell>
          <cell r="D42" t="str">
            <v>Ativo Permanente</v>
          </cell>
          <cell r="E42" t="str">
            <v>MME - Ministério de Minas e Energia</v>
          </cell>
          <cell r="F42" t="str">
            <v>FGR 1</v>
          </cell>
          <cell r="G42" t="str">
            <v xml:space="preserve"> </v>
          </cell>
          <cell r="H42" t="str">
            <v>SE / SPOA / CGRH / COORDENAÇÃO DE ADMINISTRAÇÃO DE PESSOAL - CAPES</v>
          </cell>
          <cell r="I42" t="str">
            <v>8.105.210</v>
          </cell>
        </row>
        <row r="43">
          <cell r="A43" t="str">
            <v>ANA PAULA NOGUEIRA RIGAUD</v>
          </cell>
          <cell r="B43">
            <v>1670483</v>
          </cell>
          <cell r="C43" t="str">
            <v>Codificador de Dados I</v>
          </cell>
          <cell r="D43" t="str">
            <v>Anistiado MME</v>
          </cell>
          <cell r="E43" t="str">
            <v>MME - Ministério de Minas e Energia</v>
          </cell>
          <cell r="F43" t="str">
            <v xml:space="preserve"> </v>
          </cell>
          <cell r="G43" t="str">
            <v xml:space="preserve"> </v>
          </cell>
          <cell r="H43" t="str">
            <v>SE / SPOA / CGRH / COORDENAÇÃO DE DESENVOLVIMENTO E SEGURIDADE SOCIAL - CODES</v>
          </cell>
          <cell r="I43" t="str">
            <v>8.105.220</v>
          </cell>
        </row>
        <row r="44">
          <cell r="A44" t="str">
            <v>ANADERGI ROSA DE FREITAS</v>
          </cell>
          <cell r="B44">
            <v>2666801</v>
          </cell>
          <cell r="C44" t="str">
            <v>Sem Cargo/Emprego</v>
          </cell>
          <cell r="D44" t="str">
            <v>Sem Vínculo</v>
          </cell>
          <cell r="E44" t="str">
            <v>Sem Vínculo</v>
          </cell>
          <cell r="F44" t="str">
            <v>DAS 102.2</v>
          </cell>
          <cell r="G44" t="str">
            <v xml:space="preserve"> </v>
          </cell>
          <cell r="H44" t="str">
            <v>SE / SPOA / CGRL / COORDENAÇÃO DE ATIVIDADES GERAIS - COAGE</v>
          </cell>
          <cell r="I44" t="str">
            <v>8.105.120</v>
          </cell>
        </row>
        <row r="45">
          <cell r="A45" t="str">
            <v>ANAHIDES SANTOS BUCAR</v>
          </cell>
          <cell r="B45">
            <v>6225035</v>
          </cell>
          <cell r="C45" t="str">
            <v>Sem Cargo/Emprego</v>
          </cell>
          <cell r="D45" t="str">
            <v>Sem Vínculo</v>
          </cell>
          <cell r="E45" t="str">
            <v>Sem Vínculo</v>
          </cell>
          <cell r="F45" t="str">
            <v>DAS 102.2</v>
          </cell>
          <cell r="G45" t="str">
            <v xml:space="preserve"> </v>
          </cell>
          <cell r="H45" t="str">
            <v>SGM / DEPARTAMENTO DE GESTÃO DAS POLÍTICAS DE GEOLOGIA, MINERAÇÃOE TRANSFORMAÇÃO - DPGM</v>
          </cell>
          <cell r="I45" t="str">
            <v>9.101.000</v>
          </cell>
        </row>
        <row r="46">
          <cell r="A46" t="str">
            <v>ANDERSON DA CRUZ NEVES</v>
          </cell>
          <cell r="B46">
            <v>1729574</v>
          </cell>
          <cell r="C46" t="str">
            <v>Analista Técnico Administrativo</v>
          </cell>
          <cell r="D46" t="str">
            <v>Requisitado de Órgãos</v>
          </cell>
          <cell r="E46" t="str">
            <v>MDR - Ministério do Desenvolvimento Regional</v>
          </cell>
          <cell r="F46" t="str">
            <v xml:space="preserve"> </v>
          </cell>
          <cell r="G46" t="str">
            <v>GSISTE Superior (MPEOF)</v>
          </cell>
          <cell r="H46" t="str">
            <v>SE / SPOA / CGOF / COORDENAÇÃO DE ADMINISTRAÇÃO FINANCEIRA -COAF</v>
          </cell>
          <cell r="I46" t="str">
            <v>8.105.510</v>
          </cell>
        </row>
        <row r="47">
          <cell r="A47" t="str">
            <v>ANDERSON MARCIO DE OLIVEIRA</v>
          </cell>
          <cell r="B47">
            <v>1793429</v>
          </cell>
          <cell r="C47" t="str">
            <v>Advogado</v>
          </cell>
          <cell r="D47" t="str">
            <v>Requisitado de Empresa</v>
          </cell>
          <cell r="E47" t="str">
            <v>BNDES - Banco Nacional de Desenvolvimento Econômico e Social</v>
          </cell>
          <cell r="F47" t="str">
            <v>DAS 101.5</v>
          </cell>
          <cell r="G47" t="str">
            <v xml:space="preserve"> </v>
          </cell>
          <cell r="H47" t="str">
            <v>SE / CHEFIA DE GABINETE SE</v>
          </cell>
          <cell r="I47" t="str">
            <v>8.100.000</v>
          </cell>
        </row>
        <row r="48">
          <cell r="A48" t="str">
            <v>ANDRÉ GROBÉRIO LOPES PERIM</v>
          </cell>
          <cell r="B48">
            <v>2974323</v>
          </cell>
          <cell r="C48" t="str">
            <v>Analista de Infraestrutura</v>
          </cell>
          <cell r="D48" t="str">
            <v>Exercício Descentralizado</v>
          </cell>
          <cell r="E48" t="str">
            <v>ME - Ministério da Economia</v>
          </cell>
          <cell r="F48" t="str">
            <v>FCPE 101.4</v>
          </cell>
          <cell r="G48" t="str">
            <v xml:space="preserve"> </v>
          </cell>
          <cell r="H48" t="str">
            <v>SEE / DMSE / COORDENAÇÃO GERAL DE MONITORAMENTO DA EXPANSÃO DA TRANSMISSÃO</v>
          </cell>
          <cell r="I48" t="str">
            <v>12.102.200</v>
          </cell>
        </row>
        <row r="49">
          <cell r="A49" t="str">
            <v>ANDRE KRAUSS QUEIROZ</v>
          </cell>
          <cell r="B49">
            <v>2660202</v>
          </cell>
          <cell r="C49" t="str">
            <v>Analista de Infraestrutura</v>
          </cell>
          <cell r="D49" t="str">
            <v>Exercício Descentralizado</v>
          </cell>
          <cell r="E49" t="str">
            <v>ME - Ministério da Economia</v>
          </cell>
          <cell r="F49" t="str">
            <v>DAS 101.5</v>
          </cell>
          <cell r="G49" t="str">
            <v xml:space="preserve"> </v>
          </cell>
          <cell r="H49" t="str">
            <v>SPE / DEPARTAMENTO DE OUTORGAS DE CONCESSÕES, PERMISSÕES E AUTORIZAÇÕES - DOC</v>
          </cell>
          <cell r="I49" t="str">
            <v>10.103.000</v>
          </cell>
        </row>
        <row r="50">
          <cell r="A50" t="str">
            <v>ANDRÉ LUIS GONÇALVES DE OLIVEIRA</v>
          </cell>
          <cell r="B50">
            <v>3660584</v>
          </cell>
          <cell r="C50" t="str">
            <v>Analista de Infraestrutura</v>
          </cell>
          <cell r="D50" t="str">
            <v>Exercício Descentralizado</v>
          </cell>
          <cell r="E50" t="str">
            <v>ME - Ministério da Economia</v>
          </cell>
          <cell r="F50" t="str">
            <v>FCPE 102.3</v>
          </cell>
          <cell r="G50" t="str">
            <v xml:space="preserve"> </v>
          </cell>
          <cell r="H50" t="str">
            <v>SEE / CHEFIA DE GABINETE SEE</v>
          </cell>
          <cell r="I50" t="str">
            <v>12.100.000</v>
          </cell>
        </row>
        <row r="51">
          <cell r="A51" t="str">
            <v>ANDRÉ LUIZ DIAS DE OLIVEIRA</v>
          </cell>
          <cell r="B51">
            <v>2425941</v>
          </cell>
          <cell r="C51" t="str">
            <v>Especialista em Política Pública e Gestão Governamental</v>
          </cell>
          <cell r="D51" t="str">
            <v>Exercício Descentralizado</v>
          </cell>
          <cell r="E51" t="str">
            <v>ME - Ministério da Economia</v>
          </cell>
          <cell r="F51" t="str">
            <v>FCPE 102.3</v>
          </cell>
          <cell r="G51" t="str">
            <v xml:space="preserve"> </v>
          </cell>
          <cell r="H51" t="str">
            <v>SEE / DGSE / COORDENAÇÃO GERAL DE GESTÃO DE PROGRAMAS E REGULAMENTAÇÃO</v>
          </cell>
          <cell r="I51" t="str">
            <v>12.101.200</v>
          </cell>
        </row>
        <row r="52">
          <cell r="A52" t="str">
            <v>ANDRE LUIZ RODRIGUES OSORIO</v>
          </cell>
          <cell r="B52">
            <v>1677889</v>
          </cell>
          <cell r="C52" t="str">
            <v>Analista de Pesquisa Energética</v>
          </cell>
          <cell r="D52" t="str">
            <v>Requisitado de Órgãos</v>
          </cell>
          <cell r="E52" t="str">
            <v>EPE - Empresa de Pesquisa Energética</v>
          </cell>
          <cell r="F52" t="str">
            <v>DAS 101.5</v>
          </cell>
          <cell r="G52" t="str">
            <v xml:space="preserve"> </v>
          </cell>
          <cell r="H52" t="str">
            <v>SPE / DEPARTAMENTO DE INFORMAÇÕES E ESTUDOS ENERGÉTICOS - DIEE</v>
          </cell>
          <cell r="I52" t="str">
            <v>10.104.000</v>
          </cell>
        </row>
        <row r="53">
          <cell r="A53" t="str">
            <v>ANDRE ROBERTO CORTEZ</v>
          </cell>
          <cell r="B53">
            <v>455219</v>
          </cell>
          <cell r="C53" t="str">
            <v>Agente Administrativo</v>
          </cell>
          <cell r="D53" t="str">
            <v>Ativo Permanente</v>
          </cell>
          <cell r="E53" t="str">
            <v>MME - Ministério de Minas e Energia</v>
          </cell>
          <cell r="F53" t="str">
            <v>FCPE 102.1</v>
          </cell>
          <cell r="G53" t="str">
            <v xml:space="preserve"> </v>
          </cell>
          <cell r="H53" t="str">
            <v>SE / AEGE / COORDENAÇÃO GERAL DE PLANEJAMENTO ESTRATÉGICO, SUPERVISÃO E AVALIAÇÃO - CGPE</v>
          </cell>
          <cell r="I53" t="str">
            <v>8.101.100</v>
          </cell>
        </row>
        <row r="54">
          <cell r="A54" t="str">
            <v>ANDREA CRISTINA ANDRADE SANTOS CARVALHO</v>
          </cell>
          <cell r="B54">
            <v>1095477</v>
          </cell>
          <cell r="C54" t="str">
            <v>Administrador</v>
          </cell>
          <cell r="D54" t="str">
            <v>Ativo Permanente</v>
          </cell>
          <cell r="E54" t="str">
            <v>MME - Ministério de Minas e Energia</v>
          </cell>
          <cell r="F54" t="str">
            <v>DAS 101.4</v>
          </cell>
          <cell r="G54" t="str">
            <v>GSISTE Superior</v>
          </cell>
          <cell r="H54" t="str">
            <v>SE / SPOA / COORDENAÇÃO GERAL DE RECURSOS LOGÍSTICOS - CGRL</v>
          </cell>
          <cell r="I54" t="str">
            <v>8.105.100</v>
          </cell>
        </row>
        <row r="55">
          <cell r="A55" t="str">
            <v>ANDREA CRISTINA GOMES PEREIRA</v>
          </cell>
          <cell r="B55">
            <v>2637600</v>
          </cell>
          <cell r="C55" t="str">
            <v>Sem Cargo/Emprego</v>
          </cell>
          <cell r="D55" t="str">
            <v>Sem Vínculo</v>
          </cell>
          <cell r="E55" t="str">
            <v>Sem Vínculo</v>
          </cell>
          <cell r="F55" t="str">
            <v>DAS 102.4</v>
          </cell>
          <cell r="G55" t="str">
            <v xml:space="preserve"> </v>
          </cell>
          <cell r="H55" t="str">
            <v>SPE / CHEFIA DE GABINETE SPE</v>
          </cell>
          <cell r="I55" t="str">
            <v>10.100.000</v>
          </cell>
        </row>
        <row r="56">
          <cell r="A56" t="str">
            <v>ANDREIA ALVES NASCIMENTO FRAGA</v>
          </cell>
          <cell r="B56">
            <v>3373715</v>
          </cell>
          <cell r="C56" t="str">
            <v>Sem Cargo/Emprego</v>
          </cell>
          <cell r="D56" t="str">
            <v>Sem Vínculo</v>
          </cell>
          <cell r="E56" t="str">
            <v>Sem Vínculo</v>
          </cell>
          <cell r="F56" t="str">
            <v>DAS 102.4</v>
          </cell>
          <cell r="G56" t="str">
            <v xml:space="preserve"> </v>
          </cell>
          <cell r="H56" t="str">
            <v>GABINETE DO MINISTRO - GM</v>
          </cell>
          <cell r="I56" t="str">
            <v>2.000.000</v>
          </cell>
        </row>
        <row r="57">
          <cell r="A57" t="str">
            <v>ANGELITA SIQUEIRA FAUSTINO</v>
          </cell>
          <cell r="B57">
            <v>451563</v>
          </cell>
          <cell r="C57" t="str">
            <v>Agente Administrativo</v>
          </cell>
          <cell r="D57" t="str">
            <v>Ativo Permanente</v>
          </cell>
          <cell r="E57" t="str">
            <v>MME - Ministério de Minas e Energia</v>
          </cell>
          <cell r="F57" t="str">
            <v xml:space="preserve"> </v>
          </cell>
          <cell r="G57" t="str">
            <v xml:space="preserve"> </v>
          </cell>
          <cell r="H57" t="str">
            <v>SE / SPOA / CGRL / COORDENAÇÃO DE ATIVIDADES GERAIS - COAGE</v>
          </cell>
          <cell r="I57" t="str">
            <v>8.105.120</v>
          </cell>
        </row>
        <row r="58">
          <cell r="A58" t="str">
            <v>ANTONIA GONCALVES FILHA PEREIRA</v>
          </cell>
          <cell r="B58">
            <v>455918</v>
          </cell>
          <cell r="C58" t="str">
            <v>Agente Administrativo</v>
          </cell>
          <cell r="D58" t="str">
            <v>Ativo Permanente</v>
          </cell>
          <cell r="E58" t="str">
            <v>MME - Ministério de Minas e Energia</v>
          </cell>
          <cell r="F58" t="str">
            <v>FCT 10</v>
          </cell>
          <cell r="G58" t="str">
            <v>GSISTE Intermediário</v>
          </cell>
          <cell r="H58" t="str">
            <v>SE / SUBSECRETARIA DE PLANEJAMENTO, ORÇAMENTO E ADMINISTRAÇÃO - SPOA</v>
          </cell>
          <cell r="I58" t="str">
            <v>8.105.000</v>
          </cell>
        </row>
        <row r="59">
          <cell r="A59" t="str">
            <v>ANTONIA TRIPODI</v>
          </cell>
          <cell r="B59">
            <v>1669595</v>
          </cell>
          <cell r="C59" t="str">
            <v>Escriturário III</v>
          </cell>
          <cell r="D59" t="str">
            <v>Anistiado MME</v>
          </cell>
          <cell r="E59" t="str">
            <v>MME - Ministério de Minas e Energia</v>
          </cell>
          <cell r="F59" t="str">
            <v xml:space="preserve"> </v>
          </cell>
          <cell r="G59" t="str">
            <v xml:space="preserve"> </v>
          </cell>
          <cell r="H59" t="str">
            <v>SE / SPOA / CGRH / COORDENAÇÃO DE DESENVOLVIMENTO E SEGURIDADE SOCIAL - CODES</v>
          </cell>
          <cell r="I59" t="str">
            <v>8.105.220</v>
          </cell>
        </row>
        <row r="60">
          <cell r="A60" t="str">
            <v>ANTONIELA BRAGGIO STAMM</v>
          </cell>
          <cell r="B60">
            <v>1836721</v>
          </cell>
          <cell r="C60" t="str">
            <v>Agente Administrativo</v>
          </cell>
          <cell r="D60" t="str">
            <v>Requisitado de Órgãos</v>
          </cell>
          <cell r="E60" t="str">
            <v>ME - Ministério da Economia</v>
          </cell>
          <cell r="F60" t="str">
            <v>FCPE 102.1</v>
          </cell>
          <cell r="G60" t="str">
            <v>GSISTE Intermediário</v>
          </cell>
          <cell r="H60" t="str">
            <v>SE / SPOA / CGRL / COORDENAÇÃO DE ATIVIDADES GERAIS - COAGE</v>
          </cell>
          <cell r="I60" t="str">
            <v>8.105.120</v>
          </cell>
        </row>
        <row r="61">
          <cell r="A61" t="str">
            <v>ANTONIO BENEDITO CAMARGOS</v>
          </cell>
          <cell r="B61">
            <v>1670894</v>
          </cell>
          <cell r="C61" t="str">
            <v>Desenhista</v>
          </cell>
          <cell r="D61" t="str">
            <v>Anistiado MME</v>
          </cell>
          <cell r="E61" t="str">
            <v>MME - Ministério de Minas e Energia</v>
          </cell>
          <cell r="F61" t="str">
            <v xml:space="preserve"> </v>
          </cell>
          <cell r="G61" t="str">
            <v xml:space="preserve"> </v>
          </cell>
          <cell r="H61" t="str">
            <v>SE / SPOA / CGRL / COORDENAÇÃO DE ADMINISTRAÇÃO DE MATERIAL E EXECUÇÃO FINANCEIRA - COMEF</v>
          </cell>
          <cell r="I61" t="str">
            <v>8.105.110</v>
          </cell>
        </row>
        <row r="62">
          <cell r="A62" t="str">
            <v>ANTONIO CARLOS ACIOLY FILHO</v>
          </cell>
          <cell r="B62">
            <v>2378913</v>
          </cell>
          <cell r="C62" t="str">
            <v>Analista de Licitação</v>
          </cell>
          <cell r="D62" t="str">
            <v>Contrato Temporário</v>
          </cell>
          <cell r="E62" t="str">
            <v>MME - Ministério de Minas e Energia</v>
          </cell>
          <cell r="F62" t="str">
            <v xml:space="preserve"> </v>
          </cell>
          <cell r="G62" t="str">
            <v xml:space="preserve"> </v>
          </cell>
          <cell r="H62" t="str">
            <v>SE / AEGP / CGGP / COORDENAÇÃO DE LICITAÇÃO</v>
          </cell>
          <cell r="I62" t="str">
            <v>8.103.210</v>
          </cell>
        </row>
        <row r="63">
          <cell r="A63" t="str">
            <v>ANTONIO CARLOS DA SILVA LIMA</v>
          </cell>
          <cell r="B63">
            <v>1586232</v>
          </cell>
          <cell r="C63" t="str">
            <v>Agente Administrativo</v>
          </cell>
          <cell r="D63" t="str">
            <v>Anistiado MME</v>
          </cell>
          <cell r="E63" t="str">
            <v>MME - Ministério de Minas e Energia</v>
          </cell>
          <cell r="F63" t="str">
            <v xml:space="preserve"> </v>
          </cell>
          <cell r="G63" t="str">
            <v xml:space="preserve"> </v>
          </cell>
          <cell r="H63" t="str">
            <v>Aguardando Lotação/Exercício</v>
          </cell>
          <cell r="I63" t="str">
            <v>88.000.000</v>
          </cell>
        </row>
        <row r="64">
          <cell r="A64" t="str">
            <v>ANTONIO CARLOS DE ANDRADE REZENDE</v>
          </cell>
          <cell r="B64">
            <v>778828</v>
          </cell>
          <cell r="C64" t="str">
            <v>Sem Cargo/Emprego</v>
          </cell>
          <cell r="D64" t="str">
            <v>Sem Vínculo</v>
          </cell>
          <cell r="E64" t="str">
            <v>Sem Vínculo</v>
          </cell>
          <cell r="F64" t="str">
            <v>DAS 102.2</v>
          </cell>
          <cell r="G64" t="str">
            <v xml:space="preserve"> </v>
          </cell>
          <cell r="H64" t="str">
            <v>SGM / DDM / COORDENAÇÃO GERAL DE DESENVOLVIMENTO SOCIOAMBIENTAL NA MINERAÇÃO</v>
          </cell>
          <cell r="I64" t="str">
            <v>9.104.100</v>
          </cell>
        </row>
        <row r="65">
          <cell r="A65" t="str">
            <v>ANTONIO CARLOS RAMOS DE BARROS MELLO</v>
          </cell>
          <cell r="B65">
            <v>7455789</v>
          </cell>
          <cell r="C65" t="str">
            <v>Sem Cargo/Emprego</v>
          </cell>
          <cell r="D65" t="str">
            <v>Sem Vínculo</v>
          </cell>
          <cell r="E65" t="str">
            <v>Sem Vínculo</v>
          </cell>
          <cell r="F65" t="str">
            <v>DAS 102.5</v>
          </cell>
          <cell r="G65" t="str">
            <v xml:space="preserve"> </v>
          </cell>
          <cell r="H65" t="str">
            <v>GABINETE DO MINISTRO - GM</v>
          </cell>
          <cell r="I65" t="str">
            <v>2.000.000</v>
          </cell>
        </row>
        <row r="66">
          <cell r="A66" t="str">
            <v>ANTONIO DANTAS DE ALENCAR</v>
          </cell>
          <cell r="B66">
            <v>1439176</v>
          </cell>
          <cell r="C66" t="str">
            <v>Analista de Infraestrutura</v>
          </cell>
          <cell r="D66" t="str">
            <v>Exercício Descentralizado</v>
          </cell>
          <cell r="E66" t="str">
            <v>ME - Ministério da Economia</v>
          </cell>
          <cell r="F66" t="str">
            <v xml:space="preserve"> </v>
          </cell>
          <cell r="G66" t="str">
            <v xml:space="preserve"> </v>
          </cell>
          <cell r="H66" t="str">
            <v>SPE / DOC / COORDENAÇÃO GERAL DE OUTORGAS DE GERAÇÃO DE ENERGIA ELÉTRICA</v>
          </cell>
          <cell r="I66" t="str">
            <v>10.103.100</v>
          </cell>
        </row>
        <row r="67">
          <cell r="A67" t="str">
            <v>ANTONIO HENRIQUE GODOY RAMOS</v>
          </cell>
          <cell r="B67">
            <v>3364613</v>
          </cell>
          <cell r="C67" t="str">
            <v>Especialista em Política Pública e Gestão Governamental</v>
          </cell>
          <cell r="D67" t="str">
            <v>Exercício Descentralizado</v>
          </cell>
          <cell r="E67" t="str">
            <v>ME - Ministério da Economia</v>
          </cell>
          <cell r="F67" t="str">
            <v xml:space="preserve"> </v>
          </cell>
          <cell r="G67" t="str">
            <v xml:space="preserve"> </v>
          </cell>
          <cell r="H67" t="str">
            <v>SPG / DEPARTAMENTO DE POLÍTICA DE EXPLORAÇÃO E PRODUÇÃO DE PETRÓLEO E GÁS NATURAL - DPGN</v>
          </cell>
          <cell r="I67" t="str">
            <v>11.101.000</v>
          </cell>
        </row>
        <row r="68">
          <cell r="A68" t="str">
            <v>ANTONIO JOSE GADELHA ALVES</v>
          </cell>
          <cell r="B68">
            <v>1076077</v>
          </cell>
          <cell r="C68" t="str">
            <v>Engenheiro IV</v>
          </cell>
          <cell r="D68" t="str">
            <v>Anistiado MME</v>
          </cell>
          <cell r="E68" t="str">
            <v>MME - Ministério de Minas e Energia</v>
          </cell>
          <cell r="F68" t="str">
            <v xml:space="preserve"> </v>
          </cell>
          <cell r="G68" t="str">
            <v xml:space="preserve"> </v>
          </cell>
          <cell r="H68" t="str">
            <v>SGM / DEPARTAMENTO DE TRANSFORMAÇÃO E TECNOLOGIA MINERAL - DTTM</v>
          </cell>
          <cell r="I68" t="str">
            <v>9.103.000</v>
          </cell>
        </row>
        <row r="69">
          <cell r="A69" t="str">
            <v>ANTONIO JOSE IRMAO</v>
          </cell>
          <cell r="B69">
            <v>1314171</v>
          </cell>
          <cell r="C69" t="str">
            <v>Agente de Portaria</v>
          </cell>
          <cell r="D69" t="str">
            <v>Ativo Permanente</v>
          </cell>
          <cell r="E69" t="str">
            <v>MME - Ministério de Minas e Energia</v>
          </cell>
          <cell r="F69" t="str">
            <v>FGR 1</v>
          </cell>
          <cell r="G69" t="str">
            <v xml:space="preserve"> </v>
          </cell>
          <cell r="H69" t="str">
            <v>GM / ASTAD / COORDENAÇÃO DE ATIVIDADES ADMINISTRATIVAS</v>
          </cell>
          <cell r="I69" t="str">
            <v>2.100.101</v>
          </cell>
        </row>
        <row r="70">
          <cell r="A70" t="str">
            <v>ANTONIO LISBOA DE OLIVEIRA</v>
          </cell>
          <cell r="B70">
            <v>451592</v>
          </cell>
          <cell r="C70" t="str">
            <v>Agente Administrativo</v>
          </cell>
          <cell r="D70" t="str">
            <v>Ativo Permanente</v>
          </cell>
          <cell r="E70" t="str">
            <v>MME - Ministério de Minas e Energia</v>
          </cell>
          <cell r="F70" t="str">
            <v xml:space="preserve"> </v>
          </cell>
          <cell r="G70" t="str">
            <v xml:space="preserve"> </v>
          </cell>
          <cell r="H70" t="str">
            <v>Aguardando Lotação/Exercício</v>
          </cell>
          <cell r="I70" t="str">
            <v>88.000.000</v>
          </cell>
        </row>
        <row r="71">
          <cell r="A71" t="str">
            <v>ANTONIO ROBERTO COIMBRA</v>
          </cell>
          <cell r="B71">
            <v>2393047</v>
          </cell>
          <cell r="C71" t="str">
            <v>Sem Cargo/Emprego</v>
          </cell>
          <cell r="D71" t="str">
            <v>Sem Vínculo</v>
          </cell>
          <cell r="E71" t="str">
            <v>Sem Vínculo</v>
          </cell>
          <cell r="F71" t="str">
            <v>DAS 101.4</v>
          </cell>
          <cell r="G71" t="str">
            <v xml:space="preserve"> </v>
          </cell>
          <cell r="H71" t="str">
            <v>SPE / DPE / COORDENAÇÃO GERAL DE PLANEJAMENTO DA TRANSMISSÃO</v>
          </cell>
          <cell r="I71" t="str">
            <v>10.101.100</v>
          </cell>
        </row>
        <row r="72">
          <cell r="A72" t="str">
            <v>ANTONIO RODRIGUES MONTEIRO</v>
          </cell>
          <cell r="B72">
            <v>1096296</v>
          </cell>
          <cell r="C72" t="str">
            <v>Agente de Vigilância</v>
          </cell>
          <cell r="D72" t="str">
            <v>Ativo Permanente</v>
          </cell>
          <cell r="E72" t="str">
            <v>MME - Ministério de Minas e Energia</v>
          </cell>
          <cell r="F72" t="str">
            <v>FGR 1</v>
          </cell>
          <cell r="G72" t="str">
            <v xml:space="preserve"> </v>
          </cell>
          <cell r="H72" t="str">
            <v>SE / SPOA / CGRL / COORDENAÇÃO DE ATIVIDADES GERAIS - COAGE</v>
          </cell>
          <cell r="I72" t="str">
            <v>8.105.120</v>
          </cell>
        </row>
        <row r="73">
          <cell r="A73" t="str">
            <v>AZENIO GONCALVES DOS SANTOS</v>
          </cell>
          <cell r="B73">
            <v>452190</v>
          </cell>
          <cell r="C73" t="str">
            <v>Agente de Vigilância</v>
          </cell>
          <cell r="D73" t="str">
            <v>Ativo Permanente</v>
          </cell>
          <cell r="E73" t="str">
            <v>MME - Ministério de Minas e Energia</v>
          </cell>
          <cell r="F73" t="str">
            <v>FGR 1</v>
          </cell>
          <cell r="G73" t="str">
            <v xml:space="preserve"> </v>
          </cell>
          <cell r="H73" t="str">
            <v>SE / SPOA / CGRL / COORDENAÇÃO DE ATIVIDADES GERAIS - COAGE</v>
          </cell>
          <cell r="I73" t="str">
            <v>8.105.120</v>
          </cell>
        </row>
        <row r="74">
          <cell r="A74" t="str">
            <v>BÁRBARA BÉLKIOR DE SOUZA E SILVA</v>
          </cell>
          <cell r="B74">
            <v>1338161</v>
          </cell>
          <cell r="C74" t="str">
            <v>Conselheiro</v>
          </cell>
          <cell r="D74" t="str">
            <v>Requisitado de Órgãos</v>
          </cell>
          <cell r="E74" t="str">
            <v>MRE - Ministério das Relações Exteriores</v>
          </cell>
          <cell r="F74" t="str">
            <v>DAS 101.4</v>
          </cell>
          <cell r="G74" t="str">
            <v xml:space="preserve"> </v>
          </cell>
          <cell r="H74" t="str">
            <v>GM / ASSESSORIA DE APOIO AO MINISTRO - AAM</v>
          </cell>
          <cell r="I74" t="str">
            <v>2.100.400</v>
          </cell>
        </row>
        <row r="75">
          <cell r="A75" t="str">
            <v>BEATRIZ BARBOSA DE MELO</v>
          </cell>
          <cell r="B75">
            <v>1658236</v>
          </cell>
          <cell r="C75" t="str">
            <v>Sem Cargo/Emprego</v>
          </cell>
          <cell r="D75" t="str">
            <v>Sem Vínculo</v>
          </cell>
          <cell r="E75" t="str">
            <v>Sem Vínculo</v>
          </cell>
          <cell r="F75" t="str">
            <v>DAS 102.2</v>
          </cell>
          <cell r="G75" t="str">
            <v xml:space="preserve"> </v>
          </cell>
          <cell r="H75" t="str">
            <v>SEE / DEPARTAMENTO DE MONITORAMENTO DO SISTEMA ELÉTRICO - DMSE</v>
          </cell>
          <cell r="I75" t="str">
            <v>12.102.000</v>
          </cell>
        </row>
        <row r="76">
          <cell r="A76" t="str">
            <v>BENILDE DOS SANTOS GONCALVES</v>
          </cell>
          <cell r="B76">
            <v>451845</v>
          </cell>
          <cell r="C76" t="str">
            <v>Agente Administrativo</v>
          </cell>
          <cell r="D76" t="str">
            <v>Ativo Permanente</v>
          </cell>
          <cell r="E76" t="str">
            <v>MME - Ministério de Minas e Energia</v>
          </cell>
          <cell r="F76" t="str">
            <v>FGR 1</v>
          </cell>
          <cell r="G76" t="str">
            <v xml:space="preserve"> </v>
          </cell>
          <cell r="H76" t="str">
            <v>Aguardando Lotação/Exercício</v>
          </cell>
          <cell r="I76" t="str">
            <v>88.000.000</v>
          </cell>
        </row>
        <row r="77">
          <cell r="A77" t="str">
            <v>BENTO COSTA LIMA LEITE DE ALBUQUERQUE JUNIOR</v>
          </cell>
          <cell r="B77">
            <v>1315936</v>
          </cell>
          <cell r="C77" t="str">
            <v>Ministro de Estado</v>
          </cell>
          <cell r="D77" t="str">
            <v>Sem Vínculo</v>
          </cell>
          <cell r="E77" t="str">
            <v>Marinha</v>
          </cell>
          <cell r="F77" t="str">
            <v>NES NES</v>
          </cell>
          <cell r="G77" t="str">
            <v xml:space="preserve"> </v>
          </cell>
          <cell r="H77" t="str">
            <v>MINISTRO</v>
          </cell>
          <cell r="I77" t="str">
            <v>1.000.000</v>
          </cell>
        </row>
        <row r="78">
          <cell r="A78" t="str">
            <v>BIANCA MAGALHAES</v>
          </cell>
          <cell r="B78">
            <v>1467247</v>
          </cell>
          <cell r="C78" t="str">
            <v>Sem Cargo/Emprego</v>
          </cell>
          <cell r="D78" t="str">
            <v>Sem Vínculo</v>
          </cell>
          <cell r="E78" t="str">
            <v>Sem Vínculo</v>
          </cell>
          <cell r="F78" t="str">
            <v>DAS 102.2</v>
          </cell>
          <cell r="G78" t="str">
            <v xml:space="preserve"> </v>
          </cell>
          <cell r="H78" t="str">
            <v>CONJUR / CHEFIA DE GABINETE CONJUR</v>
          </cell>
          <cell r="I78" t="str">
            <v>7.100.000</v>
          </cell>
        </row>
        <row r="79">
          <cell r="A79" t="str">
            <v>BIANCA MARIA MATOS DE ALENCAR BRAGA</v>
          </cell>
          <cell r="B79">
            <v>4974375</v>
          </cell>
          <cell r="C79" t="str">
            <v>Analista de Infraestrutura</v>
          </cell>
          <cell r="D79" t="str">
            <v>Exercício Descentralizado</v>
          </cell>
          <cell r="E79" t="str">
            <v>ME - Ministério da Economia</v>
          </cell>
          <cell r="F79" t="str">
            <v>DAS 101.4</v>
          </cell>
          <cell r="G79" t="str">
            <v xml:space="preserve"> </v>
          </cell>
          <cell r="H79" t="str">
            <v>SEE / DMSE / COORDENAÇÃO GERAL DE MONITORAMENTO DO DESEMPENHO DO SISTEMA ELÉTRICO</v>
          </cell>
          <cell r="I79" t="str">
            <v>12.102.400</v>
          </cell>
        </row>
        <row r="80">
          <cell r="A80" t="str">
            <v>BRENNA KAREN DE OLIVEIRA</v>
          </cell>
          <cell r="B80">
            <v>2617601</v>
          </cell>
          <cell r="C80" t="str">
            <v>Analista Técnico Administrativo</v>
          </cell>
          <cell r="D80" t="str">
            <v>Requisitado de Órgãos</v>
          </cell>
          <cell r="E80" t="str">
            <v>MDR - Ministério do Desenvolvimento Regional</v>
          </cell>
          <cell r="F80" t="str">
            <v>FGR 1</v>
          </cell>
          <cell r="G80" t="str">
            <v>GSISTE Superior</v>
          </cell>
          <cell r="H80" t="str">
            <v>SE / SPOA / CGRH / COORDENAÇÃO DE ADMINISTRAÇÃO DE PESSOAL - CAPES</v>
          </cell>
          <cell r="I80" t="str">
            <v>8.105.210</v>
          </cell>
        </row>
        <row r="81">
          <cell r="A81" t="str">
            <v>BRENNO LEOPOLDO CAVALCANTE DE PAULA</v>
          </cell>
          <cell r="B81">
            <v>1821871</v>
          </cell>
          <cell r="C81" t="str">
            <v>Sem Cargo/Emprego</v>
          </cell>
          <cell r="D81" t="str">
            <v>Sem Vínculo</v>
          </cell>
          <cell r="E81" t="str">
            <v>Sem Vínculo</v>
          </cell>
          <cell r="F81" t="str">
            <v>DAS 101.4</v>
          </cell>
          <cell r="G81" t="str">
            <v xml:space="preserve"> </v>
          </cell>
          <cell r="H81" t="str">
            <v>GM / ASSESSORIA TÉCNICA E ADMINISTRATIVA - ASTAD</v>
          </cell>
          <cell r="I81" t="str">
            <v>2.100.100</v>
          </cell>
        </row>
        <row r="82">
          <cell r="A82" t="str">
            <v>BRUNA RODRIGUES DE OLIVEIRA</v>
          </cell>
          <cell r="B82">
            <v>2839362</v>
          </cell>
          <cell r="C82" t="str">
            <v>Sem Cargo/Emprego</v>
          </cell>
          <cell r="D82" t="str">
            <v>Sem Vínculo</v>
          </cell>
          <cell r="E82" t="str">
            <v>Sem Vínculo</v>
          </cell>
          <cell r="F82" t="str">
            <v>DAS 102.2</v>
          </cell>
          <cell r="G82" t="str">
            <v xml:space="preserve"> </v>
          </cell>
          <cell r="H82" t="str">
            <v>SPE / CHEFIA DE GABINETE SPE</v>
          </cell>
          <cell r="I82" t="str">
            <v>10.100.000</v>
          </cell>
        </row>
        <row r="83">
          <cell r="A83" t="str">
            <v>BRUNO CESAR SPADA</v>
          </cell>
          <cell r="B83">
            <v>3117873</v>
          </cell>
          <cell r="C83" t="str">
            <v>Sem Cargo/Emprego</v>
          </cell>
          <cell r="D83" t="str">
            <v>Sem Vínculo</v>
          </cell>
          <cell r="E83" t="str">
            <v>Sem Vínculo</v>
          </cell>
          <cell r="F83" t="str">
            <v>DAS 102.3</v>
          </cell>
          <cell r="G83" t="str">
            <v xml:space="preserve"> </v>
          </cell>
          <cell r="H83" t="str">
            <v>GM / ASSESSORIA DE COMUNICAÇÃO SOCIAL - ASCOM</v>
          </cell>
          <cell r="I83" t="str">
            <v>2.100.300</v>
          </cell>
        </row>
        <row r="84">
          <cell r="A84" t="str">
            <v>BRUNO EUSTÁQUIO FERREIRA CASTRO DE CARVALHO</v>
          </cell>
          <cell r="B84">
            <v>1671760</v>
          </cell>
          <cell r="C84" t="str">
            <v>Analista de Infraestrutura</v>
          </cell>
          <cell r="D84" t="str">
            <v>Requisitado de Órgãos</v>
          </cell>
          <cell r="E84" t="str">
            <v>ME - Ministério da Economia</v>
          </cell>
          <cell r="F84" t="str">
            <v>DAS 101.6</v>
          </cell>
          <cell r="G84" t="str">
            <v xml:space="preserve"> </v>
          </cell>
          <cell r="H84" t="str">
            <v>SE / CHEFIA DE GABINETE SE</v>
          </cell>
          <cell r="I84" t="str">
            <v>8.100.000</v>
          </cell>
        </row>
        <row r="85">
          <cell r="A85" t="str">
            <v>CAMILLA DE ANDRADE GONÇALVES FERNANDES</v>
          </cell>
          <cell r="B85">
            <v>1559017</v>
          </cell>
          <cell r="C85" t="str">
            <v>Especialista em Regulamentação em Energia Elétrica</v>
          </cell>
          <cell r="D85" t="str">
            <v>Requisitado de Órgãos</v>
          </cell>
          <cell r="E85" t="str">
            <v>ANEEL - Agência Nacional de Energia Elétrica</v>
          </cell>
          <cell r="F85" t="str">
            <v>DAS 101.5</v>
          </cell>
          <cell r="G85" t="str">
            <v xml:space="preserve"> </v>
          </cell>
          <cell r="H85" t="str">
            <v>SE / CHEFIA DE GABINETE SE</v>
          </cell>
          <cell r="I85" t="str">
            <v>8.100.000</v>
          </cell>
        </row>
        <row r="86">
          <cell r="A86" t="str">
            <v>CANDICE SOUSA COSTA</v>
          </cell>
          <cell r="B86">
            <v>1553178</v>
          </cell>
          <cell r="C86" t="str">
            <v>Procuradora Federal</v>
          </cell>
          <cell r="D86" t="str">
            <v>Exercício Descentralizado</v>
          </cell>
          <cell r="E86" t="str">
            <v>AGU - Advocacia Geral da União</v>
          </cell>
          <cell r="F86" t="str">
            <v>FCPE 101.4</v>
          </cell>
          <cell r="G86" t="str">
            <v xml:space="preserve"> </v>
          </cell>
          <cell r="H86" t="str">
            <v>CONJUR / COORDENAÇÃO GERAL DE ASSUNTOS DE ENERGIA</v>
          </cell>
          <cell r="I86" t="str">
            <v>7.100.100</v>
          </cell>
        </row>
        <row r="87">
          <cell r="A87" t="str">
            <v>CARLOS AGENOR ONOFRE CABRAL</v>
          </cell>
          <cell r="B87">
            <v>1650109</v>
          </cell>
          <cell r="C87" t="str">
            <v>Especialista em Regulamentação de Petróleo e Der Alc Com e Gás Natural</v>
          </cell>
          <cell r="D87" t="str">
            <v>Requisitado de Órgãos</v>
          </cell>
          <cell r="E87" t="str">
            <v>ANP - Agência Nacional do Petróleo, Gás Natural e Biocombustíveis</v>
          </cell>
          <cell r="F87" t="str">
            <v>DAS 101.4</v>
          </cell>
          <cell r="G87" t="str">
            <v xml:space="preserve"> </v>
          </cell>
          <cell r="H87" t="str">
            <v>SPG / DEPARTAMENTO DE POLÍTICA DE EXPLORAÇÃO E PRODUÇÃO DE PETRÓLEO E GÁS NATURAL - DPGN</v>
          </cell>
          <cell r="I87" t="str">
            <v>11.101.000</v>
          </cell>
        </row>
        <row r="88">
          <cell r="A88" t="str">
            <v>CARLOS ALBERTO DE OLIVEIRA</v>
          </cell>
          <cell r="B88">
            <v>6451596</v>
          </cell>
          <cell r="C88" t="str">
            <v>Arquivista</v>
          </cell>
          <cell r="D88" t="str">
            <v>Ativo Permanente</v>
          </cell>
          <cell r="E88" t="str">
            <v>MME - Ministério de Minas e Energia</v>
          </cell>
          <cell r="F88" t="str">
            <v>FGR 1</v>
          </cell>
          <cell r="G88" t="str">
            <v xml:space="preserve"> </v>
          </cell>
          <cell r="H88" t="str">
            <v>SE / AEGP / COORDENAÇÃO GERAL DE GESTÃO DE PROJETOS - CGGP</v>
          </cell>
          <cell r="I88" t="str">
            <v>8.103.200</v>
          </cell>
        </row>
        <row r="89">
          <cell r="A89" t="str">
            <v>CARLOS ALEXANDRE PRINCIPE PIRES</v>
          </cell>
          <cell r="B89">
            <v>2438064</v>
          </cell>
          <cell r="C89" t="str">
            <v>Especialista em Política Pública e Gestão Governamental</v>
          </cell>
          <cell r="D89" t="str">
            <v>Requisitado de Órgãos</v>
          </cell>
          <cell r="E89" t="str">
            <v>ME - Ministério da Economia</v>
          </cell>
          <cell r="F89" t="str">
            <v>DAS 101.5</v>
          </cell>
          <cell r="G89" t="str">
            <v xml:space="preserve"> </v>
          </cell>
          <cell r="H89" t="str">
            <v>SPE / DEPARTAMENTO DE DESENVOLVIMENTO ENERGÉTICO - DDE</v>
          </cell>
          <cell r="I89" t="str">
            <v>10.102.000</v>
          </cell>
        </row>
        <row r="90">
          <cell r="A90" t="str">
            <v>CARLOS ANTONIO DE ABREU</v>
          </cell>
          <cell r="B90">
            <v>161427</v>
          </cell>
          <cell r="C90" t="str">
            <v>Agente de Vigilância</v>
          </cell>
          <cell r="D90" t="str">
            <v>Ativo Permanente</v>
          </cell>
          <cell r="E90" t="str">
            <v>MME - Ministério de Minas e Energia</v>
          </cell>
          <cell r="F90" t="str">
            <v xml:space="preserve"> </v>
          </cell>
          <cell r="G90" t="str">
            <v xml:space="preserve"> </v>
          </cell>
          <cell r="H90" t="str">
            <v>SE / SPOA / CGRL / COORDENAÇÃO DE ATIVIDADES GERAIS - COAGE</v>
          </cell>
          <cell r="I90" t="str">
            <v>8.105.120</v>
          </cell>
        </row>
        <row r="91">
          <cell r="A91" t="str">
            <v>CARLOS AUGUSTO FURTADO DE OLIVEIRA NOVAES</v>
          </cell>
          <cell r="B91">
            <v>1547827</v>
          </cell>
          <cell r="C91" t="str">
            <v>Analista de Infraestrutura</v>
          </cell>
          <cell r="D91" t="str">
            <v>Exercício Descentralizado</v>
          </cell>
          <cell r="E91" t="str">
            <v>ME - Ministério da Economia</v>
          </cell>
          <cell r="F91" t="str">
            <v xml:space="preserve"> </v>
          </cell>
          <cell r="G91" t="str">
            <v xml:space="preserve"> </v>
          </cell>
          <cell r="H91" t="str">
            <v>SEE / DMSE / COORDENAÇÃO GERAL DE MONITORAMENTO DO DESEMPENHO DO SISTEMA ELÉTRICO</v>
          </cell>
          <cell r="I91" t="str">
            <v>12.102.400</v>
          </cell>
        </row>
        <row r="92">
          <cell r="A92" t="str">
            <v>CARLOS EDUARDO MENDES GALVAO</v>
          </cell>
          <cell r="B92">
            <v>454695</v>
          </cell>
          <cell r="C92" t="str">
            <v>Agente Administrativo</v>
          </cell>
          <cell r="D92" t="str">
            <v>Ativo Permanente</v>
          </cell>
          <cell r="E92" t="str">
            <v>MME - Ministério de Minas e Energia</v>
          </cell>
          <cell r="F92" t="str">
            <v>DAS 101.4</v>
          </cell>
          <cell r="G92" t="str">
            <v>GSISTE Intermediário</v>
          </cell>
          <cell r="H92" t="str">
            <v>SE / SPOA / COORDENAÇÃO GERAL DE RECURSOS HUMANOS - CGRH</v>
          </cell>
          <cell r="I92" t="str">
            <v>8.105.200</v>
          </cell>
        </row>
        <row r="93">
          <cell r="A93" t="str">
            <v>CARLOS GERARDO DE MESQUITA</v>
          </cell>
          <cell r="B93">
            <v>454390</v>
          </cell>
          <cell r="C93" t="str">
            <v>Agente de Portaria</v>
          </cell>
          <cell r="D93" t="str">
            <v>Ativo Permanente</v>
          </cell>
          <cell r="E93" t="str">
            <v>MME - Ministério de Minas e Energia</v>
          </cell>
          <cell r="F93" t="str">
            <v>FGR 1</v>
          </cell>
          <cell r="G93" t="str">
            <v xml:space="preserve"> </v>
          </cell>
          <cell r="H93" t="str">
            <v>CONJUR / CGAA / COORDENAÇÃO DE APOIO ADMINISTRATIVO</v>
          </cell>
          <cell r="I93" t="str">
            <v>7.100.310</v>
          </cell>
        </row>
        <row r="94">
          <cell r="A94" t="str">
            <v>CARLOS JORGE PAVAO DIAS</v>
          </cell>
          <cell r="B94">
            <v>1482723</v>
          </cell>
          <cell r="C94" t="str">
            <v>Sem Cargo/Emprego</v>
          </cell>
          <cell r="D94" t="str">
            <v>Sem Vínculo</v>
          </cell>
          <cell r="E94" t="str">
            <v>Sem Vínculo</v>
          </cell>
          <cell r="F94" t="str">
            <v>DAS 102.3</v>
          </cell>
          <cell r="G94" t="str">
            <v xml:space="preserve"> </v>
          </cell>
          <cell r="H94" t="str">
            <v>SPG / CHEFIA DE GABINETE SPG</v>
          </cell>
          <cell r="I94" t="str">
            <v>11.100.000</v>
          </cell>
        </row>
        <row r="95">
          <cell r="A95" t="str">
            <v>CARLOS MODESTO DE ARAUJO</v>
          </cell>
          <cell r="B95">
            <v>1092793</v>
          </cell>
          <cell r="C95" t="str">
            <v>Agente Administrativo</v>
          </cell>
          <cell r="D95" t="str">
            <v>Ativo Permanente</v>
          </cell>
          <cell r="E95" t="str">
            <v>MME - Ministério de Minas e Energia</v>
          </cell>
          <cell r="F95" t="str">
            <v xml:space="preserve"> </v>
          </cell>
          <cell r="G95" t="str">
            <v xml:space="preserve"> </v>
          </cell>
          <cell r="H95" t="str">
            <v>Aguardando Lotação/Exercício</v>
          </cell>
          <cell r="I95" t="str">
            <v>88.000.000</v>
          </cell>
        </row>
        <row r="96">
          <cell r="A96" t="str">
            <v>CARLOS ROBERTO NOVAIS DE ALMEIDA</v>
          </cell>
          <cell r="B96">
            <v>455044</v>
          </cell>
          <cell r="C96" t="str">
            <v>Agente Administrativo</v>
          </cell>
          <cell r="D96" t="str">
            <v>Ativo Permanente</v>
          </cell>
          <cell r="E96" t="str">
            <v>MME - Ministério de Minas e Energia</v>
          </cell>
          <cell r="F96" t="str">
            <v>FCPE 101.3</v>
          </cell>
          <cell r="G96" t="str">
            <v xml:space="preserve"> </v>
          </cell>
          <cell r="H96" t="str">
            <v>GM / ASTAD / COORDENAÇÃO DE ATIVIDADES ADMINISTRATIVAS</v>
          </cell>
          <cell r="I96" t="str">
            <v>2.100.101</v>
          </cell>
        </row>
        <row r="97">
          <cell r="A97" t="str">
            <v>CASSIO GIULIANI CARVALHO</v>
          </cell>
          <cell r="B97">
            <v>5660896</v>
          </cell>
          <cell r="C97" t="str">
            <v>Especialista em Regulamentação de Aviação Civil</v>
          </cell>
          <cell r="D97" t="str">
            <v>Requisitado de Órgãos</v>
          </cell>
          <cell r="E97" t="str">
            <v>ANAC - Agência Nacional de Aviação Civil</v>
          </cell>
          <cell r="F97" t="str">
            <v>DAS 101.4</v>
          </cell>
          <cell r="G97" t="str">
            <v xml:space="preserve"> </v>
          </cell>
          <cell r="H97" t="str">
            <v>SPE / DPE / COORDENAÇÃO GERAL DA EXPANSÃO ELETROENERGÉTICA</v>
          </cell>
          <cell r="I97" t="str">
            <v>10.101.300</v>
          </cell>
        </row>
        <row r="98">
          <cell r="A98" t="str">
            <v>CELIA MARIA BOMTEMPO</v>
          </cell>
          <cell r="B98">
            <v>454348</v>
          </cell>
          <cell r="C98" t="str">
            <v>Agente Administrativo</v>
          </cell>
          <cell r="D98" t="str">
            <v>Ativo Permanente</v>
          </cell>
          <cell r="E98" t="str">
            <v>MME - Ministério de Minas e Energia</v>
          </cell>
          <cell r="F98" t="str">
            <v>FCT 5</v>
          </cell>
          <cell r="G98" t="str">
            <v>GSISTE Intermediário (MPPFS)</v>
          </cell>
          <cell r="H98" t="str">
            <v>SE / SPOA / CGOF / COORDENAÇÃO DE CONTABILIDADE - CONT</v>
          </cell>
          <cell r="I98" t="str">
            <v>8.105.520</v>
          </cell>
        </row>
        <row r="99">
          <cell r="A99" t="str">
            <v>CESAR FERREIRA BORGES</v>
          </cell>
          <cell r="B99">
            <v>1281488</v>
          </cell>
          <cell r="C99" t="str">
            <v>Sem Cargo/Emprego</v>
          </cell>
          <cell r="D99" t="str">
            <v>Sem Vínculo</v>
          </cell>
          <cell r="E99" t="str">
            <v>Sem Vínculo</v>
          </cell>
          <cell r="F99" t="str">
            <v>DAS 102.5</v>
          </cell>
          <cell r="G99" t="str">
            <v xml:space="preserve"> </v>
          </cell>
          <cell r="H99" t="str">
            <v>GM / ASSESSORIA DE COMUNICAÇÃO SOCIAL - ASCOM</v>
          </cell>
          <cell r="I99" t="str">
            <v>2.100.300</v>
          </cell>
        </row>
        <row r="100">
          <cell r="A100" t="str">
            <v>CHRISTIAN DE OLIVEIRA E FERNANDES</v>
          </cell>
          <cell r="B100">
            <v>3355829</v>
          </cell>
          <cell r="C100" t="str">
            <v>Advogado da União</v>
          </cell>
          <cell r="D100" t="str">
            <v>Exercício Descentralizado</v>
          </cell>
          <cell r="E100" t="str">
            <v>AGU - Advocacia Geral da União</v>
          </cell>
          <cell r="F100" t="str">
            <v xml:space="preserve"> </v>
          </cell>
          <cell r="G100" t="str">
            <v xml:space="preserve"> </v>
          </cell>
          <cell r="H100" t="str">
            <v>CONJUR / COORDENAÇÃO GERAL DE ASSUNTOS DE ENERGIA</v>
          </cell>
          <cell r="I100" t="str">
            <v>7.100.100</v>
          </cell>
        </row>
        <row r="101">
          <cell r="A101" t="str">
            <v>CHRISTIAN VARGAS</v>
          </cell>
          <cell r="B101">
            <v>0</v>
          </cell>
          <cell r="C101" t="str">
            <v>Ministro de Segunda Classe</v>
          </cell>
          <cell r="D101" t="str">
            <v>Requisitado de Órgãos</v>
          </cell>
          <cell r="E101" t="str">
            <v>MRE - Ministério das Relações Exteriores</v>
          </cell>
          <cell r="F101" t="str">
            <v>DAS 101.5</v>
          </cell>
          <cell r="G101" t="str">
            <v xml:space="preserve"> </v>
          </cell>
          <cell r="H101" t="str">
            <v>ASSESSORIA ESPECIAL DE RELAÇÕES INTERNACIONAIS - ASSINT</v>
          </cell>
          <cell r="I101" t="str">
            <v>3.000.000</v>
          </cell>
        </row>
        <row r="102">
          <cell r="A102" t="str">
            <v>CHRISTIANY SALGADO FARIA</v>
          </cell>
          <cell r="B102">
            <v>1453978</v>
          </cell>
          <cell r="C102" t="str">
            <v>Analista de Infraestrutura</v>
          </cell>
          <cell r="D102" t="str">
            <v>Requisitado de Órgãos</v>
          </cell>
          <cell r="E102" t="str">
            <v>ME - Ministério da Economia</v>
          </cell>
          <cell r="F102" t="str">
            <v>DAS 102.4</v>
          </cell>
          <cell r="G102" t="str">
            <v xml:space="preserve"> </v>
          </cell>
          <cell r="H102" t="str">
            <v>ASSESSORIA ESPECIAL DE ASSUNTOS ECONÔMICOS - ASSEC</v>
          </cell>
          <cell r="I102" t="str">
            <v>6.000.000</v>
          </cell>
        </row>
        <row r="103">
          <cell r="A103" t="str">
            <v>CICERO DA ROSA ROCHA</v>
          </cell>
          <cell r="B103">
            <v>1669516</v>
          </cell>
          <cell r="C103" t="str">
            <v>Escriturário II</v>
          </cell>
          <cell r="D103" t="str">
            <v>Anistiado MME</v>
          </cell>
          <cell r="E103" t="str">
            <v>MME - Ministério de Minas e Energia</v>
          </cell>
          <cell r="F103" t="str">
            <v xml:space="preserve"> </v>
          </cell>
          <cell r="G103" t="str">
            <v xml:space="preserve"> </v>
          </cell>
          <cell r="H103" t="str">
            <v>SE / SPOA / CGRH / COORDENAÇÃO DE DESENVOLVIMENTO E SEGURIDADE SOCIAL - CODES</v>
          </cell>
          <cell r="I103" t="str">
            <v>8.105.220</v>
          </cell>
        </row>
        <row r="104">
          <cell r="A104" t="str">
            <v>CICERO RONALDO VIEIRA DA SILVA</v>
          </cell>
          <cell r="B104">
            <v>451627</v>
          </cell>
          <cell r="C104" t="str">
            <v>Agente de Portaria</v>
          </cell>
          <cell r="D104" t="str">
            <v>Ativo Permanente</v>
          </cell>
          <cell r="E104" t="str">
            <v>MME - Ministério de Minas e Energia</v>
          </cell>
          <cell r="F104" t="str">
            <v>FCT 7</v>
          </cell>
          <cell r="G104" t="str">
            <v xml:space="preserve"> </v>
          </cell>
          <cell r="H104" t="str">
            <v>SE / SPOA / CGRL / COORDENAÇÃO DE ATIVIDADES GERAIS - COAGE</v>
          </cell>
          <cell r="I104" t="str">
            <v>8.105.120</v>
          </cell>
        </row>
        <row r="105">
          <cell r="A105" t="str">
            <v>CLARA DE JESUS SILVA</v>
          </cell>
          <cell r="B105">
            <v>1772834</v>
          </cell>
          <cell r="C105" t="str">
            <v>Auxiliar Administrativo</v>
          </cell>
          <cell r="D105" t="str">
            <v>Anistiado MME</v>
          </cell>
          <cell r="E105" t="str">
            <v>MME - Ministério de Minas e Energia</v>
          </cell>
          <cell r="F105" t="str">
            <v xml:space="preserve"> </v>
          </cell>
          <cell r="G105" t="str">
            <v xml:space="preserve"> </v>
          </cell>
          <cell r="H105" t="str">
            <v>Aguardando Lotação/Exercício</v>
          </cell>
          <cell r="I105" t="str">
            <v>88.000.000</v>
          </cell>
        </row>
        <row r="106">
          <cell r="A106" t="str">
            <v>CLAREN MARCIA DE AZEVEDO</v>
          </cell>
          <cell r="B106">
            <v>1340463</v>
          </cell>
          <cell r="C106" t="str">
            <v>Sem Cargo/Emprego</v>
          </cell>
          <cell r="D106" t="str">
            <v>Sem Vínculo</v>
          </cell>
          <cell r="E106" t="str">
            <v>Sem Vínculo</v>
          </cell>
          <cell r="F106" t="str">
            <v>DAS 102.2</v>
          </cell>
          <cell r="G106" t="str">
            <v xml:space="preserve"> </v>
          </cell>
          <cell r="H106" t="str">
            <v>SE / CHEFIA DE GABINETE SE</v>
          </cell>
          <cell r="I106" t="str">
            <v>8.100.000</v>
          </cell>
        </row>
        <row r="107">
          <cell r="A107" t="str">
            <v>CLARICE GOMES DA SILVA</v>
          </cell>
          <cell r="B107">
            <v>1696906</v>
          </cell>
          <cell r="C107" t="str">
            <v>Escriturário I</v>
          </cell>
          <cell r="D107" t="str">
            <v>Anistiado MME</v>
          </cell>
          <cell r="E107" t="str">
            <v>MME - Ministério de Minas e Energia</v>
          </cell>
          <cell r="F107" t="str">
            <v>DAS 102.2</v>
          </cell>
          <cell r="G107" t="str">
            <v xml:space="preserve"> </v>
          </cell>
          <cell r="H107" t="str">
            <v>SE / SPOA / CGRL / COORDENAÇÃO DE ATIVIDADES GERAIS - COAGE</v>
          </cell>
          <cell r="I107" t="str">
            <v>8.105.120</v>
          </cell>
        </row>
        <row r="108">
          <cell r="A108" t="str">
            <v>CLAUDIA CRISTINA DE OLIVEIRA F SILVA</v>
          </cell>
          <cell r="B108">
            <v>455479</v>
          </cell>
          <cell r="C108" t="str">
            <v>Telefonista</v>
          </cell>
          <cell r="D108" t="str">
            <v>Ativo Permanente</v>
          </cell>
          <cell r="E108" t="str">
            <v>MME - Ministério de Minas e Energia</v>
          </cell>
          <cell r="F108" t="str">
            <v>FGR 1</v>
          </cell>
          <cell r="G108" t="str">
            <v xml:space="preserve"> </v>
          </cell>
          <cell r="H108" t="str">
            <v>SE / SPOA / CGRH / COORDENAÇÃO DE DESENVOLVIMENTO E SEGURIDADE SOCIAL - CODES</v>
          </cell>
          <cell r="I108" t="str">
            <v>8.105.220</v>
          </cell>
        </row>
        <row r="109">
          <cell r="A109" t="str">
            <v>CLAUDIA MARIA DA SILVA MEIRA</v>
          </cell>
          <cell r="B109">
            <v>1783636</v>
          </cell>
          <cell r="C109" t="str">
            <v>Sem Cargo/Emprego</v>
          </cell>
          <cell r="D109" t="str">
            <v>Sem Vínculo</v>
          </cell>
          <cell r="E109" t="str">
            <v>Sem Vínculo</v>
          </cell>
          <cell r="F109" t="str">
            <v>DAS 102.2</v>
          </cell>
          <cell r="G109" t="str">
            <v xml:space="preserve"> </v>
          </cell>
          <cell r="H109" t="str">
            <v>SE / ASSESSORIA ESPECIAL DE GESTÃO ESTRATÉGICA - AEGE</v>
          </cell>
          <cell r="I109" t="str">
            <v>8.101.000</v>
          </cell>
        </row>
        <row r="110">
          <cell r="A110" t="str">
            <v>CLÁUDIA MOTA MONTEIRO</v>
          </cell>
          <cell r="B110">
            <v>454709</v>
          </cell>
          <cell r="C110" t="str">
            <v>Agente Administrativo</v>
          </cell>
          <cell r="D110" t="str">
            <v>Ativo Permanente</v>
          </cell>
          <cell r="E110" t="str">
            <v>MME - Ministério de Minas e Energia</v>
          </cell>
          <cell r="F110" t="str">
            <v>DAS 101.3</v>
          </cell>
          <cell r="G110" t="str">
            <v>GSISTE Intermediário</v>
          </cell>
          <cell r="H110" t="str">
            <v>SE / SPOA / CGCC / COORDENAÇÃO DE ADMINISTRAÇÃO DE CONTRATOS - CAC</v>
          </cell>
          <cell r="I110" t="str">
            <v>8.105.410</v>
          </cell>
        </row>
        <row r="111">
          <cell r="A111" t="str">
            <v>CLAUDIO OLIMAR INATOMI</v>
          </cell>
          <cell r="B111">
            <v>455322</v>
          </cell>
          <cell r="C111" t="str">
            <v>Agente Administrativo</v>
          </cell>
          <cell r="D111" t="str">
            <v>Ativo Permanente</v>
          </cell>
          <cell r="E111" t="str">
            <v>MME - Ministério de Minas e Energia</v>
          </cell>
          <cell r="F111" t="str">
            <v>FCPE 102.2</v>
          </cell>
          <cell r="G111" t="str">
            <v xml:space="preserve"> </v>
          </cell>
          <cell r="H111" t="str">
            <v>ASSESSORIA ESPECIAL DE RELAÇÕES INTERNACIONAIS - ASSINT</v>
          </cell>
          <cell r="I111" t="str">
            <v>3.000.000</v>
          </cell>
        </row>
        <row r="112">
          <cell r="A112" t="str">
            <v>CLAUDIO XAVIER PEREIRA</v>
          </cell>
          <cell r="B112">
            <v>1202804</v>
          </cell>
          <cell r="C112" t="str">
            <v>Analista de Planejamento e Orçamento</v>
          </cell>
          <cell r="D112" t="str">
            <v>Exercício Descentralizado</v>
          </cell>
          <cell r="E112" t="str">
            <v>ME - Ministério da Economia</v>
          </cell>
          <cell r="F112" t="str">
            <v>DAS 101.4</v>
          </cell>
          <cell r="G112" t="str">
            <v xml:space="preserve"> </v>
          </cell>
          <cell r="H112" t="str">
            <v>SE / SPOA / COORDENAÇÃO GERAL DE ORÇAMENTO E FINANÇAS - CGOF</v>
          </cell>
          <cell r="I112" t="str">
            <v>8.105.500</v>
          </cell>
        </row>
        <row r="113">
          <cell r="A113" t="str">
            <v>CLAYTON DE SOUZA PONTES</v>
          </cell>
          <cell r="B113">
            <v>3482082</v>
          </cell>
          <cell r="C113" t="str">
            <v>Sem Cargo/Emprego</v>
          </cell>
          <cell r="D113" t="str">
            <v>Sem Vínculo</v>
          </cell>
          <cell r="E113" t="str">
            <v>Sem Vínculo</v>
          </cell>
          <cell r="F113" t="str">
            <v>DAS 101.4</v>
          </cell>
          <cell r="G113" t="str">
            <v xml:space="preserve"> </v>
          </cell>
          <cell r="H113" t="str">
            <v>SPG / DPGN / COORDENAÇÃO GERAL DE POLÍTICA DE CONCESSÃO DE BLOCOS EXPLORATÓRIOS</v>
          </cell>
          <cell r="I113" t="str">
            <v>11.101.200</v>
          </cell>
        </row>
        <row r="114">
          <cell r="A114" t="str">
            <v>CLEONICE DE FREITAS DE ALMEIDA</v>
          </cell>
          <cell r="B114">
            <v>2586386</v>
          </cell>
          <cell r="C114" t="str">
            <v>Escriturário II</v>
          </cell>
          <cell r="D114" t="str">
            <v>Anistiado MME</v>
          </cell>
          <cell r="E114" t="str">
            <v>MME - Ministério de Minas e Energia</v>
          </cell>
          <cell r="F114" t="str">
            <v xml:space="preserve"> </v>
          </cell>
          <cell r="G114" t="str">
            <v xml:space="preserve"> </v>
          </cell>
          <cell r="H114" t="str">
            <v>SE / SPOA / CGRH / COORDENAÇÃO DE DESENVOLVIMENTO E SEGURIDADE SOCIAL - CODES</v>
          </cell>
          <cell r="I114" t="str">
            <v>8.105.220</v>
          </cell>
        </row>
        <row r="115">
          <cell r="A115" t="str">
            <v>CLEUSA COSTA DE JESUS</v>
          </cell>
          <cell r="B115">
            <v>454729</v>
          </cell>
          <cell r="C115" t="str">
            <v>Agente Administrativo</v>
          </cell>
          <cell r="D115" t="str">
            <v>Ativo Permanente</v>
          </cell>
          <cell r="E115" t="str">
            <v>MME - Ministério de Minas e Energia</v>
          </cell>
          <cell r="F115" t="str">
            <v>FGR 1</v>
          </cell>
          <cell r="G115" t="str">
            <v>GSISTE Intermediário</v>
          </cell>
          <cell r="H115" t="str">
            <v>SE / SPOA / CGCC / COORDENAÇÃO DE ADMINISTRAÇÃO DE CONTRATOS - CAC</v>
          </cell>
          <cell r="I115" t="str">
            <v>8.105.410</v>
          </cell>
        </row>
        <row r="116">
          <cell r="A116" t="str">
            <v>CONCEICAO CRISTINA ARAUJO LIMA</v>
          </cell>
          <cell r="B116">
            <v>5300147</v>
          </cell>
          <cell r="C116" t="str">
            <v>Sem Cargo/Emprego</v>
          </cell>
          <cell r="D116" t="str">
            <v>Sem Vínculo</v>
          </cell>
          <cell r="E116" t="str">
            <v>Sem Vínculo</v>
          </cell>
          <cell r="F116" t="str">
            <v>DAS 101.4</v>
          </cell>
          <cell r="G116" t="str">
            <v xml:space="preserve"> </v>
          </cell>
          <cell r="H116" t="str">
            <v>SEE / DPUE / COORDENAÇÃO GERAL DE UNIVERSALIZAÇÃO DO ACESSO À ENERGIA</v>
          </cell>
          <cell r="I116" t="str">
            <v>12.103.200</v>
          </cell>
        </row>
        <row r="117">
          <cell r="A117" t="str">
            <v>CONCEICAO DE MARIA OLIVEIRA COSTA</v>
          </cell>
          <cell r="B117">
            <v>1094208</v>
          </cell>
          <cell r="C117" t="str">
            <v>Administrador</v>
          </cell>
          <cell r="D117" t="str">
            <v>Ativo Permanente</v>
          </cell>
          <cell r="E117" t="str">
            <v>MME - Ministério de Minas e Energia</v>
          </cell>
          <cell r="F117" t="str">
            <v>FCPE 102.1</v>
          </cell>
          <cell r="G117" t="str">
            <v>GSISTE Superior</v>
          </cell>
          <cell r="H117" t="str">
            <v>SE / SPOA / COORDENAÇÃO DE MODERNIZAÇÃO ADMINISTRATIVA - CMA</v>
          </cell>
          <cell r="I117" t="str">
            <v>8.105.010</v>
          </cell>
        </row>
        <row r="118">
          <cell r="A118" t="str">
            <v>CORACY NOGUEIRA LOSSO</v>
          </cell>
          <cell r="B118">
            <v>1681461</v>
          </cell>
          <cell r="C118" t="str">
            <v>Programador de Sistema III</v>
          </cell>
          <cell r="D118" t="str">
            <v>Anistiado MME</v>
          </cell>
          <cell r="E118" t="str">
            <v>MME - Ministério de Minas e Energia</v>
          </cell>
          <cell r="F118" t="str">
            <v xml:space="preserve"> </v>
          </cell>
          <cell r="G118" t="str">
            <v xml:space="preserve"> </v>
          </cell>
          <cell r="H118" t="str">
            <v>Aguardando Lotação/Exercício</v>
          </cell>
          <cell r="I118" t="str">
            <v>88.000.000</v>
          </cell>
        </row>
        <row r="119">
          <cell r="A119" t="str">
            <v>CRISTIANO MASAYOSHI MENEZES FURUHASHI</v>
          </cell>
          <cell r="B119">
            <v>2661367</v>
          </cell>
          <cell r="C119" t="str">
            <v>Analista de Infraestrutura</v>
          </cell>
          <cell r="D119" t="str">
            <v>Exercício Descentralizado</v>
          </cell>
          <cell r="E119" t="str">
            <v>ME - Ministério da Economia</v>
          </cell>
          <cell r="F119" t="str">
            <v xml:space="preserve"> </v>
          </cell>
          <cell r="G119" t="str">
            <v xml:space="preserve"> </v>
          </cell>
          <cell r="H119" t="str">
            <v>SGM / DEPARTAMENTO DE DESENVOLVIMENTO SUSTENTÁVEL NA MINERAÇÃO - DDM</v>
          </cell>
          <cell r="I119" t="str">
            <v>9.104.000</v>
          </cell>
        </row>
        <row r="120">
          <cell r="A120" t="str">
            <v>CRISTOVAO EPAMINONDAS DE LIMA</v>
          </cell>
          <cell r="B120">
            <v>2798687</v>
          </cell>
          <cell r="C120" t="str">
            <v>Agente Administrativo</v>
          </cell>
          <cell r="D120" t="str">
            <v>Requisitado de Órgãos</v>
          </cell>
          <cell r="E120" t="str">
            <v>MAPA - Ministério da Agricultura, Pecuário e Abastecimento</v>
          </cell>
          <cell r="F120" t="str">
            <v>FCT 10</v>
          </cell>
          <cell r="G120" t="str">
            <v>GSISTE Intermediário</v>
          </cell>
          <cell r="H120" t="str">
            <v>SE / SPOA / CGRL / COORDENAÇÃO DE ATIVIDADES GERAIS - COAGE</v>
          </cell>
          <cell r="I120" t="str">
            <v>8.105.120</v>
          </cell>
        </row>
        <row r="121">
          <cell r="A121" t="str">
            <v>CUSTÓDIA OLIVEIRA PEREIRA</v>
          </cell>
          <cell r="B121">
            <v>2344185</v>
          </cell>
          <cell r="C121" t="str">
            <v>Sem Cargo/Emprego</v>
          </cell>
          <cell r="D121" t="str">
            <v>Sem Vínculo</v>
          </cell>
          <cell r="E121" t="str">
            <v>Sem Vínculo</v>
          </cell>
          <cell r="F121" t="str">
            <v>DAS 101.2</v>
          </cell>
          <cell r="G121" t="str">
            <v xml:space="preserve"> </v>
          </cell>
          <cell r="H121" t="str">
            <v>SE / SPOA / CGRL / COORDENAÇÃO DE ADMINISTRAÇÃO DE MATERIAL E EXECUÇÃO FINANCEIRA - COMEF</v>
          </cell>
          <cell r="I121" t="str">
            <v>8.105.110</v>
          </cell>
        </row>
        <row r="122">
          <cell r="A122" t="str">
            <v>DALTON JOSE DE OLIVEIRA</v>
          </cell>
          <cell r="B122">
            <v>452266</v>
          </cell>
          <cell r="C122" t="str">
            <v>Administrador</v>
          </cell>
          <cell r="D122" t="str">
            <v>Ativo Permanente</v>
          </cell>
          <cell r="E122" t="str">
            <v>MME - Ministério de Minas e Energia</v>
          </cell>
          <cell r="F122" t="str">
            <v>DAS 102.3</v>
          </cell>
          <cell r="G122" t="str">
            <v xml:space="preserve"> </v>
          </cell>
          <cell r="H122" t="str">
            <v>ASSESSORIA ESPECIAL DE ACOMPANHAMENTO DE POLÍTICAS, ESTRATÉGIAS E DESEMPENHO SETORIAL - AEPED</v>
          </cell>
          <cell r="I122" t="str">
            <v>4.000.000</v>
          </cell>
        </row>
        <row r="123">
          <cell r="A123" t="str">
            <v>DANIEL ALVES LIMA</v>
          </cell>
          <cell r="B123">
            <v>3561759</v>
          </cell>
          <cell r="C123" t="str">
            <v>Analista de Infraestrutura</v>
          </cell>
          <cell r="D123" t="str">
            <v>Requisitado de Órgãos</v>
          </cell>
          <cell r="E123" t="str">
            <v>ME - Ministério da Economia</v>
          </cell>
          <cell r="F123" t="str">
            <v>FCPE 101.4</v>
          </cell>
          <cell r="G123" t="str">
            <v xml:space="preserve"> </v>
          </cell>
          <cell r="H123" t="str">
            <v>SGM / DPGM / COORDENAÇÃO GERAL DE POLÍTICA E PROGRAMAS PARA MINERAÇÃO</v>
          </cell>
          <cell r="I123" t="str">
            <v>9.101.100</v>
          </cell>
        </row>
        <row r="124">
          <cell r="A124" t="str">
            <v>DANIEL LOPES PÊGO</v>
          </cell>
          <cell r="B124">
            <v>1048617</v>
          </cell>
          <cell r="C124" t="str">
            <v>Analista de Infraestrutura</v>
          </cell>
          <cell r="D124" t="str">
            <v>Exercício Descentralizado</v>
          </cell>
          <cell r="E124" t="str">
            <v>ME - Ministério da Economia</v>
          </cell>
          <cell r="F124" t="str">
            <v>FCPE 102.2</v>
          </cell>
          <cell r="G124" t="str">
            <v xml:space="preserve"> </v>
          </cell>
          <cell r="H124" t="str">
            <v>SPG / DEPARTAMENTO DE GÁS NATURAL - DGN</v>
          </cell>
          <cell r="I124" t="str">
            <v>11.102.000</v>
          </cell>
        </row>
        <row r="125">
          <cell r="A125" t="str">
            <v>DANIELE DE OLIVEIRA BANDEIRA</v>
          </cell>
          <cell r="B125">
            <v>1433965</v>
          </cell>
          <cell r="C125" t="str">
            <v>Sem Cargo/Emprego</v>
          </cell>
          <cell r="D125" t="str">
            <v>Sem Vínculo</v>
          </cell>
          <cell r="E125" t="str">
            <v>Sem Vínculo</v>
          </cell>
          <cell r="F125" t="str">
            <v>DAS 102.3</v>
          </cell>
          <cell r="G125" t="str">
            <v xml:space="preserve"> </v>
          </cell>
          <cell r="H125" t="str">
            <v>SPE / DIEE / COORDENAÇÃO GERAL DE INFORMAÇÕES ENERGÉTICAS</v>
          </cell>
          <cell r="I125" t="str">
            <v>10.104.100</v>
          </cell>
        </row>
        <row r="126">
          <cell r="A126" t="str">
            <v>DANIELLE GONCALVES BRITTO</v>
          </cell>
          <cell r="B126">
            <v>3133022</v>
          </cell>
          <cell r="C126" t="str">
            <v>Marinha</v>
          </cell>
          <cell r="D126" t="str">
            <v>Requisitado Militar</v>
          </cell>
          <cell r="E126" t="str">
            <v>Marinha</v>
          </cell>
          <cell r="F126" t="str">
            <v>DAS 102.3</v>
          </cell>
          <cell r="G126" t="str">
            <v xml:space="preserve"> </v>
          </cell>
          <cell r="H126" t="str">
            <v>Escritório Rio de Janeiro/RJ</v>
          </cell>
          <cell r="I126" t="str">
            <v>99.000.000</v>
          </cell>
        </row>
        <row r="127">
          <cell r="A127" t="str">
            <v>DANIELLE LANCHARES ORNELAS</v>
          </cell>
          <cell r="B127">
            <v>1650027</v>
          </cell>
          <cell r="C127" t="str">
            <v>Especialista em Regulamentação de Petróleo e Der Alc Com e Gás Natural</v>
          </cell>
          <cell r="D127" t="str">
            <v>Requisitado de Órgãos</v>
          </cell>
          <cell r="E127" t="str">
            <v>ANP - Agência Nacional do Petróleo, Gás Natural e Biocombustíveis</v>
          </cell>
          <cell r="F127" t="str">
            <v>DAS 101.4</v>
          </cell>
          <cell r="G127" t="str">
            <v xml:space="preserve"> </v>
          </cell>
          <cell r="H127" t="str">
            <v>SPG / DCDP / COORDENAÇÃO GERAL DE REFINO, ABASTECIMENTO ......</v>
          </cell>
          <cell r="I127" t="str">
            <v>11.103.200</v>
          </cell>
        </row>
        <row r="128">
          <cell r="A128" t="str">
            <v>DANIELLE SIMOES GUIMARAES</v>
          </cell>
          <cell r="B128">
            <v>2444145</v>
          </cell>
          <cell r="C128" t="str">
            <v>Sem Cargo/Emprego</v>
          </cell>
          <cell r="D128" t="str">
            <v>Sem Vínculo</v>
          </cell>
          <cell r="E128" t="str">
            <v>Sem Vínculo</v>
          </cell>
          <cell r="F128" t="str">
            <v>DAS 102.4</v>
          </cell>
          <cell r="G128" t="str">
            <v xml:space="preserve"> </v>
          </cell>
          <cell r="H128" t="str">
            <v>ASSESSORIA ESPECIAL DE RELAÇÕES INTERNACIONAIS - ASSINT</v>
          </cell>
          <cell r="I128" t="str">
            <v>3.000.000</v>
          </cell>
        </row>
        <row r="129">
          <cell r="A129" t="str">
            <v>DARIO SPEGIORIN SILVEIRA</v>
          </cell>
          <cell r="B129">
            <v>2499671</v>
          </cell>
          <cell r="C129" t="str">
            <v>Advogado da União</v>
          </cell>
          <cell r="D129" t="str">
            <v>Exercício Descentralizado</v>
          </cell>
          <cell r="E129" t="str">
            <v>AGU - Advocacia Geral da União</v>
          </cell>
          <cell r="F129" t="str">
            <v>FCPE 102.3</v>
          </cell>
          <cell r="G129" t="str">
            <v xml:space="preserve"> </v>
          </cell>
          <cell r="H129" t="str">
            <v>CONJUR / CHEFIA DE GABINETE CONJUR</v>
          </cell>
          <cell r="I129" t="str">
            <v>7.100.000</v>
          </cell>
        </row>
        <row r="130">
          <cell r="A130" t="str">
            <v>DEIVSON MATOS TIMBÓ</v>
          </cell>
          <cell r="B130">
            <v>2661231</v>
          </cell>
          <cell r="C130" t="str">
            <v>Analista de Infraestrutura</v>
          </cell>
          <cell r="D130" t="str">
            <v>Exercício Descentralizado</v>
          </cell>
          <cell r="E130" t="str">
            <v>ME - Ministério da Economia</v>
          </cell>
          <cell r="F130" t="str">
            <v>DAS 101.4</v>
          </cell>
          <cell r="G130" t="str">
            <v xml:space="preserve"> </v>
          </cell>
          <cell r="H130" t="str">
            <v>SPG / DCDP / COORDENAÇÃO GERAL DE ACOMPANHAMENTO DO MERCADO</v>
          </cell>
          <cell r="I130" t="str">
            <v>11.103.100</v>
          </cell>
        </row>
        <row r="131">
          <cell r="A131" t="str">
            <v>DENIS DE MOURA SOARES</v>
          </cell>
          <cell r="B131">
            <v>1334799</v>
          </cell>
          <cell r="C131" t="str">
            <v>Analista de Planejamento e Orçamento</v>
          </cell>
          <cell r="D131" t="str">
            <v>Requisitado de Órgãos</v>
          </cell>
          <cell r="E131" t="str">
            <v>ME - Ministério da Economia</v>
          </cell>
          <cell r="F131" t="str">
            <v>DAS 101.5</v>
          </cell>
          <cell r="G131" t="str">
            <v xml:space="preserve"> </v>
          </cell>
          <cell r="H131" t="str">
            <v>SE / ASSESSORIA ESPECIAL DE GESTÃO DE PROJETOS - AEGP</v>
          </cell>
          <cell r="I131" t="str">
            <v>8.103.000</v>
          </cell>
        </row>
        <row r="132">
          <cell r="A132" t="str">
            <v>DENIZE VALENTIM</v>
          </cell>
          <cell r="B132">
            <v>1678550</v>
          </cell>
          <cell r="C132" t="str">
            <v>Auxiliar Codificação e Conferência</v>
          </cell>
          <cell r="D132" t="str">
            <v>Anistiado MME</v>
          </cell>
          <cell r="E132" t="str">
            <v>MME - Ministério de Minas e Energia</v>
          </cell>
          <cell r="F132" t="str">
            <v xml:space="preserve"> </v>
          </cell>
          <cell r="G132" t="str">
            <v xml:space="preserve"> </v>
          </cell>
          <cell r="H132" t="str">
            <v>SE / SPOA / COORDENAÇÃO GERAL DE RECURSOS HUMANOS - CGRH</v>
          </cell>
          <cell r="I132" t="str">
            <v>8.105.200</v>
          </cell>
        </row>
        <row r="133">
          <cell r="A133" t="str">
            <v>DENNIS OTTO CHAMORRO ZELAYA</v>
          </cell>
          <cell r="B133">
            <v>1669878</v>
          </cell>
          <cell r="C133" t="str">
            <v>Analista de Sistema</v>
          </cell>
          <cell r="D133" t="str">
            <v>Anistiado MME</v>
          </cell>
          <cell r="E133" t="str">
            <v>MME - Ministério de Minas e Energia</v>
          </cell>
          <cell r="F133" t="str">
            <v xml:space="preserve"> </v>
          </cell>
          <cell r="G133" t="str">
            <v xml:space="preserve"> </v>
          </cell>
          <cell r="H133" t="str">
            <v>Aguardando Lotação/Exercício</v>
          </cell>
          <cell r="I133" t="str">
            <v>88.000.000</v>
          </cell>
        </row>
        <row r="134">
          <cell r="A134" t="str">
            <v>DIANA BISPO DE JESUS</v>
          </cell>
          <cell r="B134">
            <v>0</v>
          </cell>
          <cell r="C134" t="str">
            <v>Sem Cargo/Emprego</v>
          </cell>
          <cell r="D134" t="str">
            <v>Sem Vínculo</v>
          </cell>
          <cell r="E134" t="str">
            <v>Sem Vínculo</v>
          </cell>
          <cell r="F134" t="str">
            <v>DAS 102.2</v>
          </cell>
          <cell r="G134" t="str">
            <v xml:space="preserve"> </v>
          </cell>
          <cell r="H134" t="str">
            <v>GM / ASSESSORIA DE COMUNICAÇÃO SOCIAL - ASCOM</v>
          </cell>
          <cell r="I134" t="str">
            <v>2.100.300</v>
          </cell>
        </row>
        <row r="135">
          <cell r="A135" t="str">
            <v>DIMAS FIGUEIREDO NOBREGA</v>
          </cell>
          <cell r="B135">
            <v>2230294</v>
          </cell>
          <cell r="C135" t="str">
            <v>Codificador de Dados I</v>
          </cell>
          <cell r="D135" t="str">
            <v>Anistiado MME</v>
          </cell>
          <cell r="E135" t="str">
            <v>MME - Ministério de Minas e Energia</v>
          </cell>
          <cell r="F135" t="str">
            <v xml:space="preserve"> </v>
          </cell>
          <cell r="G135" t="str">
            <v xml:space="preserve"> </v>
          </cell>
          <cell r="H135" t="str">
            <v>SE / SPOA / CGRL / COORDENAÇÃO DE ATIVIDADES GERAIS - COAGE</v>
          </cell>
          <cell r="I135" t="str">
            <v>8.105.120</v>
          </cell>
        </row>
        <row r="136">
          <cell r="A136" t="str">
            <v>DINALVA FEIJO DE MELO MENDES</v>
          </cell>
          <cell r="B136">
            <v>2083513</v>
          </cell>
          <cell r="C136" t="str">
            <v>Advogado</v>
          </cell>
          <cell r="D136" t="str">
            <v>Anistiado MME</v>
          </cell>
          <cell r="E136" t="str">
            <v>MME - Ministério de Minas e Energia</v>
          </cell>
          <cell r="F136" t="str">
            <v xml:space="preserve"> </v>
          </cell>
          <cell r="G136" t="str">
            <v xml:space="preserve"> </v>
          </cell>
          <cell r="H136" t="str">
            <v>Aguardando Lotação/Exercício</v>
          </cell>
          <cell r="I136" t="str">
            <v>88.000.000</v>
          </cell>
        </row>
        <row r="137">
          <cell r="A137" t="str">
            <v>DIOGO SANTOS BALEEIRO</v>
          </cell>
          <cell r="B137">
            <v>2659082</v>
          </cell>
          <cell r="C137" t="str">
            <v>Analista de Infraestrutura</v>
          </cell>
          <cell r="D137" t="str">
            <v>Exercício Descentralizado</v>
          </cell>
          <cell r="E137" t="str">
            <v>ME - Ministério da Economia</v>
          </cell>
          <cell r="F137" t="str">
            <v>FCPE 102.2</v>
          </cell>
          <cell r="G137" t="str">
            <v xml:space="preserve"> </v>
          </cell>
          <cell r="H137" t="str">
            <v>SPG / DEPARTAMENTO DE POLÍTICA DE EXPLORAÇÃO E PRODUÇÃO DE PETRÓLEO E GÁS NATURAL - DPGN</v>
          </cell>
          <cell r="I137" t="str">
            <v>11.101.000</v>
          </cell>
        </row>
        <row r="138">
          <cell r="A138" t="str">
            <v>DIONE MACEDO</v>
          </cell>
          <cell r="B138">
            <v>1583128</v>
          </cell>
          <cell r="C138" t="str">
            <v>Sem Cargo/Emprego</v>
          </cell>
          <cell r="D138" t="str">
            <v>Sem Vínculo</v>
          </cell>
          <cell r="E138" t="str">
            <v>Sem Vínculo</v>
          </cell>
          <cell r="F138" t="str">
            <v>DAS 101.4</v>
          </cell>
          <cell r="G138" t="str">
            <v xml:space="preserve"> </v>
          </cell>
          <cell r="H138" t="str">
            <v>SGM / DDM / COORDENAÇÃO GERAL DE DESENVOLVIMENTO SOCIOAMBIENTAL NA MINERAÇÃO</v>
          </cell>
          <cell r="I138" t="str">
            <v>9.104.100</v>
          </cell>
        </row>
        <row r="139">
          <cell r="A139" t="str">
            <v>DOMINGOS ROMEU ANDREATTA</v>
          </cell>
          <cell r="B139">
            <v>1495892</v>
          </cell>
          <cell r="C139" t="str">
            <v>Engenheiro</v>
          </cell>
          <cell r="D139" t="str">
            <v>Requisitado de Empresa</v>
          </cell>
          <cell r="E139" t="str">
            <v>ELETROSUL - Companhia de Geração e Transmissão de Energia Elétrica do Sul do Brasil</v>
          </cell>
          <cell r="F139" t="str">
            <v>DAS 101.5</v>
          </cell>
          <cell r="G139" t="str">
            <v xml:space="preserve"> </v>
          </cell>
          <cell r="H139" t="str">
            <v>SEE / CHEFIA DE GABINETE SEE</v>
          </cell>
          <cell r="I139" t="str">
            <v>12.100.000</v>
          </cell>
        </row>
        <row r="140">
          <cell r="A140" t="str">
            <v>EDNA PATRICIA DE SENA</v>
          </cell>
          <cell r="B140">
            <v>1669537</v>
          </cell>
          <cell r="C140" t="str">
            <v>Escriturário III</v>
          </cell>
          <cell r="D140" t="str">
            <v>Anistiado MME</v>
          </cell>
          <cell r="E140" t="str">
            <v>MME - Ministério de Minas e Energia</v>
          </cell>
          <cell r="F140" t="str">
            <v xml:space="preserve"> </v>
          </cell>
          <cell r="G140" t="str">
            <v xml:space="preserve"> </v>
          </cell>
          <cell r="H140" t="str">
            <v>SE / SPOA / CGRH / COORDENAÇÃO DE DESENVOLVIMENTO E SEGURIDADE SOCIAL - CODES</v>
          </cell>
          <cell r="I140" t="str">
            <v>8.105.220</v>
          </cell>
        </row>
        <row r="141">
          <cell r="A141" t="str">
            <v>EDUARDO JOSÉ FERNANDES PRATA</v>
          </cell>
          <cell r="B141">
            <v>455167</v>
          </cell>
          <cell r="C141" t="str">
            <v>Administrador</v>
          </cell>
          <cell r="D141" t="str">
            <v>Ativo Permanente</v>
          </cell>
          <cell r="E141" t="str">
            <v>MME - Ministério de Minas e Energia</v>
          </cell>
          <cell r="F141" t="str">
            <v>FCPE 102.1</v>
          </cell>
          <cell r="G141" t="str">
            <v>GSISTE Superior</v>
          </cell>
          <cell r="H141" t="str">
            <v>SE / SPOA / COORDENAÇÃO DE MODERNIZAÇÃO ADMINISTRATIVA - CMA</v>
          </cell>
          <cell r="I141" t="str">
            <v>8.105.010</v>
          </cell>
        </row>
        <row r="142">
          <cell r="A142" t="str">
            <v>EDUARDO SOUZA GRIVOT DE GRAND COURT</v>
          </cell>
          <cell r="B142">
            <v>3204382</v>
          </cell>
          <cell r="C142" t="str">
            <v>Sem Cargo/Emprego</v>
          </cell>
          <cell r="D142" t="str">
            <v>Sem Vínculo</v>
          </cell>
          <cell r="E142" t="str">
            <v>S/VÍNCULO</v>
          </cell>
          <cell r="F142" t="str">
            <v>DAS 102.4</v>
          </cell>
          <cell r="G142" t="str">
            <v xml:space="preserve"> </v>
          </cell>
          <cell r="H142" t="str">
            <v>SE / ASSESSORIA ESPECIAL DE GESTÃO ESTRATÉGICA - AEGE</v>
          </cell>
          <cell r="I142" t="str">
            <v>8.101.000</v>
          </cell>
        </row>
        <row r="143">
          <cell r="A143" t="str">
            <v>EDVANDA BARBOSA DA SILVA MELO</v>
          </cell>
          <cell r="B143">
            <v>451530</v>
          </cell>
          <cell r="C143" t="str">
            <v>Datilógrafo</v>
          </cell>
          <cell r="D143" t="str">
            <v>Ativo Permanente</v>
          </cell>
          <cell r="E143" t="str">
            <v>MME - Ministério de Minas e Energia</v>
          </cell>
          <cell r="F143" t="str">
            <v xml:space="preserve"> </v>
          </cell>
          <cell r="G143" t="str">
            <v>GSISTE Intermediário</v>
          </cell>
          <cell r="H143" t="str">
            <v>SE / SPOA / CGRL / COORDENAÇÃO DE ATIVIDADES GERAIS - COAGE</v>
          </cell>
          <cell r="I143" t="str">
            <v>8.105.120</v>
          </cell>
        </row>
        <row r="144">
          <cell r="A144" t="str">
            <v>ELEAZAR HEPNER</v>
          </cell>
          <cell r="B144">
            <v>1800748</v>
          </cell>
          <cell r="C144" t="str">
            <v>Analista de Infraestrutura</v>
          </cell>
          <cell r="D144" t="str">
            <v>Exercício Descentralizado</v>
          </cell>
          <cell r="E144" t="str">
            <v>ME - Ministério da Economia</v>
          </cell>
          <cell r="F144" t="str">
            <v xml:space="preserve"> </v>
          </cell>
          <cell r="G144" t="str">
            <v xml:space="preserve"> </v>
          </cell>
          <cell r="H144" t="str">
            <v>SPG / DEPARTAMENTO DE GÁS NATURAL - DGN</v>
          </cell>
          <cell r="I144" t="str">
            <v>11.102.000</v>
          </cell>
        </row>
        <row r="145">
          <cell r="A145" t="str">
            <v>ELIAS PEREIRA</v>
          </cell>
          <cell r="B145">
            <v>455294</v>
          </cell>
          <cell r="C145" t="str">
            <v>Agente de Portaria</v>
          </cell>
          <cell r="D145" t="str">
            <v>Ativo Permanente</v>
          </cell>
          <cell r="E145" t="str">
            <v>MME - Ministério de Minas e Energia</v>
          </cell>
          <cell r="F145" t="str">
            <v>FCT 2</v>
          </cell>
          <cell r="G145" t="str">
            <v xml:space="preserve"> </v>
          </cell>
          <cell r="H145" t="str">
            <v>SE / SPOA / CGRH / COORDENAÇÃO DE DESENVOLVIMENTO E SEGURIDADE SOCIAL - CODES</v>
          </cell>
          <cell r="I145" t="str">
            <v>8.105.220</v>
          </cell>
        </row>
        <row r="146">
          <cell r="A146" t="str">
            <v>ELIS REGINA PIRES GARCIA</v>
          </cell>
          <cell r="B146">
            <v>455221</v>
          </cell>
          <cell r="C146" t="str">
            <v>Agente Administrativo</v>
          </cell>
          <cell r="D146" t="str">
            <v>Ativo Permanente</v>
          </cell>
          <cell r="E146" t="str">
            <v>MME - Ministério de Minas e Energia</v>
          </cell>
          <cell r="F146" t="str">
            <v>FCPE 102.2</v>
          </cell>
          <cell r="G146" t="str">
            <v xml:space="preserve"> </v>
          </cell>
          <cell r="H146" t="str">
            <v>GM / ASTAD / COORDENAÇÃO DE ATIVIDADES ADMINISTRATIVAS</v>
          </cell>
          <cell r="I146" t="str">
            <v>2.100.101</v>
          </cell>
        </row>
        <row r="147">
          <cell r="A147" t="str">
            <v>ELISANGELA APARECIDA FERNANDES</v>
          </cell>
          <cell r="B147">
            <v>1331098</v>
          </cell>
          <cell r="C147" t="str">
            <v>Sem Cargo/Emprego</v>
          </cell>
          <cell r="D147" t="str">
            <v>Sem Vínculo</v>
          </cell>
          <cell r="E147" t="str">
            <v>Sem Vínculo</v>
          </cell>
          <cell r="F147" t="str">
            <v>DAS 102.1</v>
          </cell>
          <cell r="G147" t="str">
            <v xml:space="preserve"> </v>
          </cell>
          <cell r="H147" t="str">
            <v>GM / ASSESSORIA PARLAMENTAR - ASPAR</v>
          </cell>
          <cell r="I147" t="str">
            <v>2.100.200</v>
          </cell>
        </row>
        <row r="148">
          <cell r="A148" t="str">
            <v>ELIZABETE TEIXEIRA SA FREIRE DE ABREU</v>
          </cell>
          <cell r="B148">
            <v>266924</v>
          </cell>
          <cell r="C148" t="str">
            <v>Enfermeiro</v>
          </cell>
          <cell r="D148" t="str">
            <v>Ativo Permanente</v>
          </cell>
          <cell r="E148" t="str">
            <v>MME - Ministério de Minas e Energia</v>
          </cell>
          <cell r="F148" t="str">
            <v>FCT 3</v>
          </cell>
          <cell r="G148" t="str">
            <v>GSISTE Superior</v>
          </cell>
          <cell r="H148" t="str">
            <v>SE / SPOA / CGRH / COORDENAÇÃO DE DESENVOLVIMENTO E SEGURIDADE SOCIAL - CODES</v>
          </cell>
          <cell r="I148" t="str">
            <v>8.105.220</v>
          </cell>
        </row>
        <row r="149">
          <cell r="A149" t="str">
            <v>ELIZABETH NOGUEIRA</v>
          </cell>
          <cell r="B149">
            <v>1587079</v>
          </cell>
          <cell r="C149" t="str">
            <v>Escriturário IV</v>
          </cell>
          <cell r="D149" t="str">
            <v>Anistiado MME</v>
          </cell>
          <cell r="E149" t="str">
            <v>MME - Ministério de Minas e Energia</v>
          </cell>
          <cell r="F149" t="str">
            <v xml:space="preserve"> </v>
          </cell>
          <cell r="G149" t="str">
            <v xml:space="preserve"> </v>
          </cell>
          <cell r="H149" t="str">
            <v>SE / SPOA / CGRH / COORDENAÇÃO DE ADMINISTRAÇÃO DE PESSOAL - CAPES</v>
          </cell>
          <cell r="I149" t="str">
            <v>8.105.210</v>
          </cell>
        </row>
        <row r="150">
          <cell r="A150" t="str">
            <v>ELIZABETH TAYLOR SOUSA MENESES DE AGUIAR</v>
          </cell>
          <cell r="B150">
            <v>1494863</v>
          </cell>
          <cell r="C150" t="str">
            <v>Sem Cargo/Emprego</v>
          </cell>
          <cell r="D150" t="str">
            <v>Sem Vínculo</v>
          </cell>
          <cell r="E150" t="str">
            <v>Sem Vínculo</v>
          </cell>
          <cell r="F150" t="str">
            <v>DAS 102.2</v>
          </cell>
          <cell r="G150" t="str">
            <v xml:space="preserve"> </v>
          </cell>
          <cell r="H150" t="str">
            <v>CONJUR / CGAA / COORDENAÇÃO DE APOIO ADMINISTRATIVO</v>
          </cell>
          <cell r="I150" t="str">
            <v>7.100.310</v>
          </cell>
        </row>
        <row r="151">
          <cell r="A151" t="str">
            <v>ELIZANE VELOZO COSTA GUEDES</v>
          </cell>
          <cell r="B151">
            <v>1095447</v>
          </cell>
          <cell r="C151" t="str">
            <v>Agente Administrativo</v>
          </cell>
          <cell r="D151" t="str">
            <v>Ativo Permanente</v>
          </cell>
          <cell r="E151" t="str">
            <v>MME - Ministério de Minas e Energia</v>
          </cell>
          <cell r="F151" t="str">
            <v>DAS 101.3</v>
          </cell>
          <cell r="G151" t="str">
            <v>GSISTE Intermediário (MPAAC)</v>
          </cell>
          <cell r="H151" t="str">
            <v>SE / SPOA / CGOF / COORDENAÇÃO DE CONTABILIDADE - CONT</v>
          </cell>
          <cell r="I151" t="str">
            <v>8.105.520</v>
          </cell>
        </row>
        <row r="152">
          <cell r="A152" t="str">
            <v>ELZA MARIA DA ROCHA</v>
          </cell>
          <cell r="B152">
            <v>1669651</v>
          </cell>
          <cell r="C152" t="str">
            <v>Auxiliar de Biblioteca</v>
          </cell>
          <cell r="D152" t="str">
            <v>Anistiado MME</v>
          </cell>
          <cell r="E152" t="str">
            <v>MME - Ministério de Minas e Energia</v>
          </cell>
          <cell r="F152" t="str">
            <v xml:space="preserve"> </v>
          </cell>
          <cell r="G152" t="str">
            <v xml:space="preserve"> </v>
          </cell>
          <cell r="H152" t="str">
            <v>SE / SPOA / CGRH / COORDENAÇÃO DE DESENVOLVIMENTO E SEGURIDADE SOCIAL - CODES</v>
          </cell>
          <cell r="I152" t="str">
            <v>8.105.220</v>
          </cell>
        </row>
        <row r="153">
          <cell r="A153" t="str">
            <v>EMANOELLE DE OLIVEIRA LIMA</v>
          </cell>
          <cell r="B153">
            <v>1461010</v>
          </cell>
          <cell r="C153" t="str">
            <v>Sem Cargo/Emprego</v>
          </cell>
          <cell r="D153" t="str">
            <v>Sem Vínculo</v>
          </cell>
          <cell r="E153" t="str">
            <v>Sem Vínculo</v>
          </cell>
          <cell r="F153" t="str">
            <v>DAS 102.3</v>
          </cell>
          <cell r="G153" t="str">
            <v xml:space="preserve"> </v>
          </cell>
          <cell r="H153" t="str">
            <v>SEE / DMSE / COORDENAÇÃO GERAL DE MONITORAMENTO DA EXPANSÃO DA TRANSMISSÃO</v>
          </cell>
          <cell r="I153" t="str">
            <v>12.102.200</v>
          </cell>
        </row>
        <row r="154">
          <cell r="A154" t="str">
            <v>EMIDIO JOSE DA SILVA NETO</v>
          </cell>
          <cell r="B154">
            <v>1280722</v>
          </cell>
          <cell r="C154" t="str">
            <v>Escriturário</v>
          </cell>
          <cell r="D154" t="str">
            <v>Anistiado MME</v>
          </cell>
          <cell r="E154" t="str">
            <v>MME - Ministério de Minas e Energia</v>
          </cell>
          <cell r="F154" t="str">
            <v xml:space="preserve"> </v>
          </cell>
          <cell r="G154" t="str">
            <v xml:space="preserve"> </v>
          </cell>
          <cell r="H154" t="str">
            <v>SEE / DGSE / COORDENAÇÃO GERAL DE GESTÃO DA COMERCIALIZAÇÃO DE ENERGIA</v>
          </cell>
          <cell r="I154" t="str">
            <v>12.101.100</v>
          </cell>
        </row>
        <row r="155">
          <cell r="A155" t="str">
            <v>ENIR SEBASTIAO MENDES</v>
          </cell>
          <cell r="B155">
            <v>2663548</v>
          </cell>
          <cell r="C155" t="str">
            <v>Analista de Infraestrutura</v>
          </cell>
          <cell r="D155" t="str">
            <v>Exercício Descentralizado</v>
          </cell>
          <cell r="E155" t="str">
            <v>ME - Ministério da Economia</v>
          </cell>
          <cell r="F155" t="str">
            <v>DAS 101.5</v>
          </cell>
          <cell r="G155" t="str">
            <v xml:space="preserve"> </v>
          </cell>
          <cell r="H155" t="str">
            <v>SGM / DEPARTAMENTO DE TRANSFORMAÇÃO E TECNOLOGIA MINERAL - DTTM</v>
          </cell>
          <cell r="I155" t="str">
            <v>9.103.000</v>
          </cell>
        </row>
        <row r="156">
          <cell r="A156" t="str">
            <v>ERIKA FLAVIA PFEILSTICKER RIBAS</v>
          </cell>
          <cell r="B156">
            <v>1095148</v>
          </cell>
          <cell r="C156" t="str">
            <v>Agente Administrativo</v>
          </cell>
          <cell r="D156" t="str">
            <v>Ativo Permanente</v>
          </cell>
          <cell r="E156" t="str">
            <v>MME - Ministério de Minas e Energia</v>
          </cell>
          <cell r="F156" t="str">
            <v>FCT 2</v>
          </cell>
          <cell r="G156" t="str">
            <v>GSISTE Intermediário</v>
          </cell>
          <cell r="H156" t="str">
            <v>SE / SPOA / COORDENAÇÃO GERAL DE RECURSOS HUMANOS - CGRH</v>
          </cell>
          <cell r="I156" t="str">
            <v>8.105.200</v>
          </cell>
        </row>
        <row r="157">
          <cell r="A157" t="str">
            <v>ERIKA TAVARES AGUIRRES</v>
          </cell>
          <cell r="B157">
            <v>1586382</v>
          </cell>
          <cell r="C157" t="str">
            <v>Sem Cargo/Emprego</v>
          </cell>
          <cell r="D157" t="str">
            <v>Sem Vínculo</v>
          </cell>
          <cell r="E157" t="str">
            <v>Sem Vínculo</v>
          </cell>
          <cell r="F157" t="str">
            <v>DAS 102.2</v>
          </cell>
          <cell r="G157" t="str">
            <v xml:space="preserve"> </v>
          </cell>
          <cell r="H157" t="str">
            <v>SE / SPOA / CGCC / COORDENAÇÃO DE ADMINISTRAÇÃO DE CONTRATOS - CAC</v>
          </cell>
          <cell r="I157" t="str">
            <v>8.105.410</v>
          </cell>
        </row>
        <row r="158">
          <cell r="A158" t="str">
            <v>ERIVELTO FURTADO NEVES</v>
          </cell>
          <cell r="B158">
            <v>452971</v>
          </cell>
          <cell r="C158" t="str">
            <v>Técnico de Contabilidade</v>
          </cell>
          <cell r="D158" t="str">
            <v>Ativo Permanente</v>
          </cell>
          <cell r="E158" t="str">
            <v>MME - Ministério de Minas e Energia</v>
          </cell>
          <cell r="F158" t="str">
            <v>FCPE 102.1</v>
          </cell>
          <cell r="G158" t="str">
            <v xml:space="preserve"> </v>
          </cell>
          <cell r="H158" t="str">
            <v>GM / ASTAD / COORDENAÇÃO DE ATIVIDADES ADMINISTRATIVAS</v>
          </cell>
          <cell r="I158" t="str">
            <v>2.100.101</v>
          </cell>
        </row>
        <row r="159">
          <cell r="A159" t="str">
            <v>ERLENE MARIA LIMA</v>
          </cell>
          <cell r="B159">
            <v>3089519</v>
          </cell>
          <cell r="C159" t="str">
            <v>Sem Cargo/Emprego</v>
          </cell>
          <cell r="D159" t="str">
            <v>Sem Vínculo</v>
          </cell>
          <cell r="E159" t="str">
            <v>Sem Vínculo</v>
          </cell>
          <cell r="F159" t="str">
            <v>DAS 101.4</v>
          </cell>
          <cell r="G159" t="str">
            <v xml:space="preserve"> </v>
          </cell>
          <cell r="H159" t="str">
            <v>SGM / DPGM / COORDENAÇÃO GERAL DE MONITORAMENTO E CONTROLE DA GESTÃO DE PROGRAMA</v>
          </cell>
          <cell r="I159" t="str">
            <v>9.101.200</v>
          </cell>
        </row>
        <row r="160">
          <cell r="A160" t="str">
            <v>ESDRAS GODINHO RAMOS</v>
          </cell>
          <cell r="B160">
            <v>1901880</v>
          </cell>
          <cell r="C160" t="str">
            <v>Analista de Infraestrutura</v>
          </cell>
          <cell r="D160" t="str">
            <v>Requisitado de Órgãos</v>
          </cell>
          <cell r="E160" t="str">
            <v>ME - Ministério da Economia</v>
          </cell>
          <cell r="F160" t="str">
            <v>DAS 102.2</v>
          </cell>
          <cell r="G160" t="str">
            <v xml:space="preserve"> </v>
          </cell>
          <cell r="H160" t="str">
            <v>SPG / CHEFIA DE GABINETE SPG</v>
          </cell>
          <cell r="I160" t="str">
            <v>11.100.000</v>
          </cell>
        </row>
        <row r="161">
          <cell r="A161" t="str">
            <v>EUCIMAR KWIATKOWSKI AUGUSTINHAK</v>
          </cell>
          <cell r="B161">
            <v>4878036</v>
          </cell>
          <cell r="C161" t="str">
            <v>Analista de Infraestrutura</v>
          </cell>
          <cell r="D161" t="str">
            <v>Exercício Descentralizado</v>
          </cell>
          <cell r="E161" t="str">
            <v>ME - Ministério da Economia</v>
          </cell>
          <cell r="F161" t="str">
            <v>FGR 1</v>
          </cell>
          <cell r="G161" t="str">
            <v xml:space="preserve"> </v>
          </cell>
          <cell r="H161" t="str">
            <v>SEE / DMSE / COORDENAÇÃO GERAL DE MONITORAMENTO DA EXPANSÃO DA TRANSMISSÃO</v>
          </cell>
          <cell r="I161" t="str">
            <v>12.102.200</v>
          </cell>
        </row>
        <row r="162">
          <cell r="A162" t="str">
            <v>EVERALDO FERNANDES DE MEDEIROS</v>
          </cell>
          <cell r="B162">
            <v>451511</v>
          </cell>
          <cell r="C162" t="str">
            <v>Agente de Portaria</v>
          </cell>
          <cell r="D162" t="str">
            <v>Ativo Permanente</v>
          </cell>
          <cell r="E162" t="str">
            <v>MME - Ministério de Minas e Energia</v>
          </cell>
          <cell r="F162" t="str">
            <v>FCT 11</v>
          </cell>
          <cell r="G162" t="str">
            <v xml:space="preserve"> </v>
          </cell>
          <cell r="H162" t="str">
            <v>SE / SPOA / COORDENAÇÃO GERAL DE RECURSOS LOGÍSTICOS - CGRL</v>
          </cell>
          <cell r="I162" t="str">
            <v>8.105.100</v>
          </cell>
        </row>
        <row r="163">
          <cell r="A163" t="str">
            <v>FABIAN DIE MENEZES CARVALHO</v>
          </cell>
          <cell r="B163">
            <v>2209139</v>
          </cell>
          <cell r="C163" t="str">
            <v>Sem Cargo/Emprego</v>
          </cell>
          <cell r="D163" t="str">
            <v>Sem Vínculo</v>
          </cell>
          <cell r="E163" t="str">
            <v>Sem Vínculo</v>
          </cell>
          <cell r="F163" t="str">
            <v>DAS 102.2</v>
          </cell>
          <cell r="G163" t="str">
            <v xml:space="preserve"> </v>
          </cell>
          <cell r="H163" t="str">
            <v>ASSESSORIA ESPECIAL DE RELAÇÕES INTERNACIONAIS - ASSINT</v>
          </cell>
          <cell r="I163" t="str">
            <v>3.000.000</v>
          </cell>
        </row>
        <row r="164">
          <cell r="A164" t="str">
            <v>FABIANA ANGELICA AIRES</v>
          </cell>
          <cell r="B164">
            <v>1339230</v>
          </cell>
          <cell r="C164" t="str">
            <v>Sem Cargo/Emprego</v>
          </cell>
          <cell r="D164" t="str">
            <v>Sem Vínculo</v>
          </cell>
          <cell r="E164" t="str">
            <v>Sem Vínculo</v>
          </cell>
          <cell r="F164" t="str">
            <v>DAS 102.2</v>
          </cell>
          <cell r="G164" t="str">
            <v xml:space="preserve"> </v>
          </cell>
          <cell r="H164" t="str">
            <v>SEE / DEPARTAMENTO DE MONITORAMENTO DO SISTEMA ELÉTRICO - DMSE</v>
          </cell>
          <cell r="I164" t="str">
            <v>12.102.000</v>
          </cell>
        </row>
        <row r="165">
          <cell r="A165" t="str">
            <v>FABIANA GAZZONI CEPEDA</v>
          </cell>
          <cell r="B165">
            <v>3090896</v>
          </cell>
          <cell r="C165" t="str">
            <v>Especialista em Política Pública e Gestão Governamental</v>
          </cell>
          <cell r="D165" t="str">
            <v>Exercício Descentralizado</v>
          </cell>
          <cell r="E165" t="str">
            <v>ME - Ministério da Economia</v>
          </cell>
          <cell r="F165" t="str">
            <v>DAS 101.5</v>
          </cell>
          <cell r="G165" t="str">
            <v xml:space="preserve"> </v>
          </cell>
          <cell r="H165" t="str">
            <v>SEE / DEPARTAMENTO DE GESTÃO DO SETOR ELÉTRICO - DGSE</v>
          </cell>
          <cell r="I165" t="str">
            <v>12.101.000</v>
          </cell>
        </row>
        <row r="166">
          <cell r="A166" t="str">
            <v>FABIO SKAF NACFUR</v>
          </cell>
          <cell r="B166">
            <v>1047866</v>
          </cell>
          <cell r="C166" t="str">
            <v>Sem Cargo/Emprego</v>
          </cell>
          <cell r="D166" t="str">
            <v>Sem Vínculo</v>
          </cell>
          <cell r="E166" t="str">
            <v>Sem Vínculo</v>
          </cell>
          <cell r="F166" t="str">
            <v>DAS 102.2</v>
          </cell>
          <cell r="G166" t="str">
            <v xml:space="preserve"> </v>
          </cell>
          <cell r="H166" t="str">
            <v>GM / OUVIDORIA GERAL - OUVIR</v>
          </cell>
          <cell r="I166" t="str">
            <v>2.100.500</v>
          </cell>
        </row>
        <row r="167">
          <cell r="A167" t="str">
            <v>FÁBIO SOUSA DO VALE</v>
          </cell>
          <cell r="B167">
            <v>1126019</v>
          </cell>
          <cell r="C167" t="str">
            <v>Assistente em Administração</v>
          </cell>
          <cell r="D167" t="str">
            <v>Requisitado de Órgãos</v>
          </cell>
          <cell r="E167" t="str">
            <v>FUB - Fundação Universidade de Brasília</v>
          </cell>
          <cell r="F167" t="str">
            <v>DAS 101.2</v>
          </cell>
          <cell r="G167" t="str">
            <v xml:space="preserve"> </v>
          </cell>
          <cell r="H167" t="str">
            <v>SE / SPOA / CGRH / COORDENAÇÃO DE ADMINISTRAÇÃO DE PESSOAL - CAPES</v>
          </cell>
          <cell r="I167" t="str">
            <v>8.105.210</v>
          </cell>
        </row>
        <row r="168">
          <cell r="A168" t="str">
            <v>FABRICCIO QUIXADA STEINDORFER PROENCA</v>
          </cell>
          <cell r="B168">
            <v>1200330</v>
          </cell>
          <cell r="C168" t="str">
            <v>Advogado da União</v>
          </cell>
          <cell r="D168" t="str">
            <v>Exercício Descentralizado</v>
          </cell>
          <cell r="E168" t="str">
            <v>AGU - Advocacia Geral da União</v>
          </cell>
          <cell r="F168" t="str">
            <v xml:space="preserve"> </v>
          </cell>
          <cell r="G168" t="str">
            <v xml:space="preserve"> </v>
          </cell>
          <cell r="H168" t="str">
            <v>CONJUR / COORDENAÇÃO GERAL DE ASSSUNTOS ADMINISTRATIVOS - CGAA</v>
          </cell>
          <cell r="I168" t="str">
            <v>7.100.300</v>
          </cell>
        </row>
        <row r="169">
          <cell r="A169" t="str">
            <v>FABRÍCIO DAIREL DE CAMPOS LACERDA</v>
          </cell>
          <cell r="B169">
            <v>3708809</v>
          </cell>
          <cell r="C169" t="str">
            <v>Analista de Infraestrutura</v>
          </cell>
          <cell r="D169" t="str">
            <v>Exercício Descentralizado</v>
          </cell>
          <cell r="E169" t="str">
            <v>ME - Ministério da Economia</v>
          </cell>
          <cell r="F169" t="str">
            <v>DAS 101.4</v>
          </cell>
          <cell r="G169" t="str">
            <v xml:space="preserve"> </v>
          </cell>
          <cell r="H169" t="str">
            <v>SEE / DGSE / COORDENAÇÃO GERAL DE GESTÃO DA COMERCIALIZAÇÃO DE ENERGIA</v>
          </cell>
          <cell r="I169" t="str">
            <v>12.101.100</v>
          </cell>
        </row>
        <row r="170">
          <cell r="A170" t="str">
            <v>FATIMA ROSA TEIXEIRA</v>
          </cell>
          <cell r="B170">
            <v>1867203</v>
          </cell>
          <cell r="C170" t="str">
            <v>Técnico Industrial Especializado</v>
          </cell>
          <cell r="D170" t="str">
            <v>Anistiado outros Órgãos</v>
          </cell>
          <cell r="E170" t="str">
            <v>IMBEL - Indústria de Material Bélico do Brasil</v>
          </cell>
          <cell r="F170" t="str">
            <v xml:space="preserve"> </v>
          </cell>
          <cell r="G170" t="str">
            <v xml:space="preserve"> </v>
          </cell>
          <cell r="H170" t="str">
            <v>SE / SPOA / COORDENAÇÃO GERAL DE RECURSOS HUMANOS - CGRH</v>
          </cell>
          <cell r="I170" t="str">
            <v>8.105.200</v>
          </cell>
        </row>
        <row r="171">
          <cell r="A171" t="str">
            <v>FERNANDA DE ANDRADE NOVAES</v>
          </cell>
          <cell r="B171">
            <v>1568546</v>
          </cell>
          <cell r="C171" t="str">
            <v>Técnico Comunicação Social</v>
          </cell>
          <cell r="D171" t="str">
            <v>Requisitado de Órgãos</v>
          </cell>
          <cell r="E171" t="str">
            <v>MDR - Ministério do Desenvolvimento Regional</v>
          </cell>
          <cell r="F171" t="str">
            <v xml:space="preserve"> </v>
          </cell>
          <cell r="G171" t="str">
            <v>GSISTE Superior</v>
          </cell>
          <cell r="H171" t="str">
            <v>SE / SPOA / CGRH / COORDENAÇÃO DE ADMINISTRAÇÃO DE PESSOAL - CAPES</v>
          </cell>
          <cell r="I171" t="str">
            <v>8.105.210</v>
          </cell>
        </row>
        <row r="172">
          <cell r="A172" t="str">
            <v>FERNANDA MARIA DE MELO SILVA MARRA</v>
          </cell>
          <cell r="B172">
            <v>6184178</v>
          </cell>
          <cell r="C172" t="str">
            <v>Administrador</v>
          </cell>
          <cell r="D172" t="str">
            <v>Ativo Permanente</v>
          </cell>
          <cell r="E172" t="str">
            <v>MME - Ministério de Minas e Energia</v>
          </cell>
          <cell r="F172" t="str">
            <v>FCPE 102.1</v>
          </cell>
          <cell r="G172" t="str">
            <v>GSISTE Superior</v>
          </cell>
          <cell r="H172" t="str">
            <v>SE / SPOA / COORDENAÇÃO DE MODERNIZAÇÃO ADMINISTRATIVA - CMA</v>
          </cell>
          <cell r="I172" t="str">
            <v>8.105.010</v>
          </cell>
        </row>
        <row r="173">
          <cell r="A173" t="str">
            <v>FERNANDO ANTONIO GIFFONI NORONHA LUZ</v>
          </cell>
          <cell r="B173">
            <v>3333896</v>
          </cell>
          <cell r="C173" t="str">
            <v>Sem Cargo/Emprego</v>
          </cell>
          <cell r="D173" t="str">
            <v>Sem Vínculo</v>
          </cell>
          <cell r="E173" t="str">
            <v>Sem Vínculo</v>
          </cell>
          <cell r="F173" t="str">
            <v>DAS 101.4</v>
          </cell>
          <cell r="G173" t="str">
            <v xml:space="preserve"> </v>
          </cell>
          <cell r="H173" t="str">
            <v>SEE / DMSE / COORDENAÇÃO GERAL DE MONITORAMENTO DA EXPANSÃO DA GERAÇÃO</v>
          </cell>
          <cell r="I173" t="str">
            <v>12.102.100</v>
          </cell>
        </row>
        <row r="174">
          <cell r="A174" t="str">
            <v>FERNANDO MASSAHARU MATSUMOTO</v>
          </cell>
          <cell r="B174">
            <v>3799409</v>
          </cell>
          <cell r="C174" t="str">
            <v>Auditor Federal de Finanças e Controle</v>
          </cell>
          <cell r="D174" t="str">
            <v>Requisitado de Órgãos</v>
          </cell>
          <cell r="E174" t="str">
            <v>ME - Ministério da Economia</v>
          </cell>
          <cell r="F174" t="str">
            <v>DAS 101.4</v>
          </cell>
          <cell r="G174" t="str">
            <v xml:space="preserve"> </v>
          </cell>
          <cell r="H174" t="str">
            <v>SPG / DEPARTAMENTO DE GÁS NATURAL - DGN</v>
          </cell>
          <cell r="I174" t="str">
            <v>11.102.000</v>
          </cell>
        </row>
        <row r="175">
          <cell r="A175" t="str">
            <v>FERNANDO PORTELLA ROSA</v>
          </cell>
          <cell r="B175">
            <v>2393116</v>
          </cell>
          <cell r="C175" t="str">
            <v>Gerente de Projeto</v>
          </cell>
          <cell r="D175" t="str">
            <v>Contrato Temporário</v>
          </cell>
          <cell r="E175" t="str">
            <v>MME - Ministério de Minas e Energia</v>
          </cell>
          <cell r="F175" t="str">
            <v xml:space="preserve"> </v>
          </cell>
          <cell r="G175" t="str">
            <v xml:space="preserve"> </v>
          </cell>
          <cell r="H175" t="str">
            <v>SE / AEGP / COORDENAÇÃO GERAL DE GESTÃO DE PROJETOS - CGGP</v>
          </cell>
          <cell r="I175" t="str">
            <v>8.103.200</v>
          </cell>
        </row>
        <row r="176">
          <cell r="A176" t="str">
            <v>FERNANDO YAMASHITA</v>
          </cell>
          <cell r="B176">
            <v>2085644</v>
          </cell>
          <cell r="C176" t="str">
            <v>Assistente Técnico Administrativo</v>
          </cell>
          <cell r="D176" t="str">
            <v>Requisitado de Órgãos</v>
          </cell>
          <cell r="E176" t="str">
            <v>MDR - Ministério do Desenvolvimento Regional</v>
          </cell>
          <cell r="F176" t="str">
            <v>DAS 101.3</v>
          </cell>
          <cell r="G176" t="str">
            <v>GSISTE Intermediário</v>
          </cell>
          <cell r="H176" t="str">
            <v>SE / SPOA / CGRL / COORDENAÇÃO DE ADMINISTRAÇÃO DE MATERIAL E EXECUÇÃO FINANCEIRA - COMEF</v>
          </cell>
          <cell r="I176" t="str">
            <v>8.105.110</v>
          </cell>
        </row>
        <row r="177">
          <cell r="A177" t="str">
            <v>FLAMARION SOUZA MATOS</v>
          </cell>
          <cell r="B177">
            <v>6028993</v>
          </cell>
          <cell r="C177" t="str">
            <v>Sem Cargo/Emprego</v>
          </cell>
          <cell r="D177" t="str">
            <v>Sem Vínculo</v>
          </cell>
          <cell r="E177" t="str">
            <v>Sem Vínculo</v>
          </cell>
          <cell r="F177" t="str">
            <v>DAS 101.5</v>
          </cell>
          <cell r="G177" t="str">
            <v xml:space="preserve"> </v>
          </cell>
          <cell r="H177" t="str">
            <v>SEE / DEPARTAMENTO DE POLÍTICAS SOCIAIS E UNIVERSALIZAÇÃO DO ACESSO À ENERGIA ELÉTRICA - DPUE</v>
          </cell>
          <cell r="I177" t="str">
            <v>12.103.000</v>
          </cell>
        </row>
        <row r="178">
          <cell r="A178" t="str">
            <v>FLAVIO ALVES CARDOSO</v>
          </cell>
          <cell r="B178">
            <v>2280405</v>
          </cell>
          <cell r="C178" t="str">
            <v>Advogado</v>
          </cell>
          <cell r="D178" t="str">
            <v>Anistiado MME</v>
          </cell>
          <cell r="E178" t="str">
            <v>MME - Ministério de Minas e Energia</v>
          </cell>
          <cell r="F178" t="str">
            <v xml:space="preserve"> </v>
          </cell>
          <cell r="G178" t="str">
            <v xml:space="preserve"> </v>
          </cell>
          <cell r="H178" t="str">
            <v>SPE / DEPARTAMENTO DE OUTORGAS DE CONCESSÕES, PERMISSÕES E AUTORIZAÇÕES - DOC</v>
          </cell>
          <cell r="I178" t="str">
            <v>10.103.000</v>
          </cell>
        </row>
        <row r="179">
          <cell r="A179" t="str">
            <v>FRANCIMAR SOUSA DE LIMA SAKAMOTO</v>
          </cell>
          <cell r="B179">
            <v>2069736</v>
          </cell>
          <cell r="C179" t="str">
            <v>Sem Cargo/Emprego</v>
          </cell>
          <cell r="D179" t="str">
            <v>Sem Vínculo</v>
          </cell>
          <cell r="E179" t="str">
            <v>Sem Vínculo</v>
          </cell>
          <cell r="F179" t="str">
            <v>DAS 102.1</v>
          </cell>
          <cell r="G179" t="str">
            <v xml:space="preserve"> </v>
          </cell>
          <cell r="H179" t="str">
            <v>SGM / CHEFIA DE GABINETE SGM</v>
          </cell>
          <cell r="I179" t="str">
            <v>9.100.000</v>
          </cell>
        </row>
        <row r="180">
          <cell r="A180" t="str">
            <v>FRANCISCA DE FATIMA SOARES DE SOUZA</v>
          </cell>
          <cell r="B180">
            <v>451566</v>
          </cell>
          <cell r="C180" t="str">
            <v>Agente Administrativo</v>
          </cell>
          <cell r="D180" t="str">
            <v>Ativo Permanente</v>
          </cell>
          <cell r="E180" t="str">
            <v>MME - Ministério de Minas e Energia</v>
          </cell>
          <cell r="F180" t="str">
            <v>FCT 11</v>
          </cell>
          <cell r="G180" t="str">
            <v xml:space="preserve"> </v>
          </cell>
          <cell r="H180" t="str">
            <v>SE / SPOA / CGRL / COORDENAÇÃO DE ATIVIDADES GERAIS - COAGE</v>
          </cell>
          <cell r="I180" t="str">
            <v>8.105.120</v>
          </cell>
        </row>
        <row r="181">
          <cell r="A181" t="str">
            <v>FRANCISCO ALEXANDRE STECHER DE OLIVEIRA</v>
          </cell>
          <cell r="B181">
            <v>1586720</v>
          </cell>
          <cell r="C181" t="str">
            <v>Programador de Sistemas</v>
          </cell>
          <cell r="D181" t="str">
            <v>Anistiado MME</v>
          </cell>
          <cell r="E181" t="str">
            <v>MME - Ministério de Minas e Energia</v>
          </cell>
          <cell r="F181" t="str">
            <v>DAS 102.2</v>
          </cell>
          <cell r="G181" t="str">
            <v xml:space="preserve"> </v>
          </cell>
          <cell r="H181" t="str">
            <v xml:space="preserve">SE / SPOA / CGTI / COORDENAÇÃO DE INFRAESTRUTURA TECNOLÓGICA - </v>
          </cell>
          <cell r="I181" t="str">
            <v>8.105.310</v>
          </cell>
        </row>
        <row r="182">
          <cell r="A182" t="str">
            <v>FRANCISCO AUGUSTO NOGUEIRA DA SILVA</v>
          </cell>
          <cell r="B182">
            <v>1669854</v>
          </cell>
          <cell r="C182" t="str">
            <v>Auxiliar Codificação e Conferência</v>
          </cell>
          <cell r="D182" t="str">
            <v>Anistiado MME</v>
          </cell>
          <cell r="E182" t="str">
            <v>MME - Ministério de Minas e Energia</v>
          </cell>
          <cell r="F182" t="str">
            <v xml:space="preserve"> </v>
          </cell>
          <cell r="G182" t="str">
            <v xml:space="preserve"> </v>
          </cell>
          <cell r="H182" t="str">
            <v>GM / ASTAD / COORDENAÇÃO DE ATIVIDADES ADMINISTRATIVAS</v>
          </cell>
          <cell r="I182" t="str">
            <v>2.100.101</v>
          </cell>
        </row>
        <row r="183">
          <cell r="A183" t="str">
            <v>FRANCISCO BARBOSA DE MORAIS</v>
          </cell>
          <cell r="B183">
            <v>1669557</v>
          </cell>
          <cell r="C183" t="str">
            <v>Advogado</v>
          </cell>
          <cell r="D183" t="str">
            <v>Anistiado MME</v>
          </cell>
          <cell r="E183" t="str">
            <v>MME - Ministério de Minas e Energia</v>
          </cell>
          <cell r="F183" t="str">
            <v xml:space="preserve"> </v>
          </cell>
          <cell r="G183" t="str">
            <v xml:space="preserve"> </v>
          </cell>
          <cell r="H183" t="str">
            <v>Aguardando Lotação/Exercício</v>
          </cell>
          <cell r="I183" t="str">
            <v>88.000.000</v>
          </cell>
        </row>
        <row r="184">
          <cell r="A184" t="str">
            <v>FRANCISCO CARLOS FERREIRA RIBEIRO</v>
          </cell>
          <cell r="B184">
            <v>451646</v>
          </cell>
          <cell r="C184" t="str">
            <v>Agente Administrativo</v>
          </cell>
          <cell r="D184" t="str">
            <v>Ativo Permanente</v>
          </cell>
          <cell r="E184" t="str">
            <v>MME - Ministério de Minas e Energia</v>
          </cell>
          <cell r="F184" t="str">
            <v>FCT 7</v>
          </cell>
          <cell r="G184" t="str">
            <v>GSISTE Intermediário</v>
          </cell>
          <cell r="H184" t="str">
            <v>SE / SPOA / CGRL / COORDENAÇÃO DE ATIVIDADES GERAIS - COAGE</v>
          </cell>
          <cell r="I184" t="str">
            <v>8.105.120</v>
          </cell>
        </row>
        <row r="185">
          <cell r="A185" t="str">
            <v>FRANCISCO DAS CHAGAS FONTELE</v>
          </cell>
          <cell r="B185">
            <v>6001438</v>
          </cell>
          <cell r="C185" t="str">
            <v>Agente de Portaria</v>
          </cell>
          <cell r="D185" t="str">
            <v>Ativo Permanente</v>
          </cell>
          <cell r="E185" t="str">
            <v>MME - Ministério de Minas e Energia</v>
          </cell>
          <cell r="F185" t="str">
            <v>FGR 1</v>
          </cell>
          <cell r="G185" t="str">
            <v xml:space="preserve"> </v>
          </cell>
          <cell r="H185" t="str">
            <v>SE / SPOA / CGRL / COORDENAÇÃO DE ATIVIDADES GERAIS - COAGE</v>
          </cell>
          <cell r="I185" t="str">
            <v>8.105.120</v>
          </cell>
        </row>
        <row r="186">
          <cell r="A186" t="str">
            <v>FRANCISCO DAS CHAGAS GOMES DE BRITO</v>
          </cell>
          <cell r="B186">
            <v>452175</v>
          </cell>
          <cell r="C186" t="str">
            <v>Agente de Portaria</v>
          </cell>
          <cell r="D186" t="str">
            <v>Ativo Permanente</v>
          </cell>
          <cell r="E186" t="str">
            <v>MME - Ministério de Minas e Energia</v>
          </cell>
          <cell r="F186" t="str">
            <v>FGR 1</v>
          </cell>
          <cell r="G186" t="str">
            <v xml:space="preserve"> </v>
          </cell>
          <cell r="H186" t="str">
            <v>SE / SPOA / CGRL / COORDENAÇÃO DE ATIVIDADES GERAIS - COAGE</v>
          </cell>
          <cell r="I186" t="str">
            <v>8.105.120</v>
          </cell>
        </row>
        <row r="187">
          <cell r="A187" t="str">
            <v>FRANCISCO GOMES DE MATOS</v>
          </cell>
          <cell r="B187">
            <v>454825</v>
          </cell>
          <cell r="C187" t="str">
            <v>Motorista Oficial</v>
          </cell>
          <cell r="D187" t="str">
            <v>Ativo Permanente</v>
          </cell>
          <cell r="E187" t="str">
            <v>MME - Ministério de Minas e Energia</v>
          </cell>
          <cell r="F187" t="str">
            <v>FCPE 102.1</v>
          </cell>
          <cell r="G187" t="str">
            <v xml:space="preserve"> </v>
          </cell>
          <cell r="H187" t="str">
            <v>SE / SPOA / CGRL / COORDENAÇÃO DE ATIVIDADES GERAIS - COAGE</v>
          </cell>
          <cell r="I187" t="str">
            <v>8.105.120</v>
          </cell>
        </row>
        <row r="188">
          <cell r="A188" t="str">
            <v>FRANCISCO PAULO RUBINO</v>
          </cell>
          <cell r="B188">
            <v>2839155</v>
          </cell>
          <cell r="C188" t="str">
            <v>Analista de Programação Controle Obras</v>
          </cell>
          <cell r="D188" t="str">
            <v>Anistiado outros Órgãos</v>
          </cell>
          <cell r="E188" t="str">
            <v>ANM - Agência Nacional de Mineração</v>
          </cell>
          <cell r="F188" t="str">
            <v xml:space="preserve"> </v>
          </cell>
          <cell r="G188" t="str">
            <v xml:space="preserve"> </v>
          </cell>
          <cell r="H188" t="str">
            <v>SGM / DPGM / COORDENAÇÃO GERAL DE ECONOMIA MINERAL</v>
          </cell>
          <cell r="I188" t="str">
            <v>9.101.300</v>
          </cell>
        </row>
        <row r="189">
          <cell r="A189" t="str">
            <v>FRANCISCO SALES DA SILVA</v>
          </cell>
          <cell r="B189">
            <v>455378</v>
          </cell>
          <cell r="C189" t="str">
            <v>Auxiliar Operacional de Serviços Diversos</v>
          </cell>
          <cell r="D189" t="str">
            <v>Ativo Permanente</v>
          </cell>
          <cell r="E189" t="str">
            <v>MME - Ministério de Minas e Energia</v>
          </cell>
          <cell r="F189" t="str">
            <v>FCT 10</v>
          </cell>
          <cell r="G189" t="str">
            <v xml:space="preserve"> </v>
          </cell>
          <cell r="H189" t="str">
            <v>SPG / CHEFIA DE GABINETE SPG</v>
          </cell>
          <cell r="I189" t="str">
            <v>11.100.000</v>
          </cell>
        </row>
        <row r="190">
          <cell r="A190" t="str">
            <v>FRANCISCO SANTANA PEREIRA</v>
          </cell>
          <cell r="B190">
            <v>452270</v>
          </cell>
          <cell r="C190" t="str">
            <v>Agente Administrativo</v>
          </cell>
          <cell r="D190" t="str">
            <v>Ativo Permanente</v>
          </cell>
          <cell r="E190" t="str">
            <v>MME - Ministério de Minas e Energia</v>
          </cell>
          <cell r="F190" t="str">
            <v>DAS 102.1</v>
          </cell>
          <cell r="G190" t="str">
            <v xml:space="preserve"> </v>
          </cell>
          <cell r="H190" t="str">
            <v>GM / ASSESSORIA DE COMUNICAÇÃO SOCIAL - ASCOM</v>
          </cell>
          <cell r="I190" t="str">
            <v>2.100.300</v>
          </cell>
        </row>
        <row r="191">
          <cell r="A191" t="str">
            <v>FREDERICO BEDRAN OLIVEIRA</v>
          </cell>
          <cell r="B191">
            <v>2530526</v>
          </cell>
          <cell r="C191" t="str">
            <v>Analista de Infraestrutura</v>
          </cell>
          <cell r="D191" t="str">
            <v>Exercício Descentralizado</v>
          </cell>
          <cell r="E191" t="str">
            <v>ME - Ministério da Economia</v>
          </cell>
          <cell r="F191" t="str">
            <v>DAS 101.5</v>
          </cell>
          <cell r="G191" t="str">
            <v xml:space="preserve"> </v>
          </cell>
          <cell r="H191" t="str">
            <v>SGM / DEPARTAMENTO DE GEOLOGIA E PRODUÇÃO MINERAL - DGPM</v>
          </cell>
          <cell r="I191" t="str">
            <v>9.102.000</v>
          </cell>
        </row>
        <row r="192">
          <cell r="A192" t="str">
            <v>FREDERICO DE ARAUJO TELES</v>
          </cell>
          <cell r="B192">
            <v>1558450</v>
          </cell>
          <cell r="C192" t="str">
            <v>Especialista em Regulação de Serv Púb de Energia</v>
          </cell>
          <cell r="D192" t="str">
            <v>Requisitado de Órgãos</v>
          </cell>
          <cell r="E192" t="str">
            <v>ANEEL - Agência Nacional de Energia Elétrica</v>
          </cell>
          <cell r="F192" t="str">
            <v>FCPE 102.4</v>
          </cell>
          <cell r="G192" t="str">
            <v xml:space="preserve"> </v>
          </cell>
          <cell r="H192" t="str">
            <v>ASSESSORIA ESPECIAL DE ASSUNTOS ECONÔMICOS - ASSEC</v>
          </cell>
          <cell r="I192" t="str">
            <v>6.000.000</v>
          </cell>
        </row>
        <row r="193">
          <cell r="A193" t="str">
            <v>FRUTUOSO DA SILVA LOREGA NETO</v>
          </cell>
          <cell r="B193">
            <v>3085966</v>
          </cell>
          <cell r="C193" t="str">
            <v>Marinha</v>
          </cell>
          <cell r="D193" t="str">
            <v>Requisitado Militar</v>
          </cell>
          <cell r="E193" t="str">
            <v>Marinha</v>
          </cell>
          <cell r="F193" t="str">
            <v>DAS 102.2</v>
          </cell>
          <cell r="G193" t="str">
            <v xml:space="preserve"> </v>
          </cell>
          <cell r="H193" t="str">
            <v>GABINETE DO MINISTRO - GM</v>
          </cell>
          <cell r="I193" t="str">
            <v>2.000.000</v>
          </cell>
        </row>
        <row r="194">
          <cell r="A194" t="str">
            <v>GABRIEL MOTA MALDONADO</v>
          </cell>
          <cell r="B194">
            <v>3090889</v>
          </cell>
          <cell r="C194" t="str">
            <v>Sem Cargo/Emprego</v>
          </cell>
          <cell r="D194" t="str">
            <v>Sem Vínculo</v>
          </cell>
          <cell r="E194" t="str">
            <v>Sem Vínculo</v>
          </cell>
          <cell r="F194" t="str">
            <v>DAS 101.5</v>
          </cell>
          <cell r="G194" t="str">
            <v xml:space="preserve"> </v>
          </cell>
          <cell r="H194" t="str">
            <v>SGM / DEPARTAMENTO DE DESENVOLVIMENTO SUSTENTÁVEL NA MINERAÇÃO - DDM</v>
          </cell>
          <cell r="I194" t="str">
            <v>9.104.000</v>
          </cell>
        </row>
        <row r="195">
          <cell r="A195" t="str">
            <v>GABRIELA PEREIRA GONCALVES</v>
          </cell>
          <cell r="B195">
            <v>1844328</v>
          </cell>
          <cell r="C195" t="str">
            <v>Sem Cargo/Emprego</v>
          </cell>
          <cell r="D195" t="str">
            <v>Sem Vínculo</v>
          </cell>
          <cell r="E195" t="str">
            <v>Sem Vínculo</v>
          </cell>
          <cell r="F195" t="str">
            <v>DAS 102.3</v>
          </cell>
          <cell r="G195" t="str">
            <v xml:space="preserve"> </v>
          </cell>
          <cell r="H195" t="str">
            <v>GM / ASSESSORIA PARLAMENTAR - ASPAR</v>
          </cell>
          <cell r="I195" t="str">
            <v>2.100.200</v>
          </cell>
        </row>
        <row r="196">
          <cell r="A196" t="str">
            <v>GENESIO SOARES DE OLIVEIRA</v>
          </cell>
          <cell r="B196">
            <v>6460451</v>
          </cell>
          <cell r="C196" t="str">
            <v>Sem Cargo/Emprego</v>
          </cell>
          <cell r="D196" t="str">
            <v>Sem Vínculo</v>
          </cell>
          <cell r="E196" t="str">
            <v>Sem Vínculo</v>
          </cell>
          <cell r="F196" t="str">
            <v>DAS 102.1</v>
          </cell>
          <cell r="G196" t="str">
            <v xml:space="preserve"> </v>
          </cell>
          <cell r="H196" t="str">
            <v>GM / ASTAD / COORDENAÇÃO DE ATIVIDADES ADMINISTRATIVAS</v>
          </cell>
          <cell r="I196" t="str">
            <v>2.100.101</v>
          </cell>
        </row>
        <row r="197">
          <cell r="A197" t="str">
            <v>GERALDO DEOCLECIANO DE AZEVEDO</v>
          </cell>
          <cell r="B197">
            <v>455338</v>
          </cell>
          <cell r="C197" t="str">
            <v>Agente de Portaria</v>
          </cell>
          <cell r="D197" t="str">
            <v>Ativo Permanente</v>
          </cell>
          <cell r="E197" t="str">
            <v>MME - Ministério de Minas e Energia</v>
          </cell>
          <cell r="F197" t="str">
            <v>FGR 1</v>
          </cell>
          <cell r="G197" t="str">
            <v xml:space="preserve"> </v>
          </cell>
          <cell r="H197" t="str">
            <v>SE / SPOA / CGRL / COORDENAÇÃO DE ATIVIDADES GERAIS - COAGE</v>
          </cell>
          <cell r="I197" t="str">
            <v>8.105.120</v>
          </cell>
        </row>
        <row r="198">
          <cell r="A198" t="str">
            <v>GERALDO RIBEIRO DOS SANTOS</v>
          </cell>
          <cell r="B198">
            <v>451522</v>
          </cell>
          <cell r="C198" t="str">
            <v>Datilógrafo</v>
          </cell>
          <cell r="D198" t="str">
            <v>Ativo Permanente</v>
          </cell>
          <cell r="E198" t="str">
            <v>MME - Ministério de Minas e Energia</v>
          </cell>
          <cell r="F198" t="str">
            <v>FCT 7</v>
          </cell>
          <cell r="G198" t="str">
            <v xml:space="preserve"> </v>
          </cell>
          <cell r="H198" t="str">
            <v>SE / SPOA / CGRL / COORDENAÇÃO DE ATIVIDADES GERAIS - COAGE</v>
          </cell>
          <cell r="I198" t="str">
            <v>8.105.120</v>
          </cell>
        </row>
        <row r="199">
          <cell r="A199" t="str">
            <v>GEVALTER DE FREITAS NEVES</v>
          </cell>
          <cell r="B199">
            <v>451635</v>
          </cell>
          <cell r="C199" t="str">
            <v>Agente Administrativo</v>
          </cell>
          <cell r="D199" t="str">
            <v>Ativo Permanente</v>
          </cell>
          <cell r="E199" t="str">
            <v>MME - Ministério de Minas e Energia</v>
          </cell>
          <cell r="F199" t="str">
            <v>FCPE 102.3</v>
          </cell>
          <cell r="G199" t="str">
            <v xml:space="preserve"> </v>
          </cell>
          <cell r="H199" t="str">
            <v>SPE / CHEFIA DE GABINETE SPE</v>
          </cell>
          <cell r="I199" t="str">
            <v>10.100.000</v>
          </cell>
        </row>
        <row r="200">
          <cell r="A200" t="str">
            <v>GIACOMO PERROTTA</v>
          </cell>
          <cell r="B200">
            <v>2662515</v>
          </cell>
          <cell r="C200" t="str">
            <v>Analista de Infraestrutura</v>
          </cell>
          <cell r="D200" t="str">
            <v>Exercício Descentralizado</v>
          </cell>
          <cell r="E200" t="str">
            <v>ME - Ministério da Economia</v>
          </cell>
          <cell r="F200" t="str">
            <v xml:space="preserve"> </v>
          </cell>
          <cell r="G200" t="str">
            <v xml:space="preserve"> </v>
          </cell>
          <cell r="H200" t="str">
            <v>SPE / DPE / COORDENAÇÃO GERAL DE PLANEJAMENTO DA TRANSMISSÃO</v>
          </cell>
          <cell r="I200" t="str">
            <v>10.101.100</v>
          </cell>
        </row>
        <row r="201">
          <cell r="A201" t="str">
            <v>GILBERTO KWITKO RIBEIRO</v>
          </cell>
          <cell r="B201">
            <v>3310644</v>
          </cell>
          <cell r="C201" t="str">
            <v>Especialista em Política Pública e Gestão Governamental</v>
          </cell>
          <cell r="D201" t="str">
            <v>Exercício Descentralizado</v>
          </cell>
          <cell r="E201" t="str">
            <v>ME - Ministério da Economia</v>
          </cell>
          <cell r="F201" t="str">
            <v xml:space="preserve"> </v>
          </cell>
          <cell r="G201" t="str">
            <v xml:space="preserve"> </v>
          </cell>
          <cell r="H201" t="str">
            <v>SPE / DIEE / COORDENAÇÃO GERAL DE INFORMAÇÕES ENERGÉTICAS</v>
          </cell>
          <cell r="I201" t="str">
            <v>10.104.100</v>
          </cell>
        </row>
        <row r="202">
          <cell r="A202" t="str">
            <v>GILDA MARIA LEITE DA FONSECA</v>
          </cell>
          <cell r="B202">
            <v>452261</v>
          </cell>
          <cell r="C202" t="str">
            <v>Datilógrafo</v>
          </cell>
          <cell r="D202" t="str">
            <v>Ativo Permanente</v>
          </cell>
          <cell r="E202" t="str">
            <v>MME - Ministério de Minas e Energia</v>
          </cell>
          <cell r="F202" t="str">
            <v>FCPE 102.2</v>
          </cell>
          <cell r="G202" t="str">
            <v xml:space="preserve"> </v>
          </cell>
          <cell r="H202" t="str">
            <v>SPE / DEPARTAMENTO DE PLANEJAMENTO ENERGÉTICO - DPE</v>
          </cell>
          <cell r="I202" t="str">
            <v>10.101.000</v>
          </cell>
        </row>
        <row r="203">
          <cell r="A203" t="str">
            <v>GILVAN DE BARROS COELHO</v>
          </cell>
          <cell r="B203">
            <v>1680740</v>
          </cell>
          <cell r="C203" t="str">
            <v>Administrador</v>
          </cell>
          <cell r="D203" t="str">
            <v>Anistiado MME</v>
          </cell>
          <cell r="E203" t="str">
            <v>MME - Ministério de Minas e Energia</v>
          </cell>
          <cell r="F203" t="str">
            <v xml:space="preserve"> </v>
          </cell>
          <cell r="G203" t="str">
            <v xml:space="preserve"> </v>
          </cell>
          <cell r="H203" t="str">
            <v>Aguardando Lotação/Exercício</v>
          </cell>
          <cell r="I203" t="str">
            <v>88.000.000</v>
          </cell>
        </row>
        <row r="204">
          <cell r="A204" t="str">
            <v>GILVAN DE CASTRO ARARUNA</v>
          </cell>
          <cell r="B204">
            <v>452342</v>
          </cell>
          <cell r="C204" t="str">
            <v>Datilógrafo</v>
          </cell>
          <cell r="D204" t="str">
            <v>Ativo Permanente</v>
          </cell>
          <cell r="E204" t="str">
            <v>MME - Ministério de Minas e Energia</v>
          </cell>
          <cell r="F204" t="str">
            <v>FCT 10</v>
          </cell>
          <cell r="G204" t="str">
            <v xml:space="preserve"> </v>
          </cell>
          <cell r="H204" t="str">
            <v>GM / ASTAD / COORDENAÇÃO DE ATIVIDADES ADMINISTRATIVAS</v>
          </cell>
          <cell r="I204" t="str">
            <v>2.100.101</v>
          </cell>
        </row>
        <row r="205">
          <cell r="A205" t="str">
            <v>GILVAN MARQUES TEODORO</v>
          </cell>
          <cell r="B205">
            <v>1105547</v>
          </cell>
          <cell r="C205" t="str">
            <v>Médico</v>
          </cell>
          <cell r="D205" t="str">
            <v>Ativo Permanente</v>
          </cell>
          <cell r="E205" t="str">
            <v>MME - Ministério de Minas e Energia</v>
          </cell>
          <cell r="F205" t="str">
            <v xml:space="preserve"> </v>
          </cell>
          <cell r="G205" t="str">
            <v>GSISTE Superior</v>
          </cell>
          <cell r="H205" t="str">
            <v>SE / SPOA / CGRH / COORDENAÇÃO DE DESENVOLVIMENTO E SEGURIDADE SOCIAL - CODES</v>
          </cell>
          <cell r="I205" t="str">
            <v>8.105.220</v>
          </cell>
        </row>
        <row r="206">
          <cell r="A206" t="str">
            <v>GISELIA MARQUES DE SOUZA</v>
          </cell>
          <cell r="B206">
            <v>451712</v>
          </cell>
          <cell r="C206" t="str">
            <v>Agente Administrativo</v>
          </cell>
          <cell r="D206" t="str">
            <v>Ativo Permanente</v>
          </cell>
          <cell r="E206" t="str">
            <v>MME - Ministério de Minas e Energia</v>
          </cell>
          <cell r="F206" t="str">
            <v>FCT 9</v>
          </cell>
          <cell r="G206" t="str">
            <v>GSISP Intermediário</v>
          </cell>
          <cell r="H206" t="str">
            <v xml:space="preserve">SE / SPOA / CGTI / COORDENAÇÃO DE INFRAESTRUTURA TECNOLÓGICA - </v>
          </cell>
          <cell r="I206" t="str">
            <v>8.105.310</v>
          </cell>
        </row>
        <row r="207">
          <cell r="A207" t="str">
            <v>GLAUCIA MARIA DE MEIRELES</v>
          </cell>
          <cell r="B207">
            <v>1479945</v>
          </cell>
          <cell r="C207" t="str">
            <v>Sem Cargo/Emprego</v>
          </cell>
          <cell r="D207" t="str">
            <v>Sem Vínculo</v>
          </cell>
          <cell r="E207" t="str">
            <v>Sem Vínculo</v>
          </cell>
          <cell r="F207" t="str">
            <v>DAS 102.3</v>
          </cell>
          <cell r="G207" t="str">
            <v xml:space="preserve"> </v>
          </cell>
          <cell r="H207" t="str">
            <v>SE / CHEFIA DE GABINETE SE</v>
          </cell>
          <cell r="I207" t="str">
            <v>8.100.000</v>
          </cell>
        </row>
        <row r="208">
          <cell r="A208" t="str">
            <v>GLEYSIELEN CARDOSO NEVES</v>
          </cell>
          <cell r="B208">
            <v>2675984</v>
          </cell>
          <cell r="C208" t="str">
            <v>Sem Cargo/Emprego</v>
          </cell>
          <cell r="D208" t="str">
            <v>Sem Vínculo</v>
          </cell>
          <cell r="E208" t="str">
            <v>Sem Vínculo</v>
          </cell>
          <cell r="F208" t="str">
            <v>DAS 101.2</v>
          </cell>
          <cell r="G208" t="str">
            <v xml:space="preserve"> </v>
          </cell>
          <cell r="H208" t="str">
            <v>SE / SPOA / CGRL / COORDENAÇÃO DE ATIVIDADES GERAIS - COAGE</v>
          </cell>
          <cell r="I208" t="str">
            <v>8.105.120</v>
          </cell>
        </row>
        <row r="209">
          <cell r="A209" t="str">
            <v>GRAYCE MARTINS DA SILVA GONCALVES</v>
          </cell>
          <cell r="B209">
            <v>1804230</v>
          </cell>
          <cell r="C209" t="str">
            <v>Analista Técnico Administrativo</v>
          </cell>
          <cell r="D209" t="str">
            <v>Requisitado de Órgãos</v>
          </cell>
          <cell r="E209" t="str">
            <v>MDR - Ministério do Desenvolvimento Regional</v>
          </cell>
          <cell r="F209" t="str">
            <v>FCPE 101.4</v>
          </cell>
          <cell r="G209" t="str">
            <v xml:space="preserve"> </v>
          </cell>
          <cell r="H209" t="str">
            <v>GM / OUVIDORIA GERAL - OUVIR</v>
          </cell>
          <cell r="I209" t="str">
            <v>2.100.500</v>
          </cell>
        </row>
        <row r="210">
          <cell r="A210" t="str">
            <v>GUALTER DE CARVALHO MENDES</v>
          </cell>
          <cell r="B210">
            <v>5293689</v>
          </cell>
          <cell r="C210" t="str">
            <v>Sem Cargo/Emprego</v>
          </cell>
          <cell r="D210" t="str">
            <v>Sem Vínculo</v>
          </cell>
          <cell r="E210" t="str">
            <v>Sem Vínculo</v>
          </cell>
          <cell r="F210" t="str">
            <v>DAS 102.4</v>
          </cell>
          <cell r="G210" t="str">
            <v xml:space="preserve"> </v>
          </cell>
          <cell r="H210" t="str">
            <v>SEE / CHEFIA DE GABINETE SEE</v>
          </cell>
          <cell r="I210" t="str">
            <v>12.100.000</v>
          </cell>
        </row>
        <row r="211">
          <cell r="A211" t="str">
            <v>GUILHERME BRUM DE ALMEIDA</v>
          </cell>
          <cell r="B211">
            <v>1507340</v>
          </cell>
          <cell r="C211" t="str">
            <v>Advogado da União</v>
          </cell>
          <cell r="D211" t="str">
            <v>Exercício Descentralizado</v>
          </cell>
          <cell r="E211" t="str">
            <v>AGU - Advocacia Geral da União</v>
          </cell>
          <cell r="F211" t="str">
            <v>FCPE 101.4</v>
          </cell>
          <cell r="G211" t="str">
            <v xml:space="preserve"> </v>
          </cell>
          <cell r="H211" t="str">
            <v>CONJUR / COORDENAÇÃO GERAL DE ASSSUNTOS ADMINISTRATIVOS - CGAA</v>
          </cell>
          <cell r="I211" t="str">
            <v>7.100.300</v>
          </cell>
        </row>
        <row r="212">
          <cell r="A212" t="str">
            <v>GUILHERME SILVA DE GODOI</v>
          </cell>
          <cell r="B212">
            <v>3688550</v>
          </cell>
          <cell r="C212" t="str">
            <v>Analista de Infraestrutura</v>
          </cell>
          <cell r="D212" t="str">
            <v>Exercício Descentralizado</v>
          </cell>
          <cell r="E212" t="str">
            <v>ME - Ministério da Economia</v>
          </cell>
          <cell r="F212" t="str">
            <v>DAS 101.5</v>
          </cell>
          <cell r="G212" t="str">
            <v xml:space="preserve"> </v>
          </cell>
          <cell r="H212" t="str">
            <v>SEE / DEPARTAMENTO DE MONITORAMENTO DO SISTEMA ELÉTRICO - DMSE</v>
          </cell>
          <cell r="I212" t="str">
            <v>12.102.000</v>
          </cell>
        </row>
        <row r="213">
          <cell r="A213" t="str">
            <v>GUILHERME ZANETTI ROSA</v>
          </cell>
          <cell r="B213">
            <v>2799234</v>
          </cell>
          <cell r="C213" t="str">
            <v>Analista de Infraestrutura</v>
          </cell>
          <cell r="D213" t="str">
            <v>Exercício Descentralizado</v>
          </cell>
          <cell r="E213" t="str">
            <v>ME - Ministério da Economia</v>
          </cell>
          <cell r="F213" t="str">
            <v>DAS 102.3</v>
          </cell>
          <cell r="G213" t="str">
            <v xml:space="preserve"> </v>
          </cell>
          <cell r="H213" t="str">
            <v>SPE / DPE / COORDENAÇÃO GERAL DE PLANEJAMENTO DA TRANSMISSÃO</v>
          </cell>
          <cell r="I213" t="str">
            <v>10.101.100</v>
          </cell>
        </row>
        <row r="214">
          <cell r="A214" t="str">
            <v>GUSTAVO CERQUEIRA ATAIDE</v>
          </cell>
          <cell r="B214">
            <v>1653173</v>
          </cell>
          <cell r="C214" t="str">
            <v>Analista de Infraestrutura</v>
          </cell>
          <cell r="D214" t="str">
            <v>Requisitado de Órgãos</v>
          </cell>
          <cell r="E214" t="str">
            <v>ME - Ministério da Economia</v>
          </cell>
          <cell r="F214" t="str">
            <v>DAS 102.4</v>
          </cell>
          <cell r="G214" t="str">
            <v xml:space="preserve"> </v>
          </cell>
          <cell r="H214" t="str">
            <v>SPE / DEPARTAMENTO DE PLANEJAMENTO ENERGÉTICO - DPE</v>
          </cell>
          <cell r="I214" t="str">
            <v>10.101.000</v>
          </cell>
        </row>
        <row r="215">
          <cell r="A215" t="str">
            <v>GUSTAVO LUIS DE SOUZA MOTTA</v>
          </cell>
          <cell r="B215">
            <v>2983503</v>
          </cell>
          <cell r="C215" t="str">
            <v>Especialista em Política Pública e Gestão Governamental</v>
          </cell>
          <cell r="D215" t="str">
            <v>Exercício Descentralizado</v>
          </cell>
          <cell r="E215" t="str">
            <v>ME - Ministério da Economia</v>
          </cell>
          <cell r="F215" t="str">
            <v>FCPE 102.2</v>
          </cell>
          <cell r="G215" t="str">
            <v xml:space="preserve"> </v>
          </cell>
          <cell r="H215" t="str">
            <v>SPG / DBIO / COORDENAÇÃO GERAL DE BIODIESEL E OUTROS BIOCOMBUSTÍVEIS</v>
          </cell>
          <cell r="I215" t="str">
            <v>11.104.100</v>
          </cell>
        </row>
        <row r="216">
          <cell r="A216" t="str">
            <v>GUSTAVO SANTOS MASILI</v>
          </cell>
          <cell r="B216">
            <v>3663022</v>
          </cell>
          <cell r="C216" t="str">
            <v>Auditor Federal de Finanças e Controle</v>
          </cell>
          <cell r="D216" t="str">
            <v>Requisitado de Órgãos</v>
          </cell>
          <cell r="E216" t="str">
            <v>ME - Ministério da Economia</v>
          </cell>
          <cell r="F216" t="str">
            <v>FCPE 101.4</v>
          </cell>
          <cell r="G216" t="str">
            <v xml:space="preserve"> </v>
          </cell>
          <cell r="H216" t="str">
            <v>SE / AEGP / COORDENAÇÃO GERAL DE PLANEJAMENTO, FINANÇAS E CONTROLE - CGPF</v>
          </cell>
          <cell r="I216" t="str">
            <v>8.103.100</v>
          </cell>
        </row>
        <row r="217">
          <cell r="A217" t="str">
            <v>HAILTON MADUREIRA DE ALMEIDA</v>
          </cell>
          <cell r="B217">
            <v>1370766</v>
          </cell>
          <cell r="C217" t="str">
            <v>Auditor Federal de Finanças e Controle</v>
          </cell>
          <cell r="D217" t="str">
            <v>Requisitado de Órgãos</v>
          </cell>
          <cell r="E217" t="str">
            <v>ME - Ministério da Economia</v>
          </cell>
          <cell r="F217" t="str">
            <v>DAS 101.5</v>
          </cell>
          <cell r="G217" t="str">
            <v xml:space="preserve"> </v>
          </cell>
          <cell r="H217" t="str">
            <v>ASSESSORIA ESPECIAL DE ASSUNTOS ECONÔMICOS - ASSEC</v>
          </cell>
          <cell r="I217" t="str">
            <v>6.000.000</v>
          </cell>
        </row>
        <row r="218">
          <cell r="A218" t="str">
            <v>HAMILTON CHIARINI DE ALCÂNTARA</v>
          </cell>
          <cell r="B218">
            <v>4499226</v>
          </cell>
          <cell r="C218" t="str">
            <v>Analista de Infraestrutura</v>
          </cell>
          <cell r="D218" t="str">
            <v>Exercício Descentralizado</v>
          </cell>
          <cell r="E218" t="str">
            <v>ME - Ministério da Economia</v>
          </cell>
          <cell r="F218" t="str">
            <v>FGR 1</v>
          </cell>
          <cell r="G218" t="str">
            <v xml:space="preserve"> </v>
          </cell>
          <cell r="H218" t="str">
            <v>SEE / DPUE / COORDENAÇÃO GERAL DE DESENVOLVIMENTO DE POLÍTICAS SOCIAIS</v>
          </cell>
          <cell r="I218" t="str">
            <v>12.103.100</v>
          </cell>
        </row>
        <row r="219">
          <cell r="A219" t="str">
            <v>HELIO MAURO FRANCA</v>
          </cell>
          <cell r="B219">
            <v>6439807</v>
          </cell>
          <cell r="C219" t="str">
            <v>Advogado I</v>
          </cell>
          <cell r="D219" t="str">
            <v>Anistiado MME</v>
          </cell>
          <cell r="E219" t="str">
            <v>MME - Ministério de Minas e Energia</v>
          </cell>
          <cell r="F219" t="str">
            <v xml:space="preserve"> </v>
          </cell>
          <cell r="G219" t="str">
            <v xml:space="preserve"> </v>
          </cell>
          <cell r="H219" t="str">
            <v>SGM / DEPARTAMENTO DE GESTÃO DAS POLÍTICAS DE GEOLOGIA, MINERAÇÃOE TRANSFORMAÇÃO - DPGM</v>
          </cell>
          <cell r="I219" t="str">
            <v>9.101.000</v>
          </cell>
        </row>
        <row r="220">
          <cell r="A220" t="str">
            <v>HELIO MOURINHO GARCIA JUNIOR</v>
          </cell>
          <cell r="B220">
            <v>1243343</v>
          </cell>
          <cell r="C220" t="str">
            <v>Sem Cargo/Emprego</v>
          </cell>
          <cell r="D220" t="str">
            <v>Sem Vínculo</v>
          </cell>
          <cell r="E220" t="str">
            <v>Sem Vínculo</v>
          </cell>
          <cell r="F220" t="str">
            <v>DAS 101.5</v>
          </cell>
          <cell r="G220" t="str">
            <v xml:space="preserve"> </v>
          </cell>
          <cell r="H220" t="str">
            <v>SE / SUBSECRETARIA DE PLANEJAMENTO, ORÇAMENTO E ADMINISTRAÇÃO - SPOA</v>
          </cell>
          <cell r="I220" t="str">
            <v>8.105.000</v>
          </cell>
        </row>
        <row r="221">
          <cell r="A221" t="str">
            <v>HELITON SABINO BRIGLIA FERREIRA</v>
          </cell>
          <cell r="B221">
            <v>3139070</v>
          </cell>
          <cell r="C221" t="str">
            <v>Marinha</v>
          </cell>
          <cell r="D221" t="str">
            <v>Requisitado Militar</v>
          </cell>
          <cell r="E221" t="str">
            <v>Marinha</v>
          </cell>
          <cell r="F221" t="str">
            <v>DAS 101.4</v>
          </cell>
          <cell r="G221" t="str">
            <v xml:space="preserve"> </v>
          </cell>
          <cell r="H221" t="str">
            <v>SE / SPOA / COORDENAÇÃO GERAL DE TECNOLOGIA E INFORMAÇÃO - CGTI</v>
          </cell>
          <cell r="I221" t="str">
            <v>8.105.300</v>
          </cell>
        </row>
        <row r="222">
          <cell r="A222" t="str">
            <v>HÉLVIO NEVES GUERRA</v>
          </cell>
          <cell r="B222">
            <v>399946</v>
          </cell>
          <cell r="C222" t="str">
            <v>Sem Cargo/Emprego</v>
          </cell>
          <cell r="D222" t="str">
            <v>Sem Vínculo</v>
          </cell>
          <cell r="E222" t="str">
            <v>Sem Vínculo</v>
          </cell>
          <cell r="F222" t="str">
            <v>DAS 101.5</v>
          </cell>
          <cell r="G222" t="str">
            <v xml:space="preserve"> </v>
          </cell>
          <cell r="H222" t="str">
            <v>SPE / CHEFIA DE GABINETE SPE</v>
          </cell>
          <cell r="I222" t="str">
            <v>10.100.000</v>
          </cell>
        </row>
        <row r="223">
          <cell r="A223" t="str">
            <v>HENRIQUE LIBANIO PINHEIRO ROCHA</v>
          </cell>
          <cell r="B223">
            <v>1995580</v>
          </cell>
          <cell r="C223" t="str">
            <v>Sem Cargo/Emprego</v>
          </cell>
          <cell r="D223" t="str">
            <v>Sem Vínculo</v>
          </cell>
          <cell r="E223" t="str">
            <v>Sem Vínculo</v>
          </cell>
          <cell r="F223" t="str">
            <v>DAS 102.2</v>
          </cell>
          <cell r="G223" t="str">
            <v xml:space="preserve"> </v>
          </cell>
          <cell r="H223" t="str">
            <v>SGM / DEPARTAMENTO DE DESENVOLVIMENTO SUSTENTÁVEL NA MINERAÇÃO - DDM</v>
          </cell>
          <cell r="I223" t="str">
            <v>9.104.000</v>
          </cell>
        </row>
        <row r="224">
          <cell r="A224" t="str">
            <v>HENRYETTE PATRICE CRUZ</v>
          </cell>
          <cell r="B224">
            <v>1280619</v>
          </cell>
          <cell r="C224" t="str">
            <v>Analista de Infraestrutura</v>
          </cell>
          <cell r="D224" t="str">
            <v>Exercício Descentralizado</v>
          </cell>
          <cell r="E224" t="str">
            <v>ME - Ministério da Economia</v>
          </cell>
          <cell r="F224" t="str">
            <v xml:space="preserve"> </v>
          </cell>
          <cell r="G224" t="str">
            <v xml:space="preserve"> </v>
          </cell>
          <cell r="H224" t="str">
            <v xml:space="preserve">SE / AESA / COORDENAÇÃO GERAL DE ARTICULAÇÃO INSTITUCIONAL EM MEIO AMBIENTE - </v>
          </cell>
          <cell r="I224" t="str">
            <v>8.104.200</v>
          </cell>
        </row>
        <row r="225">
          <cell r="A225" t="str">
            <v>HILDETE DE NAZARE CORREA KUBOTA</v>
          </cell>
          <cell r="B225">
            <v>1670470</v>
          </cell>
          <cell r="C225" t="str">
            <v>Datilógrafo</v>
          </cell>
          <cell r="D225" t="str">
            <v>Anistiado MME</v>
          </cell>
          <cell r="E225" t="str">
            <v>MME - Ministério de Minas e Energia</v>
          </cell>
          <cell r="F225" t="str">
            <v xml:space="preserve"> </v>
          </cell>
          <cell r="G225" t="str">
            <v xml:space="preserve"> </v>
          </cell>
          <cell r="H225" t="str">
            <v>SE / SPOA / CGRH / COORDENAÇÃO DE DESENVOLVIMENTO E SEGURIDADE SOCIAL - CODES</v>
          </cell>
          <cell r="I225" t="str">
            <v>8.105.220</v>
          </cell>
        </row>
        <row r="226">
          <cell r="A226" t="str">
            <v>HIRAM COSTA BOTELHO</v>
          </cell>
          <cell r="B226">
            <v>451570</v>
          </cell>
          <cell r="C226" t="str">
            <v>Agente Administrativo</v>
          </cell>
          <cell r="D226" t="str">
            <v>Ativo Permanente</v>
          </cell>
          <cell r="E226" t="str">
            <v>MME - Ministério de Minas e Energia</v>
          </cell>
          <cell r="F226" t="str">
            <v>FCT 10</v>
          </cell>
          <cell r="G226" t="str">
            <v>GSISTE Intermediário</v>
          </cell>
          <cell r="H226" t="str">
            <v xml:space="preserve">SE / SPOA / CGTI / COORDENAÇÃO DE INFRAESTRUTURA TECNOLÓGICA - </v>
          </cell>
          <cell r="I226" t="str">
            <v>8.105.310</v>
          </cell>
        </row>
        <row r="227">
          <cell r="A227" t="str">
            <v>HISAO FUJIMOTO</v>
          </cell>
          <cell r="B227">
            <v>1314219</v>
          </cell>
          <cell r="C227" t="str">
            <v>Analista de Sistema</v>
          </cell>
          <cell r="D227" t="str">
            <v>Ativo Permanente</v>
          </cell>
          <cell r="E227" t="str">
            <v>MME - Ministério de Minas e Energia</v>
          </cell>
          <cell r="F227" t="str">
            <v>FGR 1</v>
          </cell>
          <cell r="G227" t="str">
            <v>GSISTE Superior</v>
          </cell>
          <cell r="H227" t="str">
            <v xml:space="preserve">SE / SPOA / CGTI / COORDENAÇÃO DE INFRAESTRUTURA TECNOLÓGICA - </v>
          </cell>
          <cell r="I227" t="str">
            <v>8.105.310</v>
          </cell>
        </row>
        <row r="228">
          <cell r="A228" t="str">
            <v>IARA LEMOS GIANI</v>
          </cell>
          <cell r="B228">
            <v>3610351</v>
          </cell>
          <cell r="C228" t="str">
            <v>Sem Cargo/Emprego</v>
          </cell>
          <cell r="D228" t="str">
            <v>Sem Vínculo</v>
          </cell>
          <cell r="E228" t="str">
            <v>Sem Vínculo</v>
          </cell>
          <cell r="F228" t="str">
            <v>DAS 101.4</v>
          </cell>
          <cell r="G228" t="str">
            <v xml:space="preserve"> </v>
          </cell>
          <cell r="H228" t="str">
            <v>SE / SPOA / COORDENAÇÃO GERAL DE COMPRAS E CONTRATOS - CGCC</v>
          </cell>
          <cell r="I228" t="str">
            <v>8.105.400</v>
          </cell>
        </row>
        <row r="229">
          <cell r="A229" t="str">
            <v>IDALBA MARIA MENEZES DA COSTA</v>
          </cell>
          <cell r="B229">
            <v>1589336</v>
          </cell>
          <cell r="C229" t="str">
            <v>Escriturário</v>
          </cell>
          <cell r="D229" t="str">
            <v>Anistiado MME</v>
          </cell>
          <cell r="E229" t="str">
            <v>MME - Ministério de Minas e Energia</v>
          </cell>
          <cell r="F229" t="str">
            <v xml:space="preserve"> </v>
          </cell>
          <cell r="G229" t="str">
            <v xml:space="preserve"> </v>
          </cell>
          <cell r="H229" t="str">
            <v>SE / SPOA / COORDENAÇÃO GERAL DE RECURSOS HUMANOS - CGRH</v>
          </cell>
          <cell r="I229" t="str">
            <v>8.105.200</v>
          </cell>
        </row>
        <row r="230">
          <cell r="A230" t="str">
            <v>IELAYNE MARIA DA SILVA</v>
          </cell>
          <cell r="B230">
            <v>2412287</v>
          </cell>
          <cell r="C230" t="str">
            <v>Sem Cargo/Emprego</v>
          </cell>
          <cell r="D230" t="str">
            <v>Sem Vínculo</v>
          </cell>
          <cell r="E230" t="str">
            <v>Sem Vínculo</v>
          </cell>
          <cell r="F230" t="str">
            <v>DAS 102.1</v>
          </cell>
          <cell r="G230" t="str">
            <v xml:space="preserve"> </v>
          </cell>
          <cell r="H230" t="str">
            <v>SE / SPOA / CGRL / COORDENAÇÃO DE ATIVIDADES GERAIS - COAGE</v>
          </cell>
          <cell r="I230" t="str">
            <v>8.105.120</v>
          </cell>
        </row>
        <row r="231">
          <cell r="A231" t="str">
            <v>IGOR SOUZA RIBEIRO</v>
          </cell>
          <cell r="B231">
            <v>2974574</v>
          </cell>
          <cell r="C231" t="str">
            <v>Analista de Infraestrutura</v>
          </cell>
          <cell r="D231" t="str">
            <v>Exercício Descentralizado</v>
          </cell>
          <cell r="E231" t="str">
            <v>ME - Ministério da Economia</v>
          </cell>
          <cell r="F231" t="str">
            <v>FCPE 101.4</v>
          </cell>
          <cell r="G231" t="str">
            <v xml:space="preserve"> </v>
          </cell>
          <cell r="H231" t="str">
            <v>SEE / DMSE / COORDENAÇÃO GERAL DE MONITORAMENTO DO DESEMPENHO DO SISTEMA ELÉTRICO</v>
          </cell>
          <cell r="I231" t="str">
            <v>12.102.400</v>
          </cell>
        </row>
        <row r="232">
          <cell r="A232" t="str">
            <v>INA LUCIA CIPRIANO DE OLIVEIRA</v>
          </cell>
          <cell r="B232">
            <v>1526188</v>
          </cell>
          <cell r="C232" t="str">
            <v>Marinha</v>
          </cell>
          <cell r="D232" t="str">
            <v>Requisitado Militar</v>
          </cell>
          <cell r="E232" t="str">
            <v>Marinha</v>
          </cell>
          <cell r="F232" t="str">
            <v>DAS 102.4</v>
          </cell>
          <cell r="G232" t="str">
            <v xml:space="preserve"> </v>
          </cell>
          <cell r="H232" t="str">
            <v>GABINETE DO MINISTRO - GM</v>
          </cell>
          <cell r="I232" t="str">
            <v>2.000.000</v>
          </cell>
        </row>
        <row r="233">
          <cell r="A233" t="str">
            <v>INGRID PALMA ARAUJO</v>
          </cell>
          <cell r="B233">
            <v>1636863</v>
          </cell>
          <cell r="C233" t="str">
            <v>Analista em Tecnologia da Informação</v>
          </cell>
          <cell r="D233" t="str">
            <v>Requisitado de Órgãos</v>
          </cell>
          <cell r="E233" t="str">
            <v>ME - Ministério da Economia</v>
          </cell>
          <cell r="F233" t="str">
            <v>FCPE 102.4</v>
          </cell>
          <cell r="G233" t="str">
            <v xml:space="preserve"> </v>
          </cell>
          <cell r="H233" t="str">
            <v>ASSESSORIA ESPECIAL DE CONTROLE INTERNO - AECI</v>
          </cell>
          <cell r="I233" t="str">
            <v>5.000.000</v>
          </cell>
        </row>
        <row r="234">
          <cell r="A234" t="str">
            <v>IRACI BATISTA AGUIAR</v>
          </cell>
          <cell r="B234">
            <v>7450943</v>
          </cell>
          <cell r="C234" t="str">
            <v>Secretária Executiva A</v>
          </cell>
          <cell r="D234" t="str">
            <v>Anistiado MME</v>
          </cell>
          <cell r="E234" t="str">
            <v>MME - Ministério de Minas e Energia</v>
          </cell>
          <cell r="F234" t="str">
            <v xml:space="preserve"> </v>
          </cell>
          <cell r="G234" t="str">
            <v xml:space="preserve"> </v>
          </cell>
          <cell r="H234" t="str">
            <v>SE / SPOA / COORDENAÇÃO GERAL DE RECURSOS HUMANOS - CGRH</v>
          </cell>
          <cell r="I234" t="str">
            <v>8.105.200</v>
          </cell>
        </row>
        <row r="235">
          <cell r="A235" t="str">
            <v>ISAAC PINTO AVERBUCH</v>
          </cell>
          <cell r="B235">
            <v>4207140</v>
          </cell>
          <cell r="C235" t="str">
            <v>Especialista em Política Pública e Gestão Governamental</v>
          </cell>
          <cell r="D235" t="str">
            <v>Exercício Descentralizado</v>
          </cell>
          <cell r="E235" t="str">
            <v>ME - Ministério da Economia</v>
          </cell>
          <cell r="F235" t="str">
            <v>DAS 101.4</v>
          </cell>
          <cell r="G235" t="str">
            <v xml:space="preserve"> </v>
          </cell>
          <cell r="H235" t="str">
            <v>SEE / DMSE / COORDENAÇÃO GERAL DE MONITORAMENTO DO DESEMPENHO DO SISTEMA ELÉTRICO</v>
          </cell>
          <cell r="I235" t="str">
            <v>12.102.400</v>
          </cell>
        </row>
        <row r="236">
          <cell r="A236" t="str">
            <v>IVAN VITORIO FORESTI</v>
          </cell>
          <cell r="B236">
            <v>1886597</v>
          </cell>
          <cell r="C236" t="str">
            <v>Contador</v>
          </cell>
          <cell r="D236" t="str">
            <v>Anistiado MME</v>
          </cell>
          <cell r="E236" t="str">
            <v>MME - Ministério de Minas e Energia</v>
          </cell>
          <cell r="F236" t="str">
            <v xml:space="preserve"> </v>
          </cell>
          <cell r="G236" t="str">
            <v xml:space="preserve"> </v>
          </cell>
          <cell r="H236" t="str">
            <v>Aguardando Lotação/Exercício</v>
          </cell>
          <cell r="I236" t="str">
            <v>88.000.000</v>
          </cell>
        </row>
        <row r="237">
          <cell r="A237" t="str">
            <v>IVONETE FIGUEIREDO PINTO</v>
          </cell>
          <cell r="B237">
            <v>452085</v>
          </cell>
          <cell r="C237" t="str">
            <v>Agente de Portaria</v>
          </cell>
          <cell r="D237" t="str">
            <v>Ativo Permanente</v>
          </cell>
          <cell r="E237" t="str">
            <v>MME - Ministério de Minas e Energia</v>
          </cell>
          <cell r="F237" t="str">
            <v>FCT 10</v>
          </cell>
          <cell r="G237" t="str">
            <v xml:space="preserve"> </v>
          </cell>
          <cell r="H237" t="str">
            <v>GM / ASTAD / COORDENAÇÃO DE ATIVIDADES ADMINISTRATIVAS</v>
          </cell>
          <cell r="I237" t="str">
            <v>2.100.101</v>
          </cell>
        </row>
        <row r="238">
          <cell r="A238" t="str">
            <v>IZILDINHA SOUSA SALES</v>
          </cell>
          <cell r="B238">
            <v>1337151</v>
          </cell>
          <cell r="C238" t="str">
            <v>Sem Cargo/Emprego</v>
          </cell>
          <cell r="D238" t="str">
            <v>Sem Vínculo</v>
          </cell>
          <cell r="E238" t="str">
            <v>Sem Vínculo</v>
          </cell>
          <cell r="F238" t="str">
            <v>DAS 102.2</v>
          </cell>
          <cell r="G238" t="str">
            <v xml:space="preserve"> </v>
          </cell>
          <cell r="H238" t="str">
            <v>SPG / CHEFIA DE GABINETE SPG</v>
          </cell>
          <cell r="I238" t="str">
            <v>11.100.000</v>
          </cell>
        </row>
        <row r="239">
          <cell r="A239" t="str">
            <v>JACQUELINE QUINTAS</v>
          </cell>
          <cell r="B239">
            <v>2902131</v>
          </cell>
          <cell r="C239" t="str">
            <v>Sem Cargo/Emprego</v>
          </cell>
          <cell r="D239" t="str">
            <v>Sem Vínculo</v>
          </cell>
          <cell r="E239" t="str">
            <v>Sem Vínculo</v>
          </cell>
          <cell r="F239" t="str">
            <v>DAS 102.2</v>
          </cell>
          <cell r="G239" t="str">
            <v xml:space="preserve"> </v>
          </cell>
          <cell r="H239" t="str">
            <v>SGM / DPGM / COORDENAÇÃO GERAL DE MONITORAMENTO E CONTROLE DA GESTÃO DE PROGRAMA</v>
          </cell>
          <cell r="I239" t="str">
            <v>9.101.200</v>
          </cell>
        </row>
        <row r="240">
          <cell r="A240" t="str">
            <v>JAIR RODRIGUES DOS ANJOS</v>
          </cell>
          <cell r="B240">
            <v>1437154</v>
          </cell>
          <cell r="C240" t="str">
            <v>Auditor Federal de Finanças e Controle</v>
          </cell>
          <cell r="D240" t="str">
            <v>Requisitado de Órgãos</v>
          </cell>
          <cell r="E240" t="str">
            <v>ME - Ministério da Economia</v>
          </cell>
          <cell r="F240" t="str">
            <v>DAS 101.4</v>
          </cell>
          <cell r="G240" t="str">
            <v xml:space="preserve"> </v>
          </cell>
          <cell r="H240" t="str">
            <v>SPG / DPGN / COORDENAÇÃO GERAL DE RESERVA, EXPLORAÇÃO E PRODUÇÃO DE PETRÓLEO E GÁS NATURAL</v>
          </cell>
          <cell r="I240" t="str">
            <v>11.101.100</v>
          </cell>
        </row>
        <row r="241">
          <cell r="A241" t="str">
            <v>JAIREZ ELÓI DE SOUSA PAULISTA</v>
          </cell>
          <cell r="B241">
            <v>6455061</v>
          </cell>
          <cell r="C241" t="str">
            <v>Sem Cargo/Emprego</v>
          </cell>
          <cell r="D241" t="str">
            <v>Sem Vínculo</v>
          </cell>
          <cell r="E241" t="str">
            <v>Sem Vínculo</v>
          </cell>
          <cell r="F241" t="str">
            <v>DAS 101.4</v>
          </cell>
          <cell r="G241" t="str">
            <v xml:space="preserve"> </v>
          </cell>
          <cell r="H241" t="str">
            <v>SE / AEGE / COORDENAÇÃO GERAL DE PLANEJAMENTO ESTRATÉGICO, SUPERVISÃO E AVALIAÇÃO - CGPE</v>
          </cell>
          <cell r="I241" t="str">
            <v>8.101.100</v>
          </cell>
        </row>
        <row r="242">
          <cell r="A242" t="str">
            <v>JALMO GABRIEL DE ALMEIDA</v>
          </cell>
          <cell r="B242">
            <v>1586617</v>
          </cell>
          <cell r="C242" t="str">
            <v>Auxiliar de Operação</v>
          </cell>
          <cell r="D242" t="str">
            <v>Anistiado MME</v>
          </cell>
          <cell r="E242" t="str">
            <v>MME - Ministério de Minas e Energia</v>
          </cell>
          <cell r="F242" t="str">
            <v xml:space="preserve"> </v>
          </cell>
          <cell r="G242" t="str">
            <v xml:space="preserve"> </v>
          </cell>
          <cell r="H242" t="str">
            <v>SE / SPOA / CGRL / COORDENAÇÃO DE ATIVIDADES GERAIS - COAGE</v>
          </cell>
          <cell r="I242" t="str">
            <v>8.105.120</v>
          </cell>
        </row>
        <row r="243">
          <cell r="A243" t="str">
            <v>JANAINA DO VALE LIMA</v>
          </cell>
          <cell r="B243">
            <v>1485654</v>
          </cell>
          <cell r="C243" t="str">
            <v>Sem Cargo/Emprego</v>
          </cell>
          <cell r="D243" t="str">
            <v>Sem Vínculo</v>
          </cell>
          <cell r="E243" t="str">
            <v>Sem Vínculo</v>
          </cell>
          <cell r="F243" t="str">
            <v>DAS 102.2</v>
          </cell>
          <cell r="G243" t="str">
            <v xml:space="preserve"> </v>
          </cell>
          <cell r="H243" t="str">
            <v>SEE / CHEFIA DE GABINETE SEE</v>
          </cell>
          <cell r="I243" t="str">
            <v>12.100.000</v>
          </cell>
        </row>
        <row r="244">
          <cell r="A244" t="str">
            <v>JAQUELINE MENEGHEL RODRIGUES</v>
          </cell>
          <cell r="B244">
            <v>2051460</v>
          </cell>
          <cell r="C244" t="str">
            <v>Analista de Infraestrutura</v>
          </cell>
          <cell r="D244" t="str">
            <v>Exercício Descentralizado</v>
          </cell>
          <cell r="E244" t="str">
            <v>ME - Ministério da Economia</v>
          </cell>
          <cell r="F244" t="str">
            <v>DAS 101.4</v>
          </cell>
          <cell r="G244" t="str">
            <v xml:space="preserve"> </v>
          </cell>
          <cell r="H244" t="str">
            <v>SPG / DGN / COORDENAÇÃO GERAL DE ACOMPANHAMENTO, DESENVOLVIMENTO DE MERCADO E PRODUÇÃO</v>
          </cell>
          <cell r="I244" t="str">
            <v>11.102.100</v>
          </cell>
        </row>
        <row r="245">
          <cell r="A245" t="str">
            <v>JARBAS DELANI PEREIRA LEITE</v>
          </cell>
          <cell r="B245">
            <v>1732354</v>
          </cell>
          <cell r="C245" t="str">
            <v>Desenhista</v>
          </cell>
          <cell r="D245" t="str">
            <v>Anistiado MME</v>
          </cell>
          <cell r="E245" t="str">
            <v>MME - Ministério de Minas e Energia</v>
          </cell>
          <cell r="F245" t="str">
            <v xml:space="preserve"> </v>
          </cell>
          <cell r="G245" t="str">
            <v xml:space="preserve"> </v>
          </cell>
          <cell r="H245" t="str">
            <v>SE / SPOA / CGRL / COORDENAÇÃO DE ATIVIDADES GERAIS - COAGE</v>
          </cell>
          <cell r="I245" t="str">
            <v>8.105.120</v>
          </cell>
        </row>
        <row r="246">
          <cell r="A246" t="str">
            <v>JEFFERSON DE SOUZA OLIVEIRA</v>
          </cell>
          <cell r="B246">
            <v>3093557</v>
          </cell>
          <cell r="C246" t="str">
            <v>Sem Cargo/Emprego</v>
          </cell>
          <cell r="D246" t="str">
            <v>Sem Vínculo</v>
          </cell>
          <cell r="E246" t="str">
            <v>Sem Vínculo</v>
          </cell>
          <cell r="F246" t="str">
            <v>DAS 102.4</v>
          </cell>
          <cell r="G246" t="str">
            <v xml:space="preserve"> </v>
          </cell>
          <cell r="H246" t="str">
            <v>ASSESSORIA ESPECIAL DE ACOMPANHAMENTO DE POLÍTICAS, ESTRATÉGIAS E DESEMPENHO SETORIAL - AEPED</v>
          </cell>
          <cell r="I246" t="str">
            <v>4.000.000</v>
          </cell>
        </row>
        <row r="247">
          <cell r="A247" t="str">
            <v>JOANNE LUNA SANTANA DE CARVALHO</v>
          </cell>
          <cell r="B247">
            <v>1005095</v>
          </cell>
          <cell r="C247" t="str">
            <v>Sem Cargo/Emprego</v>
          </cell>
          <cell r="D247" t="str">
            <v>Sem Vínculo</v>
          </cell>
          <cell r="E247" t="str">
            <v>Sem Vínculo</v>
          </cell>
          <cell r="F247" t="str">
            <v>DAS 102.3</v>
          </cell>
          <cell r="G247" t="str">
            <v xml:space="preserve"> </v>
          </cell>
          <cell r="H247" t="str">
            <v>GM / ASSESSORIA DE APOIO AO MINISTRO - AAM</v>
          </cell>
          <cell r="I247" t="str">
            <v>2.100.400</v>
          </cell>
        </row>
        <row r="248">
          <cell r="A248" t="str">
            <v>JOAO ALBERTO CHAVES ALMEIDA</v>
          </cell>
          <cell r="B248">
            <v>450012</v>
          </cell>
          <cell r="C248" t="str">
            <v>Agente Administrativo</v>
          </cell>
          <cell r="D248" t="str">
            <v>Ativo Permanente</v>
          </cell>
          <cell r="E248" t="str">
            <v>MME - Ministério de Minas e Energia</v>
          </cell>
          <cell r="F248" t="str">
            <v>FCPE 102.3</v>
          </cell>
          <cell r="G248" t="str">
            <v xml:space="preserve"> </v>
          </cell>
          <cell r="H248" t="str">
            <v>SGM / CHEFIA DE GABINETE SGM</v>
          </cell>
          <cell r="I248" t="str">
            <v>9.100.000</v>
          </cell>
        </row>
        <row r="249">
          <cell r="A249" t="str">
            <v>JOÃO ALOÍSIO VIEIRA</v>
          </cell>
          <cell r="B249">
            <v>2745380</v>
          </cell>
          <cell r="C249" t="str">
            <v>Analista de Infraestrutura</v>
          </cell>
          <cell r="D249" t="str">
            <v>Exercício Descentralizado</v>
          </cell>
          <cell r="E249" t="str">
            <v>ME - Ministério da Economia</v>
          </cell>
          <cell r="F249" t="str">
            <v>FGR 1</v>
          </cell>
          <cell r="G249" t="str">
            <v xml:space="preserve"> </v>
          </cell>
          <cell r="H249" t="str">
            <v>SEE / DMSE / COORDENAÇÃO GERAL DE MONITORAMENTO DA EXPANSÃO DA GERAÇÃO</v>
          </cell>
          <cell r="I249" t="str">
            <v>12.102.100</v>
          </cell>
        </row>
        <row r="250">
          <cell r="A250" t="str">
            <v>JOAO ALVES DA SILVA</v>
          </cell>
          <cell r="B250">
            <v>455953</v>
          </cell>
          <cell r="C250" t="str">
            <v>Auxiliar de Artífice</v>
          </cell>
          <cell r="D250" t="str">
            <v>Ativo Permanente</v>
          </cell>
          <cell r="E250" t="str">
            <v>MME - Ministério de Minas e Energia</v>
          </cell>
          <cell r="F250" t="str">
            <v>FGR 1</v>
          </cell>
          <cell r="G250" t="str">
            <v xml:space="preserve"> </v>
          </cell>
          <cell r="H250" t="str">
            <v>SE / SPOA / CGRL / COORDENAÇÃO DE ATIVIDADES GERAIS - COAGE</v>
          </cell>
          <cell r="I250" t="str">
            <v>8.105.120</v>
          </cell>
        </row>
        <row r="251">
          <cell r="A251" t="str">
            <v>JOAO BATISTA LEITAO</v>
          </cell>
          <cell r="B251">
            <v>1738490</v>
          </cell>
          <cell r="C251" t="str">
            <v>Garçom</v>
          </cell>
          <cell r="D251" t="str">
            <v>Anistiado outros Órgãos</v>
          </cell>
          <cell r="E251" t="str">
            <v>IMBEL - Indústria de Material Bélico do Brasil</v>
          </cell>
          <cell r="F251" t="str">
            <v xml:space="preserve"> </v>
          </cell>
          <cell r="G251" t="str">
            <v xml:space="preserve"> </v>
          </cell>
          <cell r="H251" t="str">
            <v xml:space="preserve">SE / SPOA / CGTI / COORDENAÇÃO DE INFRAESTRUTURA TECNOLÓGICA - </v>
          </cell>
          <cell r="I251" t="str">
            <v>8.105.310</v>
          </cell>
        </row>
        <row r="252">
          <cell r="A252" t="str">
            <v>JOÃO CLAUDIO LIMA DE FRANCO</v>
          </cell>
          <cell r="B252">
            <v>6128263</v>
          </cell>
          <cell r="C252" t="str">
            <v>Sem Cargo/Emprego</v>
          </cell>
          <cell r="D252" t="str">
            <v>Sem Vínculo</v>
          </cell>
          <cell r="E252" t="str">
            <v>Sem Vínculo</v>
          </cell>
          <cell r="F252" t="str">
            <v>DAS 102.3</v>
          </cell>
          <cell r="G252" t="str">
            <v xml:space="preserve"> </v>
          </cell>
          <cell r="H252" t="str">
            <v>SE / ASSESSORIA ESPECIAL DE GESTÃO ESTRATÉGICA - AEGE</v>
          </cell>
          <cell r="I252" t="str">
            <v>8.101.000</v>
          </cell>
        </row>
        <row r="253">
          <cell r="A253" t="str">
            <v>JOÃO DE AMORIM LITAIFF JUNIOR</v>
          </cell>
          <cell r="B253">
            <v>1505912</v>
          </cell>
          <cell r="C253" t="str">
            <v>Sem Cargo/Emprego</v>
          </cell>
          <cell r="D253" t="str">
            <v>Sem Vínculo</v>
          </cell>
          <cell r="E253" t="str">
            <v>Sem Vínculo</v>
          </cell>
          <cell r="F253" t="str">
            <v>DAS 102.4</v>
          </cell>
          <cell r="G253" t="str">
            <v xml:space="preserve"> </v>
          </cell>
          <cell r="H253" t="str">
            <v>ASSESSORIA ESPECIAL DE ACOMPANHAMENTO DE POLÍTICAS, ESTRATÉGIAS E DESEMPENHO SETORIAL - AEPED</v>
          </cell>
          <cell r="I253" t="str">
            <v>4.000.000</v>
          </cell>
        </row>
        <row r="254">
          <cell r="A254" t="str">
            <v>JOÃO JOSÉ DE NORA SOUTO</v>
          </cell>
          <cell r="B254">
            <v>3188663</v>
          </cell>
          <cell r="C254" t="str">
            <v>Sem Cargo/Emprego</v>
          </cell>
          <cell r="D254" t="str">
            <v>Sem Vínculo</v>
          </cell>
          <cell r="E254" t="str">
            <v>Sem Vínculo</v>
          </cell>
          <cell r="F254" t="str">
            <v>DAS 101.5</v>
          </cell>
          <cell r="G254" t="str">
            <v xml:space="preserve"> </v>
          </cell>
          <cell r="H254" t="str">
            <v>SPG / CHEFIA DE GABINETE SPG</v>
          </cell>
          <cell r="I254" t="str">
            <v>11.100.000</v>
          </cell>
        </row>
        <row r="255">
          <cell r="A255" t="str">
            <v>JOAO MARCONDE SOARES</v>
          </cell>
          <cell r="B255">
            <v>451610</v>
          </cell>
          <cell r="C255" t="str">
            <v>Motorista Oficial</v>
          </cell>
          <cell r="D255" t="str">
            <v>Ativo Permanente</v>
          </cell>
          <cell r="E255" t="str">
            <v>MME - Ministério de Minas e Energia</v>
          </cell>
          <cell r="F255" t="str">
            <v>FGR 1</v>
          </cell>
          <cell r="G255" t="str">
            <v xml:space="preserve"> </v>
          </cell>
          <cell r="H255" t="str">
            <v>SE / SPOA / CGRL / COORDENAÇÃO DE ATIVIDADES GERAIS - COAGE</v>
          </cell>
          <cell r="I255" t="str">
            <v>8.105.120</v>
          </cell>
        </row>
        <row r="256">
          <cell r="A256" t="str">
            <v>JOAO QUIRINO JUNIOR</v>
          </cell>
          <cell r="B256">
            <v>1741277</v>
          </cell>
          <cell r="C256" t="str">
            <v>Administrador</v>
          </cell>
          <cell r="D256" t="str">
            <v>Anistiado MME</v>
          </cell>
          <cell r="E256" t="str">
            <v>MME - Ministério de Minas e Energia</v>
          </cell>
          <cell r="F256" t="str">
            <v xml:space="preserve"> </v>
          </cell>
          <cell r="G256" t="str">
            <v xml:space="preserve"> </v>
          </cell>
          <cell r="H256" t="str">
            <v>SE / SPOA / CGRH / COORDENAÇÃO DE DESENVOLVIMENTO E SEGURIDADE SOCIAL - CODES</v>
          </cell>
          <cell r="I256" t="str">
            <v>8.105.220</v>
          </cell>
        </row>
        <row r="257">
          <cell r="A257" t="str">
            <v>JOAQUIM DOS SANTOS BRAGA NETO</v>
          </cell>
          <cell r="B257">
            <v>1822951</v>
          </cell>
          <cell r="C257" t="str">
            <v>Profissional de Nível Superior IV</v>
          </cell>
          <cell r="D257" t="str">
            <v>Anistiado outros Órgãos</v>
          </cell>
          <cell r="E257" t="str">
            <v>ELETRONORTE - Centrais Elétricas do Norte do Brasil S/A</v>
          </cell>
          <cell r="F257" t="str">
            <v xml:space="preserve"> </v>
          </cell>
          <cell r="G257" t="str">
            <v xml:space="preserve"> </v>
          </cell>
          <cell r="H257" t="str">
            <v>SEE / DPUE / COORDENAÇÃO GERAL DE DESENVOLVIMENTO DE POLÍTICAS SOCIAIS</v>
          </cell>
          <cell r="I257" t="str">
            <v>12.103.100</v>
          </cell>
        </row>
        <row r="258">
          <cell r="A258" t="str">
            <v>JOAQUIM LUIZ DOS SANTOS</v>
          </cell>
          <cell r="B258">
            <v>1314257</v>
          </cell>
          <cell r="C258" t="str">
            <v>Agente de Portaria</v>
          </cell>
          <cell r="D258" t="str">
            <v>Ativo Permanente</v>
          </cell>
          <cell r="E258" t="str">
            <v>MME - Ministério de Minas e Energia</v>
          </cell>
          <cell r="F258" t="str">
            <v>FCT 10</v>
          </cell>
          <cell r="G258" t="str">
            <v xml:space="preserve"> </v>
          </cell>
          <cell r="H258" t="str">
            <v>GM / ASTAD / COORDENAÇÃO DE ATIVIDADES ADMINISTRATIVAS</v>
          </cell>
          <cell r="I258" t="str">
            <v>2.100.101</v>
          </cell>
        </row>
        <row r="259">
          <cell r="A259" t="str">
            <v>JOAQUIM SOUSA NETO</v>
          </cell>
          <cell r="B259">
            <v>2092772</v>
          </cell>
          <cell r="C259" t="str">
            <v>Motorista Oficial</v>
          </cell>
          <cell r="D259" t="str">
            <v>Ativo Permanente</v>
          </cell>
          <cell r="E259" t="str">
            <v>MME - Ministério de Minas e Energia</v>
          </cell>
          <cell r="F259" t="str">
            <v>FCPE 102.2</v>
          </cell>
          <cell r="G259" t="str">
            <v xml:space="preserve"> </v>
          </cell>
          <cell r="H259" t="str">
            <v>SE / SPOA / CGRL / COORDENAÇÃO DE ATIVIDADES GERAIS - COAGE</v>
          </cell>
          <cell r="I259" t="str">
            <v>8.105.120</v>
          </cell>
        </row>
        <row r="260">
          <cell r="A260" t="str">
            <v>JOCELIO COELHO MATIAS</v>
          </cell>
          <cell r="B260">
            <v>1093495</v>
          </cell>
          <cell r="C260" t="str">
            <v>Motorista Oficial</v>
          </cell>
          <cell r="D260" t="str">
            <v>Ativo Permanente</v>
          </cell>
          <cell r="E260" t="str">
            <v>MME - Ministério de Minas e Energia</v>
          </cell>
          <cell r="F260" t="str">
            <v>FGR 1</v>
          </cell>
          <cell r="G260" t="str">
            <v xml:space="preserve"> </v>
          </cell>
          <cell r="H260" t="str">
            <v>SE / SPOA / CGRL / COORDENAÇÃO DE ATIVIDADES GERAIS - COAGE</v>
          </cell>
          <cell r="I260" t="str">
            <v>8.105.120</v>
          </cell>
        </row>
        <row r="261">
          <cell r="A261" t="str">
            <v>JOEL JOSE FERREIRA</v>
          </cell>
          <cell r="B261">
            <v>455936</v>
          </cell>
          <cell r="C261" t="str">
            <v>Motorista Oficial</v>
          </cell>
          <cell r="D261" t="str">
            <v>Ativo Permanente</v>
          </cell>
          <cell r="E261" t="str">
            <v>MME - Ministério de Minas e Energia</v>
          </cell>
          <cell r="F261" t="str">
            <v>FGR 1</v>
          </cell>
          <cell r="G261" t="str">
            <v xml:space="preserve"> </v>
          </cell>
          <cell r="H261" t="str">
            <v>SE / SPOA / CGRL / COORDENAÇÃO DE ATIVIDADES GERAIS - COAGE</v>
          </cell>
          <cell r="I261" t="str">
            <v>8.105.120</v>
          </cell>
        </row>
        <row r="262">
          <cell r="A262" t="str">
            <v>JOELMA MENDES DE MELLO</v>
          </cell>
          <cell r="B262">
            <v>455436</v>
          </cell>
          <cell r="C262" t="str">
            <v>Agente Administrativo</v>
          </cell>
          <cell r="D262" t="str">
            <v>Ativo Permanente</v>
          </cell>
          <cell r="E262" t="str">
            <v>MME - Ministério de Minas e Energia</v>
          </cell>
          <cell r="F262" t="str">
            <v>FCPE 102.1</v>
          </cell>
          <cell r="G262" t="str">
            <v xml:space="preserve"> </v>
          </cell>
          <cell r="H262" t="str">
            <v>SE / SPOA / CGCC / COORDENAÇÃO DE ADMINISTRAÇÃO DE CONTRATOS - CAC</v>
          </cell>
          <cell r="I262" t="str">
            <v>8.105.410</v>
          </cell>
        </row>
        <row r="263">
          <cell r="A263" t="str">
            <v>JORDANA SANTOS CORDEIRO</v>
          </cell>
          <cell r="B263">
            <v>2483457</v>
          </cell>
          <cell r="C263" t="str">
            <v>Sem Cargo/Emprego</v>
          </cell>
          <cell r="D263" t="str">
            <v>Sem Vínculo</v>
          </cell>
          <cell r="E263" t="str">
            <v>Sem Vínculo</v>
          </cell>
          <cell r="F263" t="str">
            <v>DAS 102.3</v>
          </cell>
          <cell r="G263" t="str">
            <v xml:space="preserve"> </v>
          </cell>
          <cell r="H263" t="str">
            <v>SEE / CHEFIA DE GABINETE SEE</v>
          </cell>
          <cell r="I263" t="str">
            <v>12.100.000</v>
          </cell>
        </row>
        <row r="264">
          <cell r="A264" t="str">
            <v>JORGE ARTHUR BERGAMO DE ALMEIDA</v>
          </cell>
          <cell r="B264">
            <v>451944</v>
          </cell>
          <cell r="C264" t="str">
            <v>Datilógrafo</v>
          </cell>
          <cell r="D264" t="str">
            <v>Ativo Permanente</v>
          </cell>
          <cell r="E264" t="str">
            <v>MME - Ministério de Minas e Energia</v>
          </cell>
          <cell r="F264" t="str">
            <v>FGR 1</v>
          </cell>
          <cell r="G264" t="str">
            <v xml:space="preserve"> </v>
          </cell>
          <cell r="H264" t="str">
            <v>Aguardando Lotação/Exercício</v>
          </cell>
          <cell r="I264" t="str">
            <v>88.000.000</v>
          </cell>
        </row>
        <row r="265">
          <cell r="A265" t="str">
            <v>JORGE GABRIEL MOISÉS FILHO</v>
          </cell>
          <cell r="B265">
            <v>2480927</v>
          </cell>
          <cell r="C265" t="str">
            <v>Analista de Planejamento e Orçamento</v>
          </cell>
          <cell r="D265" t="str">
            <v>Exercício Descentralizado</v>
          </cell>
          <cell r="E265" t="str">
            <v>ME - Ministério da Economia</v>
          </cell>
          <cell r="F265" t="str">
            <v>FCPE 102.2</v>
          </cell>
          <cell r="G265" t="str">
            <v xml:space="preserve"> </v>
          </cell>
          <cell r="H265" t="str">
            <v>SE / SPOA / CGOF / COORDENAÇÃO DE ORÇAMENTO - CORC</v>
          </cell>
          <cell r="I265" t="str">
            <v>8.105.530</v>
          </cell>
        </row>
        <row r="266">
          <cell r="A266" t="str">
            <v>JORGE LUIZ BARBOSA DOS SANTOS</v>
          </cell>
          <cell r="B266">
            <v>0</v>
          </cell>
          <cell r="C266" t="str">
            <v>Marinha</v>
          </cell>
          <cell r="D266" t="str">
            <v>Requisitado Militar</v>
          </cell>
          <cell r="E266" t="str">
            <v>Marinha</v>
          </cell>
          <cell r="F266" t="str">
            <v>DAS 102.4</v>
          </cell>
          <cell r="G266" t="str">
            <v xml:space="preserve"> </v>
          </cell>
          <cell r="H266" t="str">
            <v>GM / ASSESSORIA DE COMUNICAÇÃO SOCIAL - ASCOM</v>
          </cell>
          <cell r="I266" t="str">
            <v>2.100.300</v>
          </cell>
        </row>
        <row r="267">
          <cell r="A267" t="str">
            <v>JORGE PORTELLA DUARTE</v>
          </cell>
          <cell r="B267">
            <v>2660564</v>
          </cell>
          <cell r="C267" t="str">
            <v>Analista de Infraestrutura</v>
          </cell>
          <cell r="D267" t="str">
            <v>Exercício Descentralizado</v>
          </cell>
          <cell r="E267" t="str">
            <v>ME - Ministério da Economia</v>
          </cell>
          <cell r="F267" t="str">
            <v xml:space="preserve"> </v>
          </cell>
          <cell r="G267" t="str">
            <v xml:space="preserve"> </v>
          </cell>
          <cell r="H267" t="str">
            <v>SEE / DMSE / COORDENAÇÃO GERAL DE MONITORAMENTO DO DESEMPENHO DO SISTEMA ELÉTRICO</v>
          </cell>
          <cell r="I267" t="str">
            <v>12.102.400</v>
          </cell>
        </row>
        <row r="268">
          <cell r="A268" t="str">
            <v>JORGE RICARDO KAUTSCHER BENTO</v>
          </cell>
          <cell r="B268">
            <v>3106776</v>
          </cell>
          <cell r="C268" t="str">
            <v>Marinha</v>
          </cell>
          <cell r="D268" t="str">
            <v>Requisitado Militar</v>
          </cell>
          <cell r="E268" t="str">
            <v>Marinha</v>
          </cell>
          <cell r="F268" t="str">
            <v>DAS 102.3</v>
          </cell>
          <cell r="G268" t="str">
            <v xml:space="preserve"> </v>
          </cell>
          <cell r="H268" t="str">
            <v>GABINETE DO MINISTRO - GM</v>
          </cell>
          <cell r="I268" t="str">
            <v>2.000.000</v>
          </cell>
        </row>
        <row r="269">
          <cell r="A269" t="str">
            <v>JOSAFA FERREIRA DOS SANTOS</v>
          </cell>
          <cell r="B269">
            <v>455481</v>
          </cell>
          <cell r="C269" t="str">
            <v>Agente Administrativo</v>
          </cell>
          <cell r="D269" t="str">
            <v>Ativo Permanente</v>
          </cell>
          <cell r="E269" t="str">
            <v>MME - Ministério de Minas e Energia</v>
          </cell>
          <cell r="F269" t="str">
            <v>FCT 11</v>
          </cell>
          <cell r="G269" t="str">
            <v>GSISP Intermediário</v>
          </cell>
          <cell r="H269" t="str">
            <v>SE / SPOA / CGTI / COORDENAÇÃO DE TECNOLOGIA DE SISTEMAS DE INFORMAÇÃO - CTSI</v>
          </cell>
          <cell r="I269" t="str">
            <v>8.105.320</v>
          </cell>
        </row>
        <row r="270">
          <cell r="A270" t="str">
            <v>JOSE ANTONIO MARIA GONÇALVES</v>
          </cell>
          <cell r="B270">
            <v>1708418</v>
          </cell>
          <cell r="C270" t="str">
            <v>Auxiliar Codificação e Conferência</v>
          </cell>
          <cell r="D270" t="str">
            <v>Anistiado MME</v>
          </cell>
          <cell r="E270" t="str">
            <v>MME - Ministério de Minas e Energia</v>
          </cell>
          <cell r="F270" t="str">
            <v xml:space="preserve"> </v>
          </cell>
          <cell r="G270" t="str">
            <v xml:space="preserve"> </v>
          </cell>
          <cell r="H270" t="str">
            <v>Aguardando Lotação/Exercício</v>
          </cell>
          <cell r="I270" t="str">
            <v>88.000.000</v>
          </cell>
        </row>
        <row r="271">
          <cell r="A271" t="str">
            <v>JOSE ARMANDO RIBEIRO VASCONCELOS</v>
          </cell>
          <cell r="B271">
            <v>1100983</v>
          </cell>
          <cell r="C271" t="str">
            <v>Agente de Portaria</v>
          </cell>
          <cell r="D271" t="str">
            <v>Ativo Permanente</v>
          </cell>
          <cell r="E271" t="str">
            <v>MME - Ministério de Minas e Energia</v>
          </cell>
          <cell r="F271" t="str">
            <v>FGR 1</v>
          </cell>
          <cell r="G271" t="str">
            <v xml:space="preserve"> </v>
          </cell>
          <cell r="H271" t="str">
            <v>CONJUR / CGAA / COORDENAÇÃO DE APOIO ADMINISTRATIVO</v>
          </cell>
          <cell r="I271" t="str">
            <v>7.100.310</v>
          </cell>
        </row>
        <row r="272">
          <cell r="A272" t="str">
            <v>JOSE DA ABADIA SOARES DE JESUS</v>
          </cell>
          <cell r="B272">
            <v>452171</v>
          </cell>
          <cell r="C272" t="str">
            <v>Agente de Vigilância</v>
          </cell>
          <cell r="D272" t="str">
            <v>Ativo Permanente</v>
          </cell>
          <cell r="E272" t="str">
            <v>MME - Ministério de Minas e Energia</v>
          </cell>
          <cell r="F272" t="str">
            <v>FGR 1</v>
          </cell>
          <cell r="G272" t="str">
            <v xml:space="preserve"> </v>
          </cell>
          <cell r="H272" t="str">
            <v>SE / SPOA / CGRL / COORDENAÇÃO DE ATIVIDADES GERAIS - COAGE</v>
          </cell>
          <cell r="I272" t="str">
            <v>8.105.120</v>
          </cell>
        </row>
        <row r="273">
          <cell r="A273" t="str">
            <v>JOSE DOS SANTOS</v>
          </cell>
          <cell r="B273">
            <v>455958</v>
          </cell>
          <cell r="C273" t="str">
            <v>Agente de Portaria</v>
          </cell>
          <cell r="D273" t="str">
            <v>Ativo Permanente</v>
          </cell>
          <cell r="E273" t="str">
            <v>MME - Ministério de Minas e Energia</v>
          </cell>
          <cell r="F273" t="str">
            <v>FCT 11</v>
          </cell>
          <cell r="G273" t="str">
            <v xml:space="preserve"> </v>
          </cell>
          <cell r="H273" t="str">
            <v>GM / ASTAD / COORDENAÇÃO DE ATIVIDADES ADMINISTRATIVAS</v>
          </cell>
          <cell r="I273" t="str">
            <v>2.100.101</v>
          </cell>
        </row>
        <row r="274">
          <cell r="A274" t="str">
            <v>JOSE EUSTAQUIO PORTES</v>
          </cell>
          <cell r="B274">
            <v>454714</v>
          </cell>
          <cell r="C274" t="str">
            <v>Datilógrafo</v>
          </cell>
          <cell r="D274" t="str">
            <v>Ativo Permanente</v>
          </cell>
          <cell r="E274" t="str">
            <v>MME - Ministério de Minas e Energia</v>
          </cell>
          <cell r="F274" t="str">
            <v>FCT 4</v>
          </cell>
          <cell r="G274" t="str">
            <v xml:space="preserve"> </v>
          </cell>
          <cell r="H274" t="str">
            <v>SEE / DPUE / COORDENAÇÃO GERAL DE UNIVERSALIZAÇÃO DO ACESSO À ENERGIA</v>
          </cell>
          <cell r="I274" t="str">
            <v>12.103.200</v>
          </cell>
        </row>
        <row r="275">
          <cell r="A275" t="str">
            <v>JOSÉ EVANDRO NASCIMENTO CARVALHO</v>
          </cell>
          <cell r="B275">
            <v>454707</v>
          </cell>
          <cell r="C275" t="str">
            <v>Agente Administrativo</v>
          </cell>
          <cell r="D275" t="str">
            <v>Ativo Permanente</v>
          </cell>
          <cell r="E275" t="str">
            <v>MME - Ministério de Minas e Energia</v>
          </cell>
          <cell r="F275" t="str">
            <v>DAS 101.3</v>
          </cell>
          <cell r="G275" t="str">
            <v>GSISTE Intermediário</v>
          </cell>
          <cell r="H275" t="str">
            <v>SE / SPOA / CGRH / COORDENAÇÃO DE ADMINISTRAÇÃO DE PESSOAL - CAPES</v>
          </cell>
          <cell r="I275" t="str">
            <v>8.105.210</v>
          </cell>
        </row>
        <row r="276">
          <cell r="A276" t="str">
            <v>JOSE EVARISTO DA SILVA</v>
          </cell>
          <cell r="B276">
            <v>453005</v>
          </cell>
          <cell r="C276" t="str">
            <v>Datilógrafo</v>
          </cell>
          <cell r="D276" t="str">
            <v>Ativo Permanente</v>
          </cell>
          <cell r="E276" t="str">
            <v>MME - Ministério de Minas e Energia</v>
          </cell>
          <cell r="F276" t="str">
            <v>DAS 102.2</v>
          </cell>
          <cell r="G276" t="str">
            <v xml:space="preserve"> </v>
          </cell>
          <cell r="H276" t="str">
            <v>GM / ASTAD / COORDENAÇÃO DE ATIVIDADES ADMINISTRATIVAS</v>
          </cell>
          <cell r="I276" t="str">
            <v>2.100.101</v>
          </cell>
        </row>
        <row r="277">
          <cell r="A277" t="str">
            <v>JOSE LUIZ UBALDINO DE LIMA</v>
          </cell>
          <cell r="B277">
            <v>2663818</v>
          </cell>
          <cell r="C277" t="str">
            <v>Analista de Infraestrutura</v>
          </cell>
          <cell r="D277" t="str">
            <v>Exercício Descentralizado</v>
          </cell>
          <cell r="E277" t="str">
            <v>ME - Ministério da Economia</v>
          </cell>
          <cell r="F277" t="str">
            <v>FCPE 101.4</v>
          </cell>
          <cell r="G277" t="str">
            <v xml:space="preserve"> </v>
          </cell>
          <cell r="H277" t="str">
            <v>SGM / DGPM / COORDENAÇÃO GERAL DE GEOLOGIA E RECURSOS MINERAIS</v>
          </cell>
          <cell r="I277" t="str">
            <v>9.102.100</v>
          </cell>
        </row>
        <row r="278">
          <cell r="A278" t="str">
            <v>JOSE MANOEL DE SOUZA NETO</v>
          </cell>
          <cell r="B278">
            <v>451458</v>
          </cell>
          <cell r="C278" t="str">
            <v>Agente Administrativo</v>
          </cell>
          <cell r="D278" t="str">
            <v>Ativo Permanente</v>
          </cell>
          <cell r="E278" t="str">
            <v>MME - Ministério de Minas e Energia</v>
          </cell>
          <cell r="F278" t="str">
            <v xml:space="preserve"> </v>
          </cell>
          <cell r="G278" t="str">
            <v>GSISTE Intermediário</v>
          </cell>
          <cell r="H278" t="str">
            <v>GM / ASTAD / COORDENAÇÃO DE ATIVIDADES ADMINISTRATIVAS</v>
          </cell>
          <cell r="I278" t="str">
            <v>2.100.101</v>
          </cell>
        </row>
        <row r="279">
          <cell r="A279" t="str">
            <v>JOSE MAURO FERREIRA COELHO</v>
          </cell>
          <cell r="B279">
            <v>0</v>
          </cell>
          <cell r="C279" t="str">
            <v>Analista de Pesquisa Energética</v>
          </cell>
          <cell r="D279" t="str">
            <v>Requisitado de Órgãos</v>
          </cell>
          <cell r="E279" t="str">
            <v>EPE - Empresa de Pesquisa Energética</v>
          </cell>
          <cell r="F279" t="str">
            <v>DAS 101.6</v>
          </cell>
          <cell r="G279" t="str">
            <v xml:space="preserve"> </v>
          </cell>
          <cell r="H279" t="str">
            <v>SECRETARIA DE PETRÓLEO, GÁS NATURAL E BIOCOMBUSTÍVEIS - SPG</v>
          </cell>
          <cell r="I279" t="str">
            <v>11.000.000</v>
          </cell>
        </row>
        <row r="280">
          <cell r="A280" t="str">
            <v>JOSE REINALDO DA SILVA</v>
          </cell>
          <cell r="B280">
            <v>1678890</v>
          </cell>
          <cell r="C280" t="str">
            <v>Bombeiro Hidraulico</v>
          </cell>
          <cell r="D280" t="str">
            <v>Anistiado MME</v>
          </cell>
          <cell r="E280" t="str">
            <v>MME - Ministério de Minas e Energia</v>
          </cell>
          <cell r="F280" t="str">
            <v xml:space="preserve"> </v>
          </cell>
          <cell r="G280" t="str">
            <v xml:space="preserve"> </v>
          </cell>
          <cell r="H280" t="str">
            <v>SE / SPOA / CGRL / COORDENAÇÃO DE ATIVIDADES GERAIS - COAGE</v>
          </cell>
          <cell r="I280" t="str">
            <v>8.105.120</v>
          </cell>
        </row>
        <row r="281">
          <cell r="A281" t="str">
            <v>JOSE ROBERTO BUENO JUNIOR</v>
          </cell>
          <cell r="B281">
            <v>1530778</v>
          </cell>
          <cell r="C281" t="str">
            <v>Sem Cargo/Emprego</v>
          </cell>
          <cell r="D281" t="str">
            <v>Sem Vínculo</v>
          </cell>
          <cell r="E281" t="str">
            <v>Sem Vínculo</v>
          </cell>
          <cell r="F281" t="str">
            <v>DAS 101.5</v>
          </cell>
          <cell r="G281" t="str">
            <v xml:space="preserve"> </v>
          </cell>
          <cell r="H281" t="str">
            <v>GM/ CHEFIA DE GABINETE GM</v>
          </cell>
          <cell r="I281" t="str">
            <v>2.100.000</v>
          </cell>
        </row>
        <row r="282">
          <cell r="A282" t="str">
            <v>JOSE VITOR ALVES DA COSTA</v>
          </cell>
          <cell r="B282">
            <v>1670851</v>
          </cell>
          <cell r="C282" t="str">
            <v>Motorista</v>
          </cell>
          <cell r="D282" t="str">
            <v>Anistiado MME</v>
          </cell>
          <cell r="E282" t="str">
            <v>MME - Ministério de Minas e Energia</v>
          </cell>
          <cell r="F282" t="str">
            <v xml:space="preserve"> </v>
          </cell>
          <cell r="G282" t="str">
            <v xml:space="preserve"> </v>
          </cell>
          <cell r="H282" t="str">
            <v>SE / SPOA / CGRL / COORDENAÇÃO DE ATIVIDADES GERAIS - COAGE</v>
          </cell>
          <cell r="I282" t="str">
            <v>8.105.120</v>
          </cell>
        </row>
        <row r="283">
          <cell r="A283" t="str">
            <v>JOSEIZA ATAIDE DE CASTRO</v>
          </cell>
          <cell r="B283">
            <v>1670504</v>
          </cell>
          <cell r="C283" t="str">
            <v>Codificador de Dados I</v>
          </cell>
          <cell r="D283" t="str">
            <v>Anistiado MME</v>
          </cell>
          <cell r="E283" t="str">
            <v>MME - Ministério de Minas e Energia</v>
          </cell>
          <cell r="F283" t="str">
            <v xml:space="preserve"> </v>
          </cell>
          <cell r="G283" t="str">
            <v xml:space="preserve"> </v>
          </cell>
          <cell r="H283" t="str">
            <v>SE / SPOA / COORDENAÇÃO GERAL DE RECURSOS HUMANOS - CGRH</v>
          </cell>
          <cell r="I283" t="str">
            <v>8.105.200</v>
          </cell>
        </row>
        <row r="284">
          <cell r="A284" t="str">
            <v>JOSELITA RODRIGUES DINIZ AZEVEDO</v>
          </cell>
          <cell r="B284">
            <v>1669504</v>
          </cell>
          <cell r="C284" t="str">
            <v>Escriturário III</v>
          </cell>
          <cell r="D284" t="str">
            <v>Anistiado MME</v>
          </cell>
          <cell r="E284" t="str">
            <v>MME - Ministério de Minas e Energia</v>
          </cell>
          <cell r="F284" t="str">
            <v xml:space="preserve"> </v>
          </cell>
          <cell r="G284" t="str">
            <v xml:space="preserve"> </v>
          </cell>
          <cell r="H284" t="str">
            <v>SE / SPOA / CGRL / COORDENAÇÃO DE ATIVIDADES GERAIS - COAGE</v>
          </cell>
          <cell r="I284" t="str">
            <v>8.105.120</v>
          </cell>
        </row>
        <row r="285">
          <cell r="A285" t="str">
            <v>JOSIAS DO CANTO FERNANDES</v>
          </cell>
          <cell r="B285">
            <v>6456060</v>
          </cell>
          <cell r="C285" t="str">
            <v>Analista de Informações</v>
          </cell>
          <cell r="D285" t="str">
            <v>Ativo Permanente</v>
          </cell>
          <cell r="E285" t="str">
            <v>MME - Ministério de Minas e Energia</v>
          </cell>
          <cell r="F285" t="str">
            <v xml:space="preserve"> </v>
          </cell>
          <cell r="G285" t="str">
            <v>GSISTE Superior</v>
          </cell>
          <cell r="H285" t="str">
            <v>SE / SPOA / COORDENAÇÃO GERAL DE RECURSOS HUMANOS - CGRH</v>
          </cell>
          <cell r="I285" t="str">
            <v>8.105.200</v>
          </cell>
        </row>
        <row r="286">
          <cell r="A286" t="str">
            <v>JOSUE DE ARAUJO</v>
          </cell>
          <cell r="B286">
            <v>1439997</v>
          </cell>
          <cell r="C286" t="str">
            <v>Analista em Tecnologia da Informação</v>
          </cell>
          <cell r="D286" t="str">
            <v>Exercício Descentralizado</v>
          </cell>
          <cell r="E286" t="str">
            <v>ME - Ministério da Economia</v>
          </cell>
          <cell r="F286" t="str">
            <v xml:space="preserve"> </v>
          </cell>
          <cell r="G286" t="str">
            <v xml:space="preserve"> </v>
          </cell>
          <cell r="H286" t="str">
            <v>SE / SPOA / CGTI / COORDENAÇÃO DE TECNOLOGIA DE SISTEMAS DE INFORMAÇÃO - CTSI</v>
          </cell>
          <cell r="I286" t="str">
            <v>8.105.320</v>
          </cell>
        </row>
        <row r="287">
          <cell r="A287" t="str">
            <v>JUAN LUIS DANILO CATALAN ZAMUDIO</v>
          </cell>
          <cell r="B287">
            <v>1373497</v>
          </cell>
          <cell r="C287" t="str">
            <v>Analista de Tecnologia da Informação</v>
          </cell>
          <cell r="D287" t="str">
            <v>Requisitado de Empresa</v>
          </cell>
          <cell r="E287" t="str">
            <v>DATAPREV - Empresa de Tecnologia e Informações da Previdência</v>
          </cell>
          <cell r="F287" t="str">
            <v>DAS 102.4</v>
          </cell>
          <cell r="G287" t="str">
            <v xml:space="preserve"> </v>
          </cell>
          <cell r="H287" t="str">
            <v>SEE / CHEFIA DE GABINETE SEE</v>
          </cell>
          <cell r="I287" t="str">
            <v>12.100.000</v>
          </cell>
        </row>
        <row r="288">
          <cell r="A288" t="str">
            <v>JUAREZ DUARTE FRANCO</v>
          </cell>
          <cell r="B288">
            <v>451667</v>
          </cell>
          <cell r="C288" t="str">
            <v>Agente Administrativo</v>
          </cell>
          <cell r="D288" t="str">
            <v>Ativo Permanente</v>
          </cell>
          <cell r="E288" t="str">
            <v>MME - Ministério de Minas e Energia</v>
          </cell>
          <cell r="F288" t="str">
            <v>FCPE 101.3</v>
          </cell>
          <cell r="G288" t="str">
            <v xml:space="preserve"> </v>
          </cell>
          <cell r="H288" t="str">
            <v>CONJUR / CGAA / COORDENAÇÃO DE APOIO ADMINISTRATIVO</v>
          </cell>
          <cell r="I288" t="str">
            <v>7.100.310</v>
          </cell>
        </row>
        <row r="289">
          <cell r="A289" t="str">
            <v>JULIA MELO MENESES</v>
          </cell>
          <cell r="B289">
            <v>1669136</v>
          </cell>
          <cell r="C289" t="str">
            <v>Auxiliar Codificação e Conferência</v>
          </cell>
          <cell r="D289" t="str">
            <v>Anistiado MME</v>
          </cell>
          <cell r="E289" t="str">
            <v>MME - Ministério de Minas e Energia</v>
          </cell>
          <cell r="F289" t="str">
            <v xml:space="preserve"> </v>
          </cell>
          <cell r="G289" t="str">
            <v xml:space="preserve"> </v>
          </cell>
          <cell r="H289" t="str">
            <v>SE / SPOA / CGRH / COORDENAÇÃO DE DESENVOLVIMENTO E SEGURIDADE SOCIAL - CODES</v>
          </cell>
          <cell r="I289" t="str">
            <v>8.105.220</v>
          </cell>
        </row>
        <row r="290">
          <cell r="A290" t="str">
            <v>JULIANA PEREIRA DA SILVA</v>
          </cell>
          <cell r="B290">
            <v>1717625</v>
          </cell>
          <cell r="C290" t="str">
            <v>Sem Cargo/Emprego</v>
          </cell>
          <cell r="D290" t="str">
            <v>Sem Vínculo</v>
          </cell>
          <cell r="E290" t="str">
            <v>Sem Vínculo</v>
          </cell>
          <cell r="F290" t="str">
            <v>DAS 102.2</v>
          </cell>
          <cell r="G290" t="str">
            <v xml:space="preserve"> </v>
          </cell>
          <cell r="H290" t="str">
            <v>SPE / DEPARTAMENTO DE OUTORGAS DE CONCESSÕES, PERMISSÕES E AUTORIZAÇÕES - DOC</v>
          </cell>
          <cell r="I290" t="str">
            <v>10.103.000</v>
          </cell>
        </row>
        <row r="291">
          <cell r="A291" t="str">
            <v>JULIANA SOBREIRA PEREIRA DAVEY</v>
          </cell>
          <cell r="B291">
            <v>1131440</v>
          </cell>
          <cell r="C291" t="str">
            <v>Analista de Infraestrutura</v>
          </cell>
          <cell r="D291" t="str">
            <v>Exercício Descentralizado</v>
          </cell>
          <cell r="E291" t="str">
            <v>ME - Ministério da Economia</v>
          </cell>
          <cell r="F291" t="str">
            <v xml:space="preserve"> </v>
          </cell>
          <cell r="G291" t="str">
            <v xml:space="preserve"> </v>
          </cell>
          <cell r="H291" t="str">
            <v>SGM / DEPARTAMENTO DE GESTÃO DAS POLÍTICAS DE GEOLOGIA, MINERAÇÃOE TRANSFORMAÇÃO - DPGM</v>
          </cell>
          <cell r="I291" t="str">
            <v>9.101.000</v>
          </cell>
        </row>
        <row r="292">
          <cell r="A292" t="str">
            <v>JULIETTE QUEIROZ MONSA</v>
          </cell>
          <cell r="B292">
            <v>2353624</v>
          </cell>
          <cell r="C292" t="str">
            <v>Sem Cargo/Emprego</v>
          </cell>
          <cell r="D292" t="str">
            <v>Sem Vínculo</v>
          </cell>
          <cell r="E292" t="str">
            <v>Sem Vínculo</v>
          </cell>
          <cell r="F292" t="str">
            <v>DAS 101.4</v>
          </cell>
          <cell r="G292" t="str">
            <v xml:space="preserve"> </v>
          </cell>
          <cell r="H292" t="str">
            <v>SE / CHEFIA DE GABINETE SE</v>
          </cell>
          <cell r="I292" t="str">
            <v>8.100.000</v>
          </cell>
        </row>
        <row r="293">
          <cell r="A293" t="str">
            <v>JULIO CESAR MELLO RODRIGUES</v>
          </cell>
          <cell r="B293">
            <v>1423510</v>
          </cell>
          <cell r="C293" t="str">
            <v>Especialista em Política Pública e Gestão Governamental</v>
          </cell>
          <cell r="D293" t="str">
            <v>Requisitado de Órgãos</v>
          </cell>
          <cell r="E293" t="str">
            <v>ANM - Agência Nacional de Mineração</v>
          </cell>
          <cell r="F293" t="str">
            <v xml:space="preserve"> </v>
          </cell>
          <cell r="G293" t="str">
            <v>GSISP Superior</v>
          </cell>
          <cell r="H293" t="str">
            <v>SE / ASSESSORIA ESPECIAL DE GESTÃO ESTRATÉGICA - AEGE</v>
          </cell>
          <cell r="I293" t="str">
            <v>8.101.000</v>
          </cell>
        </row>
        <row r="294">
          <cell r="A294" t="str">
            <v>JUSCELINO DE SOUSA SANTOS</v>
          </cell>
          <cell r="B294">
            <v>758361</v>
          </cell>
          <cell r="C294" t="str">
            <v>Motorista Oficial</v>
          </cell>
          <cell r="D294" t="str">
            <v>Ativo Permanente</v>
          </cell>
          <cell r="E294" t="str">
            <v>MME - Ministério de Minas e Energia</v>
          </cell>
          <cell r="F294" t="str">
            <v>FGR 1</v>
          </cell>
          <cell r="G294" t="str">
            <v xml:space="preserve"> </v>
          </cell>
          <cell r="H294" t="str">
            <v>SE / SPOA / CGRL / COORDENAÇÃO DE ATIVIDADES GERAIS - COAGE</v>
          </cell>
          <cell r="I294" t="str">
            <v>8.105.120</v>
          </cell>
        </row>
        <row r="295">
          <cell r="A295" t="str">
            <v>KATIA HOLANDA DE CARVALHO</v>
          </cell>
          <cell r="B295">
            <v>451665</v>
          </cell>
          <cell r="C295" t="str">
            <v>Agente Administrativo</v>
          </cell>
          <cell r="D295" t="str">
            <v>Ativo Permanente</v>
          </cell>
          <cell r="E295" t="str">
            <v>MME - Ministério de Minas e Energia</v>
          </cell>
          <cell r="F295" t="str">
            <v>FCT 3</v>
          </cell>
          <cell r="G295" t="str">
            <v>GSISTE Intermediário</v>
          </cell>
          <cell r="H295" t="str">
            <v>SE / SPOA / CGRL / COORDENAÇÃO DE ATIVIDADES GERAIS - COAGE</v>
          </cell>
          <cell r="I295" t="str">
            <v>8.105.120</v>
          </cell>
        </row>
        <row r="296">
          <cell r="A296" t="str">
            <v>KAZIMIERZ JOSEF CUDO</v>
          </cell>
          <cell r="B296">
            <v>1776063</v>
          </cell>
          <cell r="C296" t="str">
            <v>Engenheiro Químico</v>
          </cell>
          <cell r="D296" t="str">
            <v>Anistiado MME</v>
          </cell>
          <cell r="E296" t="str">
            <v>MME - Ministério de Minas e Energia</v>
          </cell>
          <cell r="F296" t="str">
            <v xml:space="preserve"> </v>
          </cell>
          <cell r="G296" t="str">
            <v xml:space="preserve"> </v>
          </cell>
          <cell r="H296" t="str">
            <v>SEE / DPUE / COORDENAÇÃO GERAL DE DESENVOLVIMENTO DE POLÍTICAS SOCIAIS</v>
          </cell>
          <cell r="I296" t="str">
            <v>12.103.100</v>
          </cell>
        </row>
        <row r="297">
          <cell r="A297" t="str">
            <v>KISNEY VIEIRA DOS SANTOS</v>
          </cell>
          <cell r="B297">
            <v>1953997</v>
          </cell>
          <cell r="C297" t="str">
            <v>Sem Cargo/Emprego</v>
          </cell>
          <cell r="D297" t="str">
            <v>Sem Vínculo</v>
          </cell>
          <cell r="E297" t="str">
            <v>Sem Vínculo</v>
          </cell>
          <cell r="F297" t="str">
            <v>DAS 102.2</v>
          </cell>
          <cell r="G297" t="str">
            <v xml:space="preserve"> </v>
          </cell>
          <cell r="H297" t="str">
            <v>SEE / DPUE / COORDENAÇÃO GERAL DE DESENVOLVIMENTO DE POLÍTICAS SOCIAIS</v>
          </cell>
          <cell r="I297" t="str">
            <v>12.103.100</v>
          </cell>
        </row>
        <row r="298">
          <cell r="A298" t="str">
            <v>LÁZARA GOMES DOS SANTOS</v>
          </cell>
          <cell r="B298">
            <v>6454710</v>
          </cell>
          <cell r="C298" t="str">
            <v>Agente Administrativo</v>
          </cell>
          <cell r="D298" t="str">
            <v>Exercício Descentralizado</v>
          </cell>
          <cell r="E298" t="str">
            <v>AGU - Advocacia Geral da União</v>
          </cell>
          <cell r="F298" t="str">
            <v>FCPE 102.2</v>
          </cell>
          <cell r="G298" t="str">
            <v xml:space="preserve"> </v>
          </cell>
          <cell r="H298" t="str">
            <v>CONJUR / CGAA / COORDENAÇÃO DE APOIO ADMINISTRATIVO</v>
          </cell>
          <cell r="I298" t="str">
            <v>7.100.310</v>
          </cell>
        </row>
        <row r="299">
          <cell r="A299" t="str">
            <v>LEA DE FREITAS</v>
          </cell>
          <cell r="B299">
            <v>1779396</v>
          </cell>
          <cell r="C299" t="str">
            <v>Digitador II</v>
          </cell>
          <cell r="D299" t="str">
            <v>Anistiado MME</v>
          </cell>
          <cell r="E299" t="str">
            <v>MME - Ministério de Minas e Energia</v>
          </cell>
          <cell r="F299" t="str">
            <v xml:space="preserve"> </v>
          </cell>
          <cell r="G299" t="str">
            <v xml:space="preserve"> </v>
          </cell>
          <cell r="H299" t="str">
            <v>SE / SPOA / CGRH / COORDENAÇÃO DE DESENVOLVIMENTO E SEGURIDADE SOCIAL - CODES</v>
          </cell>
          <cell r="I299" t="str">
            <v>8.105.220</v>
          </cell>
        </row>
        <row r="300">
          <cell r="A300" t="str">
            <v>LEILA MARIA BASTOS PERES DOS SANTOS</v>
          </cell>
          <cell r="B300">
            <v>2724516</v>
          </cell>
          <cell r="C300" t="str">
            <v>Sem Cargo/Emprego</v>
          </cell>
          <cell r="D300" t="str">
            <v>Sem Vínculo</v>
          </cell>
          <cell r="E300" t="str">
            <v>Sem Vínculo</v>
          </cell>
          <cell r="F300" t="str">
            <v>DAS 102.2</v>
          </cell>
          <cell r="G300" t="str">
            <v xml:space="preserve"> </v>
          </cell>
          <cell r="H300" t="str">
            <v>GM / ASSESSORIA DE APOIO AO MINISTRO - AAM</v>
          </cell>
          <cell r="I300" t="str">
            <v>2.100.400</v>
          </cell>
        </row>
        <row r="301">
          <cell r="A301" t="str">
            <v>LEILA PRZYTYK</v>
          </cell>
          <cell r="B301">
            <v>2437158</v>
          </cell>
          <cell r="C301" t="str">
            <v>Auditor Federal de Finanças e Controle</v>
          </cell>
          <cell r="D301" t="str">
            <v>Requisitado de Órgãos</v>
          </cell>
          <cell r="E301" t="str">
            <v>ME - Ministério da Economia</v>
          </cell>
          <cell r="F301" t="str">
            <v>DAS 102.4</v>
          </cell>
          <cell r="G301" t="str">
            <v xml:space="preserve"> </v>
          </cell>
          <cell r="H301" t="str">
            <v>ASSESSORIA ESPECIAL DE ASSUNTOS ECONÔMICOS - ASSEC</v>
          </cell>
          <cell r="I301" t="str">
            <v>6.000.000</v>
          </cell>
        </row>
        <row r="302">
          <cell r="A302" t="str">
            <v>LEOBINA CARDIAL DA SILVA SOARES</v>
          </cell>
          <cell r="B302">
            <v>1692146</v>
          </cell>
          <cell r="C302" t="str">
            <v>Servente</v>
          </cell>
          <cell r="D302" t="str">
            <v>Anistiado MME</v>
          </cell>
          <cell r="E302" t="str">
            <v>MME - Ministério de Minas e Energia</v>
          </cell>
          <cell r="F302" t="str">
            <v xml:space="preserve"> </v>
          </cell>
          <cell r="G302" t="str">
            <v xml:space="preserve"> </v>
          </cell>
          <cell r="H302" t="str">
            <v>SE / AEGP / CGPF / COORDENAÇÃO ADMINISTRATIVA</v>
          </cell>
          <cell r="I302" t="str">
            <v>8.103.110</v>
          </cell>
        </row>
        <row r="303">
          <cell r="A303" t="str">
            <v>LEONARDO BATISTA XAVIER</v>
          </cell>
          <cell r="B303">
            <v>456020</v>
          </cell>
          <cell r="C303" t="str">
            <v>Agente de Portaria</v>
          </cell>
          <cell r="D303" t="str">
            <v>Ativo Permanente</v>
          </cell>
          <cell r="E303" t="str">
            <v>MME - Ministério de Minas e Energia</v>
          </cell>
          <cell r="F303" t="str">
            <v>FGR 1</v>
          </cell>
          <cell r="G303" t="str">
            <v xml:space="preserve"> </v>
          </cell>
          <cell r="H303" t="str">
            <v>SE / SPOA / CGRL / COORDENAÇÃO DE ATIVIDADES GERAIS - COAGE</v>
          </cell>
          <cell r="I303" t="str">
            <v>8.105.120</v>
          </cell>
        </row>
        <row r="304">
          <cell r="A304" t="str">
            <v>LEONARDO FREIRE DE OLIVEIRA GARCIA</v>
          </cell>
          <cell r="B304">
            <v>1258785</v>
          </cell>
          <cell r="C304" t="str">
            <v>Analista Técnico Administrativo</v>
          </cell>
          <cell r="D304" t="str">
            <v>Requisitado de Órgãos</v>
          </cell>
          <cell r="E304" t="str">
            <v>MJSP - Ministério da Justiça e Segurança Pública</v>
          </cell>
          <cell r="F304" t="str">
            <v xml:space="preserve"> </v>
          </cell>
          <cell r="G304" t="str">
            <v>GSISTE Superior</v>
          </cell>
          <cell r="H304" t="str">
            <v>SE / SPOA / CGRL / COORDENAÇÃO DE ATIVIDADES GERAIS - COAGE</v>
          </cell>
          <cell r="I304" t="str">
            <v>8.105.120</v>
          </cell>
        </row>
        <row r="305">
          <cell r="A305" t="str">
            <v>LEVI MOSQUEIRA</v>
          </cell>
          <cell r="B305">
            <v>1718781</v>
          </cell>
          <cell r="C305" t="str">
            <v>Programador de Sistema II</v>
          </cell>
          <cell r="D305" t="str">
            <v>Anistiado MME</v>
          </cell>
          <cell r="E305" t="str">
            <v>MME - Ministério de Minas e Energia</v>
          </cell>
          <cell r="F305" t="str">
            <v xml:space="preserve"> </v>
          </cell>
          <cell r="G305" t="str">
            <v xml:space="preserve"> </v>
          </cell>
          <cell r="H305" t="str">
            <v>SE / SPOA / CGRH / COORDENAÇÃO DE DESENVOLVIMENTO E SEGURIDADE SOCIAL - CODES</v>
          </cell>
          <cell r="I305" t="str">
            <v>8.105.220</v>
          </cell>
        </row>
        <row r="306">
          <cell r="A306" t="str">
            <v>LIDINEIA MACEDO VILAR</v>
          </cell>
          <cell r="B306">
            <v>1094887</v>
          </cell>
          <cell r="C306" t="str">
            <v>Técnico de Arquivo</v>
          </cell>
          <cell r="D306" t="str">
            <v>Ativo Permanente</v>
          </cell>
          <cell r="E306" t="str">
            <v>MME - Ministério de Minas e Energia</v>
          </cell>
          <cell r="F306" t="str">
            <v>FGR 1</v>
          </cell>
          <cell r="G306" t="str">
            <v xml:space="preserve"> </v>
          </cell>
          <cell r="H306" t="str">
            <v>SPE / CHEFIA DE GABINETE SPE</v>
          </cell>
          <cell r="I306" t="str">
            <v>10.100.000</v>
          </cell>
        </row>
        <row r="307">
          <cell r="A307" t="str">
            <v>LILIA MASCARENHAS SANT'AGOSTINO</v>
          </cell>
          <cell r="B307">
            <v>2332375</v>
          </cell>
          <cell r="C307" t="str">
            <v>Sem Cargo/Emprego</v>
          </cell>
          <cell r="D307" t="str">
            <v>Sem Vínculo</v>
          </cell>
          <cell r="E307" t="str">
            <v>Sem Vínculo</v>
          </cell>
          <cell r="F307" t="str">
            <v>DAS 101.5</v>
          </cell>
          <cell r="G307" t="str">
            <v xml:space="preserve"> </v>
          </cell>
          <cell r="H307" t="str">
            <v>SGM / CHEFIA DE GABINETE SGM</v>
          </cell>
          <cell r="I307" t="str">
            <v>9.100.000</v>
          </cell>
        </row>
        <row r="308">
          <cell r="A308" t="str">
            <v>LISANDRA PEREIRA DA FONSECA</v>
          </cell>
          <cell r="B308">
            <v>2210836</v>
          </cell>
          <cell r="C308" t="str">
            <v>Sem Cargo/Emprego</v>
          </cell>
          <cell r="D308" t="str">
            <v>Sem Vínculo</v>
          </cell>
          <cell r="E308" t="str">
            <v>Sem Vínculo</v>
          </cell>
          <cell r="F308" t="str">
            <v>DAS 102.2</v>
          </cell>
          <cell r="G308" t="str">
            <v xml:space="preserve"> </v>
          </cell>
          <cell r="H308" t="str">
            <v>GM / ASSESSORIA DE COMUNICAÇÃO SOCIAL - ASCOM</v>
          </cell>
          <cell r="I308" t="str">
            <v>2.100.300</v>
          </cell>
        </row>
        <row r="309">
          <cell r="A309" t="str">
            <v>LIVIO TEIXEIRA DE ANDRADE FILHO</v>
          </cell>
          <cell r="B309">
            <v>3458938</v>
          </cell>
          <cell r="C309" t="str">
            <v>Analista de Infraestrutura</v>
          </cell>
          <cell r="D309" t="str">
            <v>Exercício Descentralizado</v>
          </cell>
          <cell r="E309" t="str">
            <v>ME - Ministério da Economia</v>
          </cell>
          <cell r="F309" t="str">
            <v>DAS 101.4</v>
          </cell>
          <cell r="G309" t="str">
            <v xml:space="preserve"> </v>
          </cell>
          <cell r="H309" t="str">
            <v>SPE / DDE / COORDENAÇÃO GERAL DE FONTES ALTERNATIVAS</v>
          </cell>
          <cell r="I309" t="str">
            <v>10.102.300</v>
          </cell>
        </row>
        <row r="310">
          <cell r="A310" t="str">
            <v>LORENA LOPES DE MORAES</v>
          </cell>
          <cell r="B310">
            <v>1456830</v>
          </cell>
          <cell r="C310" t="str">
            <v>Sem Cargo/Emprego</v>
          </cell>
          <cell r="D310" t="str">
            <v>Sem Vínculo</v>
          </cell>
          <cell r="E310" t="str">
            <v>Sem Vínculo</v>
          </cell>
          <cell r="F310" t="str">
            <v>DAS 102.2</v>
          </cell>
          <cell r="G310" t="str">
            <v xml:space="preserve"> </v>
          </cell>
          <cell r="H310" t="str">
            <v>SGM / DDM / COORDENAÇÃO GERAL DE DESENVOLVIMENTO SOCIOAMBIENTAL NA MINERAÇÃO</v>
          </cell>
          <cell r="I310" t="str">
            <v>9.104.100</v>
          </cell>
        </row>
        <row r="311">
          <cell r="A311" t="str">
            <v>LORENA MELO SILVA</v>
          </cell>
          <cell r="B311">
            <v>3974664</v>
          </cell>
          <cell r="C311" t="str">
            <v>Analista de Infraestrutura</v>
          </cell>
          <cell r="D311" t="str">
            <v>Exercício Descentralizado</v>
          </cell>
          <cell r="E311" t="str">
            <v>ME - Ministério da Economia</v>
          </cell>
          <cell r="F311" t="str">
            <v>DAS 102.4</v>
          </cell>
          <cell r="G311" t="str">
            <v xml:space="preserve"> </v>
          </cell>
          <cell r="H311" t="str">
            <v>SPE / DEPARTAMENTO DE PLANEJAMENTO ENERGÉTICO - DPE</v>
          </cell>
          <cell r="I311" t="str">
            <v>10.101.000</v>
          </cell>
        </row>
        <row r="312">
          <cell r="A312" t="str">
            <v>LOURDES CAETANO PEREIRA</v>
          </cell>
          <cell r="B312">
            <v>1339851</v>
          </cell>
          <cell r="C312" t="str">
            <v>Auxiliar de Controle</v>
          </cell>
          <cell r="D312" t="str">
            <v>Anistiado MME</v>
          </cell>
          <cell r="E312" t="str">
            <v>MME - Ministério de Minas e Energia</v>
          </cell>
          <cell r="F312" t="str">
            <v xml:space="preserve"> </v>
          </cell>
          <cell r="G312" t="str">
            <v xml:space="preserve"> </v>
          </cell>
          <cell r="H312" t="str">
            <v>SE / SPOA / COORDENAÇÃO GERAL DE RECURSOS HUMANOS - CGRH</v>
          </cell>
          <cell r="I312" t="str">
            <v>8.105.200</v>
          </cell>
        </row>
        <row r="313">
          <cell r="A313" t="str">
            <v>LUCAS GOMES AMORIM</v>
          </cell>
          <cell r="B313">
            <v>1413502</v>
          </cell>
          <cell r="C313" t="str">
            <v>Sem Cargo/Emprego</v>
          </cell>
          <cell r="D313" t="str">
            <v>Sem Vínculo</v>
          </cell>
          <cell r="E313" t="str">
            <v>Sem Vínculo</v>
          </cell>
          <cell r="F313" t="str">
            <v>DAS 102.1</v>
          </cell>
          <cell r="G313" t="str">
            <v xml:space="preserve"> </v>
          </cell>
          <cell r="H313" t="str">
            <v>GM / ASSESSORIA TÉCNICA E ADMINISTRATIVA - ASTAD</v>
          </cell>
          <cell r="I313" t="str">
            <v>2.100.100</v>
          </cell>
        </row>
        <row r="314">
          <cell r="A314" t="str">
            <v>LUCIA MARIA DE ALMEIDA MOYSÉS</v>
          </cell>
          <cell r="B314">
            <v>451578</v>
          </cell>
          <cell r="C314" t="str">
            <v>Administrador</v>
          </cell>
          <cell r="D314" t="str">
            <v>Ativo Permanente</v>
          </cell>
          <cell r="E314" t="str">
            <v>MME - Ministério de Minas e Energia</v>
          </cell>
          <cell r="F314" t="str">
            <v>FGR 1</v>
          </cell>
          <cell r="G314" t="str">
            <v>GSISTE Superior</v>
          </cell>
          <cell r="H314" t="str">
            <v>SE / SPOA / CGRH / COORDENAÇÃO DE ADMINISTRAÇÃO DE PESSOAL - CAPES</v>
          </cell>
          <cell r="I314" t="str">
            <v>8.105.210</v>
          </cell>
        </row>
        <row r="315">
          <cell r="A315" t="str">
            <v>LUCIA MARIA PRACIANO MINERVINO</v>
          </cell>
          <cell r="B315">
            <v>1673954</v>
          </cell>
          <cell r="C315" t="str">
            <v>Assistente Técnico</v>
          </cell>
          <cell r="D315" t="str">
            <v>Anistiado MME</v>
          </cell>
          <cell r="E315" t="str">
            <v>MME - Ministério de Minas e Energia</v>
          </cell>
          <cell r="F315" t="str">
            <v xml:space="preserve"> </v>
          </cell>
          <cell r="G315" t="str">
            <v xml:space="preserve"> </v>
          </cell>
          <cell r="H315" t="str">
            <v>SPE / DEPARTAMENTO DE PLANEJAMENTO ENERGÉTICO - DPE</v>
          </cell>
          <cell r="I315" t="str">
            <v>10.101.000</v>
          </cell>
        </row>
        <row r="316">
          <cell r="A316" t="str">
            <v>LUCIANA RODRIGUES DUTRA</v>
          </cell>
          <cell r="B316">
            <v>1185583</v>
          </cell>
          <cell r="C316" t="str">
            <v>Documentação</v>
          </cell>
          <cell r="D316" t="str">
            <v>Requisitado de Órgãos</v>
          </cell>
          <cell r="E316" t="str">
            <v>FCP - Fundação Cultural Palmares</v>
          </cell>
          <cell r="F316" t="str">
            <v xml:space="preserve"> </v>
          </cell>
          <cell r="G316" t="str">
            <v>GSISTE Superior</v>
          </cell>
          <cell r="H316" t="str">
            <v>SE / SPOA / CGRL / COORDENAÇÃO DE ATIVIDADES GERAIS - COAGE</v>
          </cell>
          <cell r="I316" t="str">
            <v>8.105.120</v>
          </cell>
        </row>
        <row r="317">
          <cell r="A317" t="str">
            <v>LUCIANO DA SILVA TEIXEIRA</v>
          </cell>
          <cell r="B317">
            <v>4686676</v>
          </cell>
          <cell r="C317" t="str">
            <v>Analista de Infraestrutura</v>
          </cell>
          <cell r="D317" t="str">
            <v>Exercício Descentralizado</v>
          </cell>
          <cell r="E317" t="str">
            <v>ME - Ministério da Economia</v>
          </cell>
          <cell r="F317" t="str">
            <v>FCPE 101.3</v>
          </cell>
          <cell r="G317" t="str">
            <v xml:space="preserve"> </v>
          </cell>
          <cell r="H317" t="str">
            <v>SE / AEGP / CGGP / COORDENAÇÃO DE LICITAÇÃO</v>
          </cell>
          <cell r="I317" t="str">
            <v>8.103.210</v>
          </cell>
        </row>
        <row r="318">
          <cell r="A318" t="str">
            <v>LUCIANO DE MENDONCA FONSECA</v>
          </cell>
          <cell r="B318">
            <v>1335003</v>
          </cell>
          <cell r="C318" t="str">
            <v>Analista de Planejamento e Orçamento</v>
          </cell>
          <cell r="D318" t="str">
            <v>Exercício Descentralizado</v>
          </cell>
          <cell r="E318" t="str">
            <v>ME - Ministério da Economia</v>
          </cell>
          <cell r="F318" t="str">
            <v>FCPE 102.1</v>
          </cell>
          <cell r="G318" t="str">
            <v xml:space="preserve"> </v>
          </cell>
          <cell r="H318" t="str">
            <v>SE / SPOA / COORDENAÇÃO GERAL DE ORÇAMENTO E FINANÇAS - CGOF</v>
          </cell>
          <cell r="I318" t="str">
            <v>8.105.500</v>
          </cell>
        </row>
        <row r="319">
          <cell r="A319" t="str">
            <v>LUCIMAR SOUZA ASSIS</v>
          </cell>
          <cell r="B319">
            <v>1669294</v>
          </cell>
          <cell r="C319" t="str">
            <v>Auxiliar Codificação e Conferência</v>
          </cell>
          <cell r="D319" t="str">
            <v>Anistiado MME</v>
          </cell>
          <cell r="E319" t="str">
            <v>MME - Ministério de Minas e Energia</v>
          </cell>
          <cell r="F319" t="str">
            <v xml:space="preserve"> </v>
          </cell>
          <cell r="G319" t="str">
            <v xml:space="preserve"> </v>
          </cell>
          <cell r="H319" t="str">
            <v>SE / SPOA / CGRH / COORDENAÇÃO DE DESENVOLVIMENTO E SEGURIDADE SOCIAL - CODES</v>
          </cell>
          <cell r="I319" t="str">
            <v>8.105.220</v>
          </cell>
        </row>
        <row r="320">
          <cell r="A320" t="str">
            <v>LUIS FELIPE MONTEIRO SERRAO</v>
          </cell>
          <cell r="B320">
            <v>1081712</v>
          </cell>
          <cell r="C320" t="str">
            <v>Sem Cargo/Emprego</v>
          </cell>
          <cell r="D320" t="str">
            <v>Sem Vínculo</v>
          </cell>
          <cell r="E320" t="str">
            <v>Sem Vínculo</v>
          </cell>
          <cell r="F320" t="str">
            <v>DAS 102.4</v>
          </cell>
          <cell r="G320" t="str">
            <v xml:space="preserve"> </v>
          </cell>
          <cell r="H320" t="str">
            <v>GM / ASSESSORIA PARLAMENTAR - ASPAR</v>
          </cell>
          <cell r="I320" t="str">
            <v>2.100.200</v>
          </cell>
        </row>
        <row r="321">
          <cell r="A321" t="str">
            <v>LUIS FERNANDO BADANHAN</v>
          </cell>
          <cell r="B321">
            <v>3444256</v>
          </cell>
          <cell r="C321" t="str">
            <v>Analista de Infraestrutura</v>
          </cell>
          <cell r="D321" t="str">
            <v>Exercício Descentralizado</v>
          </cell>
          <cell r="E321" t="str">
            <v>ME - Ministério da Economia</v>
          </cell>
          <cell r="F321" t="str">
            <v>FCPE 101.4</v>
          </cell>
          <cell r="G321" t="str">
            <v xml:space="preserve"> </v>
          </cell>
          <cell r="H321" t="str">
            <v>SPE / DDE / COORDENAÇÃO GERAL DE SUSTENTABILIDADE AMBIENTAL DO SETOR ENERGÉTICO</v>
          </cell>
          <cell r="I321" t="str">
            <v>10.102.200</v>
          </cell>
        </row>
        <row r="322">
          <cell r="A322" t="str">
            <v>LUIS FERREIRA DE OLIVEIRA</v>
          </cell>
          <cell r="B322">
            <v>449949</v>
          </cell>
          <cell r="C322" t="str">
            <v>Agente de Portaria</v>
          </cell>
          <cell r="D322" t="str">
            <v>Ativo Permanente</v>
          </cell>
          <cell r="E322" t="str">
            <v>MME - Ministério de Minas e Energia</v>
          </cell>
          <cell r="F322" t="str">
            <v xml:space="preserve"> </v>
          </cell>
          <cell r="G322" t="str">
            <v xml:space="preserve"> </v>
          </cell>
          <cell r="H322" t="str">
            <v>SGM / DTTM / COORDENAÇÃO GERAL DE CAPACITAÇÃO E DESENVOLVIMENTO TECNOLÓGICO</v>
          </cell>
          <cell r="I322" t="str">
            <v>9.103.100</v>
          </cell>
        </row>
        <row r="323">
          <cell r="A323" t="str">
            <v>LUIZ ANTONIO NETTO SA FORTES</v>
          </cell>
          <cell r="B323">
            <v>1669188</v>
          </cell>
          <cell r="C323" t="str">
            <v>Programador de Aplicação I</v>
          </cell>
          <cell r="D323" t="str">
            <v>Anistiado MME</v>
          </cell>
          <cell r="E323" t="str">
            <v>MME - Ministério de Minas e Energia</v>
          </cell>
          <cell r="F323" t="str">
            <v xml:space="preserve"> </v>
          </cell>
          <cell r="G323" t="str">
            <v xml:space="preserve"> </v>
          </cell>
          <cell r="H323" t="str">
            <v>Aguardando Lotação/Exercício</v>
          </cell>
          <cell r="I323" t="str">
            <v>88.000.000</v>
          </cell>
        </row>
        <row r="324">
          <cell r="A324" t="str">
            <v>LUIZ AUGUSTO GOMES DE OLIVEIRA</v>
          </cell>
          <cell r="B324">
            <v>1361802</v>
          </cell>
          <cell r="C324" t="str">
            <v>Sem Cargo/Emprego</v>
          </cell>
          <cell r="D324" t="str">
            <v>Sem Vínculo</v>
          </cell>
          <cell r="E324" t="str">
            <v>Sem Vínculo</v>
          </cell>
          <cell r="F324" t="str">
            <v>DAS 102.2</v>
          </cell>
          <cell r="G324" t="str">
            <v xml:space="preserve"> </v>
          </cell>
          <cell r="H324" t="str">
            <v>SEE / DMSE / COORDENAÇÃO GERAL DE MONITORAMENTO DA EXPANSÃO DA GERAÇÃO</v>
          </cell>
          <cell r="I324" t="str">
            <v>12.102.100</v>
          </cell>
        </row>
        <row r="325">
          <cell r="A325" t="str">
            <v>LUIZ CARAZZA FILHO</v>
          </cell>
          <cell r="B325">
            <v>1670176</v>
          </cell>
          <cell r="C325" t="str">
            <v>Programador</v>
          </cell>
          <cell r="D325" t="str">
            <v>Anistiado MME</v>
          </cell>
          <cell r="E325" t="str">
            <v>MME - Ministério de Minas e Energia</v>
          </cell>
          <cell r="F325" t="str">
            <v xml:space="preserve"> </v>
          </cell>
          <cell r="G325" t="str">
            <v xml:space="preserve"> </v>
          </cell>
          <cell r="H325" t="str">
            <v>SE / SPOA / CGRL / COORDENAÇÃO DE ADMINISTRAÇÃO DE MATERIAL E EXECUÇÃO FINANCEIRA - COMEF</v>
          </cell>
          <cell r="I325" t="str">
            <v>8.105.110</v>
          </cell>
        </row>
        <row r="326">
          <cell r="A326" t="str">
            <v>LUIZ CARLOS BRUNEL ALVES</v>
          </cell>
          <cell r="B326">
            <v>2169970</v>
          </cell>
          <cell r="C326" t="str">
            <v>Auxiliar Administrativo II</v>
          </cell>
          <cell r="D326" t="str">
            <v>Anistiado MME</v>
          </cell>
          <cell r="E326" t="str">
            <v>MME - Ministério de Minas e Energia</v>
          </cell>
          <cell r="F326" t="str">
            <v xml:space="preserve"> </v>
          </cell>
          <cell r="G326" t="str">
            <v xml:space="preserve"> </v>
          </cell>
          <cell r="H326" t="str">
            <v>Aguardando Lotação/Exercício</v>
          </cell>
          <cell r="I326" t="str">
            <v>88.000.000</v>
          </cell>
        </row>
        <row r="327">
          <cell r="A327" t="str">
            <v>LUIZ CARLOS DE MOURA ADAMI</v>
          </cell>
          <cell r="B327">
            <v>1992618</v>
          </cell>
          <cell r="C327" t="str">
            <v>Sem Cargo/Emprego</v>
          </cell>
          <cell r="D327" t="str">
            <v>Sem Vínculo</v>
          </cell>
          <cell r="E327" t="str">
            <v>Sem Vínculo</v>
          </cell>
          <cell r="F327" t="str">
            <v>DAS 101.4</v>
          </cell>
          <cell r="G327" t="str">
            <v xml:space="preserve"> </v>
          </cell>
          <cell r="H327" t="str">
            <v>SGM / DGPM / COORDENAÇÃO GERAL DE MONITORAMENTO E CONTROLE DE CONCESSÕES MINERAIS</v>
          </cell>
          <cell r="I327" t="str">
            <v>9.102.200</v>
          </cell>
        </row>
        <row r="328">
          <cell r="A328" t="str">
            <v>LUIZ CARLOS DIAS DA SILVA</v>
          </cell>
          <cell r="B328">
            <v>1310698</v>
          </cell>
          <cell r="C328" t="str">
            <v>Analista de Planejamento e Orçamento</v>
          </cell>
          <cell r="D328" t="str">
            <v>Exercício Descentralizado</v>
          </cell>
          <cell r="E328" t="str">
            <v>ME - Ministério da Economia</v>
          </cell>
          <cell r="F328" t="str">
            <v>DAS 101.3</v>
          </cell>
          <cell r="G328" t="str">
            <v xml:space="preserve"> </v>
          </cell>
          <cell r="H328" t="str">
            <v>SE / SPOA / CGOF / COORDENAÇÃO DE ORÇAMENTO - CORC</v>
          </cell>
          <cell r="I328" t="str">
            <v>8.105.530</v>
          </cell>
        </row>
        <row r="329">
          <cell r="A329" t="str">
            <v>LUIZ CARLOS SAMPAIO</v>
          </cell>
          <cell r="B329">
            <v>220105</v>
          </cell>
          <cell r="C329" t="str">
            <v>Agente de Portaria</v>
          </cell>
          <cell r="D329" t="str">
            <v>Ativo Permanente</v>
          </cell>
          <cell r="E329" t="str">
            <v>MME - Ministério de Minas e Energia</v>
          </cell>
          <cell r="F329" t="str">
            <v>FGR 1</v>
          </cell>
          <cell r="G329" t="str">
            <v xml:space="preserve"> </v>
          </cell>
          <cell r="H329" t="str">
            <v>SE / SPOA / CGRL / COORDENAÇÃO DE ATIVIDADES GERAIS - COAGE</v>
          </cell>
          <cell r="I329" t="str">
            <v>8.105.120</v>
          </cell>
        </row>
        <row r="330">
          <cell r="A330" t="str">
            <v>LUIZ CLAUDIO FONTENELE GONCALVES</v>
          </cell>
          <cell r="B330">
            <v>452215</v>
          </cell>
          <cell r="C330" t="str">
            <v>Médico</v>
          </cell>
          <cell r="D330" t="str">
            <v>Ativo Permanente</v>
          </cell>
          <cell r="E330" t="str">
            <v>MME - Ministério de Minas e Energia</v>
          </cell>
          <cell r="F330" t="str">
            <v>FCPE 102.3</v>
          </cell>
          <cell r="G330" t="str">
            <v>GSISTE Superior</v>
          </cell>
          <cell r="H330" t="str">
            <v>SE / SPOA / CGRH / COORDENAÇÃO DE DESENVOLVIMENTO E SEGURIDADE SOCIAL - CODES</v>
          </cell>
          <cell r="I330" t="str">
            <v>8.105.220</v>
          </cell>
        </row>
        <row r="331">
          <cell r="A331" t="str">
            <v>LUIZ CLAUDIO SOARES DE CARVALHO</v>
          </cell>
          <cell r="B331">
            <v>2310684</v>
          </cell>
          <cell r="C331" t="str">
            <v>Analista de Planejamento e Orçamento</v>
          </cell>
          <cell r="D331" t="str">
            <v>Exercício Descentralizado</v>
          </cell>
          <cell r="E331" t="str">
            <v>ME - Ministério da Economia</v>
          </cell>
          <cell r="F331" t="str">
            <v xml:space="preserve"> </v>
          </cell>
          <cell r="G331" t="str">
            <v xml:space="preserve"> </v>
          </cell>
          <cell r="H331" t="str">
            <v>SE / AEGE / COORDENAÇÃO GERAL DE PLANEJAMENTO ESTRATÉGICO, SUPERVISÃO E AVALIAÇÃO - CGPE</v>
          </cell>
          <cell r="I331" t="str">
            <v>8.101.100</v>
          </cell>
        </row>
        <row r="332">
          <cell r="A332" t="str">
            <v>LUIZ GONZAGA DE ARAUJO FILHO</v>
          </cell>
          <cell r="B332">
            <v>1593563</v>
          </cell>
          <cell r="C332" t="str">
            <v>Contínuo</v>
          </cell>
          <cell r="D332" t="str">
            <v>Anistiado MME</v>
          </cell>
          <cell r="E332" t="str">
            <v>MME - Ministério de Minas e Energia</v>
          </cell>
          <cell r="F332" t="str">
            <v xml:space="preserve"> </v>
          </cell>
          <cell r="G332" t="str">
            <v xml:space="preserve"> </v>
          </cell>
          <cell r="H332" t="str">
            <v>SEE / CHEFIA DE GABINETE SEE</v>
          </cell>
          <cell r="I332" t="str">
            <v>12.100.000</v>
          </cell>
        </row>
        <row r="333">
          <cell r="A333" t="str">
            <v>LUIZ PEREIRA DOS SANTOS</v>
          </cell>
          <cell r="B333">
            <v>2403600</v>
          </cell>
          <cell r="C333" t="str">
            <v>Assistente Controle Financeiro</v>
          </cell>
          <cell r="D333" t="str">
            <v>Contrato Temporário</v>
          </cell>
          <cell r="E333" t="str">
            <v>MME - Ministério de Minas e Energia</v>
          </cell>
          <cell r="F333" t="str">
            <v xml:space="preserve"> </v>
          </cell>
          <cell r="G333" t="str">
            <v xml:space="preserve"> </v>
          </cell>
          <cell r="H333" t="str">
            <v>SE / AEGP / COORDENAÇÃO GERAL DE PLANEJAMENTO, FINANÇAS E CONTROLE - CGPF</v>
          </cell>
          <cell r="I333" t="str">
            <v>8.103.100</v>
          </cell>
        </row>
        <row r="334">
          <cell r="A334" t="str">
            <v>MANOEL ALVES MAIA</v>
          </cell>
          <cell r="B334">
            <v>452192</v>
          </cell>
          <cell r="C334" t="str">
            <v>Agente de Vigilância</v>
          </cell>
          <cell r="D334" t="str">
            <v>Ativo Permanente</v>
          </cell>
          <cell r="E334" t="str">
            <v>MME - Ministério de Minas e Energia</v>
          </cell>
          <cell r="F334" t="str">
            <v>FGR 1</v>
          </cell>
          <cell r="G334" t="str">
            <v xml:space="preserve"> </v>
          </cell>
          <cell r="H334" t="str">
            <v>SE / SPOA / CGRL / COORDENAÇÃO DE ATIVIDADES GERAIS - COAGE</v>
          </cell>
          <cell r="I334" t="str">
            <v>8.105.120</v>
          </cell>
        </row>
        <row r="335">
          <cell r="A335" t="str">
            <v>MANOEL DA PAIXAO NETO</v>
          </cell>
          <cell r="B335">
            <v>1586318</v>
          </cell>
          <cell r="C335" t="str">
            <v>Digitador</v>
          </cell>
          <cell r="D335" t="str">
            <v>Anistiado MME</v>
          </cell>
          <cell r="E335" t="str">
            <v>MME - Ministério de Minas e Energia</v>
          </cell>
          <cell r="F335" t="str">
            <v xml:space="preserve"> </v>
          </cell>
          <cell r="G335" t="str">
            <v xml:space="preserve"> </v>
          </cell>
          <cell r="H335" t="str">
            <v>SPE / CHEFIA DE GABINETE SPE</v>
          </cell>
          <cell r="I335" t="str">
            <v>10.100.000</v>
          </cell>
        </row>
        <row r="336">
          <cell r="A336" t="str">
            <v>MANOEL HUMBERTO LEMOS DA SILVA</v>
          </cell>
          <cell r="B336">
            <v>1963508</v>
          </cell>
          <cell r="C336" t="str">
            <v>Sem Cargo/Emprego</v>
          </cell>
          <cell r="D336" t="str">
            <v>Sem Vínculo</v>
          </cell>
          <cell r="E336" t="str">
            <v>Sem Vínculo</v>
          </cell>
          <cell r="F336" t="str">
            <v>DAS 102.4</v>
          </cell>
          <cell r="G336" t="str">
            <v xml:space="preserve"> </v>
          </cell>
          <cell r="H336" t="str">
            <v>SE / SUBSECRETARIA DE PLANEJAMENTO, ORÇAMENTO E ADMINISTRAÇÃO - SPOA</v>
          </cell>
          <cell r="I336" t="str">
            <v>8.105.000</v>
          </cell>
        </row>
        <row r="337">
          <cell r="A337" t="str">
            <v>MARA BETANIA BALTAR GARCIA DA CONCEICAO</v>
          </cell>
          <cell r="B337">
            <v>1677235</v>
          </cell>
          <cell r="C337" t="str">
            <v>Codificador de Dados I</v>
          </cell>
          <cell r="D337" t="str">
            <v>Anistiado MME</v>
          </cell>
          <cell r="E337" t="str">
            <v>MME - Ministério de Minas e Energia</v>
          </cell>
          <cell r="F337" t="str">
            <v>DAS 101.2</v>
          </cell>
          <cell r="G337" t="str">
            <v xml:space="preserve"> </v>
          </cell>
          <cell r="H337" t="str">
            <v>SE / SPOA / CGRH / COORDENAÇÃO DE DESENVOLVIMENTO E SEGURIDADE SOCIAL - CODES</v>
          </cell>
          <cell r="I337" t="str">
            <v>8.105.220</v>
          </cell>
        </row>
        <row r="338">
          <cell r="A338" t="str">
            <v>MARCELO BARBOSA COELHO</v>
          </cell>
          <cell r="B338">
            <v>1677225</v>
          </cell>
          <cell r="C338" t="str">
            <v>Advogado</v>
          </cell>
          <cell r="D338" t="str">
            <v>Anistiado MME</v>
          </cell>
          <cell r="E338" t="str">
            <v>MME - Ministério de Minas e Energia</v>
          </cell>
          <cell r="F338" t="str">
            <v xml:space="preserve"> </v>
          </cell>
          <cell r="G338" t="str">
            <v xml:space="preserve"> </v>
          </cell>
          <cell r="H338" t="str">
            <v>Aguardando Lotação/Exercício</v>
          </cell>
          <cell r="I338" t="str">
            <v>88.000.000</v>
          </cell>
        </row>
        <row r="339">
          <cell r="A339" t="str">
            <v>MARCIA ALVES DE FIGUEIREDO</v>
          </cell>
          <cell r="B339">
            <v>1670151</v>
          </cell>
          <cell r="C339" t="str">
            <v>Escriturário III</v>
          </cell>
          <cell r="D339" t="str">
            <v>Anistiado MME</v>
          </cell>
          <cell r="E339" t="str">
            <v>MME - Ministério de Minas e Energia</v>
          </cell>
          <cell r="F339" t="str">
            <v>DAS 101.2</v>
          </cell>
          <cell r="G339" t="str">
            <v xml:space="preserve"> </v>
          </cell>
          <cell r="H339" t="str">
            <v>SE / SPOA / CGRL / COORDENAÇÃO DE ATIVIDADES GERAIS - COAGE</v>
          </cell>
          <cell r="I339" t="str">
            <v>8.105.120</v>
          </cell>
        </row>
        <row r="340">
          <cell r="A340" t="str">
            <v>MARCIA CRISTINA DA SILVA DO NASCIMENTO</v>
          </cell>
          <cell r="B340">
            <v>1374653</v>
          </cell>
          <cell r="C340" t="str">
            <v>Sem Cargo/Emprego</v>
          </cell>
          <cell r="D340" t="str">
            <v>Sem Vínculo</v>
          </cell>
          <cell r="E340" t="str">
            <v>Sem Vínculo</v>
          </cell>
          <cell r="F340" t="str">
            <v>DAS 102.1</v>
          </cell>
          <cell r="G340" t="str">
            <v xml:space="preserve"> </v>
          </cell>
          <cell r="H340" t="str">
            <v>GM / ASSESSORIA PARLAMENTAR - ASPAR</v>
          </cell>
          <cell r="I340" t="str">
            <v>2.100.200</v>
          </cell>
        </row>
        <row r="341">
          <cell r="A341" t="str">
            <v>MARCIA ELISABETE CUNHA DE SOUSA</v>
          </cell>
          <cell r="B341">
            <v>452366</v>
          </cell>
          <cell r="C341" t="str">
            <v>Agente Administrativo</v>
          </cell>
          <cell r="D341" t="str">
            <v>Ativo Permanente</v>
          </cell>
          <cell r="E341" t="str">
            <v>MME - Ministério de Minas e Energia</v>
          </cell>
          <cell r="F341" t="str">
            <v>FCT 1</v>
          </cell>
          <cell r="G341" t="str">
            <v xml:space="preserve"> </v>
          </cell>
          <cell r="H341" t="str">
            <v>GM / ASTAD / COORDENAÇÃO DE ATIVIDADES ADMINISTRATIVAS</v>
          </cell>
          <cell r="I341" t="str">
            <v>2.100.101</v>
          </cell>
        </row>
        <row r="342">
          <cell r="A342" t="str">
            <v>MARCIA PERES</v>
          </cell>
          <cell r="B342">
            <v>1670518</v>
          </cell>
          <cell r="C342" t="str">
            <v>Codificador de Dados I</v>
          </cell>
          <cell r="D342" t="str">
            <v>Anistiado MME</v>
          </cell>
          <cell r="E342" t="str">
            <v>MME - Ministério de Minas e Energia</v>
          </cell>
          <cell r="F342" t="str">
            <v xml:space="preserve"> </v>
          </cell>
          <cell r="G342" t="str">
            <v xml:space="preserve"> </v>
          </cell>
          <cell r="H342" t="str">
            <v>SE / SPOA / CGRH / COORDENAÇÃO DE DESENVOLVIMENTO E SEGURIDADE SOCIAL - CODES</v>
          </cell>
          <cell r="I342" t="str">
            <v>8.105.220</v>
          </cell>
        </row>
        <row r="343">
          <cell r="A343" t="str">
            <v>MARCIA REGINA DE JESUS FIUZA</v>
          </cell>
          <cell r="B343">
            <v>1095444</v>
          </cell>
          <cell r="C343" t="str">
            <v>Agente de Portaria</v>
          </cell>
          <cell r="D343" t="str">
            <v>Ativo Permanente</v>
          </cell>
          <cell r="E343" t="str">
            <v>MME - Ministério de Minas e Energia</v>
          </cell>
          <cell r="F343" t="str">
            <v>FCPE 102.2</v>
          </cell>
          <cell r="G343" t="str">
            <v xml:space="preserve"> </v>
          </cell>
          <cell r="H343" t="str">
            <v>ASSESSORIA ESPECIAL DE CONTROLE INTERNO - AECI</v>
          </cell>
          <cell r="I343" t="str">
            <v>5.000.000</v>
          </cell>
        </row>
        <row r="344">
          <cell r="A344" t="str">
            <v>MARCILIO RODRIGUES PENHA</v>
          </cell>
          <cell r="B344">
            <v>7601425</v>
          </cell>
          <cell r="C344" t="str">
            <v>Auxiliar Codificação e Conferência</v>
          </cell>
          <cell r="D344" t="str">
            <v>Anistiado MME</v>
          </cell>
          <cell r="E344" t="str">
            <v>MME - Ministério de Minas e Energia</v>
          </cell>
          <cell r="F344" t="str">
            <v xml:space="preserve"> </v>
          </cell>
          <cell r="G344" t="str">
            <v xml:space="preserve"> </v>
          </cell>
          <cell r="H344" t="str">
            <v>Aguardando Lotação/Exercício</v>
          </cell>
          <cell r="I344" t="str">
            <v>88.000.000</v>
          </cell>
        </row>
        <row r="345">
          <cell r="A345" t="str">
            <v>MARCIO MITLETON</v>
          </cell>
          <cell r="B345">
            <v>2311090</v>
          </cell>
          <cell r="C345" t="str">
            <v>Analista de Planejamento e Orçamento</v>
          </cell>
          <cell r="D345" t="str">
            <v>Exercício Descentralizado</v>
          </cell>
          <cell r="E345" t="str">
            <v>ME - Ministério da Economia</v>
          </cell>
          <cell r="F345" t="str">
            <v>DAS 102.2</v>
          </cell>
          <cell r="G345" t="str">
            <v xml:space="preserve"> </v>
          </cell>
          <cell r="H345" t="str">
            <v>SE / SPOA / CGOF / COORDENAÇÃO DE CONTABILIDADE - CONT</v>
          </cell>
          <cell r="I345" t="str">
            <v>8.105.520</v>
          </cell>
        </row>
        <row r="346">
          <cell r="A346" t="str">
            <v>MARCOS ANDRE DOS SANTOS SOEIRO</v>
          </cell>
          <cell r="B346">
            <v>3132854</v>
          </cell>
          <cell r="C346" t="str">
            <v>Marinha</v>
          </cell>
          <cell r="D346" t="str">
            <v>Requisitado Militar</v>
          </cell>
          <cell r="E346" t="str">
            <v>Marinha</v>
          </cell>
          <cell r="F346" t="str">
            <v>DAS 101.4</v>
          </cell>
          <cell r="G346" t="str">
            <v xml:space="preserve"> </v>
          </cell>
          <cell r="H346" t="str">
            <v>Escritório Rio de Janeiro/RJ</v>
          </cell>
          <cell r="I346" t="str">
            <v>99.000.000</v>
          </cell>
        </row>
        <row r="347">
          <cell r="A347" t="str">
            <v>MARCOS CARVALHO DE SANT'ANA</v>
          </cell>
          <cell r="B347">
            <v>1459922</v>
          </cell>
          <cell r="C347" t="str">
            <v>Especialista em Política Pública e Gestão Governamental</v>
          </cell>
          <cell r="D347" t="str">
            <v>Exercício Descentralizado</v>
          </cell>
          <cell r="E347" t="str">
            <v>ME - Ministério da Economia</v>
          </cell>
          <cell r="F347" t="str">
            <v xml:space="preserve"> </v>
          </cell>
          <cell r="G347" t="str">
            <v xml:space="preserve"> </v>
          </cell>
          <cell r="H347" t="str">
            <v>SPG / DEPARTAMENTO DE BIOCOMBUSTÍVEIS - DBIO</v>
          </cell>
          <cell r="I347" t="str">
            <v>11.104.000</v>
          </cell>
        </row>
        <row r="348">
          <cell r="A348" t="str">
            <v>MARCOS JOSE ANTONIO PINHEIRO</v>
          </cell>
          <cell r="B348">
            <v>1331372</v>
          </cell>
          <cell r="C348" t="str">
            <v>Sem Cargo/Emprego</v>
          </cell>
          <cell r="D348" t="str">
            <v>Sem Vínculo</v>
          </cell>
          <cell r="E348" t="str">
            <v>Sem Vínculo</v>
          </cell>
          <cell r="F348" t="str">
            <v>DAS 102.2</v>
          </cell>
          <cell r="G348" t="str">
            <v xml:space="preserve"> </v>
          </cell>
          <cell r="H348" t="str">
            <v>SEE / CHEFIA DE GABINETE SEE</v>
          </cell>
          <cell r="I348" t="str">
            <v>12.100.000</v>
          </cell>
        </row>
        <row r="349">
          <cell r="A349" t="str">
            <v>MARCUS VINICIUS DINIZ ARAUJO</v>
          </cell>
          <cell r="B349">
            <v>1314231</v>
          </cell>
          <cell r="C349" t="str">
            <v>Programador</v>
          </cell>
          <cell r="D349" t="str">
            <v>Ativo Permanente</v>
          </cell>
          <cell r="E349" t="str">
            <v>MME - Ministério de Minas e Energia</v>
          </cell>
          <cell r="F349" t="str">
            <v>FGR 1</v>
          </cell>
          <cell r="G349" t="str">
            <v xml:space="preserve"> </v>
          </cell>
          <cell r="H349" t="str">
            <v>SE / SPOA / COORDENAÇÃO GERAL DE RECURSOS HUMANOS - CGRH</v>
          </cell>
          <cell r="I349" t="str">
            <v>8.105.200</v>
          </cell>
        </row>
        <row r="350">
          <cell r="A350" t="str">
            <v>MARGARETE MAGALHAES</v>
          </cell>
          <cell r="B350">
            <v>2094478</v>
          </cell>
          <cell r="C350" t="str">
            <v>Técnico em Assuntos Educacionais</v>
          </cell>
          <cell r="D350" t="str">
            <v>Requisitado de Órgãos</v>
          </cell>
          <cell r="E350" t="str">
            <v>MEC - Ministério da Educação</v>
          </cell>
          <cell r="F350" t="str">
            <v xml:space="preserve"> </v>
          </cell>
          <cell r="G350" t="str">
            <v>GSISTE Superior</v>
          </cell>
          <cell r="H350" t="str">
            <v>SE / SPOA / CGRH / COORDENAÇÃO DE DESENVOLVIMENTO E SEGURIDADE SOCIAL - CODES</v>
          </cell>
          <cell r="I350" t="str">
            <v>8.105.220</v>
          </cell>
        </row>
        <row r="351">
          <cell r="A351" t="str">
            <v>MARGARIDA SILVA OLIVEIRA DE FIGUEREDO</v>
          </cell>
          <cell r="B351">
            <v>455332</v>
          </cell>
          <cell r="C351" t="str">
            <v>Agente Administrativo</v>
          </cell>
          <cell r="D351" t="str">
            <v>Ativo Permanente</v>
          </cell>
          <cell r="E351" t="str">
            <v>MME - Ministério de Minas e Energia</v>
          </cell>
          <cell r="F351" t="str">
            <v>FGR 1</v>
          </cell>
          <cell r="G351" t="str">
            <v xml:space="preserve"> </v>
          </cell>
          <cell r="H351" t="str">
            <v>SE / SPOA / CGRH / COORDENAÇÃO DE ADMINISTRAÇÃO DE PESSOAL - CAPES</v>
          </cell>
          <cell r="I351" t="str">
            <v>8.105.210</v>
          </cell>
        </row>
        <row r="352">
          <cell r="A352" t="str">
            <v>MARIA ALDAIR VITORIANO PINHEIRO</v>
          </cell>
          <cell r="B352">
            <v>455364</v>
          </cell>
          <cell r="C352" t="str">
            <v>Agente de Portaria</v>
          </cell>
          <cell r="D352" t="str">
            <v>Ativo Permanente</v>
          </cell>
          <cell r="E352" t="str">
            <v>MME - Ministério de Minas e Energia</v>
          </cell>
          <cell r="F352" t="str">
            <v>FCT 10</v>
          </cell>
          <cell r="G352" t="str">
            <v xml:space="preserve"> </v>
          </cell>
          <cell r="H352" t="str">
            <v>SPE / CHEFIA DE GABINETE SPE</v>
          </cell>
          <cell r="I352" t="str">
            <v>10.100.000</v>
          </cell>
        </row>
        <row r="353">
          <cell r="A353" t="str">
            <v>MARIA BARBARA BERNARDES CABRAL</v>
          </cell>
          <cell r="B353">
            <v>1163587</v>
          </cell>
          <cell r="C353" t="str">
            <v>Datilógrafo</v>
          </cell>
          <cell r="D353" t="str">
            <v>Ativo Permanente</v>
          </cell>
          <cell r="E353" t="str">
            <v>MME - Ministério de Minas e Energia</v>
          </cell>
          <cell r="F353" t="str">
            <v>FGR 1</v>
          </cell>
          <cell r="G353" t="str">
            <v xml:space="preserve"> </v>
          </cell>
          <cell r="H353" t="str">
            <v>SE / SPOA / CGRL / COORDENAÇÃO DE ATIVIDADES GERAIS - COAGE</v>
          </cell>
          <cell r="I353" t="str">
            <v>8.105.120</v>
          </cell>
        </row>
        <row r="354">
          <cell r="A354" t="str">
            <v>MARIA CEICILENE ARAGAO MARTINS</v>
          </cell>
          <cell r="B354">
            <v>1439058</v>
          </cell>
          <cell r="C354" t="str">
            <v>Analista de Infraestrutura</v>
          </cell>
          <cell r="D354" t="str">
            <v>Requisitado de Órgãos</v>
          </cell>
          <cell r="E354" t="str">
            <v>ME - Ministério da Economia</v>
          </cell>
          <cell r="F354" t="str">
            <v>DAS 101.5</v>
          </cell>
          <cell r="G354" t="str">
            <v xml:space="preserve"> </v>
          </cell>
          <cell r="H354" t="str">
            <v>SE / ASSESSORIA ESPECIAL DE MEIO AMBIENTE - AESA</v>
          </cell>
          <cell r="I354" t="str">
            <v>8.104.000</v>
          </cell>
        </row>
        <row r="355">
          <cell r="A355" t="str">
            <v>MARIA DE FATIMA FERREIRA DOS SANTOS</v>
          </cell>
          <cell r="B355">
            <v>745313</v>
          </cell>
          <cell r="C355" t="str">
            <v>Auxiliar de Enfermagem</v>
          </cell>
          <cell r="D355" t="str">
            <v>Ativo Permanente</v>
          </cell>
          <cell r="E355" t="str">
            <v>MME - Ministério de Minas e Energia</v>
          </cell>
          <cell r="F355" t="str">
            <v>FGR 1</v>
          </cell>
          <cell r="G355" t="str">
            <v xml:space="preserve"> </v>
          </cell>
          <cell r="H355" t="str">
            <v>SE / SPOA / CGRH / COORDENAÇÃO DE DESENVOLVIMENTO E SEGURIDADE SOCIAL - CODES</v>
          </cell>
          <cell r="I355" t="str">
            <v>8.105.220</v>
          </cell>
        </row>
        <row r="356">
          <cell r="A356" t="str">
            <v>MARIA DE FATIMA GOMES DE MELO FREITAS</v>
          </cell>
          <cell r="B356">
            <v>1677270</v>
          </cell>
          <cell r="C356" t="str">
            <v>Auxiliar de Biblioteca</v>
          </cell>
          <cell r="D356" t="str">
            <v>Anistiado MME</v>
          </cell>
          <cell r="E356" t="str">
            <v>MME - Ministério de Minas e Energia</v>
          </cell>
          <cell r="F356" t="str">
            <v xml:space="preserve"> </v>
          </cell>
          <cell r="G356" t="str">
            <v xml:space="preserve"> </v>
          </cell>
          <cell r="H356" t="str">
            <v>Aguardando Lotação/Exercício</v>
          </cell>
          <cell r="I356" t="str">
            <v>88.000.000</v>
          </cell>
        </row>
        <row r="357">
          <cell r="A357" t="str">
            <v>MARIA DE FATIMA SILVA FRANCO</v>
          </cell>
          <cell r="B357">
            <v>2190334</v>
          </cell>
          <cell r="C357" t="str">
            <v>Sem Cargo/Emprego</v>
          </cell>
          <cell r="D357" t="str">
            <v>Sem Vínculo</v>
          </cell>
          <cell r="E357" t="str">
            <v>Sem Vínculo</v>
          </cell>
          <cell r="F357" t="str">
            <v>DAS 102.1</v>
          </cell>
          <cell r="G357" t="str">
            <v xml:space="preserve"> </v>
          </cell>
          <cell r="H357" t="str">
            <v>GM / ASSESSORIA PARLAMENTAR - ASPAR</v>
          </cell>
          <cell r="I357" t="str">
            <v>2.100.200</v>
          </cell>
        </row>
        <row r="358">
          <cell r="A358" t="str">
            <v>MARIA DO SOCORRO DE SOUZA</v>
          </cell>
          <cell r="B358">
            <v>452028</v>
          </cell>
          <cell r="C358" t="str">
            <v>Agente Administrativo</v>
          </cell>
          <cell r="D358" t="str">
            <v>Ativo Permanente</v>
          </cell>
          <cell r="E358" t="str">
            <v>MME - Ministério de Minas e Energia</v>
          </cell>
          <cell r="F358" t="str">
            <v>FGR 1</v>
          </cell>
          <cell r="G358" t="str">
            <v xml:space="preserve"> </v>
          </cell>
          <cell r="H358" t="str">
            <v>SE / SPOA / CGRH / COORDENAÇÃO DE DESENVOLVIMENTO E SEGURIDADE SOCIAL - CODES</v>
          </cell>
          <cell r="I358" t="str">
            <v>8.105.220</v>
          </cell>
        </row>
        <row r="359">
          <cell r="A359" t="str">
            <v>MARIA DOMETILIA DE SOUZA</v>
          </cell>
          <cell r="B359">
            <v>451633</v>
          </cell>
          <cell r="C359" t="str">
            <v>Agente Administrativo</v>
          </cell>
          <cell r="D359" t="str">
            <v>Ativo Permanente</v>
          </cell>
          <cell r="E359" t="str">
            <v>MME - Ministério de Minas e Energia</v>
          </cell>
          <cell r="F359" t="str">
            <v>FGR 1</v>
          </cell>
          <cell r="G359" t="str">
            <v xml:space="preserve"> </v>
          </cell>
          <cell r="H359" t="str">
            <v>SGM / DEPARTAMENTO DE GEOLOGIA E PRODUÇÃO MINERAL - DGPM</v>
          </cell>
          <cell r="I359" t="str">
            <v>9.102.000</v>
          </cell>
        </row>
        <row r="360">
          <cell r="A360" t="str">
            <v>MARIA GRIGORIA DE MEDEIROS NETA</v>
          </cell>
          <cell r="B360">
            <v>7451480</v>
          </cell>
          <cell r="C360" t="str">
            <v>Sem Cargo/Emprego</v>
          </cell>
          <cell r="D360" t="str">
            <v>Sem Vínculo</v>
          </cell>
          <cell r="E360" t="str">
            <v>Sem Vínculo</v>
          </cell>
          <cell r="F360" t="str">
            <v>DAS 101.1</v>
          </cell>
          <cell r="G360" t="str">
            <v xml:space="preserve"> </v>
          </cell>
          <cell r="H360" t="str">
            <v>SE / SPOA / CGRL / COORDENAÇÃO DE ADMINISTRAÇÃO DE MATERIAL E EXECUÇÃO FINANCEIRA - COMEF</v>
          </cell>
          <cell r="I360" t="str">
            <v>8.105.110</v>
          </cell>
        </row>
        <row r="361">
          <cell r="A361" t="str">
            <v>MARIA JOSE COSTA OLIVEIRA</v>
          </cell>
          <cell r="B361">
            <v>1957235</v>
          </cell>
          <cell r="C361" t="str">
            <v>Sem Cargo/Emprego</v>
          </cell>
          <cell r="D361" t="str">
            <v>Sem Vínculo</v>
          </cell>
          <cell r="E361" t="str">
            <v>Sem Vínculo</v>
          </cell>
          <cell r="F361" t="str">
            <v>DAS 102.1</v>
          </cell>
          <cell r="G361" t="str">
            <v xml:space="preserve"> </v>
          </cell>
          <cell r="H361" t="str">
            <v>SE / ASSESSORIA ESPECIAL DE MEIO AMBIENTE - AESA</v>
          </cell>
          <cell r="I361" t="str">
            <v>8.104.000</v>
          </cell>
        </row>
        <row r="362">
          <cell r="A362" t="str">
            <v>MARIA JOSE SOARES MENON</v>
          </cell>
          <cell r="B362">
            <v>1719638</v>
          </cell>
          <cell r="C362" t="str">
            <v>Analista Técnico Administrativo</v>
          </cell>
          <cell r="D362" t="str">
            <v>Requisitado de Órgãos</v>
          </cell>
          <cell r="E362" t="str">
            <v>MDR - Ministério do Desenvolvimento Regional</v>
          </cell>
          <cell r="F362" t="str">
            <v xml:space="preserve"> </v>
          </cell>
          <cell r="G362" t="str">
            <v>GSISTE Superior</v>
          </cell>
          <cell r="H362" t="str">
            <v>SE / SPOA / CGCC / COORDENAÇÃO DE LICITAÇÕES E COMPRA - CLC</v>
          </cell>
          <cell r="I362" t="str">
            <v>8.105.420</v>
          </cell>
        </row>
        <row r="363">
          <cell r="A363" t="str">
            <v>MARIA LAURA ROCHA DOS SANTOS MACIEL</v>
          </cell>
          <cell r="B363">
            <v>161307</v>
          </cell>
          <cell r="C363" t="str">
            <v>Administrador</v>
          </cell>
          <cell r="D363" t="str">
            <v>Ativo Permanente</v>
          </cell>
          <cell r="E363" t="str">
            <v>MME - Ministério de Minas e Energia</v>
          </cell>
          <cell r="F363" t="str">
            <v xml:space="preserve"> </v>
          </cell>
          <cell r="G363" t="str">
            <v xml:space="preserve"> </v>
          </cell>
          <cell r="H363" t="str">
            <v>SPG / CHEFIA DE GABINETE SPG</v>
          </cell>
          <cell r="I363" t="str">
            <v>11.100.000</v>
          </cell>
        </row>
        <row r="364">
          <cell r="A364" t="str">
            <v>MARIA LEILA FERREIRA BANDEIRA</v>
          </cell>
          <cell r="B364">
            <v>810063</v>
          </cell>
          <cell r="C364" t="str">
            <v>Agente de Portaria</v>
          </cell>
          <cell r="D364" t="str">
            <v>Ativo Permanente</v>
          </cell>
          <cell r="E364" t="str">
            <v>MME - Ministério de Minas e Energia</v>
          </cell>
          <cell r="F364" t="str">
            <v>FGR 1</v>
          </cell>
          <cell r="G364" t="str">
            <v xml:space="preserve"> </v>
          </cell>
          <cell r="H364" t="str">
            <v>SE / SPOA / CGRH / COORDENAÇÃO DE DESENVOLVIMENTO E SEGURIDADE SOCIAL - CODES</v>
          </cell>
          <cell r="I364" t="str">
            <v>8.105.220</v>
          </cell>
        </row>
        <row r="365">
          <cell r="A365" t="str">
            <v>MARIA RITA SILVA FONTES FARIA</v>
          </cell>
          <cell r="B365">
            <v>1204551</v>
          </cell>
          <cell r="C365" t="str">
            <v>Ministro de Segunda Classe</v>
          </cell>
          <cell r="D365" t="str">
            <v>Requisitado de Órgãos</v>
          </cell>
          <cell r="E365" t="str">
            <v>MRE - Ministério das Relações Exteriores</v>
          </cell>
          <cell r="F365" t="str">
            <v>FCPE 101.4</v>
          </cell>
          <cell r="G365" t="str">
            <v xml:space="preserve"> </v>
          </cell>
          <cell r="H365" t="str">
            <v>SGM / DDM / COORDENAÇÃO GERAL DE MINERAÇÃO EM ÁREAS DE CONSERVAÇÃO E CONFLITO</v>
          </cell>
          <cell r="I365" t="str">
            <v>9.104.200</v>
          </cell>
        </row>
        <row r="366">
          <cell r="A366" t="str">
            <v>MARIA SELMI ALVES DA SILVA</v>
          </cell>
          <cell r="B366">
            <v>2498510</v>
          </cell>
          <cell r="C366" t="str">
            <v>Digitador I</v>
          </cell>
          <cell r="D366" t="str">
            <v>Anistiado MME</v>
          </cell>
          <cell r="E366" t="str">
            <v>MME - Ministério de Minas e Energia</v>
          </cell>
          <cell r="F366" t="str">
            <v>DAS 102.1</v>
          </cell>
          <cell r="G366" t="str">
            <v xml:space="preserve"> </v>
          </cell>
          <cell r="H366" t="str">
            <v>SE / SPOA / CGRL / COORDENAÇÃO DE ATIVIDADES GERAIS - COAGE</v>
          </cell>
          <cell r="I366" t="str">
            <v>8.105.120</v>
          </cell>
        </row>
        <row r="367">
          <cell r="A367" t="str">
            <v>MARIANA CLARA DE FREITAS FONTINELI</v>
          </cell>
          <cell r="B367">
            <v>5663628</v>
          </cell>
          <cell r="C367" t="str">
            <v>Analista de Infraestrutura</v>
          </cell>
          <cell r="D367" t="str">
            <v>Exercício Descentralizado</v>
          </cell>
          <cell r="E367" t="str">
            <v>ME - Ministério da Economia</v>
          </cell>
          <cell r="F367" t="str">
            <v>FCPE 102.2</v>
          </cell>
          <cell r="G367" t="str">
            <v xml:space="preserve"> </v>
          </cell>
          <cell r="H367" t="str">
            <v>SGM / DEPARTAMENTO DE TRANSFORMAÇÃO E TECNOLOGIA MINERAL - DTTM</v>
          </cell>
          <cell r="I367" t="str">
            <v>9.103.000</v>
          </cell>
        </row>
        <row r="368">
          <cell r="A368" t="str">
            <v>MARIANO PINTO DE SOUSA FILHO</v>
          </cell>
          <cell r="B368">
            <v>451482</v>
          </cell>
          <cell r="C368" t="str">
            <v>Agente Administrativo</v>
          </cell>
          <cell r="D368" t="str">
            <v>Ativo Permanente</v>
          </cell>
          <cell r="E368" t="str">
            <v>MME - Ministério de Minas e Energia</v>
          </cell>
          <cell r="F368" t="str">
            <v>FCT 11</v>
          </cell>
          <cell r="G368" t="str">
            <v xml:space="preserve"> </v>
          </cell>
          <cell r="H368" t="str">
            <v>SPE / CHEFIA DE GABINETE SPE</v>
          </cell>
          <cell r="I368" t="str">
            <v>10.100.000</v>
          </cell>
        </row>
        <row r="369">
          <cell r="A369" t="str">
            <v>MARILUZIA RODRIGUES NOGUEIRA</v>
          </cell>
          <cell r="B369">
            <v>452071</v>
          </cell>
          <cell r="C369" t="str">
            <v>Agente Administrativo</v>
          </cell>
          <cell r="D369" t="str">
            <v>Ativo Permanente</v>
          </cell>
          <cell r="E369" t="str">
            <v>MME - Ministério de Minas e Energia</v>
          </cell>
          <cell r="F369" t="str">
            <v>FCPE 102.2</v>
          </cell>
          <cell r="G369" t="str">
            <v xml:space="preserve"> </v>
          </cell>
          <cell r="H369" t="str">
            <v>ASSESSORIA ESPECIAL DE ASSUNTOS ECONÔMICOS - ASSEC</v>
          </cell>
          <cell r="I369" t="str">
            <v>6.000.000</v>
          </cell>
        </row>
        <row r="370">
          <cell r="A370" t="str">
            <v>MARISA MAIA DE BARROS</v>
          </cell>
          <cell r="B370">
            <v>1678444</v>
          </cell>
          <cell r="C370" t="str">
            <v>Analista de Pesquisa Energética</v>
          </cell>
          <cell r="D370" t="str">
            <v>Requisitado de Órgãos</v>
          </cell>
          <cell r="E370" t="str">
            <v>EPE - Empresa de Pesquisa Energética</v>
          </cell>
          <cell r="F370" t="str">
            <v>DAS 101.5</v>
          </cell>
          <cell r="G370" t="str">
            <v xml:space="preserve"> </v>
          </cell>
          <cell r="H370" t="str">
            <v>SPG / DEPARTAMENTO DE COMBUSTÍVEIS DERIVADOS DE PETRÓLEOS - DCDP</v>
          </cell>
          <cell r="I370" t="str">
            <v>11.103.000</v>
          </cell>
        </row>
        <row r="371">
          <cell r="A371" t="str">
            <v>MARISETE FATIMA DADALD PEREIRA</v>
          </cell>
          <cell r="B371">
            <v>2506337</v>
          </cell>
          <cell r="C371" t="str">
            <v>Secretário Executivo</v>
          </cell>
          <cell r="D371" t="str">
            <v>Sem Vínculo</v>
          </cell>
          <cell r="E371" t="str">
            <v>Sem Vínculo</v>
          </cell>
          <cell r="F371" t="str">
            <v>NES NES</v>
          </cell>
          <cell r="G371" t="str">
            <v xml:space="preserve"> </v>
          </cell>
          <cell r="H371" t="str">
            <v>SECRETARIA EXECUTIVA - SE</v>
          </cell>
          <cell r="I371" t="str">
            <v>8.000.000</v>
          </cell>
        </row>
        <row r="372">
          <cell r="A372" t="str">
            <v>MARIZA FREIRE DE SOUZA</v>
          </cell>
          <cell r="B372">
            <v>2479973</v>
          </cell>
          <cell r="C372" t="str">
            <v>Sem Cargo/Emprego</v>
          </cell>
          <cell r="D372" t="str">
            <v>Sem Vínculo</v>
          </cell>
          <cell r="E372" t="str">
            <v>Sem Vínculo</v>
          </cell>
          <cell r="F372" t="str">
            <v>DAS 102.3</v>
          </cell>
          <cell r="G372" t="str">
            <v xml:space="preserve"> </v>
          </cell>
          <cell r="H372" t="str">
            <v>SPE / DEPARTAMENTO DE DESENVOLVIMENTO ENERGÉTICO - DDE</v>
          </cell>
          <cell r="I372" t="str">
            <v>10.102.000</v>
          </cell>
        </row>
        <row r="373">
          <cell r="A373" t="str">
            <v>MARLIAN LEAO DE OLIVEIRA</v>
          </cell>
          <cell r="B373">
            <v>2356963</v>
          </cell>
          <cell r="C373" t="str">
            <v>Analista de Infraestrutura</v>
          </cell>
          <cell r="D373" t="str">
            <v>Exercício Descentralizado</v>
          </cell>
          <cell r="E373" t="str">
            <v>ME - Ministério da Economia</v>
          </cell>
          <cell r="F373" t="str">
            <v>FGR 1</v>
          </cell>
          <cell r="G373" t="str">
            <v xml:space="preserve"> </v>
          </cell>
          <cell r="H373" t="str">
            <v>SEE / DMSE / COORDENAÇÃO GERAL DE MONITORAMENTO DO DESEMPENHO DO SISTEMA ELÉTRICO</v>
          </cell>
          <cell r="I373" t="str">
            <v>12.102.400</v>
          </cell>
        </row>
        <row r="374">
          <cell r="A374" t="str">
            <v>MARLON ARRAES JARDIM LEAL</v>
          </cell>
          <cell r="B374">
            <v>2458981</v>
          </cell>
          <cell r="C374" t="str">
            <v>Especialista em Política Pública e Gestão Governamental</v>
          </cell>
          <cell r="D374" t="str">
            <v>Exercício Descentralizado</v>
          </cell>
          <cell r="E374" t="str">
            <v>ME - Ministério da Economia</v>
          </cell>
          <cell r="F374" t="str">
            <v>DAS 101.4</v>
          </cell>
          <cell r="G374" t="str">
            <v xml:space="preserve"> </v>
          </cell>
          <cell r="H374" t="str">
            <v>SPG / DBIO / COORDENAÇÃO GERAL DE ETANOL</v>
          </cell>
          <cell r="I374" t="str">
            <v>11.104.200</v>
          </cell>
        </row>
        <row r="375">
          <cell r="A375" t="str">
            <v>MARQUES DOS SANTOS</v>
          </cell>
          <cell r="B375">
            <v>451554</v>
          </cell>
          <cell r="C375" t="str">
            <v>Administrador</v>
          </cell>
          <cell r="D375" t="str">
            <v>Ativo Permanente</v>
          </cell>
          <cell r="E375" t="str">
            <v>MME - Ministério de Minas e Energia</v>
          </cell>
          <cell r="F375" t="str">
            <v>FGR 1</v>
          </cell>
          <cell r="G375" t="str">
            <v>GSISTE Superior</v>
          </cell>
          <cell r="H375" t="str">
            <v>SE / SPOA / COORDENAÇÃO GERAL DE RECURSOS LOGÍSTICOS - CGRL</v>
          </cell>
          <cell r="I375" t="str">
            <v>8.105.100</v>
          </cell>
        </row>
        <row r="376">
          <cell r="A376" t="str">
            <v>MARY PACHECO DE SOUZA</v>
          </cell>
          <cell r="B376">
            <v>1094199</v>
          </cell>
          <cell r="C376" t="str">
            <v>Agente de Portaria</v>
          </cell>
          <cell r="D376" t="str">
            <v>Ativo Permanente</v>
          </cell>
          <cell r="E376" t="str">
            <v>MME - Ministério de Minas e Energia</v>
          </cell>
          <cell r="F376" t="str">
            <v>FCPE 102.2</v>
          </cell>
          <cell r="G376" t="str">
            <v xml:space="preserve"> </v>
          </cell>
          <cell r="H376" t="str">
            <v>SPE / CHEFIA DE GABINETE SPE</v>
          </cell>
          <cell r="I376" t="str">
            <v>10.100.000</v>
          </cell>
        </row>
        <row r="377">
          <cell r="A377" t="str">
            <v>MAURICIO DE OLIVEIRA ABI CHAIN</v>
          </cell>
          <cell r="B377">
            <v>1284089</v>
          </cell>
          <cell r="C377" t="str">
            <v>Especialista em Política Pública e Gestão Governamental</v>
          </cell>
          <cell r="D377" t="str">
            <v>Exercício Descentralizado</v>
          </cell>
          <cell r="E377" t="str">
            <v>ME - Ministério da Economia</v>
          </cell>
          <cell r="F377" t="str">
            <v>DAS 101.4</v>
          </cell>
          <cell r="G377" t="str">
            <v xml:space="preserve"> </v>
          </cell>
          <cell r="H377" t="str">
            <v>SPE / DOC / COORDENAÇÃO GERAL DE OUTORGAS DE SERVIÇOS DE TRANSMISSÃO E DISTRIBUIÇÃO DE ENERGIA</v>
          </cell>
          <cell r="I377" t="str">
            <v>10.103.200</v>
          </cell>
        </row>
        <row r="378">
          <cell r="A378" t="str">
            <v>MAURICIO PINHEIRO FLEURY CURADO</v>
          </cell>
          <cell r="B378">
            <v>1238949</v>
          </cell>
          <cell r="C378" t="str">
            <v>Especialista em Política Pública e Gestão Governamental</v>
          </cell>
          <cell r="D378" t="str">
            <v>Requisitado de Órgãos</v>
          </cell>
          <cell r="E378" t="str">
            <v>ME - Ministério da Economia</v>
          </cell>
          <cell r="F378" t="str">
            <v>FCPE 101.4</v>
          </cell>
          <cell r="G378" t="str">
            <v xml:space="preserve"> </v>
          </cell>
          <cell r="H378" t="str">
            <v>SE / AEGP / COORDENAÇÃO GERAL DE GESTÃO DE PROJETOS - CGGP</v>
          </cell>
          <cell r="I378" t="str">
            <v>8.103.200</v>
          </cell>
        </row>
        <row r="379">
          <cell r="A379" t="str">
            <v>MAURILIO SILVERIO DE OLIVEIRA</v>
          </cell>
          <cell r="B379">
            <v>1092785</v>
          </cell>
          <cell r="C379" t="str">
            <v>Agente de Vigilância</v>
          </cell>
          <cell r="D379" t="str">
            <v>Ativo Permanente</v>
          </cell>
          <cell r="E379" t="str">
            <v>MME - Ministério de Minas e Energia</v>
          </cell>
          <cell r="F379" t="str">
            <v>FGR 1</v>
          </cell>
          <cell r="G379" t="str">
            <v xml:space="preserve"> </v>
          </cell>
          <cell r="H379" t="str">
            <v>SE / SPOA / CGRL / COORDENAÇÃO DE ATIVIDADES GERAIS - COAGE</v>
          </cell>
          <cell r="I379" t="str">
            <v>8.105.120</v>
          </cell>
        </row>
        <row r="380">
          <cell r="A380" t="str">
            <v>MAURO HENRIQUE MOREIRA SOUSA</v>
          </cell>
          <cell r="B380">
            <v>2512573</v>
          </cell>
          <cell r="C380" t="str">
            <v>Advogado da União</v>
          </cell>
          <cell r="D380" t="str">
            <v>Exercício Descentralizado</v>
          </cell>
          <cell r="E380" t="str">
            <v>AGU - Advocacia Geral da União</v>
          </cell>
          <cell r="F380" t="str">
            <v>DAS 102.4</v>
          </cell>
          <cell r="G380" t="str">
            <v xml:space="preserve"> </v>
          </cell>
          <cell r="H380" t="str">
            <v>CONJUR / COORDENAÇÃO GERAL DE ASSSUNTOS ADMINISTRATIVOS - CGAA</v>
          </cell>
          <cell r="I380" t="str">
            <v>7.100.300</v>
          </cell>
        </row>
        <row r="381">
          <cell r="A381" t="str">
            <v>MAYARA CARDOSO</v>
          </cell>
          <cell r="B381">
            <v>4663250</v>
          </cell>
          <cell r="C381" t="str">
            <v>Analista de Infraestrutura</v>
          </cell>
          <cell r="D381" t="str">
            <v>Exercício Descentralizado</v>
          </cell>
          <cell r="E381" t="str">
            <v>ME - Ministério da Economia</v>
          </cell>
          <cell r="F381" t="str">
            <v xml:space="preserve"> </v>
          </cell>
          <cell r="G381" t="str">
            <v xml:space="preserve"> </v>
          </cell>
          <cell r="H381" t="str">
            <v>SE / AEGP / COORDENAÇÃO GERAL DE GESTÃO DE PROJETOS - CGGP</v>
          </cell>
          <cell r="I381" t="str">
            <v>8.103.200</v>
          </cell>
        </row>
        <row r="382">
          <cell r="A382" t="str">
            <v>MAYARA DA SILVA CERQUEIRA</v>
          </cell>
          <cell r="B382">
            <v>1142990</v>
          </cell>
          <cell r="C382" t="str">
            <v>Sem Cargo/Emprego</v>
          </cell>
          <cell r="D382" t="str">
            <v>Sem Vínculo</v>
          </cell>
          <cell r="E382" t="str">
            <v>Sem Vínculo</v>
          </cell>
          <cell r="F382" t="str">
            <v>DAS 102.2</v>
          </cell>
          <cell r="G382" t="str">
            <v xml:space="preserve"> </v>
          </cell>
          <cell r="H382" t="str">
            <v>SPE / CHEFIA DE GABINETE SPE</v>
          </cell>
          <cell r="I382" t="str">
            <v>10.100.000</v>
          </cell>
        </row>
        <row r="383">
          <cell r="A383" t="str">
            <v>MESSIAS ROCHA DE LIRA</v>
          </cell>
          <cell r="B383">
            <v>451617</v>
          </cell>
          <cell r="C383" t="str">
            <v>Agente Administrativo</v>
          </cell>
          <cell r="D383" t="str">
            <v>Ativo Permanente</v>
          </cell>
          <cell r="E383" t="str">
            <v>MME - Ministério de Minas e Energia</v>
          </cell>
          <cell r="F383" t="str">
            <v>FCT 5</v>
          </cell>
          <cell r="G383" t="str">
            <v>GSISTE Intermediário</v>
          </cell>
          <cell r="H383" t="str">
            <v>SE / SPOA / COORDENAÇÃO GERAL DE ORÇAMENTO E FINANÇAS - CGOF</v>
          </cell>
          <cell r="I383" t="str">
            <v>8.105.500</v>
          </cell>
        </row>
        <row r="384">
          <cell r="A384" t="str">
            <v>MIGUEL DOS SANTOS</v>
          </cell>
          <cell r="B384">
            <v>452186</v>
          </cell>
          <cell r="C384" t="str">
            <v>Agente de Vigilância</v>
          </cell>
          <cell r="D384" t="str">
            <v>Ativo Permanente</v>
          </cell>
          <cell r="E384" t="str">
            <v>MME - Ministério de Minas e Energia</v>
          </cell>
          <cell r="F384" t="str">
            <v xml:space="preserve"> </v>
          </cell>
          <cell r="G384" t="str">
            <v>GSISTE Intermediário</v>
          </cell>
          <cell r="H384" t="str">
            <v>SE / SPOA / CGRL / COORDENAÇÃO DE ATIVIDADES GERAIS - COAGE</v>
          </cell>
          <cell r="I384" t="str">
            <v>8.105.120</v>
          </cell>
        </row>
        <row r="385">
          <cell r="A385" t="str">
            <v>MIGUEL JOAQUIM DA SILVA</v>
          </cell>
          <cell r="B385">
            <v>452340</v>
          </cell>
          <cell r="C385" t="str">
            <v>Agente de Portaria</v>
          </cell>
          <cell r="D385" t="str">
            <v>Ativo Permanente</v>
          </cell>
          <cell r="E385" t="str">
            <v>MME - Ministério de Minas e Energia</v>
          </cell>
          <cell r="F385" t="str">
            <v>FCPE 101.2</v>
          </cell>
          <cell r="G385" t="str">
            <v xml:space="preserve"> </v>
          </cell>
          <cell r="H385" t="str">
            <v>SE / SPOA / CGRH / COORDENAÇÃO DE ADMINISTRAÇÃO DE PESSOAL - CAPES</v>
          </cell>
          <cell r="I385" t="str">
            <v>8.105.210</v>
          </cell>
        </row>
        <row r="386">
          <cell r="A386" t="str">
            <v>MILENA BARBOSA CARVALHEDO RIBEIRO</v>
          </cell>
          <cell r="B386">
            <v>2133351</v>
          </cell>
          <cell r="C386" t="str">
            <v>Sem Cargo/Emprego</v>
          </cell>
          <cell r="D386" t="str">
            <v>Sem Vínculo</v>
          </cell>
          <cell r="E386" t="str">
            <v>Sem Vínculo</v>
          </cell>
          <cell r="F386" t="str">
            <v>DAS 102.1</v>
          </cell>
          <cell r="G386" t="str">
            <v xml:space="preserve"> </v>
          </cell>
          <cell r="H386" t="str">
            <v>GM / ASSESSORIA DE APOIO AO MINISTRO - AAM</v>
          </cell>
          <cell r="I386" t="str">
            <v>2.100.400</v>
          </cell>
        </row>
        <row r="387">
          <cell r="A387" t="str">
            <v>MIRIA CRISTINA BERNARDES DE SOUSA</v>
          </cell>
          <cell r="B387">
            <v>1687676</v>
          </cell>
          <cell r="C387" t="str">
            <v>Secretária do Diretor</v>
          </cell>
          <cell r="D387" t="str">
            <v>Anistiado MME</v>
          </cell>
          <cell r="E387" t="str">
            <v>MME - Ministério de Minas e Energia</v>
          </cell>
          <cell r="F387" t="str">
            <v>DAS 101.2</v>
          </cell>
          <cell r="G387" t="str">
            <v xml:space="preserve"> </v>
          </cell>
          <cell r="H387" t="str">
            <v>SE / SPOA / CGRH / COORDENAÇÃO DE ADMINISTRAÇÃO DE PESSOAL - CAPES</v>
          </cell>
          <cell r="I387" t="str">
            <v>8.105.210</v>
          </cell>
        </row>
        <row r="388">
          <cell r="A388" t="str">
            <v>MONICA CAROLINE MANHAES DOS SANTOS</v>
          </cell>
          <cell r="B388">
            <v>1981731</v>
          </cell>
          <cell r="C388" t="str">
            <v>Sem Cargo/Emprego</v>
          </cell>
          <cell r="D388" t="str">
            <v>Sem Vínculo</v>
          </cell>
          <cell r="E388" t="str">
            <v>Sem Vínculo</v>
          </cell>
          <cell r="F388" t="str">
            <v>DAS 102.2</v>
          </cell>
          <cell r="G388" t="str">
            <v xml:space="preserve"> </v>
          </cell>
          <cell r="H388" t="str">
            <v>SPE / DEPARTAMENTO DE INFORMAÇÕES E ESTUDOS ENERGÉTICOS - DIEE</v>
          </cell>
          <cell r="I388" t="str">
            <v>10.104.000</v>
          </cell>
        </row>
        <row r="389">
          <cell r="A389" t="str">
            <v>MONICA DOS SANTOS COELHO BARBOSA</v>
          </cell>
          <cell r="B389">
            <v>2328205</v>
          </cell>
          <cell r="C389" t="str">
            <v>Sem Cargo/Emprego</v>
          </cell>
          <cell r="D389" t="str">
            <v>Sem Vínculo</v>
          </cell>
          <cell r="E389" t="str">
            <v>Sem Vínculo</v>
          </cell>
          <cell r="F389" t="str">
            <v>DAS 102.3</v>
          </cell>
          <cell r="G389" t="str">
            <v xml:space="preserve"> </v>
          </cell>
          <cell r="H389" t="str">
            <v>SGM / DEPARTAMENTO DE GESTÃO DAS POLÍTICAS DE GEOLOGIA, MINERAÇÃOE TRANSFORMAÇÃO - DPGM</v>
          </cell>
          <cell r="I389" t="str">
            <v>9.101.000</v>
          </cell>
        </row>
        <row r="390">
          <cell r="A390" t="str">
            <v>NEIDE DE FATIMA GOMES DE AZEVEDO LOPES</v>
          </cell>
          <cell r="B390">
            <v>455482</v>
          </cell>
          <cell r="C390" t="str">
            <v>Agente Administrativo</v>
          </cell>
          <cell r="D390" t="str">
            <v>Ativo Permanente</v>
          </cell>
          <cell r="E390" t="str">
            <v>MME - Ministério de Minas e Energia</v>
          </cell>
          <cell r="F390" t="str">
            <v>DAS 101.2</v>
          </cell>
          <cell r="G390" t="str">
            <v xml:space="preserve"> </v>
          </cell>
          <cell r="H390" t="str">
            <v>SE / SPOA / CGRH / COORDENAÇÃO DE ADMINISTRAÇÃO DE PESSOAL - CAPES</v>
          </cell>
          <cell r="I390" t="str">
            <v>8.105.210</v>
          </cell>
        </row>
        <row r="391">
          <cell r="A391" t="str">
            <v>NEIDE MARIA PIRES COSTA PINHEIRO</v>
          </cell>
          <cell r="B391">
            <v>1669318</v>
          </cell>
          <cell r="C391" t="str">
            <v>Auxiliar de Biblioteca</v>
          </cell>
          <cell r="D391" t="str">
            <v>Anistiado MME</v>
          </cell>
          <cell r="E391" t="str">
            <v>MME - Ministério de Minas e Energia</v>
          </cell>
          <cell r="F391" t="str">
            <v xml:space="preserve"> </v>
          </cell>
          <cell r="G391" t="str">
            <v xml:space="preserve"> </v>
          </cell>
          <cell r="H391" t="str">
            <v>SEE / CHEFIA DE GABINETE SEE</v>
          </cell>
          <cell r="I391" t="str">
            <v>12.100.000</v>
          </cell>
        </row>
        <row r="392">
          <cell r="A392" t="str">
            <v>NELSON CARLOS DA SILVA</v>
          </cell>
          <cell r="B392">
            <v>1586402</v>
          </cell>
          <cell r="C392" t="str">
            <v>Auxiliar de Controle de Qualidade</v>
          </cell>
          <cell r="D392" t="str">
            <v>Anistiado MME</v>
          </cell>
          <cell r="E392" t="str">
            <v>MME - Ministério de Minas e Energia</v>
          </cell>
          <cell r="F392" t="str">
            <v xml:space="preserve"> </v>
          </cell>
          <cell r="G392" t="str">
            <v xml:space="preserve"> </v>
          </cell>
          <cell r="H392" t="str">
            <v>SE / SPOA / CGRL / COORDENAÇÃO DE ADMINISTRAÇÃO DE MATERIAL E EXECUÇÃO FINANCEIRA - COMEF</v>
          </cell>
          <cell r="I392" t="str">
            <v>8.105.110</v>
          </cell>
        </row>
        <row r="393">
          <cell r="A393" t="str">
            <v>NEUZI DE OLIVEIRA LOPES DA SILVA</v>
          </cell>
          <cell r="B393">
            <v>219989</v>
          </cell>
          <cell r="C393" t="str">
            <v>Datilógrafo</v>
          </cell>
          <cell r="D393" t="str">
            <v>Requisitado de Órgãos</v>
          </cell>
          <cell r="E393" t="str">
            <v>ME - Ministério da Economia</v>
          </cell>
          <cell r="F393" t="str">
            <v xml:space="preserve"> </v>
          </cell>
          <cell r="G393" t="str">
            <v>GSISTE Intermediário</v>
          </cell>
          <cell r="H393" t="str">
            <v>SE / SPOA / CGRL / COORDENAÇÃO DE ATIVIDADES GERAIS - COAGE</v>
          </cell>
          <cell r="I393" t="str">
            <v>8.105.120</v>
          </cell>
        </row>
        <row r="394">
          <cell r="A394" t="str">
            <v>NEY ZANELLA DOS SANTOS</v>
          </cell>
          <cell r="B394">
            <v>1778206</v>
          </cell>
          <cell r="C394" t="str">
            <v>Sem Cargo/Emprego</v>
          </cell>
          <cell r="D394" t="str">
            <v>Sem Vínculo</v>
          </cell>
          <cell r="E394" t="str">
            <v>Sem Vínculo</v>
          </cell>
          <cell r="F394" t="str">
            <v>DAS 101.5</v>
          </cell>
          <cell r="G394" t="str">
            <v xml:space="preserve"> </v>
          </cell>
          <cell r="H394" t="str">
            <v>SE / ASSESSORIA ESPECIAL DE GESTÃO ESTRATÉGICA - AEGE</v>
          </cell>
          <cell r="I394" t="str">
            <v>8.101.000</v>
          </cell>
        </row>
        <row r="395">
          <cell r="A395" t="str">
            <v>NICOLE ANGEL OLIVEIRA BORGES</v>
          </cell>
          <cell r="B395">
            <v>1358735</v>
          </cell>
          <cell r="C395" t="str">
            <v>Sem Cargo/Emprego</v>
          </cell>
          <cell r="D395" t="str">
            <v>Sem Vínculo</v>
          </cell>
          <cell r="E395" t="str">
            <v>S/VÍNCULO</v>
          </cell>
          <cell r="F395" t="str">
            <v>DAS 102.2</v>
          </cell>
          <cell r="G395" t="str">
            <v xml:space="preserve"> </v>
          </cell>
          <cell r="H395" t="str">
            <v>GM / ASSESSORIA DE COMUNICAÇÃO SOCIAL - ASCOM</v>
          </cell>
          <cell r="I395" t="str">
            <v>2.100.300</v>
          </cell>
        </row>
        <row r="396">
          <cell r="A396" t="str">
            <v>NIRIA DE MOURA CHAGAS</v>
          </cell>
          <cell r="B396">
            <v>1104598</v>
          </cell>
          <cell r="C396" t="str">
            <v>Agente Administrativo</v>
          </cell>
          <cell r="D396" t="str">
            <v>Requisitado de Órgãos</v>
          </cell>
          <cell r="E396" t="str">
            <v>MD - Ministério da Defesa</v>
          </cell>
          <cell r="F396" t="str">
            <v>FCPE 102.1</v>
          </cell>
          <cell r="G396" t="str">
            <v xml:space="preserve"> </v>
          </cell>
          <cell r="H396" t="str">
            <v>GM / ASSESSORIA DE APOIO AO MINISTRO - AAM</v>
          </cell>
          <cell r="I396" t="str">
            <v>2.100.400</v>
          </cell>
        </row>
        <row r="397">
          <cell r="A397" t="str">
            <v>NISE MARIA STUDART QUINTAS</v>
          </cell>
          <cell r="B397">
            <v>1828184</v>
          </cell>
          <cell r="C397" t="str">
            <v>Analista-B</v>
          </cell>
          <cell r="D397" t="str">
            <v>Anistiado outros Órgãos</v>
          </cell>
          <cell r="E397" t="str">
            <v>EMBRAPA - Empresa Brasileira de Pesquisa Agropecuária</v>
          </cell>
          <cell r="F397" t="str">
            <v xml:space="preserve"> </v>
          </cell>
          <cell r="G397" t="str">
            <v xml:space="preserve"> </v>
          </cell>
          <cell r="H397" t="str">
            <v>GM / ASSESSORIA DE COMUNICAÇÃO SOCIAL - ASCOM</v>
          </cell>
          <cell r="I397" t="str">
            <v>2.100.300</v>
          </cell>
        </row>
        <row r="398">
          <cell r="A398" t="str">
            <v>NUBIAN MENDONÇA AMORIM</v>
          </cell>
          <cell r="B398">
            <v>1779924</v>
          </cell>
          <cell r="C398" t="str">
            <v>Analista em Tecnologia da Informação</v>
          </cell>
          <cell r="D398" t="str">
            <v>Exercício Descentralizado</v>
          </cell>
          <cell r="E398" t="str">
            <v>ME - Ministério da Economia</v>
          </cell>
          <cell r="F398" t="str">
            <v>DAS 101.3</v>
          </cell>
          <cell r="G398" t="str">
            <v xml:space="preserve"> </v>
          </cell>
          <cell r="H398" t="str">
            <v xml:space="preserve">SE / SPOA / CGTI / COORDENAÇÃO DE INFRAESTRUTURA TECNOLÓGICA - </v>
          </cell>
          <cell r="I398" t="str">
            <v>8.105.310</v>
          </cell>
        </row>
        <row r="399">
          <cell r="A399" t="str">
            <v>ONILDE APARECIDA BATISTA</v>
          </cell>
          <cell r="B399">
            <v>1106181</v>
          </cell>
          <cell r="C399" t="str">
            <v>Agente de Portaria</v>
          </cell>
          <cell r="D399" t="str">
            <v>Ativo Permanente</v>
          </cell>
          <cell r="E399" t="str">
            <v>MME - Ministério de Minas e Energia</v>
          </cell>
          <cell r="F399" t="str">
            <v>FGR 1</v>
          </cell>
          <cell r="G399" t="str">
            <v>GSISTE Intermediário</v>
          </cell>
          <cell r="H399" t="str">
            <v>SE / SPOA / CGCC / COORDENAÇÃO DE ADMINISTRAÇÃO DE CONTRATOS - CAC</v>
          </cell>
          <cell r="I399" t="str">
            <v>8.105.410</v>
          </cell>
        </row>
        <row r="400">
          <cell r="A400" t="str">
            <v>ONILDO DE CASTRO PASSOS</v>
          </cell>
          <cell r="B400">
            <v>2340584</v>
          </cell>
          <cell r="C400" t="str">
            <v>Escriturário II</v>
          </cell>
          <cell r="D400" t="str">
            <v>Anistiado MME</v>
          </cell>
          <cell r="E400" t="str">
            <v>MME - Ministério de Minas e Energia</v>
          </cell>
          <cell r="F400" t="str">
            <v xml:space="preserve"> </v>
          </cell>
          <cell r="G400" t="str">
            <v xml:space="preserve"> </v>
          </cell>
          <cell r="H400" t="str">
            <v>SE / SPOA / CGRL / COORDENAÇÃO DE ATIVIDADES GERAIS - COAGE</v>
          </cell>
          <cell r="I400" t="str">
            <v>8.105.120</v>
          </cell>
        </row>
        <row r="401">
          <cell r="A401" t="str">
            <v>OSIMAR ALVES DE SOUZA</v>
          </cell>
          <cell r="B401">
            <v>1095449</v>
          </cell>
          <cell r="C401" t="str">
            <v>Motorista Oficial</v>
          </cell>
          <cell r="D401" t="str">
            <v>Ativo Permanente</v>
          </cell>
          <cell r="E401" t="str">
            <v>MME - Ministério de Minas e Energia</v>
          </cell>
          <cell r="F401" t="str">
            <v>FCPE 102.2</v>
          </cell>
          <cell r="G401" t="str">
            <v xml:space="preserve"> </v>
          </cell>
          <cell r="H401" t="str">
            <v>SE / SPOA / CGRL / COORDENAÇÃO DE ATIVIDADES GERAIS - COAGE</v>
          </cell>
          <cell r="I401" t="str">
            <v>8.105.120</v>
          </cell>
        </row>
        <row r="402">
          <cell r="A402" t="str">
            <v>PATRICIA DA SILVA PEGO</v>
          </cell>
          <cell r="B402">
            <v>2563137</v>
          </cell>
          <cell r="C402" t="str">
            <v>Auditor Federal de Finanças e Controle</v>
          </cell>
          <cell r="D402" t="str">
            <v>Requisitado de Órgãos</v>
          </cell>
          <cell r="E402" t="str">
            <v>ME - Ministério da Economia</v>
          </cell>
          <cell r="F402" t="str">
            <v>FCPE 101.4</v>
          </cell>
          <cell r="G402" t="str">
            <v xml:space="preserve"> </v>
          </cell>
          <cell r="H402" t="str">
            <v>SGM / DPGM / COORDENAÇÃO GERAL DE ECONOMIA MINERAL</v>
          </cell>
          <cell r="I402" t="str">
            <v>9.101.300</v>
          </cell>
        </row>
        <row r="403">
          <cell r="A403" t="str">
            <v>PATRÍCIA DE ALMEIDA MARTINS</v>
          </cell>
          <cell r="B403">
            <v>451584</v>
          </cell>
          <cell r="C403" t="str">
            <v>Agente Administrativo</v>
          </cell>
          <cell r="D403" t="str">
            <v>Ativo Permanente</v>
          </cell>
          <cell r="E403" t="str">
            <v>MME - Ministério de Minas e Energia</v>
          </cell>
          <cell r="F403" t="str">
            <v>FGR 1</v>
          </cell>
          <cell r="G403" t="str">
            <v xml:space="preserve"> </v>
          </cell>
          <cell r="H403" t="str">
            <v>SE / SPOA / CGRH / COORDENAÇÃO DE ADMINISTRAÇÃO DE PESSOAL - CAPES</v>
          </cell>
          <cell r="I403" t="str">
            <v>8.105.210</v>
          </cell>
        </row>
        <row r="404">
          <cell r="A404" t="str">
            <v>PATRICIA MARIA GOMES</v>
          </cell>
          <cell r="B404">
            <v>3294860</v>
          </cell>
          <cell r="C404" t="str">
            <v>Sem Cargo/Emprego</v>
          </cell>
          <cell r="D404" t="str">
            <v>Sem Vínculo</v>
          </cell>
          <cell r="E404" t="str">
            <v>Sem Vínculo</v>
          </cell>
          <cell r="F404" t="str">
            <v>DAS 102.3</v>
          </cell>
          <cell r="G404" t="str">
            <v xml:space="preserve"> </v>
          </cell>
          <cell r="H404" t="str">
            <v>ASSESSORIA ESPECIAL DE ASSUNTOS ECONÔMICOS - ASSEC</v>
          </cell>
          <cell r="I404" t="str">
            <v>6.000.000</v>
          </cell>
        </row>
        <row r="405">
          <cell r="A405" t="str">
            <v>PATRICIA NOLETO CRESTANI</v>
          </cell>
          <cell r="B405">
            <v>1489690</v>
          </cell>
          <cell r="C405" t="str">
            <v>Sem Cargo/Emprego</v>
          </cell>
          <cell r="D405" t="str">
            <v>Sem Vínculo</v>
          </cell>
          <cell r="E405" t="str">
            <v>Sem Vínculo</v>
          </cell>
          <cell r="F405" t="str">
            <v>DAS 102.3</v>
          </cell>
          <cell r="G405" t="str">
            <v xml:space="preserve"> </v>
          </cell>
          <cell r="H405" t="str">
            <v>SGM / CHEFIA DE GABINETE SGM</v>
          </cell>
          <cell r="I405" t="str">
            <v>9.100.000</v>
          </cell>
        </row>
        <row r="406">
          <cell r="A406" t="str">
            <v>PATRICIA SALLES MERGULHAO</v>
          </cell>
          <cell r="B406">
            <v>2298598</v>
          </cell>
          <cell r="C406" t="str">
            <v>Sem Cargo/Emprego</v>
          </cell>
          <cell r="D406" t="str">
            <v>Sem Vínculo</v>
          </cell>
          <cell r="E406" t="str">
            <v>Sem Vínculo</v>
          </cell>
          <cell r="F406" t="str">
            <v>DAS 102.2</v>
          </cell>
          <cell r="G406" t="str">
            <v xml:space="preserve"> </v>
          </cell>
          <cell r="H406" t="str">
            <v>SEE / DEPARTAMENTO DE POLÍTICAS SOCIAIS E UNIVERSALIZAÇÃO DO ACESSO À ENERGIA ELÉTRICA - DPUE</v>
          </cell>
          <cell r="I406" t="str">
            <v>12.103.000</v>
          </cell>
        </row>
        <row r="407">
          <cell r="A407" t="str">
            <v>PAULO COSTA DA SILVA</v>
          </cell>
          <cell r="B407">
            <v>7129838</v>
          </cell>
          <cell r="C407" t="str">
            <v>Técnico de Orçamento</v>
          </cell>
          <cell r="D407" t="str">
            <v>Exercício Descentralizado</v>
          </cell>
          <cell r="E407" t="str">
            <v>ME - Ministério da Economia</v>
          </cell>
          <cell r="F407" t="str">
            <v xml:space="preserve"> </v>
          </cell>
          <cell r="G407" t="str">
            <v xml:space="preserve"> </v>
          </cell>
          <cell r="H407" t="str">
            <v>SE / SPOA / CGOF / COORDENAÇÃO DE ADMINISTRAÇÃO FINANCEIRA -COAF</v>
          </cell>
          <cell r="I407" t="str">
            <v>8.105.510</v>
          </cell>
        </row>
        <row r="408">
          <cell r="A408" t="str">
            <v>PAULO ÉRICO RAMOS DE OLIVEIRA</v>
          </cell>
          <cell r="B408">
            <v>1354321</v>
          </cell>
          <cell r="C408" t="str">
            <v>Analista de Infraestrutura</v>
          </cell>
          <cell r="D408" t="str">
            <v>Exercício Descentralizado</v>
          </cell>
          <cell r="E408" t="str">
            <v>ME - Ministério da Economia</v>
          </cell>
          <cell r="F408" t="str">
            <v xml:space="preserve"> </v>
          </cell>
          <cell r="G408" t="str">
            <v xml:space="preserve"> </v>
          </cell>
          <cell r="H408" t="str">
            <v>SPE / DPE / COORDENAÇÃO GERAL DE PLANEJAMENTO DA TRANSMISSÃO</v>
          </cell>
          <cell r="I408" t="str">
            <v>10.101.100</v>
          </cell>
        </row>
        <row r="409">
          <cell r="A409" t="str">
            <v>PAULO GONÇALVES CERQUEIRA</v>
          </cell>
          <cell r="B409">
            <v>1808086</v>
          </cell>
          <cell r="C409" t="str">
            <v>Engenheiro</v>
          </cell>
          <cell r="D409" t="str">
            <v>Requisitado de Empresa</v>
          </cell>
          <cell r="E409" t="str">
            <v>FURNAS - Centrais Elétricas S/A</v>
          </cell>
          <cell r="F409" t="str">
            <v>DAS 101.4</v>
          </cell>
          <cell r="G409" t="str">
            <v xml:space="preserve"> </v>
          </cell>
          <cell r="H409" t="str">
            <v>SEE / DPUE / COORDENAÇÃO GERAL DE DESENVOLVIMENTO DE POLÍTICAS SOCIAIS</v>
          </cell>
          <cell r="I409" t="str">
            <v>12.103.100</v>
          </cell>
        </row>
        <row r="410">
          <cell r="A410" t="str">
            <v>PAULO MARCIO BARBOSA MENEZES DO NASCIMENTO</v>
          </cell>
          <cell r="B410">
            <v>2083816</v>
          </cell>
          <cell r="C410" t="str">
            <v>Analista em Tecnologia da Informação</v>
          </cell>
          <cell r="D410" t="str">
            <v>Exercício Descentralizado</v>
          </cell>
          <cell r="E410" t="str">
            <v>ME - Ministério da Economia</v>
          </cell>
          <cell r="F410" t="str">
            <v xml:space="preserve"> </v>
          </cell>
          <cell r="G410" t="str">
            <v xml:space="preserve"> </v>
          </cell>
          <cell r="H410" t="str">
            <v>SE / SPOA / CGTI / COORDENAÇÃO DE TECNOLOGIA DE SISTEMAS DE INFORMAÇÃO - CTSI</v>
          </cell>
          <cell r="I410" t="str">
            <v>8.105.320</v>
          </cell>
        </row>
        <row r="411">
          <cell r="A411" t="str">
            <v>PAULO RAINERI</v>
          </cell>
          <cell r="B411">
            <v>1354355</v>
          </cell>
          <cell r="C411" t="str">
            <v>Auxiliar Administrativo</v>
          </cell>
          <cell r="D411" t="str">
            <v>Anistiado MME</v>
          </cell>
          <cell r="E411" t="str">
            <v>MME - Ministério de Minas e Energia</v>
          </cell>
          <cell r="F411" t="str">
            <v xml:space="preserve"> </v>
          </cell>
          <cell r="G411" t="str">
            <v xml:space="preserve"> </v>
          </cell>
          <cell r="H411" t="str">
            <v>SE / SPOA / CGRL / COORDENAÇÃO DE ATIVIDADES GERAIS - COAGE</v>
          </cell>
          <cell r="I411" t="str">
            <v>8.105.120</v>
          </cell>
        </row>
        <row r="412">
          <cell r="A412" t="str">
            <v>PAULO ROBERTO MACHADO FERNANDES COSTA</v>
          </cell>
          <cell r="B412">
            <v>3542457</v>
          </cell>
          <cell r="C412" t="str">
            <v>Analista de Infraestrutura</v>
          </cell>
          <cell r="D412" t="str">
            <v>Exercício Descentralizado</v>
          </cell>
          <cell r="E412" t="str">
            <v>ME - Ministério da Economia</v>
          </cell>
          <cell r="F412" t="str">
            <v>DAS 101.4</v>
          </cell>
          <cell r="G412" t="str">
            <v xml:space="preserve"> </v>
          </cell>
          <cell r="H412" t="str">
            <v>SPG / DBIO / COORDENAÇÃO GERAL DE BIODIESEL E OUTROS BIOCOMBUSTÍVEIS</v>
          </cell>
          <cell r="I412" t="str">
            <v>11.104.100</v>
          </cell>
        </row>
        <row r="413">
          <cell r="A413" t="str">
            <v>PEDRO ELCIO DOS SANTOS</v>
          </cell>
          <cell r="B413">
            <v>450850</v>
          </cell>
          <cell r="C413" t="str">
            <v>Agente Administrativo</v>
          </cell>
          <cell r="D413" t="str">
            <v>Ativo Permanente</v>
          </cell>
          <cell r="E413" t="str">
            <v>MME - Ministério de Minas e Energia</v>
          </cell>
          <cell r="F413" t="str">
            <v>FCPE 102.3</v>
          </cell>
          <cell r="G413" t="str">
            <v xml:space="preserve"> </v>
          </cell>
          <cell r="H413" t="str">
            <v>SGM / CHEFIA DE GABINETE SGM</v>
          </cell>
          <cell r="I413" t="str">
            <v>9.100.000</v>
          </cell>
        </row>
        <row r="414">
          <cell r="A414" t="str">
            <v>PEDRO EVANGELISTA HONORATO</v>
          </cell>
          <cell r="B414">
            <v>1366699</v>
          </cell>
          <cell r="C414" t="str">
            <v>Auxiliar Codificação e Conferência</v>
          </cell>
          <cell r="D414" t="str">
            <v>Anistiado MME</v>
          </cell>
          <cell r="E414" t="str">
            <v>MME - Ministério de Minas e Energia</v>
          </cell>
          <cell r="F414" t="str">
            <v>DAS 102.2</v>
          </cell>
          <cell r="G414" t="str">
            <v xml:space="preserve"> </v>
          </cell>
          <cell r="H414" t="str">
            <v>SGM / DEPARTAMENTO DE GEOLOGIA E PRODUÇÃO MINERAL - DGPM</v>
          </cell>
          <cell r="I414" t="str">
            <v>9.102.000</v>
          </cell>
        </row>
        <row r="415">
          <cell r="A415" t="str">
            <v>PEDRO HELCIO AMANCIO</v>
          </cell>
          <cell r="B415">
            <v>455181</v>
          </cell>
          <cell r="C415" t="str">
            <v>Agente de Telecomunicações e Eletricidade</v>
          </cell>
          <cell r="D415" t="str">
            <v>Ativo Permanente</v>
          </cell>
          <cell r="E415" t="str">
            <v>MME - Ministério de Minas e Energia</v>
          </cell>
          <cell r="F415" t="str">
            <v>FGR 1</v>
          </cell>
          <cell r="G415" t="str">
            <v xml:space="preserve"> </v>
          </cell>
          <cell r="H415" t="str">
            <v>SE / SPOA / CGRL / COORDENAÇÃO DE ATIVIDADES GERAIS - COAGE</v>
          </cell>
          <cell r="I415" t="str">
            <v>8.105.120</v>
          </cell>
        </row>
        <row r="416">
          <cell r="A416" t="str">
            <v>PEDRO HENRIQUE MILHOMEM COUTINHO</v>
          </cell>
          <cell r="B416">
            <v>3686678</v>
          </cell>
          <cell r="C416" t="str">
            <v>Analista de Infraestrutura</v>
          </cell>
          <cell r="D416" t="str">
            <v>Exercício Descentralizado</v>
          </cell>
          <cell r="E416" t="str">
            <v>ME - Ministério da Economia</v>
          </cell>
          <cell r="F416" t="str">
            <v>FCPE 102.2</v>
          </cell>
          <cell r="G416" t="str">
            <v xml:space="preserve"> </v>
          </cell>
          <cell r="H416" t="str">
            <v>SPG / DEPARTAMENTO DE COMBUSTÍVEIS DERIVADOS DE PETRÓLEOS - DCDP</v>
          </cell>
          <cell r="I416" t="str">
            <v>11.103.000</v>
          </cell>
        </row>
        <row r="417">
          <cell r="A417" t="str">
            <v>PEDRO HUGO TEIXEIRA DE OLIVEIRA JUNIOR</v>
          </cell>
          <cell r="B417">
            <v>1221494</v>
          </cell>
          <cell r="C417" t="str">
            <v>Sem Cargo/Emprego</v>
          </cell>
          <cell r="D417" t="str">
            <v>Sem Vínculo</v>
          </cell>
          <cell r="E417" t="str">
            <v>Sem Vínculo</v>
          </cell>
          <cell r="F417" t="str">
            <v>DAS 102.5</v>
          </cell>
          <cell r="G417" t="str">
            <v xml:space="preserve"> </v>
          </cell>
          <cell r="H417" t="str">
            <v>GM / ASSESSORIA PARLAMENTAR - ASPAR</v>
          </cell>
          <cell r="I417" t="str">
            <v>2.100.200</v>
          </cell>
        </row>
        <row r="418">
          <cell r="A418" t="str">
            <v>PEDRO LOURENCO DE SOUSA</v>
          </cell>
          <cell r="B418">
            <v>451593</v>
          </cell>
          <cell r="C418" t="str">
            <v>Agente Administrativo</v>
          </cell>
          <cell r="D418" t="str">
            <v>Ativo Permanente</v>
          </cell>
          <cell r="E418" t="str">
            <v>MME - Ministério de Minas e Energia</v>
          </cell>
          <cell r="F418" t="str">
            <v>FCT 10</v>
          </cell>
          <cell r="G418" t="str">
            <v xml:space="preserve"> </v>
          </cell>
          <cell r="H418" t="str">
            <v>GM / ASTAD / COORDENAÇÃO DE ATIVIDADES ADMINISTRATIVAS</v>
          </cell>
          <cell r="I418" t="str">
            <v>2.100.101</v>
          </cell>
        </row>
        <row r="419">
          <cell r="A419" t="str">
            <v>PEDRO SANTANA DA SILVA</v>
          </cell>
          <cell r="B419">
            <v>1905845</v>
          </cell>
          <cell r="C419" t="str">
            <v>Analista de Laboratório II</v>
          </cell>
          <cell r="D419" t="str">
            <v>Anistiado MME</v>
          </cell>
          <cell r="E419" t="str">
            <v>MME - Ministério de Minas e Energia</v>
          </cell>
          <cell r="F419" t="str">
            <v xml:space="preserve"> </v>
          </cell>
          <cell r="G419" t="str">
            <v xml:space="preserve"> </v>
          </cell>
          <cell r="H419" t="str">
            <v>Aguardando Lotação/Exercício</v>
          </cell>
          <cell r="I419" t="str">
            <v>88.000.000</v>
          </cell>
        </row>
        <row r="420">
          <cell r="A420" t="str">
            <v>RAFAEL BASTOS DA SILVA</v>
          </cell>
          <cell r="B420">
            <v>1514882</v>
          </cell>
          <cell r="C420" t="str">
            <v>Especialista em Geologia e Geof do Petr e Gás Natural</v>
          </cell>
          <cell r="D420" t="str">
            <v>Requisitado de Órgãos</v>
          </cell>
          <cell r="E420" t="str">
            <v>ANP - Agência Nacional do Petróleo, Gás Natural e Biocombustíveis</v>
          </cell>
          <cell r="F420" t="str">
            <v>DAS 101.5</v>
          </cell>
          <cell r="G420" t="str">
            <v xml:space="preserve"> </v>
          </cell>
          <cell r="H420" t="str">
            <v>SPG / DEPARTAMENTO DE POLÍTICA DE EXPLORAÇÃO E PRODUÇÃO DE PETRÓLEO E GÁS NATURAL - DPGN</v>
          </cell>
          <cell r="I420" t="str">
            <v>11.101.000</v>
          </cell>
        </row>
        <row r="421">
          <cell r="A421" t="str">
            <v>RAFAEL ESPERIDIAO DE MELO</v>
          </cell>
          <cell r="B421">
            <v>1356437</v>
          </cell>
          <cell r="C421" t="str">
            <v>Advogado da União</v>
          </cell>
          <cell r="D421" t="str">
            <v>Exercício Descentralizado</v>
          </cell>
          <cell r="E421" t="str">
            <v>ME - Ministério da Economia</v>
          </cell>
          <cell r="F421" t="str">
            <v xml:space="preserve"> </v>
          </cell>
          <cell r="G421" t="str">
            <v xml:space="preserve"> </v>
          </cell>
          <cell r="H421" t="str">
            <v>CONJUR / COORDENAÇÃO GERAL DE ASSUNTOS DE ENERGIA</v>
          </cell>
          <cell r="I421" t="str">
            <v>7.100.100</v>
          </cell>
        </row>
        <row r="422">
          <cell r="A422" t="str">
            <v>RAIMUNDA ALVES DE SOUSA OLIVEIRA</v>
          </cell>
          <cell r="B422">
            <v>6002121</v>
          </cell>
          <cell r="C422" t="str">
            <v>Datilógrafo</v>
          </cell>
          <cell r="D422" t="str">
            <v>Requisitado de Órgãos</v>
          </cell>
          <cell r="E422" t="str">
            <v>MAPA - Ministério da Agricultura, Pecuário e Abastecimento</v>
          </cell>
          <cell r="F422" t="str">
            <v>FCPE 102.2</v>
          </cell>
          <cell r="G422" t="str">
            <v>GSISTE Intermediário</v>
          </cell>
          <cell r="H422" t="str">
            <v>SE / SPOA / CGCC / COORDENAÇÃO DE LICITAÇÕES E COMPRA - CLC</v>
          </cell>
          <cell r="I422" t="str">
            <v>8.105.420</v>
          </cell>
        </row>
        <row r="423">
          <cell r="A423" t="str">
            <v>RAIMUNDO WANGLER VIANA SERRAO</v>
          </cell>
          <cell r="B423">
            <v>3133039</v>
          </cell>
          <cell r="C423" t="str">
            <v>Marinha</v>
          </cell>
          <cell r="D423" t="str">
            <v>Requisitado Militar</v>
          </cell>
          <cell r="E423" t="str">
            <v>Marinha</v>
          </cell>
          <cell r="F423" t="str">
            <v>DAS 102.3</v>
          </cell>
          <cell r="G423" t="str">
            <v xml:space="preserve"> </v>
          </cell>
          <cell r="H423" t="str">
            <v>Escritório Rio de Janeiro/RJ</v>
          </cell>
          <cell r="I423" t="str">
            <v>99.000.000</v>
          </cell>
        </row>
        <row r="424">
          <cell r="A424" t="str">
            <v>RANIELLE NOLETO PAZ ARAUJO</v>
          </cell>
          <cell r="B424">
            <v>2658275</v>
          </cell>
          <cell r="C424" t="str">
            <v>Analista de Infraestrutura</v>
          </cell>
          <cell r="D424" t="str">
            <v>Exercício Descentralizado</v>
          </cell>
          <cell r="E424" t="str">
            <v>ME - Ministério da Economia</v>
          </cell>
          <cell r="F424" t="str">
            <v>FCPE 102.2</v>
          </cell>
          <cell r="G424" t="str">
            <v xml:space="preserve"> </v>
          </cell>
          <cell r="H424" t="str">
            <v>SGM / DDM / COORDENAÇÃO GERAL DE MINERAÇÃO EM ÁREAS DE CONSERVAÇÃO E CONFLITO</v>
          </cell>
          <cell r="I424" t="str">
            <v>9.104.200</v>
          </cell>
        </row>
        <row r="425">
          <cell r="A425" t="str">
            <v>RAQUEL DA SILVA GUIRRA</v>
          </cell>
          <cell r="B425">
            <v>1094908</v>
          </cell>
          <cell r="C425" t="str">
            <v>Técnico de Contabilidade</v>
          </cell>
          <cell r="D425" t="str">
            <v>Ativo Permanente</v>
          </cell>
          <cell r="E425" t="str">
            <v>MME - Ministério de Minas e Energia</v>
          </cell>
          <cell r="F425" t="str">
            <v>FCT 3</v>
          </cell>
          <cell r="G425" t="str">
            <v>GSISTE Intermediário</v>
          </cell>
          <cell r="H425" t="str">
            <v>SE / SPOA / CGRL / COORDENAÇÃO DE ADMINISTRAÇÃO DE MATERIAL E EXECUÇÃO FINANCEIRA - COMEF</v>
          </cell>
          <cell r="I425" t="str">
            <v>8.105.110</v>
          </cell>
        </row>
        <row r="426">
          <cell r="A426" t="str">
            <v>RAQUEL VILELA CORRÊA</v>
          </cell>
          <cell r="B426">
            <v>2362396</v>
          </cell>
          <cell r="C426" t="str">
            <v>Sem Cargo/Emprego</v>
          </cell>
          <cell r="D426" t="str">
            <v>Sem Vínculo</v>
          </cell>
          <cell r="E426" t="str">
            <v>Sem Vínculo</v>
          </cell>
          <cell r="F426" t="str">
            <v>DAS 102.2</v>
          </cell>
          <cell r="G426" t="str">
            <v xml:space="preserve"> </v>
          </cell>
          <cell r="H426" t="str">
            <v>SGM / DEPARTAMENTO DE TRANSFORMAÇÃO E TECNOLOGIA MINERAL - DTTM</v>
          </cell>
          <cell r="I426" t="str">
            <v>9.103.000</v>
          </cell>
        </row>
        <row r="427">
          <cell r="A427" t="str">
            <v>REGINA BASILIO BACARIAS</v>
          </cell>
          <cell r="B427">
            <v>454716</v>
          </cell>
          <cell r="C427" t="str">
            <v>Agente Administrativo</v>
          </cell>
          <cell r="D427" t="str">
            <v>Ativo Permanente</v>
          </cell>
          <cell r="E427" t="str">
            <v>MME - Ministério de Minas e Energia</v>
          </cell>
          <cell r="F427" t="str">
            <v>FGR 1</v>
          </cell>
          <cell r="G427" t="str">
            <v xml:space="preserve"> </v>
          </cell>
          <cell r="H427" t="str">
            <v>SEE / DMSE / COORDENAÇÃO GERAL DE MONITORAMENTO DA DISTRIBUIÇÃO</v>
          </cell>
          <cell r="I427" t="str">
            <v>12.102.300</v>
          </cell>
        </row>
        <row r="428">
          <cell r="A428" t="str">
            <v>REGINA COELIS ALVES PEREIRA</v>
          </cell>
          <cell r="B428">
            <v>1280771</v>
          </cell>
          <cell r="C428" t="str">
            <v>Técnico de Processamento</v>
          </cell>
          <cell r="D428" t="str">
            <v>Anistiado MME</v>
          </cell>
          <cell r="E428" t="str">
            <v>MME - Ministério de Minas e Energia</v>
          </cell>
          <cell r="F428" t="str">
            <v xml:space="preserve"> </v>
          </cell>
          <cell r="G428" t="str">
            <v xml:space="preserve"> </v>
          </cell>
          <cell r="H428" t="str">
            <v>SEE / DGSE / COORDENAÇÃO GERAL DE GESTÃO DE PROGRAMAS E REGULAMENTAÇÃO</v>
          </cell>
          <cell r="I428" t="str">
            <v>12.101.200</v>
          </cell>
        </row>
        <row r="429">
          <cell r="A429" t="str">
            <v>REGINA DE ARAUJO CALIXTO</v>
          </cell>
          <cell r="B429">
            <v>1337906</v>
          </cell>
          <cell r="C429" t="str">
            <v>Sem Cargo/Emprego</v>
          </cell>
          <cell r="D429" t="str">
            <v>Sem Vínculo</v>
          </cell>
          <cell r="E429" t="str">
            <v>Sem Vínculo</v>
          </cell>
          <cell r="F429" t="str">
            <v>DAS 102.2</v>
          </cell>
          <cell r="G429" t="str">
            <v xml:space="preserve"> </v>
          </cell>
          <cell r="H429" t="str">
            <v>SPE / DEPARTAMENTO DE DESENVOLVIMENTO ENERGÉTICO - DDE</v>
          </cell>
          <cell r="I429" t="str">
            <v>10.102.000</v>
          </cell>
        </row>
        <row r="430">
          <cell r="A430" t="str">
            <v>REJANE INNECCO DA COSTA</v>
          </cell>
          <cell r="B430">
            <v>2078133</v>
          </cell>
          <cell r="C430" t="str">
            <v>Sem Cargo/Emprego</v>
          </cell>
          <cell r="D430" t="str">
            <v>Sem Vínculo</v>
          </cell>
          <cell r="E430" t="str">
            <v>Sem Vínculo</v>
          </cell>
          <cell r="F430" t="str">
            <v>DAS 102.3</v>
          </cell>
          <cell r="G430" t="str">
            <v xml:space="preserve"> </v>
          </cell>
          <cell r="H430" t="str">
            <v>ASSESSORIA ESPECIAL DE CONTROLE INTERNO - AECI</v>
          </cell>
          <cell r="I430" t="str">
            <v>5.000.000</v>
          </cell>
        </row>
        <row r="431">
          <cell r="A431" t="str">
            <v>RENATA BECKERT ISFER</v>
          </cell>
          <cell r="B431">
            <v>1585328</v>
          </cell>
          <cell r="C431" t="str">
            <v>Procuradora Federal</v>
          </cell>
          <cell r="D431" t="str">
            <v>Exercício Descentralizado</v>
          </cell>
          <cell r="E431" t="str">
            <v>AGU - Advocacia Geral da União</v>
          </cell>
          <cell r="F431" t="str">
            <v>DAS 102.4</v>
          </cell>
          <cell r="G431" t="str">
            <v xml:space="preserve"> </v>
          </cell>
          <cell r="H431" t="str">
            <v>SPG / CHEFIA DE GABINETE SPG</v>
          </cell>
          <cell r="I431" t="str">
            <v>11.100.000</v>
          </cell>
        </row>
        <row r="432">
          <cell r="A432" t="str">
            <v>RENATA ROSADA DA SILVA</v>
          </cell>
          <cell r="B432">
            <v>1522238</v>
          </cell>
          <cell r="C432" t="str">
            <v>Especialista em Regulação de Serv Púb de Energia</v>
          </cell>
          <cell r="D432" t="str">
            <v>Requisitado de Órgãos</v>
          </cell>
          <cell r="E432" t="str">
            <v>ANEEL - Agência Nacional de Energia Elétrica</v>
          </cell>
          <cell r="F432" t="str">
            <v>DAS 101.5</v>
          </cell>
          <cell r="G432" t="str">
            <v xml:space="preserve"> </v>
          </cell>
          <cell r="H432" t="str">
            <v>ASSESSORIA ESPECIAL DE ASSUNTOS ECONÔMICOS - ASSEC</v>
          </cell>
          <cell r="I432" t="str">
            <v>6.000.000</v>
          </cell>
        </row>
        <row r="433">
          <cell r="A433" t="str">
            <v>RENATA SANCHES DE OLIVEIRA MOURA</v>
          </cell>
          <cell r="B433">
            <v>2008083</v>
          </cell>
          <cell r="C433" t="str">
            <v>Assistente em Ciência e Tecnologia</v>
          </cell>
          <cell r="D433" t="str">
            <v>Requisitado de Órgãos</v>
          </cell>
          <cell r="E433" t="str">
            <v>MCTIC - Ministério da Ciência, Tecnologia, Inovações e Comunicações</v>
          </cell>
          <cell r="F433" t="str">
            <v>FGR 1</v>
          </cell>
          <cell r="G433" t="str">
            <v>GSISTE Intermediário</v>
          </cell>
          <cell r="H433" t="str">
            <v>SE / SPOA / CGRH / COORDENAÇÃO DE DESENVOLVIMENTO E SEGURIDADE SOCIAL - CODES</v>
          </cell>
          <cell r="I433" t="str">
            <v>8.105.220</v>
          </cell>
        </row>
        <row r="434">
          <cell r="A434" t="str">
            <v>RENATO DE SOUSA ALVES</v>
          </cell>
          <cell r="B434">
            <v>452183</v>
          </cell>
          <cell r="C434" t="str">
            <v>Agente de Vigilância</v>
          </cell>
          <cell r="D434" t="str">
            <v>Ativo Permanente</v>
          </cell>
          <cell r="E434" t="str">
            <v>MME - Ministério de Minas e Energia</v>
          </cell>
          <cell r="F434" t="str">
            <v xml:space="preserve"> </v>
          </cell>
          <cell r="G434" t="str">
            <v>GSISTE Intermediário</v>
          </cell>
          <cell r="H434" t="str">
            <v>SE / SPOA / CGRL / COORDENAÇÃO DE ADMINISTRAÇÃO DE MATERIAL E EXECUÇÃO FINANCEIRA - COMEF</v>
          </cell>
          <cell r="I434" t="str">
            <v>8.105.110</v>
          </cell>
        </row>
        <row r="435">
          <cell r="A435" t="str">
            <v>RICARDO DA COSTA RIBEIRO</v>
          </cell>
          <cell r="B435">
            <v>2049106</v>
          </cell>
          <cell r="C435" t="str">
            <v>Analista de Infraestrutura</v>
          </cell>
          <cell r="D435" t="str">
            <v>Exercício Descentralizado</v>
          </cell>
          <cell r="E435" t="str">
            <v>ME - Ministério da Economia</v>
          </cell>
          <cell r="F435" t="str">
            <v>FGR 1</v>
          </cell>
          <cell r="G435" t="str">
            <v xml:space="preserve"> </v>
          </cell>
          <cell r="H435" t="str">
            <v>SE / ASSESSORIA ESPECIAL DE MEIO AMBIENTE - AESA</v>
          </cell>
          <cell r="I435" t="str">
            <v>8.104.000</v>
          </cell>
        </row>
        <row r="436">
          <cell r="A436" t="str">
            <v>RICARDO DE PAULA MONTEIRO</v>
          </cell>
          <cell r="B436">
            <v>2506322</v>
          </cell>
          <cell r="C436" t="str">
            <v>Sem Cargo/Emprego</v>
          </cell>
          <cell r="D436" t="str">
            <v>Sem Vínculo</v>
          </cell>
          <cell r="E436" t="str">
            <v>Sem Vínculo</v>
          </cell>
          <cell r="F436" t="str">
            <v>DAS 101.5</v>
          </cell>
          <cell r="G436" t="str">
            <v xml:space="preserve"> </v>
          </cell>
          <cell r="H436" t="str">
            <v>SGM / DEPARTAMENTO DE GESTÃO DAS POLÍTICAS DE GEOLOGIA, MINERAÇÃOE TRANSFORMAÇÃO - DPGM</v>
          </cell>
          <cell r="I436" t="str">
            <v>9.101.000</v>
          </cell>
        </row>
        <row r="437">
          <cell r="A437" t="str">
            <v>RICARDO JOSE SOUZA NASCIMENTO SILVA</v>
          </cell>
          <cell r="B437">
            <v>1668601</v>
          </cell>
          <cell r="C437" t="str">
            <v>Codificador de Dados I</v>
          </cell>
          <cell r="D437" t="str">
            <v>Anistiado MME</v>
          </cell>
          <cell r="E437" t="str">
            <v>MME - Ministério de Minas e Energia</v>
          </cell>
          <cell r="F437" t="str">
            <v xml:space="preserve"> </v>
          </cell>
          <cell r="G437" t="str">
            <v xml:space="preserve"> </v>
          </cell>
          <cell r="H437" t="str">
            <v>Aguardando Lotação/Exercício</v>
          </cell>
          <cell r="I437" t="str">
            <v>88.000.000</v>
          </cell>
        </row>
        <row r="438">
          <cell r="A438" t="str">
            <v>RICARDO RIOS CARDOSO</v>
          </cell>
          <cell r="B438">
            <v>1243779</v>
          </cell>
          <cell r="C438" t="str">
            <v>Economista III</v>
          </cell>
          <cell r="D438" t="str">
            <v>Anistiado MME</v>
          </cell>
          <cell r="E438" t="str">
            <v>MME - Ministério de Minas e Energia</v>
          </cell>
          <cell r="F438" t="str">
            <v xml:space="preserve"> </v>
          </cell>
          <cell r="G438" t="str">
            <v xml:space="preserve"> </v>
          </cell>
          <cell r="H438" t="str">
            <v>SE / AEGP / COORDENAÇÃO GERAL DE GESTÃO DE PROJETOS - CGGP</v>
          </cell>
          <cell r="I438" t="str">
            <v>8.103.200</v>
          </cell>
        </row>
        <row r="439">
          <cell r="A439" t="str">
            <v>RICARDO TAKEMITSU SIMABUKU</v>
          </cell>
          <cell r="B439">
            <v>3353174</v>
          </cell>
          <cell r="C439" t="str">
            <v>Especialista em Política Pública e Gestão Governamental</v>
          </cell>
          <cell r="D439" t="str">
            <v>Requisitado de Órgãos</v>
          </cell>
          <cell r="E439" t="str">
            <v>ME - Ministério da Economia</v>
          </cell>
          <cell r="F439" t="str">
            <v>DAS 101.4</v>
          </cell>
          <cell r="G439" t="str">
            <v xml:space="preserve"> </v>
          </cell>
          <cell r="H439" t="str">
            <v>SE / CHEFIA DE GABINETE SE</v>
          </cell>
          <cell r="I439" t="str">
            <v>8.100.000</v>
          </cell>
        </row>
        <row r="440">
          <cell r="A440" t="str">
            <v>RITA ALVES SILVA</v>
          </cell>
          <cell r="B440">
            <v>3441178</v>
          </cell>
          <cell r="C440" t="str">
            <v>Analista de Infraestrutura</v>
          </cell>
          <cell r="D440" t="str">
            <v>Exercício Descentralizado</v>
          </cell>
          <cell r="E440" t="str">
            <v>ME - Ministério da Economia</v>
          </cell>
          <cell r="F440" t="str">
            <v>FCPE 101.4</v>
          </cell>
          <cell r="G440" t="str">
            <v xml:space="preserve"> </v>
          </cell>
          <cell r="H440" t="str">
            <v xml:space="preserve">SE / AESA / COORDENAÇÃO GERAL DE ARTICULAÇÃO INSTITUCIONAL EM MEIO AMBIENTE - </v>
          </cell>
          <cell r="I440" t="str">
            <v>8.104.200</v>
          </cell>
        </row>
        <row r="441">
          <cell r="A441" t="str">
            <v>RITA MARIA DE OLIVEIRA CAMPOS</v>
          </cell>
          <cell r="B441">
            <v>1669890</v>
          </cell>
          <cell r="C441" t="str">
            <v>Auxiliar de Processamento</v>
          </cell>
          <cell r="D441" t="str">
            <v>Anistiado MME</v>
          </cell>
          <cell r="E441" t="str">
            <v>MME - Ministério de Minas e Energia</v>
          </cell>
          <cell r="F441" t="str">
            <v xml:space="preserve"> </v>
          </cell>
          <cell r="G441" t="str">
            <v xml:space="preserve"> </v>
          </cell>
          <cell r="H441" t="str">
            <v>SE / SPOA / CGRH / COORDENAÇÃO DE DESENVOLVIMENTO E SEGURIDADE SOCIAL - CODES</v>
          </cell>
          <cell r="I441" t="str">
            <v>8.105.220</v>
          </cell>
        </row>
        <row r="442">
          <cell r="A442" t="str">
            <v>ROBERTO BENVINDO DE OLIVEIRA</v>
          </cell>
          <cell r="B442">
            <v>1795431</v>
          </cell>
          <cell r="C442" t="str">
            <v>Analista Técnico Administrativo</v>
          </cell>
          <cell r="D442" t="str">
            <v>Requisitado de Órgãos</v>
          </cell>
          <cell r="E442" t="str">
            <v>MDR - Ministério do Desenvolvimento Regional</v>
          </cell>
          <cell r="F442" t="str">
            <v xml:space="preserve"> </v>
          </cell>
          <cell r="G442" t="str">
            <v>GSISTE Superior</v>
          </cell>
          <cell r="H442" t="str">
            <v xml:space="preserve">SE / SPOA / CGTI / COORDENAÇÃO DE INFRAESTRUTURA TECNOLÓGICA - </v>
          </cell>
          <cell r="I442" t="str">
            <v>8.105.310</v>
          </cell>
        </row>
        <row r="443">
          <cell r="A443" t="str">
            <v>ROBERTO PINHEIRO KLEIN JUNIOR</v>
          </cell>
          <cell r="B443">
            <v>3084880</v>
          </cell>
          <cell r="C443" t="str">
            <v>Sem Cargo/Emprego</v>
          </cell>
          <cell r="D443" t="str">
            <v>Sem Vínculo</v>
          </cell>
          <cell r="E443" t="str">
            <v>Sem Vínculo</v>
          </cell>
          <cell r="F443" t="str">
            <v>DAS 101.5</v>
          </cell>
          <cell r="G443" t="str">
            <v xml:space="preserve"> </v>
          </cell>
          <cell r="H443" t="str">
            <v>ASSESSORIA ESPECIAL DE ACOMPANHAMENTO DE POLÍTICAS, ESTRATÉGIAS E DESEMPENHO SETORIAL - AEPED</v>
          </cell>
          <cell r="I443" t="str">
            <v>4.000.000</v>
          </cell>
        </row>
        <row r="444">
          <cell r="A444" t="str">
            <v>ROBSON REIS CANEDO</v>
          </cell>
          <cell r="B444">
            <v>453028</v>
          </cell>
          <cell r="C444" t="str">
            <v>Agente Administrativo</v>
          </cell>
          <cell r="D444" t="str">
            <v>Ativo Permanente</v>
          </cell>
          <cell r="E444" t="str">
            <v>MME - Ministério de Minas e Energia</v>
          </cell>
          <cell r="F444" t="str">
            <v>FCPE 102.2</v>
          </cell>
          <cell r="G444" t="str">
            <v xml:space="preserve"> </v>
          </cell>
          <cell r="H444" t="str">
            <v>SGM / DEPARTAMENTO DE TRANSFORMAÇÃO E TECNOLOGIA MINERAL - DTTM</v>
          </cell>
          <cell r="I444" t="str">
            <v>9.103.000</v>
          </cell>
        </row>
        <row r="445">
          <cell r="A445" t="str">
            <v>RODOLFO ZAMIAN DANILOW</v>
          </cell>
          <cell r="B445">
            <v>3132532</v>
          </cell>
          <cell r="C445" t="str">
            <v>Sem Cargo/Emprego</v>
          </cell>
          <cell r="D445" t="str">
            <v>Sem Vínculo</v>
          </cell>
          <cell r="E445" t="str">
            <v>Sem Vínculo</v>
          </cell>
          <cell r="F445" t="str">
            <v>DAS 101.4</v>
          </cell>
          <cell r="G445" t="str">
            <v xml:space="preserve"> </v>
          </cell>
          <cell r="H445" t="str">
            <v>SPE / DIEE / COORDENAÇÃO GERAL DE INFORMAÇÕES ENERGÉTICAS</v>
          </cell>
          <cell r="I445" t="str">
            <v>10.104.100</v>
          </cell>
        </row>
        <row r="446">
          <cell r="A446" t="str">
            <v>RODRIGO DANIEL MENDES FORNARI</v>
          </cell>
          <cell r="B446">
            <v>1938932</v>
          </cell>
          <cell r="C446" t="str">
            <v>Engenheiro</v>
          </cell>
          <cell r="D446" t="str">
            <v>Requisitado de Empresa</v>
          </cell>
          <cell r="E446" t="str">
            <v>ELETROSUL - Companhia de Geração e Transmissão de Energia Elétrica do Sul do Brasil</v>
          </cell>
          <cell r="F446" t="str">
            <v>DAS 101.5</v>
          </cell>
          <cell r="G446" t="str">
            <v xml:space="preserve"> </v>
          </cell>
          <cell r="H446" t="str">
            <v>SEE / CHEFIA DE GABINETE SEE</v>
          </cell>
          <cell r="I446" t="str">
            <v>12.100.000</v>
          </cell>
        </row>
        <row r="447">
          <cell r="A447" t="str">
            <v>RODRIGO DE CARVALHO MATOS</v>
          </cell>
          <cell r="B447">
            <v>1520561</v>
          </cell>
          <cell r="C447" t="str">
            <v>Sem Cargo/Emprego</v>
          </cell>
          <cell r="D447" t="str">
            <v>Sem Vínculo</v>
          </cell>
          <cell r="E447" t="str">
            <v>Sem Vínculo</v>
          </cell>
          <cell r="F447" t="str">
            <v>DAS 101.3</v>
          </cell>
          <cell r="G447" t="str">
            <v xml:space="preserve"> </v>
          </cell>
          <cell r="H447" t="str">
            <v>SE / AEGP / CGPF / COORDENAÇÃO ADMINISTRATIVA</v>
          </cell>
          <cell r="I447" t="str">
            <v>8.103.110</v>
          </cell>
        </row>
        <row r="448">
          <cell r="A448" t="str">
            <v>RODRIGO LIMP NASCIMENTO</v>
          </cell>
          <cell r="B448">
            <v>1559968</v>
          </cell>
          <cell r="C448" t="str">
            <v>Analista Legislativo</v>
          </cell>
          <cell r="D448" t="str">
            <v>Requisitado de Órgãos</v>
          </cell>
          <cell r="E448" t="str">
            <v xml:space="preserve">Câmara dos Deputados </v>
          </cell>
          <cell r="F448" t="str">
            <v>DAS 101.6</v>
          </cell>
          <cell r="G448" t="str">
            <v xml:space="preserve"> </v>
          </cell>
          <cell r="H448" t="str">
            <v>SECRETARIA DE ENERGIA ELÉTRICA - SEE</v>
          </cell>
          <cell r="I448" t="str">
            <v>12.000.000</v>
          </cell>
        </row>
        <row r="449">
          <cell r="A449" t="str">
            <v>RODRIGO SANTANA</v>
          </cell>
          <cell r="B449">
            <v>1510926</v>
          </cell>
          <cell r="C449" t="str">
            <v>Especialista em Regulação de Serv Púb de Energia</v>
          </cell>
          <cell r="D449" t="str">
            <v>Requisitado de Órgãos</v>
          </cell>
          <cell r="E449" t="str">
            <v>ANEEL - Agência Nacional de Energia Elétrica</v>
          </cell>
          <cell r="F449" t="str">
            <v>DAS 101.5</v>
          </cell>
          <cell r="G449" t="str">
            <v xml:space="preserve"> </v>
          </cell>
          <cell r="H449" t="str">
            <v>SEE / DEPARTAMENTO DE POLÍTICAS SOCIAIS E UNIVERSALIZAÇÃO DO ACESSO À ENERGIA ELÉTRICA - DPUE</v>
          </cell>
          <cell r="I449" t="str">
            <v>12.103.000</v>
          </cell>
        </row>
        <row r="450">
          <cell r="A450" t="str">
            <v>ROGÉRIO GUEDES DA SILVA</v>
          </cell>
          <cell r="B450">
            <v>3661905</v>
          </cell>
          <cell r="C450" t="str">
            <v>Analista de Infraestrutura</v>
          </cell>
          <cell r="D450" t="str">
            <v>Exercício Descentralizado</v>
          </cell>
          <cell r="E450" t="str">
            <v>ME - Ministério da Economia</v>
          </cell>
          <cell r="F450" t="str">
            <v>FCPE 102.2</v>
          </cell>
          <cell r="G450" t="str">
            <v xml:space="preserve"> </v>
          </cell>
          <cell r="H450" t="str">
            <v>SPE / DOC / COORDENAÇÃO GERAL DE OUTORGAS DE SERVIÇOS DE TRANSMISSÃO E DISTRIBUIÇÃO DE ENERGIA</v>
          </cell>
          <cell r="I450" t="str">
            <v>10.103.200</v>
          </cell>
        </row>
        <row r="451">
          <cell r="A451" t="str">
            <v>ROGERIO SOUZA TAVARES</v>
          </cell>
          <cell r="B451">
            <v>3658274</v>
          </cell>
          <cell r="C451" t="str">
            <v>Analista de Infraestrutura</v>
          </cell>
          <cell r="D451" t="str">
            <v>Exercício Descentralizado</v>
          </cell>
          <cell r="E451" t="str">
            <v>ME - Ministério da Economia</v>
          </cell>
          <cell r="F451" t="str">
            <v>DAS 101.4</v>
          </cell>
          <cell r="G451" t="str">
            <v xml:space="preserve"> </v>
          </cell>
          <cell r="H451" t="str">
            <v>SPE / DOC / COORDENAÇÃO GERAL DE OUTORGAS DE GERAÇÃO DE ENERGIA ELÉTRICA</v>
          </cell>
          <cell r="I451" t="str">
            <v>10.103.100</v>
          </cell>
        </row>
        <row r="452">
          <cell r="A452" t="str">
            <v>ROLIANA DE SOUSA ARAÚJO LEMOS</v>
          </cell>
          <cell r="B452">
            <v>1586366</v>
          </cell>
          <cell r="C452" t="str">
            <v>Escriturário</v>
          </cell>
          <cell r="D452" t="str">
            <v>Anistiado MME</v>
          </cell>
          <cell r="E452" t="str">
            <v>MME - Ministério de Minas e Energia</v>
          </cell>
          <cell r="F452" t="str">
            <v>DAS 101.2</v>
          </cell>
          <cell r="G452" t="str">
            <v xml:space="preserve"> </v>
          </cell>
          <cell r="H452" t="str">
            <v>SE / SPOA / CGRH / COORDENAÇÃO DE DESENVOLVIMENTO E SEGURIDADE SOCIAL - CODES</v>
          </cell>
          <cell r="I452" t="str">
            <v>8.105.220</v>
          </cell>
        </row>
        <row r="453">
          <cell r="A453" t="str">
            <v>ROMUALDO GOULART ARNOLDO</v>
          </cell>
          <cell r="B453">
            <v>454706</v>
          </cell>
          <cell r="C453" t="str">
            <v>Agente Administrativo</v>
          </cell>
          <cell r="D453" t="str">
            <v>Ativo Permanente</v>
          </cell>
          <cell r="E453" t="str">
            <v>MME - Ministério de Minas e Energia</v>
          </cell>
          <cell r="F453" t="str">
            <v xml:space="preserve"> </v>
          </cell>
          <cell r="G453" t="str">
            <v xml:space="preserve"> </v>
          </cell>
          <cell r="H453" t="str">
            <v>SE / SPOA / COORDENAÇÃO GERAL DE RECURSOS HUMANOS - CGRH</v>
          </cell>
          <cell r="I453" t="str">
            <v>8.105.200</v>
          </cell>
        </row>
        <row r="454">
          <cell r="A454" t="str">
            <v>RONAN PINTO DE ARAUJO</v>
          </cell>
          <cell r="B454">
            <v>1670307</v>
          </cell>
          <cell r="C454" t="str">
            <v>Assistente Administrativo</v>
          </cell>
          <cell r="D454" t="str">
            <v>Anistiado MME</v>
          </cell>
          <cell r="E454" t="str">
            <v>MME - Ministério de Minas e Energia</v>
          </cell>
          <cell r="F454" t="str">
            <v xml:space="preserve"> </v>
          </cell>
          <cell r="G454" t="str">
            <v xml:space="preserve"> </v>
          </cell>
          <cell r="H454" t="str">
            <v>SEE / DPUE / COORDENAÇÃO GERAL DE DESENVOLVIMENTO DE POLÍTICAS SOCIAIS</v>
          </cell>
          <cell r="I454" t="str">
            <v>12.103.100</v>
          </cell>
        </row>
        <row r="455">
          <cell r="A455" t="str">
            <v>RONNY JOSE PEIXOTO</v>
          </cell>
          <cell r="B455">
            <v>1314783</v>
          </cell>
          <cell r="C455" t="str">
            <v>Analista de Infraestrutura</v>
          </cell>
          <cell r="D455" t="str">
            <v>Exercício Descentralizado</v>
          </cell>
          <cell r="E455" t="str">
            <v>ME - Ministério da Economia</v>
          </cell>
          <cell r="F455" t="str">
            <v xml:space="preserve"> </v>
          </cell>
          <cell r="G455" t="str">
            <v xml:space="preserve"> </v>
          </cell>
          <cell r="H455" t="str">
            <v>SPG / DEPARTAMENTO DE COMBUSTÍVEIS DERIVADOS DE PETRÓLEOS - DCDP</v>
          </cell>
          <cell r="I455" t="str">
            <v>11.103.000</v>
          </cell>
        </row>
        <row r="456">
          <cell r="A456" t="str">
            <v>ROSA MARIA PONTES DA CUNHA</v>
          </cell>
          <cell r="B456">
            <v>455957</v>
          </cell>
          <cell r="C456" t="str">
            <v>Odontólogo</v>
          </cell>
          <cell r="D456" t="str">
            <v>Ativo Permanente</v>
          </cell>
          <cell r="E456" t="str">
            <v>MME - Ministério de Minas e Energia</v>
          </cell>
          <cell r="F456" t="str">
            <v>FGR 1</v>
          </cell>
          <cell r="G456" t="str">
            <v>GSISTE Superior</v>
          </cell>
          <cell r="H456" t="str">
            <v>SE / SPOA / CGRH / COORDENAÇÃO DE DESENVOLVIMENTO E SEGURIDADE SOCIAL - CODES</v>
          </cell>
          <cell r="I456" t="str">
            <v>8.105.220</v>
          </cell>
        </row>
        <row r="457">
          <cell r="A457" t="str">
            <v>ROSA MARIA SCHOOL MARQUES DE ANDRADE MARCET DE OLIVEIRA</v>
          </cell>
          <cell r="B457">
            <v>3090882</v>
          </cell>
          <cell r="C457" t="str">
            <v>Sem Cargo/Emprego</v>
          </cell>
          <cell r="D457" t="str">
            <v>Sem Vínculo</v>
          </cell>
          <cell r="E457" t="str">
            <v>Sem Vínculo</v>
          </cell>
          <cell r="F457" t="str">
            <v>DAS 101.4</v>
          </cell>
          <cell r="G457" t="str">
            <v xml:space="preserve"> </v>
          </cell>
          <cell r="H457" t="str">
            <v>GM / ASSESSORIA PARLAMENTAR - ASPAR</v>
          </cell>
          <cell r="I457" t="str">
            <v>2.100.200</v>
          </cell>
        </row>
        <row r="458">
          <cell r="A458" t="str">
            <v>ROSANGELA DE FREITAS BARBOSA CESAR</v>
          </cell>
          <cell r="B458">
            <v>2145181</v>
          </cell>
          <cell r="C458" t="str">
            <v>Sem Cargo/Emprego</v>
          </cell>
          <cell r="D458" t="str">
            <v>Sem Vínculo</v>
          </cell>
          <cell r="E458" t="str">
            <v>Sem Vínculo</v>
          </cell>
          <cell r="F458" t="str">
            <v>DAS 102.2</v>
          </cell>
          <cell r="G458" t="str">
            <v xml:space="preserve"> </v>
          </cell>
          <cell r="H458" t="str">
            <v>CONJUR / CGAA / COORDENAÇÃO DE APOIO ADMINISTRATIVO</v>
          </cell>
          <cell r="I458" t="str">
            <v>7.100.310</v>
          </cell>
        </row>
        <row r="459">
          <cell r="A459" t="str">
            <v>ROSANGELA MOURA DA FONSECA SILVA</v>
          </cell>
          <cell r="B459">
            <v>451634</v>
          </cell>
          <cell r="C459" t="str">
            <v>Agente Administrativo</v>
          </cell>
          <cell r="D459" t="str">
            <v>Ativo Permanente</v>
          </cell>
          <cell r="E459" t="str">
            <v>MME - Ministério de Minas e Energia</v>
          </cell>
          <cell r="F459" t="str">
            <v>FCT 5</v>
          </cell>
          <cell r="G459" t="str">
            <v>GSISTE Intermediário (MPEOF)</v>
          </cell>
          <cell r="H459" t="str">
            <v>SE / SPOA / CGOF / COORDENAÇÃO DE CONTABILIDADE - CONT</v>
          </cell>
          <cell r="I459" t="str">
            <v>8.105.520</v>
          </cell>
        </row>
        <row r="460">
          <cell r="A460" t="str">
            <v>ROSE MARY DE CARVALHO RODRIGUES</v>
          </cell>
          <cell r="B460">
            <v>2257292</v>
          </cell>
          <cell r="C460" t="str">
            <v>Secretária</v>
          </cell>
          <cell r="D460" t="str">
            <v>Anistiado MME</v>
          </cell>
          <cell r="E460" t="str">
            <v>MME - Ministério de Minas e Energia</v>
          </cell>
          <cell r="F460" t="str">
            <v xml:space="preserve"> </v>
          </cell>
          <cell r="G460" t="str">
            <v xml:space="preserve"> </v>
          </cell>
          <cell r="H460" t="str">
            <v>Aguardando Lotação/Exercício</v>
          </cell>
          <cell r="I460" t="str">
            <v>88.000.000</v>
          </cell>
        </row>
        <row r="461">
          <cell r="A461" t="str">
            <v>ROSIMEIRE BATISTA FERRO</v>
          </cell>
          <cell r="B461">
            <v>451848</v>
          </cell>
          <cell r="C461" t="str">
            <v>Agente Administrativo</v>
          </cell>
          <cell r="D461" t="str">
            <v>Ativo Permanente</v>
          </cell>
          <cell r="E461" t="str">
            <v>MME - Ministério de Minas e Energia</v>
          </cell>
          <cell r="F461" t="str">
            <v>FCT 11</v>
          </cell>
          <cell r="G461" t="str">
            <v xml:space="preserve"> </v>
          </cell>
          <cell r="H461" t="str">
            <v>SE / SPOA / CGCC / COORDENAÇÃO DE LICITAÇÕES E COMPRA - CLC</v>
          </cell>
          <cell r="I461" t="str">
            <v>8.105.420</v>
          </cell>
        </row>
        <row r="462">
          <cell r="A462" t="str">
            <v>ROSINETE RODRIGUES DE SOUZA</v>
          </cell>
          <cell r="B462">
            <v>1716015</v>
          </cell>
          <cell r="C462" t="str">
            <v>Copeiro</v>
          </cell>
          <cell r="D462" t="str">
            <v>Anistiado MME</v>
          </cell>
          <cell r="E462" t="str">
            <v>MME - Ministério de Minas e Energia</v>
          </cell>
          <cell r="F462" t="str">
            <v xml:space="preserve"> </v>
          </cell>
          <cell r="G462" t="str">
            <v xml:space="preserve"> </v>
          </cell>
          <cell r="H462" t="str">
            <v>SE / SPOA / CGRH / COORDENAÇÃO DE DESENVOLVIMENTO E SEGURIDADE SOCIAL - CODES</v>
          </cell>
          <cell r="I462" t="str">
            <v>8.105.220</v>
          </cell>
        </row>
        <row r="463">
          <cell r="A463" t="str">
            <v>ROZANA SANTOS PEREIRA CAIXETA</v>
          </cell>
          <cell r="B463">
            <v>1454093</v>
          </cell>
          <cell r="C463" t="str">
            <v>Sem Cargo/Emprego</v>
          </cell>
          <cell r="D463" t="str">
            <v>Sem Vínculo</v>
          </cell>
          <cell r="E463" t="str">
            <v>Sem Vínculo</v>
          </cell>
          <cell r="F463" t="str">
            <v>DAS 102.2</v>
          </cell>
          <cell r="G463" t="str">
            <v xml:space="preserve"> </v>
          </cell>
          <cell r="H463" t="str">
            <v>SPG / CHEFIA DE GABINETE SPG</v>
          </cell>
          <cell r="I463" t="str">
            <v>11.100.000</v>
          </cell>
        </row>
        <row r="464">
          <cell r="A464" t="str">
            <v>RUBENS HORACIO FRANCISCO DE ARAUJO</v>
          </cell>
          <cell r="B464">
            <v>455297</v>
          </cell>
          <cell r="C464" t="str">
            <v>Agente de Vigilância</v>
          </cell>
          <cell r="D464" t="str">
            <v>Ativo Permanente</v>
          </cell>
          <cell r="E464" t="str">
            <v>MME - Ministério de Minas e Energia</v>
          </cell>
          <cell r="F464" t="str">
            <v>FGR 1</v>
          </cell>
          <cell r="G464" t="str">
            <v xml:space="preserve"> </v>
          </cell>
          <cell r="H464" t="str">
            <v>SE / SPOA / CGRL / COORDENAÇÃO DE ATIVIDADES GERAIS - COAGE</v>
          </cell>
          <cell r="I464" t="str">
            <v>8.105.120</v>
          </cell>
        </row>
        <row r="465">
          <cell r="A465" t="str">
            <v>RUBSON JOSE BOAVENTURA</v>
          </cell>
          <cell r="B465">
            <v>1758894</v>
          </cell>
          <cell r="C465" t="str">
            <v>Assistente Técnico</v>
          </cell>
          <cell r="D465" t="str">
            <v>Anistiado MME</v>
          </cell>
          <cell r="E465" t="str">
            <v>MME - Ministério de Minas e Energia</v>
          </cell>
          <cell r="F465" t="str">
            <v xml:space="preserve"> </v>
          </cell>
          <cell r="G465" t="str">
            <v xml:space="preserve"> </v>
          </cell>
          <cell r="H465" t="str">
            <v>SE / SPOA / CGRL / COORDENAÇÃO DE ATIVIDADES GERAIS - COAGE</v>
          </cell>
          <cell r="I465" t="str">
            <v>8.105.120</v>
          </cell>
        </row>
        <row r="466">
          <cell r="A466" t="str">
            <v>RUTH BERNADETE ARAUJO DE PAULA</v>
          </cell>
          <cell r="B466">
            <v>1282065</v>
          </cell>
          <cell r="C466" t="str">
            <v>Auxiliar de Controle</v>
          </cell>
          <cell r="D466" t="str">
            <v>Anistiado MME</v>
          </cell>
          <cell r="E466" t="str">
            <v>MME - Ministério de Minas e Energia</v>
          </cell>
          <cell r="F466" t="str">
            <v>DAS 102.3</v>
          </cell>
          <cell r="G466" t="str">
            <v xml:space="preserve"> </v>
          </cell>
          <cell r="H466" t="str">
            <v>SEE / CHEFIA DE GABINETE SEE</v>
          </cell>
          <cell r="I466" t="str">
            <v>12.100.000</v>
          </cell>
        </row>
        <row r="467">
          <cell r="A467" t="str">
            <v>RUTH LEAO ARANTES SANTOS VASCONCELOS</v>
          </cell>
          <cell r="B467">
            <v>1259418</v>
          </cell>
          <cell r="C467" t="str">
            <v>Programador de Sistema III</v>
          </cell>
          <cell r="D467" t="str">
            <v>Anistiado MME</v>
          </cell>
          <cell r="E467" t="str">
            <v>MME - Ministério de Minas e Energia</v>
          </cell>
          <cell r="F467" t="str">
            <v xml:space="preserve"> </v>
          </cell>
          <cell r="G467" t="str">
            <v xml:space="preserve"> </v>
          </cell>
          <cell r="H467" t="str">
            <v>SE / SPOA / CGCC / COORDENAÇÃO DE LICITAÇÕES E COMPRA - CLC</v>
          </cell>
          <cell r="I467" t="str">
            <v>8.105.420</v>
          </cell>
        </row>
        <row r="468">
          <cell r="A468" t="str">
            <v>SAMIR NAHASS</v>
          </cell>
          <cell r="B468">
            <v>1247097</v>
          </cell>
          <cell r="C468" t="str">
            <v>Sem Cargo/Emprego</v>
          </cell>
          <cell r="D468" t="str">
            <v>Sem Vínculo</v>
          </cell>
          <cell r="E468" t="str">
            <v>Sem Vínculo</v>
          </cell>
          <cell r="F468" t="str">
            <v>DAS 101.4</v>
          </cell>
          <cell r="G468" t="str">
            <v xml:space="preserve"> </v>
          </cell>
          <cell r="H468" t="str">
            <v>SGM / DTTM / COORDENAÇÃO GERAL DE CAPACITAÇÃO E DESENVOLVIMENTO TECNOLÓGICO</v>
          </cell>
          <cell r="I468" t="str">
            <v>9.103.100</v>
          </cell>
        </row>
        <row r="469">
          <cell r="A469" t="str">
            <v>SAMIRA SANA FERNANDES DE SOUSA CARMO</v>
          </cell>
          <cell r="B469">
            <v>3420721</v>
          </cell>
          <cell r="C469" t="str">
            <v>Especialista em Política Pública e Gestão Governamental</v>
          </cell>
          <cell r="D469" t="str">
            <v>Requisitado de Órgãos</v>
          </cell>
          <cell r="E469" t="str">
            <v>ME - Ministério da Economia</v>
          </cell>
          <cell r="F469" t="str">
            <v>DAS 101.4</v>
          </cell>
          <cell r="G469" t="str">
            <v xml:space="preserve"> </v>
          </cell>
          <cell r="H469" t="str">
            <v>SPE / DDE / COORDENAÇÃO GERAL DE EFICIÊNCIA ENERGÉTICA</v>
          </cell>
          <cell r="I469" t="str">
            <v>10.102.100</v>
          </cell>
        </row>
        <row r="470">
          <cell r="A470" t="str">
            <v>SANDRA MARIA MONTEIRO DE ALMEIDA ANGELO</v>
          </cell>
          <cell r="B470">
            <v>8673642</v>
          </cell>
          <cell r="C470" t="str">
            <v>Sem Cargo/Emprego</v>
          </cell>
          <cell r="D470" t="str">
            <v>Sem Vínculo</v>
          </cell>
          <cell r="E470" t="str">
            <v>Sem Vínculo</v>
          </cell>
          <cell r="F470" t="str">
            <v>DAS 102.2</v>
          </cell>
          <cell r="G470" t="str">
            <v xml:space="preserve"> </v>
          </cell>
          <cell r="H470" t="str">
            <v>SGM / DEPARTAMENTO DE GEOLOGIA E PRODUÇÃO MINERAL - DGPM</v>
          </cell>
          <cell r="I470" t="str">
            <v>9.102.000</v>
          </cell>
        </row>
        <row r="471">
          <cell r="A471" t="str">
            <v>SANDRA MONICA DE ALMEIDA PY</v>
          </cell>
          <cell r="B471">
            <v>1669868</v>
          </cell>
          <cell r="C471" t="str">
            <v>Auxiliar Codificação e Conferência</v>
          </cell>
          <cell r="D471" t="str">
            <v>Anistiado MME</v>
          </cell>
          <cell r="E471" t="str">
            <v>MME - Ministério de Minas e Energia</v>
          </cell>
          <cell r="F471" t="str">
            <v>DAS 101.3</v>
          </cell>
          <cell r="G471" t="str">
            <v xml:space="preserve"> </v>
          </cell>
          <cell r="H471" t="str">
            <v>SE / SPOA / CGRH / COORDENAÇÃO DE DESENVOLVIMENTO E SEGURIDADE SOCIAL - CODES</v>
          </cell>
          <cell r="I471" t="str">
            <v>8.105.220</v>
          </cell>
        </row>
        <row r="472">
          <cell r="A472" t="str">
            <v>SANDRA REGINA DE ANDRADE</v>
          </cell>
          <cell r="B472">
            <v>1567453</v>
          </cell>
          <cell r="C472" t="str">
            <v>Sem Cargo/Emprego</v>
          </cell>
          <cell r="D472" t="str">
            <v>Sem Vínculo</v>
          </cell>
          <cell r="E472" t="str">
            <v>Sem Vínculo</v>
          </cell>
          <cell r="F472" t="str">
            <v>DAS 102.2</v>
          </cell>
          <cell r="G472" t="str">
            <v xml:space="preserve"> </v>
          </cell>
          <cell r="H472" t="str">
            <v>SPE / CHEFIA DE GABINETE SPE</v>
          </cell>
          <cell r="I472" t="str">
            <v>10.100.000</v>
          </cell>
        </row>
        <row r="473">
          <cell r="A473" t="str">
            <v>SAULO ROBERTO DE VARGAS</v>
          </cell>
          <cell r="B473">
            <v>3196995</v>
          </cell>
          <cell r="C473" t="str">
            <v>Sem Cargo/Emprego</v>
          </cell>
          <cell r="D473" t="str">
            <v>Sem Vínculo</v>
          </cell>
          <cell r="E473" t="str">
            <v>S/VÍNCULO</v>
          </cell>
          <cell r="F473" t="str">
            <v>DAS 101.4</v>
          </cell>
          <cell r="G473" t="str">
            <v xml:space="preserve"> </v>
          </cell>
          <cell r="H473" t="str">
            <v>GM / ASSESSORIA DE COMUNICAÇÃO SOCIAL - ASCOM</v>
          </cell>
          <cell r="I473" t="str">
            <v>2.100.300</v>
          </cell>
        </row>
        <row r="474">
          <cell r="A474" t="str">
            <v>SEBASTIANA CARDOSO DE MORAES</v>
          </cell>
          <cell r="B474">
            <v>1314571</v>
          </cell>
          <cell r="C474" t="str">
            <v>Perfurador Digitador</v>
          </cell>
          <cell r="D474" t="str">
            <v>Ativo Permanente</v>
          </cell>
          <cell r="E474" t="str">
            <v>MME - Ministério de Minas e Energia</v>
          </cell>
          <cell r="F474" t="str">
            <v xml:space="preserve"> </v>
          </cell>
          <cell r="G474" t="str">
            <v>GSISTE Intermediário</v>
          </cell>
          <cell r="H474" t="str">
            <v>SE / SPOA / CGRL / COORDENAÇÃO DE ADMINISTRAÇÃO DE MATERIAL E EXECUÇÃO FINANCEIRA - COMEF</v>
          </cell>
          <cell r="I474" t="str">
            <v>8.105.110</v>
          </cell>
        </row>
        <row r="475">
          <cell r="A475" t="str">
            <v>SEBASTIANA LUIZA MARQUES</v>
          </cell>
          <cell r="B475">
            <v>1714856</v>
          </cell>
          <cell r="C475" t="str">
            <v>Telefonista</v>
          </cell>
          <cell r="D475" t="str">
            <v>Anistiado MME</v>
          </cell>
          <cell r="E475" t="str">
            <v>MME - Ministério de Minas e Energia</v>
          </cell>
          <cell r="F475" t="str">
            <v xml:space="preserve"> </v>
          </cell>
          <cell r="G475" t="str">
            <v xml:space="preserve"> </v>
          </cell>
          <cell r="H475" t="str">
            <v>Aguardando Lotação/Exercício</v>
          </cell>
          <cell r="I475" t="str">
            <v>88.000.000</v>
          </cell>
        </row>
        <row r="476">
          <cell r="A476" t="str">
            <v>SERGIO FERREIRA CORTIZO</v>
          </cell>
          <cell r="B476">
            <v>1696265</v>
          </cell>
          <cell r="C476" t="str">
            <v>Especialista em Política Pública e Gestão Governamental</v>
          </cell>
          <cell r="D476" t="str">
            <v>Exercício Descentralizado</v>
          </cell>
          <cell r="E476" t="str">
            <v>ME - Ministério da Economia</v>
          </cell>
          <cell r="F476" t="str">
            <v xml:space="preserve"> </v>
          </cell>
          <cell r="G476" t="str">
            <v xml:space="preserve"> </v>
          </cell>
          <cell r="H476" t="str">
            <v>SPE / DDE / COORDENAÇÃO GERAL DE SUSTENTABILIDADE AMBIENTAL DO SETOR ENERGÉTICO</v>
          </cell>
          <cell r="I476" t="str">
            <v>10.102.200</v>
          </cell>
        </row>
        <row r="477">
          <cell r="A477" t="str">
            <v>SERGIO HENRIQUE LOPES DE SOUSA</v>
          </cell>
          <cell r="B477">
            <v>3090789</v>
          </cell>
          <cell r="C477" t="str">
            <v>Sem Cargo/Emprego</v>
          </cell>
          <cell r="D477" t="str">
            <v>Sem Vínculo</v>
          </cell>
          <cell r="E477" t="str">
            <v>Sem Vínculo</v>
          </cell>
          <cell r="F477" t="str">
            <v>DAS 101.5</v>
          </cell>
          <cell r="G477" t="str">
            <v xml:space="preserve"> </v>
          </cell>
          <cell r="H477" t="str">
            <v>ASSESSORIA ESPECIAL DE CONTROLE INTERNO - AECI</v>
          </cell>
          <cell r="I477" t="str">
            <v>5.000.000</v>
          </cell>
        </row>
        <row r="478">
          <cell r="A478" t="str">
            <v>SEVERINO BARBOSA DOS SANTOS</v>
          </cell>
          <cell r="B478">
            <v>455490</v>
          </cell>
          <cell r="C478" t="str">
            <v>Agente Administrativo</v>
          </cell>
          <cell r="D478" t="str">
            <v>Ativo Permanente</v>
          </cell>
          <cell r="E478" t="str">
            <v>MME - Ministério de Minas e Energia</v>
          </cell>
          <cell r="F478" t="str">
            <v>FCPE 101.2</v>
          </cell>
          <cell r="G478" t="str">
            <v>GSISTE Intermediário</v>
          </cell>
          <cell r="H478" t="str">
            <v>SE / SPOA / CGRH / COORDENAÇÃO DE ADMINISTRAÇÃO DE PESSOAL - CAPES</v>
          </cell>
          <cell r="I478" t="str">
            <v>8.105.210</v>
          </cell>
        </row>
        <row r="479">
          <cell r="A479" t="str">
            <v>SILVANA ALBUQUERQUE PEIXOTO</v>
          </cell>
          <cell r="B479">
            <v>1456277</v>
          </cell>
          <cell r="C479" t="str">
            <v>Sem Cargo/Emprego</v>
          </cell>
          <cell r="D479" t="str">
            <v>Sem Vínculo</v>
          </cell>
          <cell r="E479" t="str">
            <v>Sem Vínculo</v>
          </cell>
          <cell r="F479" t="str">
            <v>DAS 102.2</v>
          </cell>
          <cell r="G479" t="str">
            <v xml:space="preserve"> </v>
          </cell>
          <cell r="H479" t="str">
            <v>CONJUR / CHEFIA DE GABINETE CONJUR</v>
          </cell>
          <cell r="I479" t="str">
            <v>7.100.000</v>
          </cell>
        </row>
        <row r="480">
          <cell r="A480" t="str">
            <v>SILVANA SOARES DE GODOI E SOUSA</v>
          </cell>
          <cell r="B480">
            <v>1702338</v>
          </cell>
          <cell r="C480" t="str">
            <v>Analista Comercial Internacional</v>
          </cell>
          <cell r="D480" t="str">
            <v>Anistiado MME</v>
          </cell>
          <cell r="E480" t="str">
            <v>MME - Ministério de Minas e Energia</v>
          </cell>
          <cell r="F480" t="str">
            <v>DAS 102.2</v>
          </cell>
          <cell r="G480" t="str">
            <v xml:space="preserve"> </v>
          </cell>
          <cell r="H480" t="str">
            <v>SE / SPOA / COORDENAÇÃO GERAL DE RECURSOS HUMANOS - CGRH</v>
          </cell>
          <cell r="I480" t="str">
            <v>8.105.200</v>
          </cell>
        </row>
        <row r="481">
          <cell r="A481" t="str">
            <v>SILVIO CASTILHO DAS OLIVEIRAS</v>
          </cell>
          <cell r="B481">
            <v>1310555</v>
          </cell>
          <cell r="C481" t="str">
            <v>Analista de Planejamento e Orçamento</v>
          </cell>
          <cell r="D481" t="str">
            <v>Exercício Descentralizado</v>
          </cell>
          <cell r="E481" t="str">
            <v>ME - Ministério da Economia</v>
          </cell>
          <cell r="F481" t="str">
            <v>DAS 101.3</v>
          </cell>
          <cell r="G481" t="str">
            <v xml:space="preserve"> </v>
          </cell>
          <cell r="H481" t="str">
            <v>SE / AEGE / CGPE / COORDENAÇÃO DE PLANEJAMENTO ESTRATÉGICO E ORÇAMENTO</v>
          </cell>
          <cell r="I481" t="str">
            <v>8.101.110</v>
          </cell>
        </row>
        <row r="482">
          <cell r="A482" t="str">
            <v>SIMONE MARIA DA SILVA SALGADO</v>
          </cell>
          <cell r="B482">
            <v>172897</v>
          </cell>
          <cell r="C482" t="str">
            <v>Administrador</v>
          </cell>
          <cell r="D482" t="str">
            <v>Requisitado de Órgãos</v>
          </cell>
          <cell r="E482" t="str">
            <v>ME - Ministério da Economia</v>
          </cell>
          <cell r="F482" t="str">
            <v xml:space="preserve"> </v>
          </cell>
          <cell r="G482" t="str">
            <v>GSISTE Superior</v>
          </cell>
          <cell r="H482" t="str">
            <v>SE / SPOA / CGCC / COORDENAÇÃO DE LICITAÇÕES E COMPRA - CLC</v>
          </cell>
          <cell r="I482" t="str">
            <v>8.105.420</v>
          </cell>
        </row>
        <row r="483">
          <cell r="A483" t="str">
            <v>SYMONE CHRISTINE DE SANTANA ARAUJO</v>
          </cell>
          <cell r="B483">
            <v>3089587</v>
          </cell>
          <cell r="C483" t="str">
            <v>Especialista em Política Pública e Gestão Governamental</v>
          </cell>
          <cell r="D483" t="str">
            <v>Exercício Descentralizado</v>
          </cell>
          <cell r="E483" t="str">
            <v>ME - Ministério da Economia</v>
          </cell>
          <cell r="F483" t="str">
            <v>DAS 101.5</v>
          </cell>
          <cell r="G483" t="str">
            <v xml:space="preserve"> </v>
          </cell>
          <cell r="H483" t="str">
            <v>SPG / DEPARTAMENTO DE GÁS NATURAL - DGN</v>
          </cell>
          <cell r="I483" t="str">
            <v>11.102.000</v>
          </cell>
        </row>
        <row r="484">
          <cell r="A484" t="str">
            <v>TACIANA MARIA SABATO DE CASTRO</v>
          </cell>
          <cell r="B484">
            <v>1282663</v>
          </cell>
          <cell r="C484" t="str">
            <v>Escriturário</v>
          </cell>
          <cell r="D484" t="str">
            <v>Anistiado MME</v>
          </cell>
          <cell r="E484" t="str">
            <v>MME - Ministério de Minas e Energia</v>
          </cell>
          <cell r="F484" t="str">
            <v xml:space="preserve"> </v>
          </cell>
          <cell r="G484" t="str">
            <v xml:space="preserve"> </v>
          </cell>
          <cell r="H484" t="str">
            <v>SE / SPOA / CGRH / COORDENAÇÃO DE DESENVOLVIMENTO E SEGURIDADE SOCIAL - CODES</v>
          </cell>
          <cell r="I484" t="str">
            <v>8.105.220</v>
          </cell>
        </row>
        <row r="485">
          <cell r="A485" t="str">
            <v>TANIA GOMES RIBEIRO DE MORAES</v>
          </cell>
          <cell r="B485">
            <v>1095438</v>
          </cell>
          <cell r="C485" t="str">
            <v>Contador</v>
          </cell>
          <cell r="D485" t="str">
            <v>Ativo Permanente</v>
          </cell>
          <cell r="E485" t="str">
            <v>MME - Ministério de Minas e Energia</v>
          </cell>
          <cell r="F485" t="str">
            <v xml:space="preserve"> </v>
          </cell>
          <cell r="G485" t="str">
            <v>GSISTE Superior</v>
          </cell>
          <cell r="H485" t="str">
            <v>GM / OUVIDORIA GERAL - OUVIR</v>
          </cell>
          <cell r="I485" t="str">
            <v>2.100.500</v>
          </cell>
        </row>
        <row r="486">
          <cell r="A486" t="str">
            <v>TARCISIO TADEU DE CASTRO</v>
          </cell>
          <cell r="B486">
            <v>2682087</v>
          </cell>
          <cell r="C486" t="str">
            <v>Analista de Infraestrutura</v>
          </cell>
          <cell r="D486" t="str">
            <v>Exercício Descentralizado</v>
          </cell>
          <cell r="E486" t="str">
            <v>ME - Ministério da Economia</v>
          </cell>
          <cell r="F486" t="str">
            <v xml:space="preserve"> </v>
          </cell>
          <cell r="G486" t="str">
            <v xml:space="preserve"> </v>
          </cell>
          <cell r="H486" t="str">
            <v>SEE / DMSE / COORDENAÇÃO GERAL DE MONITORAMENTO DA DISTRIBUIÇÃO</v>
          </cell>
          <cell r="I486" t="str">
            <v>12.102.300</v>
          </cell>
        </row>
        <row r="487">
          <cell r="A487" t="str">
            <v>TARITA DA SILVA COSTA</v>
          </cell>
          <cell r="B487">
            <v>3707401</v>
          </cell>
          <cell r="C487" t="str">
            <v>Analista de Infraestrutura</v>
          </cell>
          <cell r="D487" t="str">
            <v>Exercício Descentralizado</v>
          </cell>
          <cell r="E487" t="str">
            <v>ME - Ministério da Economia</v>
          </cell>
          <cell r="F487" t="str">
            <v>DAS 101.4</v>
          </cell>
          <cell r="G487" t="str">
            <v xml:space="preserve"> </v>
          </cell>
          <cell r="H487" t="str">
            <v>SPE / DPE / COORDENAÇÃO GERAL DE PLANEJAMENTO DA GERAÇÃO</v>
          </cell>
          <cell r="I487" t="str">
            <v>10.101.200</v>
          </cell>
        </row>
        <row r="488">
          <cell r="A488" t="str">
            <v>TATIANNA GOMES BEZERRA PEREIRA</v>
          </cell>
          <cell r="B488">
            <v>1301430</v>
          </cell>
          <cell r="C488" t="str">
            <v>Sem Cargo/Emprego</v>
          </cell>
          <cell r="D488" t="str">
            <v>Sem Vínculo</v>
          </cell>
          <cell r="E488" t="str">
            <v>Sem Vínculo</v>
          </cell>
          <cell r="F488" t="str">
            <v>DAS 102.2</v>
          </cell>
          <cell r="G488" t="str">
            <v xml:space="preserve"> </v>
          </cell>
          <cell r="H488" t="str">
            <v>SEE / CHEFIA DE GABINETE SEE</v>
          </cell>
          <cell r="I488" t="str">
            <v>12.100.000</v>
          </cell>
        </row>
        <row r="489">
          <cell r="A489" t="str">
            <v>TATIELE LIMA GUIMARAES</v>
          </cell>
          <cell r="B489">
            <v>2192999</v>
          </cell>
          <cell r="C489" t="str">
            <v>Sem Cargo/Emprego</v>
          </cell>
          <cell r="D489" t="str">
            <v>Sem Vínculo</v>
          </cell>
          <cell r="E489" t="str">
            <v>Sem Vínculo</v>
          </cell>
          <cell r="F489" t="str">
            <v>DAS 102.3</v>
          </cell>
          <cell r="G489" t="str">
            <v xml:space="preserve"> </v>
          </cell>
          <cell r="H489" t="str">
            <v>GM / ASSESSORIA PARLAMENTAR - ASPAR</v>
          </cell>
          <cell r="I489" t="str">
            <v>2.100.200</v>
          </cell>
        </row>
        <row r="490">
          <cell r="A490" t="str">
            <v>TERENCIO TONHA BRANDAO JUNIOR</v>
          </cell>
          <cell r="B490">
            <v>2604383</v>
          </cell>
          <cell r="C490" t="str">
            <v>Sem Cargo/Emprego</v>
          </cell>
          <cell r="D490" t="str">
            <v>Sem Vínculo</v>
          </cell>
          <cell r="E490" t="str">
            <v>Sem Vínculo</v>
          </cell>
          <cell r="F490" t="str">
            <v>DAS 101.2</v>
          </cell>
          <cell r="G490" t="str">
            <v xml:space="preserve"> </v>
          </cell>
          <cell r="H490" t="str">
            <v>SE / SPOA / CGRL / COORDENAÇÃO DE ATIVIDADES GERAIS - COAGE</v>
          </cell>
          <cell r="I490" t="str">
            <v>8.105.120</v>
          </cell>
        </row>
        <row r="491">
          <cell r="A491" t="str">
            <v>TEREZA MARIA DA COSTA</v>
          </cell>
          <cell r="B491">
            <v>455999</v>
          </cell>
          <cell r="C491" t="str">
            <v>Telefonista</v>
          </cell>
          <cell r="D491" t="str">
            <v>Ativo Permanente</v>
          </cell>
          <cell r="E491" t="str">
            <v>MME - Ministério de Minas e Energia</v>
          </cell>
          <cell r="F491" t="str">
            <v>FCT 10</v>
          </cell>
          <cell r="G491" t="str">
            <v xml:space="preserve"> </v>
          </cell>
          <cell r="H491" t="str">
            <v>SE / AEGP / CGPF / COORDENAÇÃO ADMINISTRATIVA</v>
          </cell>
          <cell r="I491" t="str">
            <v>8.103.110</v>
          </cell>
        </row>
        <row r="492">
          <cell r="A492" t="str">
            <v>TEREZINHA AGUIAR ALMEIDA</v>
          </cell>
          <cell r="B492">
            <v>95496</v>
          </cell>
          <cell r="C492" t="str">
            <v>Administrador</v>
          </cell>
          <cell r="D492" t="str">
            <v>Ativo Permanente</v>
          </cell>
          <cell r="E492" t="str">
            <v>MME - Ministério de Minas e Energia</v>
          </cell>
          <cell r="F492" t="str">
            <v>DAS 101.3</v>
          </cell>
          <cell r="G492" t="str">
            <v>GSISTE Superior</v>
          </cell>
          <cell r="H492" t="str">
            <v>SE / SPOA / COORDENAÇÃO DE MODERNIZAÇÃO ADMINISTRATIVA - CMA</v>
          </cell>
          <cell r="I492" t="str">
            <v>8.105.010</v>
          </cell>
        </row>
        <row r="493">
          <cell r="A493" t="str">
            <v>THAIS MARCIA FERNANDES MATANO LACERDA</v>
          </cell>
          <cell r="B493">
            <v>1997387</v>
          </cell>
          <cell r="C493" t="str">
            <v>Sem Cargo/Emprego</v>
          </cell>
          <cell r="D493" t="str">
            <v>Sem Vínculo</v>
          </cell>
          <cell r="E493" t="str">
            <v>Sem Vínculo</v>
          </cell>
          <cell r="F493" t="str">
            <v>DAS 101.5</v>
          </cell>
          <cell r="G493" t="str">
            <v xml:space="preserve"> </v>
          </cell>
          <cell r="H493" t="str">
            <v>CONSULTORIA JURÍDICA - CONJUR</v>
          </cell>
          <cell r="I493" t="str">
            <v>7.000.000</v>
          </cell>
        </row>
        <row r="494">
          <cell r="A494" t="str">
            <v>THANIA REGINA PEREIRA LOPES</v>
          </cell>
          <cell r="B494">
            <v>1093546</v>
          </cell>
          <cell r="C494" t="str">
            <v>Técnico de Contabilidade</v>
          </cell>
          <cell r="D494" t="str">
            <v>Requisitado de Órgãos</v>
          </cell>
          <cell r="E494" t="str">
            <v>MCTIC - Ministério da Ciência, Tecnologia, Inovações e Comunicações</v>
          </cell>
          <cell r="F494" t="str">
            <v>FCT 5</v>
          </cell>
          <cell r="G494" t="str">
            <v>GSISTE Intermediário (MPAAC)</v>
          </cell>
          <cell r="H494" t="str">
            <v>SE / SPOA / CGOF / COORDENAÇÃO DE CONTABILIDADE - CONT</v>
          </cell>
          <cell r="I494" t="str">
            <v>8.105.520</v>
          </cell>
        </row>
        <row r="495">
          <cell r="A495" t="str">
            <v>THELMA DE OLIVEIRA FALCÃO</v>
          </cell>
          <cell r="B495">
            <v>451661</v>
          </cell>
          <cell r="C495" t="str">
            <v>Agente Administrativo</v>
          </cell>
          <cell r="D495" t="str">
            <v>Ativo Permanente</v>
          </cell>
          <cell r="E495" t="str">
            <v>MME - Ministério de Minas e Energia</v>
          </cell>
          <cell r="F495" t="str">
            <v xml:space="preserve"> </v>
          </cell>
          <cell r="G495" t="str">
            <v xml:space="preserve"> </v>
          </cell>
          <cell r="H495" t="str">
            <v>Aguardando Lotação/Exercício</v>
          </cell>
          <cell r="I495" t="str">
            <v>88.000.000</v>
          </cell>
        </row>
        <row r="496">
          <cell r="A496" t="str">
            <v>THEREZA CHRISTINA DE ALMEIDA CASTRO</v>
          </cell>
          <cell r="B496">
            <v>4458996</v>
          </cell>
          <cell r="C496" t="str">
            <v>Especialista em Política Pública e Gestão Governamental</v>
          </cell>
          <cell r="D496" t="str">
            <v>Requisitado de Órgãos</v>
          </cell>
          <cell r="E496" t="str">
            <v>ME - Ministério da Economia</v>
          </cell>
          <cell r="F496" t="str">
            <v>DAS 101.4</v>
          </cell>
          <cell r="G496" t="str">
            <v xml:space="preserve"> </v>
          </cell>
          <cell r="H496" t="str">
            <v>SPG / CHEFIA DE GABINETE SPG</v>
          </cell>
          <cell r="I496" t="str">
            <v>11.100.000</v>
          </cell>
        </row>
        <row r="497">
          <cell r="A497" t="str">
            <v>THIAGO COSMO LUCENA</v>
          </cell>
          <cell r="B497">
            <v>3103299</v>
          </cell>
          <cell r="C497" t="str">
            <v>Administrador</v>
          </cell>
          <cell r="D497" t="str">
            <v>Requisitado de Órgãos</v>
          </cell>
          <cell r="E497" t="str">
            <v>MJSP - Ministério da Justiça e Segurança Pública</v>
          </cell>
          <cell r="F497" t="str">
            <v xml:space="preserve"> </v>
          </cell>
          <cell r="G497" t="str">
            <v>GSISTE Superior</v>
          </cell>
          <cell r="H497" t="str">
            <v>SE / SPOA / COORDENAÇÃO GERAL DE RECURSOS LOGÍSTICOS - CGRL</v>
          </cell>
          <cell r="I497" t="str">
            <v>8.105.100</v>
          </cell>
        </row>
        <row r="498">
          <cell r="A498" t="str">
            <v>THIAGO DE FREITAS BENEVENUTO</v>
          </cell>
          <cell r="B498">
            <v>3507933</v>
          </cell>
          <cell r="C498" t="str">
            <v>Advogado da União</v>
          </cell>
          <cell r="D498" t="str">
            <v>Exercício Descentralizado</v>
          </cell>
          <cell r="E498" t="str">
            <v>AGU - Advocacia Geral da União</v>
          </cell>
          <cell r="F498" t="str">
            <v>FCPE 101.4</v>
          </cell>
          <cell r="G498" t="str">
            <v xml:space="preserve"> </v>
          </cell>
          <cell r="H498" t="str">
            <v>CONJUR / COORDENAÇÃO GERAL DE ASSUNTOS DE PETRÓLEO E MINERAÇÃO</v>
          </cell>
          <cell r="I498" t="str">
            <v>7.100.200</v>
          </cell>
        </row>
        <row r="499">
          <cell r="A499" t="str">
            <v>THIAGO GUILHERME FERREIRA PRADO</v>
          </cell>
          <cell r="B499">
            <v>1435826</v>
          </cell>
          <cell r="C499" t="str">
            <v>Especialista em Regulação de Serv Púb de Energia</v>
          </cell>
          <cell r="D499" t="str">
            <v>Requisitado de Órgãos</v>
          </cell>
          <cell r="E499" t="str">
            <v>ANEEL - Agência Nacional de Energia Elétrica</v>
          </cell>
          <cell r="F499" t="str">
            <v>DAS 101.5</v>
          </cell>
          <cell r="G499" t="str">
            <v xml:space="preserve"> </v>
          </cell>
          <cell r="H499" t="str">
            <v>SPE / DEPARTAMENTO DE PLANEJAMENTO ENERGÉTICO - DPE</v>
          </cell>
          <cell r="I499" t="str">
            <v>10.101.000</v>
          </cell>
        </row>
        <row r="500">
          <cell r="A500" t="str">
            <v>UMBERTO MATTEI</v>
          </cell>
          <cell r="B500">
            <v>3460202</v>
          </cell>
          <cell r="C500" t="str">
            <v>Especialista em Política Pública e Gestão Governamental</v>
          </cell>
          <cell r="D500" t="str">
            <v>Exercício Descentralizado</v>
          </cell>
          <cell r="E500" t="str">
            <v>ME - Ministério da Economia</v>
          </cell>
          <cell r="F500" t="str">
            <v xml:space="preserve"> </v>
          </cell>
          <cell r="G500" t="str">
            <v xml:space="preserve"> </v>
          </cell>
          <cell r="H500" t="str">
            <v>SPG / DEPARTAMENTO DE BIOCOMBUSTÍVEIS - DBIO</v>
          </cell>
          <cell r="I500" t="str">
            <v>11.104.000</v>
          </cell>
        </row>
        <row r="501">
          <cell r="A501" t="str">
            <v>VALDIR BORGES SOUZA JUNIOR</v>
          </cell>
          <cell r="B501">
            <v>3661467</v>
          </cell>
          <cell r="C501" t="str">
            <v>Analista de Infraestrutura</v>
          </cell>
          <cell r="D501" t="str">
            <v>Requisitado de Órgãos</v>
          </cell>
          <cell r="E501" t="str">
            <v>ME - Ministério da Economia</v>
          </cell>
          <cell r="F501" t="str">
            <v>DAS 102.4</v>
          </cell>
          <cell r="G501" t="str">
            <v xml:space="preserve"> </v>
          </cell>
          <cell r="H501" t="str">
            <v>SPE / CHEFIA DE GABINETE SPE</v>
          </cell>
          <cell r="I501" t="str">
            <v>10.100.000</v>
          </cell>
        </row>
        <row r="502">
          <cell r="A502" t="str">
            <v>VALDIVINO ANTONIO DE SOUZA</v>
          </cell>
          <cell r="B502">
            <v>1314309</v>
          </cell>
          <cell r="C502" t="str">
            <v>Artífice de Eletricidade e Comunicação</v>
          </cell>
          <cell r="D502" t="str">
            <v>Ativo Permanente</v>
          </cell>
          <cell r="E502" t="str">
            <v>MME - Ministério de Minas e Energia</v>
          </cell>
          <cell r="F502" t="str">
            <v>FCT 9</v>
          </cell>
          <cell r="G502" t="str">
            <v>GSISTE Intermediário</v>
          </cell>
          <cell r="H502" t="str">
            <v xml:space="preserve">SE / SPOA / CGTI / COORDENAÇÃO DE INFRAESTRUTURA TECNOLÓGICA - </v>
          </cell>
          <cell r="I502" t="str">
            <v>8.105.310</v>
          </cell>
        </row>
        <row r="503">
          <cell r="A503" t="str">
            <v>VALERIA DE JESUS RODRIGUES SOUZA</v>
          </cell>
          <cell r="B503">
            <v>3086147</v>
          </cell>
          <cell r="C503" t="str">
            <v>Marinha</v>
          </cell>
          <cell r="D503" t="str">
            <v>Requisitado Militar</v>
          </cell>
          <cell r="E503" t="str">
            <v>Marinha</v>
          </cell>
          <cell r="F503" t="str">
            <v>DAS 102.4</v>
          </cell>
          <cell r="G503" t="str">
            <v xml:space="preserve"> </v>
          </cell>
          <cell r="H503" t="str">
            <v>GABINETE DO MINISTRO - GM</v>
          </cell>
          <cell r="I503" t="str">
            <v>2.000.000</v>
          </cell>
        </row>
        <row r="504">
          <cell r="A504" t="str">
            <v>VALTER PEREIRA DA SILVA</v>
          </cell>
          <cell r="B504">
            <v>2281146</v>
          </cell>
          <cell r="C504" t="str">
            <v>Contador</v>
          </cell>
          <cell r="D504" t="str">
            <v>Anistiado MME</v>
          </cell>
          <cell r="E504" t="str">
            <v>MME - Ministério de Minas e Energia</v>
          </cell>
          <cell r="F504" t="str">
            <v xml:space="preserve"> </v>
          </cell>
          <cell r="G504" t="str">
            <v xml:space="preserve"> </v>
          </cell>
          <cell r="H504" t="str">
            <v>SEE / DPUE / COORDENAÇÃO GERAL DE DESENVOLVIMENTO DE POLÍTICAS SOCIAIS</v>
          </cell>
          <cell r="I504" t="str">
            <v>12.103.100</v>
          </cell>
        </row>
        <row r="505">
          <cell r="A505" t="str">
            <v>VANDERLINO AUGUSTO DA ROCHA</v>
          </cell>
          <cell r="B505">
            <v>452193</v>
          </cell>
          <cell r="C505" t="str">
            <v>Agente de Vigilância</v>
          </cell>
          <cell r="D505" t="str">
            <v>Ativo Permanente</v>
          </cell>
          <cell r="E505" t="str">
            <v>MME - Ministério de Minas e Energia</v>
          </cell>
          <cell r="F505" t="str">
            <v>FGR 1</v>
          </cell>
          <cell r="G505" t="str">
            <v xml:space="preserve"> </v>
          </cell>
          <cell r="H505" t="str">
            <v>SE / SPOA / CGRL / COORDENAÇÃO DE ATIVIDADES GERAIS - COAGE</v>
          </cell>
          <cell r="I505" t="str">
            <v>8.105.120</v>
          </cell>
        </row>
        <row r="506">
          <cell r="A506" t="str">
            <v>VANIALUCIA LINS SOUTO</v>
          </cell>
          <cell r="B506">
            <v>2207236</v>
          </cell>
          <cell r="C506" t="str">
            <v>Especialista em Política Pública e Gestão Governamental</v>
          </cell>
          <cell r="D506" t="str">
            <v>Exercício Descentralizado</v>
          </cell>
          <cell r="E506" t="str">
            <v>ME - Ministério da Economia</v>
          </cell>
          <cell r="F506" t="str">
            <v>DAS 102.2</v>
          </cell>
          <cell r="G506" t="str">
            <v xml:space="preserve"> </v>
          </cell>
          <cell r="H506" t="str">
            <v>SEE / DGSE / COORDENAÇÃO GERAL DE GESTÃO DA COMERCIALIZAÇÃO DE ENERGIA</v>
          </cell>
          <cell r="I506" t="str">
            <v>12.101.100</v>
          </cell>
        </row>
        <row r="507">
          <cell r="A507" t="str">
            <v>VANIUS ROBERTO SOARES DA CUNHA</v>
          </cell>
          <cell r="B507">
            <v>454701</v>
          </cell>
          <cell r="C507" t="str">
            <v>Agente Administrativo</v>
          </cell>
          <cell r="D507" t="str">
            <v>Ativo Permanente</v>
          </cell>
          <cell r="E507" t="str">
            <v>MME - Ministério de Minas e Energia</v>
          </cell>
          <cell r="F507" t="str">
            <v>FCT 10</v>
          </cell>
          <cell r="G507" t="str">
            <v xml:space="preserve"> </v>
          </cell>
          <cell r="H507" t="str">
            <v>GM / OUVIDORIA GERAL - OUVIR</v>
          </cell>
          <cell r="I507" t="str">
            <v>2.100.500</v>
          </cell>
        </row>
        <row r="508">
          <cell r="A508" t="str">
            <v>VERONICA E SILVA SOUSA</v>
          </cell>
          <cell r="B508">
            <v>1741317</v>
          </cell>
          <cell r="C508" t="str">
            <v>Sem Cargo/Emprego</v>
          </cell>
          <cell r="D508" t="str">
            <v>Sem Vínculo</v>
          </cell>
          <cell r="E508" t="str">
            <v>Sem Vínculo</v>
          </cell>
          <cell r="F508" t="str">
            <v>DAS 101.4</v>
          </cell>
          <cell r="G508" t="str">
            <v xml:space="preserve"> </v>
          </cell>
          <cell r="H508" t="str">
            <v xml:space="preserve">SE / AESA / COORDENAÇÃO GERAL DE AVALIAÇÃO AMBIENTAL E ACOMPANHAMENTO DE LICENCIAMENTO - </v>
          </cell>
          <cell r="I508" t="str">
            <v>8.104.100</v>
          </cell>
        </row>
        <row r="509">
          <cell r="A509" t="str">
            <v>VICTOR PROTAZIO DA SILVA</v>
          </cell>
          <cell r="B509">
            <v>2748300</v>
          </cell>
          <cell r="C509" t="str">
            <v>Analista de Infraestrutura</v>
          </cell>
          <cell r="D509" t="str">
            <v>Exercício Descentralizado</v>
          </cell>
          <cell r="E509" t="str">
            <v>ME - Ministério da Economia</v>
          </cell>
          <cell r="F509" t="str">
            <v>DAS 101.4</v>
          </cell>
          <cell r="G509" t="str">
            <v xml:space="preserve"> </v>
          </cell>
          <cell r="H509" t="str">
            <v>SEE / DMSE / COORDENAÇÃO GERAL DE MONITORAMENTO DA DISTRIBUIÇÃO</v>
          </cell>
          <cell r="I509" t="str">
            <v>12.102.300</v>
          </cell>
        </row>
        <row r="510">
          <cell r="A510" t="str">
            <v>VICTOR VALE CANTARINO</v>
          </cell>
          <cell r="B510">
            <v>1356378</v>
          </cell>
          <cell r="C510" t="str">
            <v>Advogado da União</v>
          </cell>
          <cell r="D510" t="str">
            <v>Exercício Descentralizado</v>
          </cell>
          <cell r="E510" t="str">
            <v>AGU - Advocacia Geral da União</v>
          </cell>
          <cell r="F510" t="str">
            <v xml:space="preserve"> </v>
          </cell>
          <cell r="G510" t="str">
            <v xml:space="preserve"> </v>
          </cell>
          <cell r="H510" t="str">
            <v>CONJUR / COORDENAÇÃO GERAL DE ASSUNTOS DE PETRÓLEO E MINERAÇÃO</v>
          </cell>
          <cell r="I510" t="str">
            <v>7.100.200</v>
          </cell>
        </row>
        <row r="511">
          <cell r="A511" t="str">
            <v>VINICIUS SALES PEREIRA</v>
          </cell>
          <cell r="B511">
            <v>3133057</v>
          </cell>
          <cell r="C511" t="str">
            <v>Marinha</v>
          </cell>
          <cell r="D511" t="str">
            <v>Requisitado Militar</v>
          </cell>
          <cell r="E511" t="str">
            <v>Marinha</v>
          </cell>
          <cell r="F511" t="str">
            <v>DAS 102.3</v>
          </cell>
          <cell r="G511" t="str">
            <v xml:space="preserve"> </v>
          </cell>
          <cell r="H511" t="str">
            <v>Escritório Rio de Janeiro/RJ</v>
          </cell>
          <cell r="I511" t="str">
            <v>99.000.000</v>
          </cell>
        </row>
        <row r="512">
          <cell r="A512" t="str">
            <v>VIVALDO BELARMINO VALENCA</v>
          </cell>
          <cell r="B512">
            <v>452145</v>
          </cell>
          <cell r="C512" t="str">
            <v>Administrador</v>
          </cell>
          <cell r="D512" t="str">
            <v>Ativo Permanente</v>
          </cell>
          <cell r="E512" t="str">
            <v>MME - Ministério de Minas e Energia</v>
          </cell>
          <cell r="F512" t="str">
            <v>DAS 101.3</v>
          </cell>
          <cell r="G512" t="str">
            <v>GSISTE Superior</v>
          </cell>
          <cell r="H512" t="str">
            <v>SE / AEGE / CGPE / COORDENAÇÃO DE SUPERVISÃO E AVALIAÇÃO DA GESTÃO</v>
          </cell>
          <cell r="I512" t="str">
            <v>8.101.120</v>
          </cell>
        </row>
        <row r="513">
          <cell r="A513" t="str">
            <v>VIVIANO ROCHA NEIVA</v>
          </cell>
          <cell r="B513">
            <v>1799889</v>
          </cell>
          <cell r="C513" t="str">
            <v>Analista de Relações Internacionais</v>
          </cell>
          <cell r="D513" t="str">
            <v>Anistiado MME</v>
          </cell>
          <cell r="E513" t="str">
            <v>MME - Ministério de Minas e Energia</v>
          </cell>
          <cell r="F513" t="str">
            <v xml:space="preserve"> </v>
          </cell>
          <cell r="G513" t="str">
            <v xml:space="preserve"> </v>
          </cell>
          <cell r="H513" t="str">
            <v>Aguardando Lotação/Exercício</v>
          </cell>
          <cell r="I513" t="str">
            <v>88.000.000</v>
          </cell>
        </row>
        <row r="514">
          <cell r="A514" t="str">
            <v>WAGNER COELHO SABINO</v>
          </cell>
          <cell r="B514">
            <v>3182221</v>
          </cell>
          <cell r="C514" t="str">
            <v>Sem Cargo/Emprego</v>
          </cell>
          <cell r="D514" t="str">
            <v>Sem Vínculo</v>
          </cell>
          <cell r="E514" t="str">
            <v>S/VÍNCULO</v>
          </cell>
          <cell r="F514" t="str">
            <v>DAS 101.3</v>
          </cell>
          <cell r="G514" t="str">
            <v xml:space="preserve"> </v>
          </cell>
          <cell r="H514" t="str">
            <v>SE / SPOA / CGTI / COORDENAÇÃO DE TECNOLOGIA DE SISTEMAS DE INFORMAÇÃO - CTSI</v>
          </cell>
          <cell r="I514" t="str">
            <v>8.105.320</v>
          </cell>
        </row>
        <row r="515">
          <cell r="A515" t="str">
            <v>WALDIR ANTONIO GERVASIO</v>
          </cell>
          <cell r="B515">
            <v>451630</v>
          </cell>
          <cell r="C515" t="str">
            <v>Agente Administrativo</v>
          </cell>
          <cell r="D515" t="str">
            <v>Ativo Permanente</v>
          </cell>
          <cell r="E515" t="str">
            <v>MME - Ministério de Minas e Energia</v>
          </cell>
          <cell r="F515" t="str">
            <v>DAS 102.3</v>
          </cell>
          <cell r="G515" t="str">
            <v>GSISTE Intermediário</v>
          </cell>
          <cell r="H515" t="str">
            <v>GM / ASTAD / COORDENAÇÃO DE ATIVIDADES ADMINISTRATIVAS</v>
          </cell>
          <cell r="I515" t="str">
            <v>2.100.101</v>
          </cell>
        </row>
        <row r="516">
          <cell r="A516" t="str">
            <v>WANDERLEY TEIXEIRA RIBEIRO</v>
          </cell>
          <cell r="B516">
            <v>1669730</v>
          </cell>
          <cell r="C516" t="str">
            <v>Programador de Aplicação II</v>
          </cell>
          <cell r="D516" t="str">
            <v>Anistiado MME</v>
          </cell>
          <cell r="E516" t="str">
            <v>MME - Ministério de Minas e Energia</v>
          </cell>
          <cell r="F516" t="str">
            <v xml:space="preserve"> </v>
          </cell>
          <cell r="G516" t="str">
            <v xml:space="preserve"> </v>
          </cell>
          <cell r="H516" t="str">
            <v>Aguardando Lotação/Exercício</v>
          </cell>
          <cell r="I516" t="str">
            <v>88.000.000</v>
          </cell>
        </row>
        <row r="517">
          <cell r="A517" t="str">
            <v>WASHINGTON CAVALCANTE VERAS DINIZ</v>
          </cell>
          <cell r="B517">
            <v>6054932</v>
          </cell>
          <cell r="C517" t="str">
            <v>Agente Administrativo</v>
          </cell>
          <cell r="D517" t="str">
            <v>Requisitado de Órgãos</v>
          </cell>
          <cell r="E517" t="str">
            <v>ME - Ministério da Economia</v>
          </cell>
          <cell r="F517" t="str">
            <v>FCT 10</v>
          </cell>
          <cell r="G517" t="str">
            <v>GSISTE Intermediário</v>
          </cell>
          <cell r="H517" t="str">
            <v>SE / SPOA / CGRL / COORDENAÇÃO DE ATIVIDADES GERAIS - COAGE</v>
          </cell>
          <cell r="I517" t="str">
            <v>8.105.120</v>
          </cell>
        </row>
        <row r="518">
          <cell r="A518" t="str">
            <v>WIDISMAR MARTINS DA SILVA</v>
          </cell>
          <cell r="B518">
            <v>2543882</v>
          </cell>
          <cell r="C518" t="str">
            <v>Sem Cargo/Emprego</v>
          </cell>
          <cell r="D518" t="str">
            <v>Sem Vínculo</v>
          </cell>
          <cell r="E518" t="str">
            <v>Sem Vínculo</v>
          </cell>
          <cell r="F518" t="str">
            <v>DAS 102.4</v>
          </cell>
          <cell r="G518" t="str">
            <v xml:space="preserve"> </v>
          </cell>
          <cell r="H518" t="str">
            <v>SE / CHEFIA DE GABINETE SE</v>
          </cell>
          <cell r="I518" t="str">
            <v>8.100.000</v>
          </cell>
        </row>
        <row r="519">
          <cell r="A519" t="str">
            <v>WILMA DO COUTO DOS SANTOS CRUZ</v>
          </cell>
          <cell r="B519">
            <v>6455860</v>
          </cell>
          <cell r="C519" t="str">
            <v>Administrador</v>
          </cell>
          <cell r="D519" t="str">
            <v>Anistiado MME</v>
          </cell>
          <cell r="E519" t="str">
            <v>MME - Ministério de Minas e Energia</v>
          </cell>
          <cell r="F519" t="str">
            <v xml:space="preserve"> </v>
          </cell>
          <cell r="G519" t="str">
            <v xml:space="preserve"> </v>
          </cell>
          <cell r="H519" t="str">
            <v>SE / ASSESSORIA ESPECIAL DE MEIO AMBIENTE - AESA</v>
          </cell>
          <cell r="I519" t="str">
            <v>8.104.000</v>
          </cell>
        </row>
        <row r="520">
          <cell r="A520" t="str">
            <v>WILMA SALES FERREIRA NUNES ROSA</v>
          </cell>
          <cell r="B520">
            <v>2112</v>
          </cell>
          <cell r="C520" t="str">
            <v>Administrador</v>
          </cell>
          <cell r="D520" t="str">
            <v>Ativo Permanente</v>
          </cell>
          <cell r="E520" t="str">
            <v>MME - Ministério de Minas e Energia</v>
          </cell>
          <cell r="F520" t="str">
            <v xml:space="preserve"> </v>
          </cell>
          <cell r="G520" t="str">
            <v>GSISTE Superior</v>
          </cell>
          <cell r="H520" t="str">
            <v>SE / SPOA / CGRL / COORDENAÇÃO DE ATIVIDADES GERAIS - COAGE</v>
          </cell>
          <cell r="I520" t="str">
            <v>8.105.120</v>
          </cell>
        </row>
        <row r="521">
          <cell r="A521" t="str">
            <v>WILSON RODRIGUES PEREIRA</v>
          </cell>
          <cell r="B521">
            <v>2094507</v>
          </cell>
          <cell r="C521" t="str">
            <v>Engenheiro</v>
          </cell>
          <cell r="D521" t="str">
            <v>Anistiado MME</v>
          </cell>
          <cell r="E521" t="str">
            <v>MME - Ministério de Minas e Energia</v>
          </cell>
          <cell r="F521" t="str">
            <v xml:space="preserve"> </v>
          </cell>
          <cell r="G521" t="str">
            <v xml:space="preserve"> </v>
          </cell>
          <cell r="H521" t="str">
            <v>SGM / DEPARTAMENTO DE TRANSFORMAÇÃO E TECNOLOGIA MINERAL - DTTM</v>
          </cell>
          <cell r="I521" t="str">
            <v>9.103.000</v>
          </cell>
        </row>
        <row r="522">
          <cell r="A522" t="str">
            <v>ZAIRA ROCHA DE NOVAIS LOBO</v>
          </cell>
          <cell r="B522">
            <v>1097783</v>
          </cell>
          <cell r="C522" t="str">
            <v>Agente Administrativo</v>
          </cell>
          <cell r="D522" t="str">
            <v>Ativo Permanente</v>
          </cell>
          <cell r="E522" t="str">
            <v>MME - Ministério de Minas e Energia</v>
          </cell>
          <cell r="F522" t="str">
            <v>DAS 102.2</v>
          </cell>
          <cell r="G522" t="str">
            <v>GSISP Intermediário</v>
          </cell>
          <cell r="H522" t="str">
            <v xml:space="preserve">SE / SPOA / CGTI / COORDENAÇÃO DE INFRAESTRUTURA TECNOLÓGICA - </v>
          </cell>
          <cell r="I522" t="str">
            <v>8.105.310</v>
          </cell>
        </row>
        <row r="523">
          <cell r="A523" t="str">
            <v>ZULMIRA DA SILVA DE LIMA</v>
          </cell>
          <cell r="B523">
            <v>455333</v>
          </cell>
          <cell r="C523" t="str">
            <v>Agente de Portaria</v>
          </cell>
          <cell r="D523" t="str">
            <v>Ativo Permanente</v>
          </cell>
          <cell r="E523" t="str">
            <v>MME - Ministério de Minas e Energia</v>
          </cell>
          <cell r="F523" t="str">
            <v>FCT 11</v>
          </cell>
          <cell r="G523" t="str">
            <v>GSISTE Intermediário</v>
          </cell>
          <cell r="H523" t="str">
            <v>SE / SPOA / CGRH / COORDENAÇÃO DE DESENVOLVIMENTO E SEGURIDADE SOCIAL - CODES</v>
          </cell>
          <cell r="I523" t="str">
            <v>8.105.220</v>
          </cell>
        </row>
        <row r="524">
          <cell r="A524" t="str">
            <v/>
          </cell>
          <cell r="B524">
            <v>0</v>
          </cell>
          <cell r="C524">
            <v>0</v>
          </cell>
          <cell r="D524">
            <v>0</v>
          </cell>
          <cell r="E524">
            <v>0</v>
          </cell>
          <cell r="F524" t="str">
            <v xml:space="preserve"> </v>
          </cell>
          <cell r="G524" t="str">
            <v xml:space="preserve"> </v>
          </cell>
          <cell r="H524">
            <v>0</v>
          </cell>
          <cell r="I524" t="e">
            <v>#N/A</v>
          </cell>
        </row>
        <row r="525">
          <cell r="A525" t="str">
            <v/>
          </cell>
          <cell r="B525">
            <v>0</v>
          </cell>
          <cell r="C525">
            <v>0</v>
          </cell>
          <cell r="D525">
            <v>0</v>
          </cell>
          <cell r="E525">
            <v>0</v>
          </cell>
          <cell r="F525" t="str">
            <v xml:space="preserve"> </v>
          </cell>
          <cell r="G525" t="str">
            <v xml:space="preserve"> </v>
          </cell>
          <cell r="H525">
            <v>0</v>
          </cell>
          <cell r="I525" t="e">
            <v>#N/A</v>
          </cell>
        </row>
        <row r="526">
          <cell r="A526" t="str">
            <v/>
          </cell>
          <cell r="B526">
            <v>0</v>
          </cell>
          <cell r="C526">
            <v>0</v>
          </cell>
          <cell r="D526">
            <v>0</v>
          </cell>
          <cell r="E526">
            <v>0</v>
          </cell>
          <cell r="F526" t="str">
            <v xml:space="preserve"> </v>
          </cell>
          <cell r="G526" t="str">
            <v xml:space="preserve"> </v>
          </cell>
          <cell r="H526">
            <v>0</v>
          </cell>
          <cell r="I526" t="e">
            <v>#N/A</v>
          </cell>
        </row>
        <row r="527">
          <cell r="A527" t="str">
            <v/>
          </cell>
          <cell r="B527">
            <v>0</v>
          </cell>
          <cell r="C527">
            <v>0</v>
          </cell>
          <cell r="D527">
            <v>0</v>
          </cell>
          <cell r="E527">
            <v>0</v>
          </cell>
          <cell r="F527" t="str">
            <v xml:space="preserve"> </v>
          </cell>
          <cell r="G527" t="str">
            <v xml:space="preserve"> </v>
          </cell>
          <cell r="H527">
            <v>0</v>
          </cell>
          <cell r="I527" t="e">
            <v>#N/A</v>
          </cell>
        </row>
        <row r="528">
          <cell r="A528" t="str">
            <v/>
          </cell>
          <cell r="B528">
            <v>0</v>
          </cell>
          <cell r="C528">
            <v>0</v>
          </cell>
          <cell r="D528">
            <v>0</v>
          </cell>
          <cell r="E528">
            <v>0</v>
          </cell>
          <cell r="F528" t="str">
            <v xml:space="preserve"> </v>
          </cell>
          <cell r="G528" t="str">
            <v xml:space="preserve"> </v>
          </cell>
          <cell r="H528">
            <v>0</v>
          </cell>
          <cell r="I528" t="e">
            <v>#N/A</v>
          </cell>
        </row>
        <row r="529">
          <cell r="A529" t="str">
            <v/>
          </cell>
          <cell r="B529">
            <v>0</v>
          </cell>
          <cell r="C529">
            <v>0</v>
          </cell>
          <cell r="D529">
            <v>0</v>
          </cell>
          <cell r="E529">
            <v>0</v>
          </cell>
          <cell r="F529" t="str">
            <v xml:space="preserve"> </v>
          </cell>
          <cell r="G529" t="str">
            <v xml:space="preserve"> </v>
          </cell>
          <cell r="H529">
            <v>0</v>
          </cell>
          <cell r="I529" t="e">
            <v>#N/A</v>
          </cell>
        </row>
        <row r="530">
          <cell r="A530" t="str">
            <v/>
          </cell>
          <cell r="B530">
            <v>0</v>
          </cell>
          <cell r="C530">
            <v>0</v>
          </cell>
          <cell r="D530">
            <v>0</v>
          </cell>
          <cell r="E530">
            <v>0</v>
          </cell>
          <cell r="F530" t="str">
            <v xml:space="preserve"> </v>
          </cell>
          <cell r="G530" t="str">
            <v xml:space="preserve"> </v>
          </cell>
          <cell r="H530">
            <v>0</v>
          </cell>
          <cell r="I530" t="e">
            <v>#N/A</v>
          </cell>
        </row>
        <row r="531">
          <cell r="A531" t="str">
            <v/>
          </cell>
          <cell r="B531">
            <v>0</v>
          </cell>
          <cell r="C531">
            <v>0</v>
          </cell>
          <cell r="D531">
            <v>0</v>
          </cell>
          <cell r="E531">
            <v>0</v>
          </cell>
          <cell r="F531" t="str">
            <v xml:space="preserve"> </v>
          </cell>
          <cell r="G531" t="str">
            <v xml:space="preserve"> </v>
          </cell>
          <cell r="H531">
            <v>0</v>
          </cell>
          <cell r="I531" t="e">
            <v>#N/A</v>
          </cell>
        </row>
        <row r="532">
          <cell r="A532" t="str">
            <v/>
          </cell>
          <cell r="B532">
            <v>0</v>
          </cell>
          <cell r="C532">
            <v>0</v>
          </cell>
          <cell r="D532">
            <v>0</v>
          </cell>
          <cell r="E532">
            <v>0</v>
          </cell>
          <cell r="F532" t="str">
            <v xml:space="preserve"> </v>
          </cell>
          <cell r="G532" t="str">
            <v xml:space="preserve"> </v>
          </cell>
          <cell r="H532">
            <v>0</v>
          </cell>
          <cell r="I532" t="e">
            <v>#N/A</v>
          </cell>
        </row>
        <row r="533">
          <cell r="A533" t="str">
            <v/>
          </cell>
          <cell r="B533">
            <v>0</v>
          </cell>
          <cell r="C533">
            <v>0</v>
          </cell>
          <cell r="D533">
            <v>0</v>
          </cell>
          <cell r="E533">
            <v>0</v>
          </cell>
          <cell r="F533" t="str">
            <v xml:space="preserve"> </v>
          </cell>
          <cell r="G533" t="str">
            <v xml:space="preserve"> </v>
          </cell>
          <cell r="H533">
            <v>0</v>
          </cell>
          <cell r="I533" t="e">
            <v>#N/A</v>
          </cell>
        </row>
        <row r="534">
          <cell r="A534" t="str">
            <v/>
          </cell>
          <cell r="B534">
            <v>0</v>
          </cell>
          <cell r="C534">
            <v>0</v>
          </cell>
          <cell r="D534">
            <v>0</v>
          </cell>
          <cell r="E534">
            <v>0</v>
          </cell>
          <cell r="F534" t="str">
            <v xml:space="preserve"> </v>
          </cell>
          <cell r="G534" t="str">
            <v xml:space="preserve"> </v>
          </cell>
          <cell r="H534">
            <v>0</v>
          </cell>
          <cell r="I534" t="e">
            <v>#N/A</v>
          </cell>
        </row>
        <row r="535">
          <cell r="A535" t="str">
            <v/>
          </cell>
          <cell r="B535">
            <v>0</v>
          </cell>
          <cell r="C535">
            <v>0</v>
          </cell>
          <cell r="D535">
            <v>0</v>
          </cell>
          <cell r="E535">
            <v>0</v>
          </cell>
          <cell r="F535" t="str">
            <v xml:space="preserve"> </v>
          </cell>
          <cell r="G535" t="str">
            <v xml:space="preserve"> </v>
          </cell>
          <cell r="H535">
            <v>0</v>
          </cell>
          <cell r="I535" t="e">
            <v>#N/A</v>
          </cell>
        </row>
      </sheetData>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ow r="6">
          <cell r="B6" t="str">
            <v>Até 30 anos</v>
          </cell>
          <cell r="C6" t="str">
            <v>31 a 40 anos</v>
          </cell>
          <cell r="D6" t="str">
            <v>41 a 50 anos</v>
          </cell>
          <cell r="E6" t="str">
            <v>51 a 60 anos</v>
          </cell>
          <cell r="F6" t="str">
            <v>acima de 60 anos</v>
          </cell>
          <cell r="G6" t="str">
            <v>Média  da Idade no MME (anos)</v>
          </cell>
        </row>
        <row r="8">
          <cell r="B8">
            <v>1.9342359767891684E-2</v>
          </cell>
          <cell r="C8">
            <v>0.16827852998065765</v>
          </cell>
          <cell r="D8">
            <v>0.18375241779497098</v>
          </cell>
          <cell r="E8">
            <v>0.31721470019342357</v>
          </cell>
          <cell r="F8">
            <v>0.3114119922630561</v>
          </cell>
        </row>
        <row r="16">
          <cell r="B16" t="str">
            <v>PARDA</v>
          </cell>
          <cell r="C16" t="str">
            <v>BRANCA</v>
          </cell>
          <cell r="D16" t="str">
            <v>AMARELA</v>
          </cell>
          <cell r="E16" t="str">
            <v>PRETA</v>
          </cell>
          <cell r="F16" t="str">
            <v>INDIGENA</v>
          </cell>
          <cell r="G16" t="str">
            <v>NÃO INFORMADO</v>
          </cell>
        </row>
        <row r="18">
          <cell r="B18">
            <v>0.3520309477756286</v>
          </cell>
          <cell r="C18">
            <v>0.60541586073500964</v>
          </cell>
          <cell r="D18">
            <v>1.5473887814313346E-2</v>
          </cell>
          <cell r="E18">
            <v>2.7079303675048357E-2</v>
          </cell>
          <cell r="F18">
            <v>0</v>
          </cell>
          <cell r="G18">
            <v>0</v>
          </cell>
        </row>
        <row r="26">
          <cell r="B26" t="str">
            <v>Até 5 mil</v>
          </cell>
          <cell r="C26" t="str">
            <v>&gt; 5 até 10 mil</v>
          </cell>
          <cell r="D26" t="str">
            <v>&gt;10 até 15 mil</v>
          </cell>
          <cell r="E26" t="str">
            <v>&gt;15 até 20 mil</v>
          </cell>
          <cell r="F26" t="str">
            <v>Acima de 20 mil</v>
          </cell>
          <cell r="G26" t="str">
            <v>Média Salarial</v>
          </cell>
        </row>
        <row r="28">
          <cell r="B28">
            <v>0.2495164410058027</v>
          </cell>
          <cell r="C28">
            <v>0.3114119922630561</v>
          </cell>
          <cell r="D28">
            <v>0.1702127659574468</v>
          </cell>
          <cell r="E28">
            <v>7.5435203094777567E-2</v>
          </cell>
          <cell r="F28">
            <v>0.19342359767891681</v>
          </cell>
        </row>
        <row r="38">
          <cell r="B38" t="str">
            <v>Até 30 anos</v>
          </cell>
          <cell r="C38" t="str">
            <v>31 a 40 anos</v>
          </cell>
          <cell r="D38" t="str">
            <v>41 a 50 anos</v>
          </cell>
          <cell r="E38" t="str">
            <v>51 a 60 anos</v>
          </cell>
          <cell r="F38" t="str">
            <v>acima de 60 anos</v>
          </cell>
          <cell r="G38" t="str">
            <v>Média  da Idade no MME (anos)</v>
          </cell>
        </row>
        <row r="40">
          <cell r="B40">
            <v>2.3369036027263874E-2</v>
          </cell>
          <cell r="C40">
            <v>8.4712755598831554E-2</v>
          </cell>
          <cell r="D40">
            <v>9.2502434274586168E-2</v>
          </cell>
          <cell r="E40">
            <v>0.26679649464459593</v>
          </cell>
          <cell r="F40">
            <v>0.53261927945472254</v>
          </cell>
        </row>
        <row r="48">
          <cell r="B48" t="str">
            <v>PARDA</v>
          </cell>
          <cell r="C48" t="str">
            <v>BRANCA</v>
          </cell>
          <cell r="D48" t="str">
            <v>AMARELA</v>
          </cell>
          <cell r="E48" t="str">
            <v>PRETA</v>
          </cell>
          <cell r="F48" t="str">
            <v>INDIGENA</v>
          </cell>
          <cell r="G48" t="str">
            <v>NÃO INFORMADO</v>
          </cell>
        </row>
        <row r="50">
          <cell r="B50">
            <v>0.27640671273445211</v>
          </cell>
          <cell r="C50">
            <v>0.68213228035538009</v>
          </cell>
          <cell r="D50">
            <v>1.2833168805528134E-2</v>
          </cell>
          <cell r="E50">
            <v>2.8627838104639685E-2</v>
          </cell>
          <cell r="F50">
            <v>0</v>
          </cell>
          <cell r="G50">
            <v>0</v>
          </cell>
        </row>
        <row r="58">
          <cell r="B58" t="str">
            <v>Até 5 mil</v>
          </cell>
          <cell r="C58" t="str">
            <v>&gt; 5 até 10 mil</v>
          </cell>
          <cell r="D58" t="str">
            <v>&gt;10 até 15 mil</v>
          </cell>
          <cell r="E58" t="str">
            <v>&gt;15 até 20 mil</v>
          </cell>
          <cell r="F58" t="str">
            <v>Acima de 20 mil</v>
          </cell>
          <cell r="G58" t="str">
            <v>Média Salarial</v>
          </cell>
        </row>
        <row r="60">
          <cell r="B60">
            <v>0.6228070175438597</v>
          </cell>
          <cell r="C60">
            <v>0.15692007797270954</v>
          </cell>
          <cell r="D60">
            <v>8.4795321637426896E-2</v>
          </cell>
          <cell r="E60">
            <v>3.8011695906432746E-2</v>
          </cell>
          <cell r="F60">
            <v>9.7465886939571145E-2</v>
          </cell>
        </row>
      </sheetData>
      <sheetData sheetId="81" refreshError="1"/>
      <sheetData sheetId="82" refreshError="1"/>
      <sheetData sheetId="83">
        <row r="4">
          <cell r="A4" t="str">
            <v>Área</v>
          </cell>
          <cell r="B4" t="str">
            <v>MINISTÉRIO DE MINAS E ENERGIA</v>
          </cell>
          <cell r="C4" t="str">
            <v>Natureza Especial</v>
          </cell>
          <cell r="D4" t="str">
            <v>Ativo Permanente</v>
          </cell>
          <cell r="E4" t="str">
            <v>Requisitado Órgãos</v>
          </cell>
          <cell r="F4" t="str">
            <v>Requisitado Empresas</v>
          </cell>
          <cell r="G4" t="str">
            <v>Sem Vínculo</v>
          </cell>
          <cell r="H4" t="str">
            <v>Exercício Descentralizado</v>
          </cell>
          <cell r="I4" t="str">
            <v>Contrato Temporário</v>
          </cell>
          <cell r="J4" t="str">
            <v>Anistiado</v>
          </cell>
          <cell r="K4" t="str">
            <v>Total</v>
          </cell>
          <cell r="L4" t="str">
            <v>Total Área</v>
          </cell>
          <cell r="M4" t="str">
            <v>Sexo Feminino</v>
          </cell>
          <cell r="N4" t="str">
            <v>Sexo Masculino</v>
          </cell>
          <cell r="O4" t="str">
            <v>Total</v>
          </cell>
          <cell r="P4" t="str">
            <v>Total Área</v>
          </cell>
        </row>
        <row r="5">
          <cell r="A5" t="str">
            <v>MEIO</v>
          </cell>
          <cell r="B5" t="str">
            <v>Gabinete do Ministro</v>
          </cell>
          <cell r="C5">
            <v>1</v>
          </cell>
          <cell r="D5">
            <v>19</v>
          </cell>
          <cell r="E5">
            <v>13</v>
          </cell>
          <cell r="F5">
            <v>0</v>
          </cell>
          <cell r="G5">
            <v>24</v>
          </cell>
          <cell r="H5">
            <v>0</v>
          </cell>
          <cell r="I5">
            <v>0</v>
          </cell>
          <cell r="J5">
            <v>2</v>
          </cell>
          <cell r="K5">
            <v>59</v>
          </cell>
          <cell r="L5">
            <v>322</v>
          </cell>
          <cell r="M5">
            <v>25</v>
          </cell>
          <cell r="N5">
            <v>34</v>
          </cell>
          <cell r="O5">
            <v>59</v>
          </cell>
          <cell r="P5">
            <v>322</v>
          </cell>
        </row>
        <row r="6">
          <cell r="B6" t="str">
            <v>Assessoria Econômica</v>
          </cell>
          <cell r="C6">
            <v>0</v>
          </cell>
          <cell r="D6">
            <v>1</v>
          </cell>
          <cell r="E6">
            <v>6</v>
          </cell>
          <cell r="F6">
            <v>0</v>
          </cell>
          <cell r="G6">
            <v>1</v>
          </cell>
          <cell r="H6">
            <v>0</v>
          </cell>
          <cell r="I6">
            <v>0</v>
          </cell>
          <cell r="J6">
            <v>0</v>
          </cell>
          <cell r="K6">
            <v>8</v>
          </cell>
          <cell r="M6">
            <v>5</v>
          </cell>
          <cell r="N6">
            <v>3</v>
          </cell>
          <cell r="O6">
            <v>8</v>
          </cell>
        </row>
        <row r="7">
          <cell r="B7" t="str">
            <v>Assessoria Especial de Relações Internacionais</v>
          </cell>
          <cell r="C7">
            <v>0</v>
          </cell>
          <cell r="D7">
            <v>1</v>
          </cell>
          <cell r="E7">
            <v>1</v>
          </cell>
          <cell r="F7">
            <v>0</v>
          </cell>
          <cell r="G7">
            <v>2</v>
          </cell>
          <cell r="H7">
            <v>0</v>
          </cell>
          <cell r="I7">
            <v>0</v>
          </cell>
          <cell r="J7">
            <v>0</v>
          </cell>
          <cell r="K7">
            <v>4</v>
          </cell>
          <cell r="M7">
            <v>1</v>
          </cell>
          <cell r="N7">
            <v>3</v>
          </cell>
          <cell r="O7">
            <v>4</v>
          </cell>
        </row>
        <row r="8">
          <cell r="B8" t="str">
            <v>Assessoria Especial de Controle Interno</v>
          </cell>
          <cell r="C8">
            <v>0</v>
          </cell>
          <cell r="D8">
            <v>1</v>
          </cell>
          <cell r="E8">
            <v>1</v>
          </cell>
          <cell r="F8">
            <v>0</v>
          </cell>
          <cell r="G8">
            <v>2</v>
          </cell>
          <cell r="H8">
            <v>0</v>
          </cell>
          <cell r="I8">
            <v>0</v>
          </cell>
          <cell r="J8">
            <v>0</v>
          </cell>
          <cell r="K8">
            <v>4</v>
          </cell>
          <cell r="M8">
            <v>3</v>
          </cell>
          <cell r="N8">
            <v>1</v>
          </cell>
          <cell r="O8">
            <v>4</v>
          </cell>
        </row>
        <row r="9">
          <cell r="B9" t="str">
            <v>Assessoria Especial de Acompanhamento de Políticas, Estratégias e Desempenho Setoriais</v>
          </cell>
          <cell r="C9">
            <v>0</v>
          </cell>
          <cell r="D9">
            <v>1</v>
          </cell>
          <cell r="E9">
            <v>0</v>
          </cell>
          <cell r="F9">
            <v>0</v>
          </cell>
          <cell r="G9">
            <v>4</v>
          </cell>
          <cell r="H9">
            <v>0</v>
          </cell>
          <cell r="I9">
            <v>0</v>
          </cell>
          <cell r="J9">
            <v>0</v>
          </cell>
          <cell r="K9">
            <v>5</v>
          </cell>
          <cell r="M9">
            <v>0</v>
          </cell>
          <cell r="N9">
            <v>5</v>
          </cell>
          <cell r="O9">
            <v>5</v>
          </cell>
        </row>
        <row r="10">
          <cell r="B10" t="str">
            <v>Consultoria Jurídica</v>
          </cell>
          <cell r="C10">
            <v>0</v>
          </cell>
          <cell r="D10">
            <v>3</v>
          </cell>
          <cell r="E10">
            <v>0</v>
          </cell>
          <cell r="F10">
            <v>0</v>
          </cell>
          <cell r="G10">
            <v>7</v>
          </cell>
          <cell r="H10">
            <v>11</v>
          </cell>
          <cell r="I10">
            <v>0</v>
          </cell>
          <cell r="J10">
            <v>0</v>
          </cell>
          <cell r="K10">
            <v>21</v>
          </cell>
          <cell r="M10">
            <v>8</v>
          </cell>
          <cell r="N10">
            <v>13</v>
          </cell>
          <cell r="O10">
            <v>21</v>
          </cell>
        </row>
        <row r="11">
          <cell r="B11" t="str">
            <v>Secretaria Executiva</v>
          </cell>
          <cell r="C11">
            <v>1</v>
          </cell>
          <cell r="D11">
            <v>90</v>
          </cell>
          <cell r="E11">
            <v>28</v>
          </cell>
          <cell r="F11">
            <v>1</v>
          </cell>
          <cell r="G11">
            <v>29</v>
          </cell>
          <cell r="H11">
            <v>19</v>
          </cell>
          <cell r="I11">
            <v>3</v>
          </cell>
          <cell r="J11">
            <v>50</v>
          </cell>
          <cell r="K11">
            <v>221</v>
          </cell>
          <cell r="M11">
            <v>107</v>
          </cell>
          <cell r="N11">
            <v>114</v>
          </cell>
          <cell r="O11">
            <v>221</v>
          </cell>
        </row>
        <row r="12">
          <cell r="A12" t="str">
            <v>FINALISTICA</v>
          </cell>
          <cell r="B12" t="str">
            <v>Secretaria de Geologia, Mineração e Transformação Mineral</v>
          </cell>
          <cell r="C12">
            <v>0</v>
          </cell>
          <cell r="D12">
            <v>5</v>
          </cell>
          <cell r="E12">
            <v>3</v>
          </cell>
          <cell r="F12">
            <v>0</v>
          </cell>
          <cell r="G12">
            <v>18</v>
          </cell>
          <cell r="H12">
            <v>8</v>
          </cell>
          <cell r="I12">
            <v>0</v>
          </cell>
          <cell r="J12">
            <v>5</v>
          </cell>
          <cell r="K12">
            <v>39</v>
          </cell>
          <cell r="L12">
            <v>168</v>
          </cell>
          <cell r="M12">
            <v>19</v>
          </cell>
          <cell r="N12">
            <v>20</v>
          </cell>
          <cell r="O12">
            <v>39</v>
          </cell>
          <cell r="P12">
            <v>168</v>
          </cell>
        </row>
        <row r="13">
          <cell r="B13" t="str">
            <v>Secretaria de Planejamento e Desenvolvimento Energético</v>
          </cell>
          <cell r="C13">
            <v>0</v>
          </cell>
          <cell r="D13">
            <v>7</v>
          </cell>
          <cell r="E13">
            <v>7</v>
          </cell>
          <cell r="F13">
            <v>0</v>
          </cell>
          <cell r="G13">
            <v>12</v>
          </cell>
          <cell r="H13">
            <v>15</v>
          </cell>
          <cell r="I13">
            <v>0</v>
          </cell>
          <cell r="J13">
            <v>4</v>
          </cell>
          <cell r="K13">
            <v>45</v>
          </cell>
          <cell r="M13">
            <v>19</v>
          </cell>
          <cell r="N13">
            <v>26</v>
          </cell>
          <cell r="O13">
            <v>45</v>
          </cell>
        </row>
        <row r="14">
          <cell r="B14" t="str">
            <v>Secretaria de Petróleo, Gás Natural e Biocombustíveis</v>
          </cell>
          <cell r="C14">
            <v>0</v>
          </cell>
          <cell r="D14">
            <v>2</v>
          </cell>
          <cell r="E14">
            <v>9</v>
          </cell>
          <cell r="F14">
            <v>0</v>
          </cell>
          <cell r="G14">
            <v>5</v>
          </cell>
          <cell r="H14">
            <v>16</v>
          </cell>
          <cell r="I14">
            <v>0</v>
          </cell>
          <cell r="J14">
            <v>0</v>
          </cell>
          <cell r="K14">
            <v>32</v>
          </cell>
          <cell r="M14">
            <v>9</v>
          </cell>
          <cell r="N14">
            <v>23</v>
          </cell>
          <cell r="O14">
            <v>32</v>
          </cell>
        </row>
        <row r="15">
          <cell r="B15" t="str">
            <v>Secretaria de Energia Elétrica</v>
          </cell>
          <cell r="C15">
            <v>0</v>
          </cell>
          <cell r="D15">
            <v>2</v>
          </cell>
          <cell r="E15">
            <v>3</v>
          </cell>
          <cell r="F15">
            <v>4</v>
          </cell>
          <cell r="G15">
            <v>15</v>
          </cell>
          <cell r="H15">
            <v>19</v>
          </cell>
          <cell r="I15">
            <v>0</v>
          </cell>
          <cell r="J15">
            <v>9</v>
          </cell>
          <cell r="K15">
            <v>52</v>
          </cell>
          <cell r="M15">
            <v>18</v>
          </cell>
          <cell r="N15">
            <v>34</v>
          </cell>
          <cell r="O15">
            <v>52</v>
          </cell>
        </row>
        <row r="16">
          <cell r="B16" t="str">
            <v>TOTAL</v>
          </cell>
          <cell r="C16">
            <v>2</v>
          </cell>
          <cell r="D16">
            <v>132</v>
          </cell>
          <cell r="E16">
            <v>71</v>
          </cell>
          <cell r="F16">
            <v>5</v>
          </cell>
          <cell r="G16">
            <v>119</v>
          </cell>
          <cell r="H16">
            <v>88</v>
          </cell>
          <cell r="I16">
            <v>3</v>
          </cell>
          <cell r="J16">
            <v>70</v>
          </cell>
          <cell r="K16">
            <v>490</v>
          </cell>
          <cell r="L16">
            <v>490</v>
          </cell>
          <cell r="M16">
            <v>214</v>
          </cell>
          <cell r="N16">
            <v>276</v>
          </cell>
          <cell r="O16">
            <v>490</v>
          </cell>
          <cell r="P16">
            <v>490</v>
          </cell>
        </row>
        <row r="17">
          <cell r="B17" t="str">
            <v>Aguardando Exercício</v>
          </cell>
          <cell r="C17">
            <v>0</v>
          </cell>
          <cell r="D17">
            <v>5</v>
          </cell>
          <cell r="E17">
            <v>0</v>
          </cell>
          <cell r="F17">
            <v>0</v>
          </cell>
          <cell r="G17">
            <v>0</v>
          </cell>
          <cell r="H17">
            <v>0</v>
          </cell>
          <cell r="I17">
            <v>0</v>
          </cell>
          <cell r="J17">
            <v>22</v>
          </cell>
          <cell r="K17">
            <v>27</v>
          </cell>
          <cell r="L17">
            <v>517</v>
          </cell>
          <cell r="M17">
            <v>10</v>
          </cell>
          <cell r="N17">
            <v>17</v>
          </cell>
          <cell r="O17">
            <v>27</v>
          </cell>
          <cell r="P17">
            <v>517</v>
          </cell>
        </row>
        <row r="19">
          <cell r="A19" t="str">
            <v>Área</v>
          </cell>
          <cell r="B19" t="str">
            <v>GABINETE DO MINISTRO</v>
          </cell>
          <cell r="C19" t="str">
            <v>Natureza Especial</v>
          </cell>
          <cell r="D19" t="str">
            <v>Ativo Permanente</v>
          </cell>
          <cell r="E19" t="str">
            <v>Requisitado Órgãos</v>
          </cell>
          <cell r="F19" t="str">
            <v>Requisitado Empresas</v>
          </cell>
          <cell r="G19" t="str">
            <v>Sem Vínculo</v>
          </cell>
          <cell r="H19" t="str">
            <v>Exercício Descentralizado</v>
          </cell>
          <cell r="I19" t="str">
            <v>Contrato Temporário</v>
          </cell>
          <cell r="J19" t="str">
            <v>Anistiado</v>
          </cell>
          <cell r="K19" t="str">
            <v>Total</v>
          </cell>
          <cell r="L19" t="str">
            <v>Total Área</v>
          </cell>
          <cell r="M19" t="str">
            <v>Sexo Feminino</v>
          </cell>
          <cell r="N19" t="str">
            <v>Sexo Masculino</v>
          </cell>
          <cell r="O19" t="str">
            <v>Total</v>
          </cell>
          <cell r="P19" t="str">
            <v>Total Área</v>
          </cell>
        </row>
        <row r="20">
          <cell r="B20" t="str">
            <v xml:space="preserve">          Chefia de Gabinete</v>
          </cell>
          <cell r="C20">
            <v>1</v>
          </cell>
          <cell r="D20">
            <v>0</v>
          </cell>
          <cell r="E20">
            <v>9</v>
          </cell>
          <cell r="F20">
            <v>0</v>
          </cell>
          <cell r="G20">
            <v>3</v>
          </cell>
          <cell r="H20">
            <v>0</v>
          </cell>
          <cell r="I20">
            <v>0</v>
          </cell>
          <cell r="J20">
            <v>0</v>
          </cell>
          <cell r="K20">
            <v>13</v>
          </cell>
          <cell r="L20">
            <v>59</v>
          </cell>
          <cell r="M20">
            <v>5</v>
          </cell>
          <cell r="N20">
            <v>8</v>
          </cell>
          <cell r="O20">
            <v>13</v>
          </cell>
          <cell r="P20">
            <v>59</v>
          </cell>
        </row>
        <row r="21">
          <cell r="B21" t="str">
            <v xml:space="preserve">          Assessoria Técnica Administrativa</v>
          </cell>
          <cell r="C21">
            <v>0</v>
          </cell>
          <cell r="D21">
            <v>16</v>
          </cell>
          <cell r="E21">
            <v>0</v>
          </cell>
          <cell r="F21">
            <v>0</v>
          </cell>
          <cell r="G21">
            <v>3</v>
          </cell>
          <cell r="H21">
            <v>0</v>
          </cell>
          <cell r="I21">
            <v>0</v>
          </cell>
          <cell r="J21">
            <v>1</v>
          </cell>
          <cell r="K21">
            <v>20</v>
          </cell>
          <cell r="M21">
            <v>3</v>
          </cell>
          <cell r="N21">
            <v>17</v>
          </cell>
          <cell r="O21">
            <v>20</v>
          </cell>
        </row>
        <row r="22">
          <cell r="A22" t="str">
            <v>MEIO</v>
          </cell>
          <cell r="B22" t="str">
            <v xml:space="preserve">          Assessoria Parlamentar</v>
          </cell>
          <cell r="C22">
            <v>0</v>
          </cell>
          <cell r="D22">
            <v>0</v>
          </cell>
          <cell r="E22">
            <v>0</v>
          </cell>
          <cell r="F22">
            <v>0</v>
          </cell>
          <cell r="G22">
            <v>8</v>
          </cell>
          <cell r="H22">
            <v>0</v>
          </cell>
          <cell r="I22">
            <v>0</v>
          </cell>
          <cell r="J22">
            <v>0</v>
          </cell>
          <cell r="K22">
            <v>8</v>
          </cell>
          <cell r="M22">
            <v>6</v>
          </cell>
          <cell r="N22">
            <v>2</v>
          </cell>
          <cell r="O22">
            <v>8</v>
          </cell>
        </row>
        <row r="23">
          <cell r="B23" t="str">
            <v xml:space="preserve">          Assessoria de Comunicação Social</v>
          </cell>
          <cell r="C23">
            <v>0</v>
          </cell>
          <cell r="D23">
            <v>1</v>
          </cell>
          <cell r="E23">
            <v>1</v>
          </cell>
          <cell r="F23">
            <v>0</v>
          </cell>
          <cell r="G23">
            <v>6</v>
          </cell>
          <cell r="H23">
            <v>0</v>
          </cell>
          <cell r="I23">
            <v>0</v>
          </cell>
          <cell r="J23">
            <v>1</v>
          </cell>
          <cell r="K23">
            <v>9</v>
          </cell>
          <cell r="M23">
            <v>4</v>
          </cell>
          <cell r="N23">
            <v>5</v>
          </cell>
          <cell r="O23">
            <v>9</v>
          </cell>
        </row>
        <row r="24">
          <cell r="B24" t="str">
            <v xml:space="preserve">          Ouvidoria-Geral</v>
          </cell>
          <cell r="C24">
            <v>0</v>
          </cell>
          <cell r="D24">
            <v>2</v>
          </cell>
          <cell r="E24">
            <v>1</v>
          </cell>
          <cell r="F24">
            <v>0</v>
          </cell>
          <cell r="G24">
            <v>1</v>
          </cell>
          <cell r="H24">
            <v>0</v>
          </cell>
          <cell r="I24">
            <v>0</v>
          </cell>
          <cell r="J24">
            <v>0</v>
          </cell>
          <cell r="K24">
            <v>4</v>
          </cell>
          <cell r="M24">
            <v>2</v>
          </cell>
          <cell r="N24">
            <v>2</v>
          </cell>
          <cell r="O24">
            <v>4</v>
          </cell>
        </row>
        <row r="25">
          <cell r="B25" t="str">
            <v xml:space="preserve">          Assessoria de Apoio ao Ministro</v>
          </cell>
          <cell r="C25">
            <v>0</v>
          </cell>
          <cell r="D25">
            <v>0</v>
          </cell>
          <cell r="E25">
            <v>2</v>
          </cell>
          <cell r="F25">
            <v>0</v>
          </cell>
          <cell r="G25">
            <v>3</v>
          </cell>
          <cell r="H25">
            <v>0</v>
          </cell>
          <cell r="I25">
            <v>0</v>
          </cell>
          <cell r="J25">
            <v>0</v>
          </cell>
          <cell r="K25">
            <v>5</v>
          </cell>
          <cell r="M25">
            <v>5</v>
          </cell>
          <cell r="N25">
            <v>0</v>
          </cell>
          <cell r="O25">
            <v>5</v>
          </cell>
        </row>
        <row r="26">
          <cell r="B26" t="str">
            <v>TOTAL</v>
          </cell>
          <cell r="C26">
            <v>1</v>
          </cell>
          <cell r="D26">
            <v>19</v>
          </cell>
          <cell r="E26">
            <v>13</v>
          </cell>
          <cell r="F26">
            <v>0</v>
          </cell>
          <cell r="G26">
            <v>24</v>
          </cell>
          <cell r="H26">
            <v>0</v>
          </cell>
          <cell r="I26">
            <v>0</v>
          </cell>
          <cell r="J26">
            <v>2</v>
          </cell>
          <cell r="K26">
            <v>59</v>
          </cell>
          <cell r="L26">
            <v>59</v>
          </cell>
          <cell r="M26">
            <v>25</v>
          </cell>
          <cell r="N26">
            <v>34</v>
          </cell>
          <cell r="O26">
            <v>59</v>
          </cell>
          <cell r="P26">
            <v>59</v>
          </cell>
        </row>
        <row r="28">
          <cell r="A28" t="str">
            <v>Área</v>
          </cell>
          <cell r="B28" t="str">
            <v>ASSESSORIA ESPECIAL DE RELAÇÕES INTERNACIONAIS</v>
          </cell>
          <cell r="C28" t="str">
            <v>Natureza Especial</v>
          </cell>
          <cell r="D28" t="str">
            <v>Ativo Permanente</v>
          </cell>
          <cell r="E28" t="str">
            <v>Requisitado Órgãos</v>
          </cell>
          <cell r="F28" t="str">
            <v>Requisitado Empresas</v>
          </cell>
          <cell r="G28" t="str">
            <v>Sem Vínculo</v>
          </cell>
          <cell r="H28" t="str">
            <v>Exercício Descentralizado</v>
          </cell>
          <cell r="I28" t="str">
            <v>Contrato Temporário</v>
          </cell>
          <cell r="J28" t="str">
            <v>Anistiado</v>
          </cell>
          <cell r="K28" t="str">
            <v>Total</v>
          </cell>
          <cell r="L28" t="str">
            <v>Total Área</v>
          </cell>
          <cell r="M28" t="str">
            <v>Sexo Feminino</v>
          </cell>
          <cell r="N28" t="str">
            <v>Sexo Masculino</v>
          </cell>
          <cell r="O28" t="str">
            <v>Total</v>
          </cell>
          <cell r="P28" t="str">
            <v>Total Área</v>
          </cell>
        </row>
        <row r="29">
          <cell r="A29" t="str">
            <v>MEIO</v>
          </cell>
          <cell r="B29" t="str">
            <v xml:space="preserve">          Assessoria Especial de Relações Internacionais</v>
          </cell>
          <cell r="C29">
            <v>0</v>
          </cell>
          <cell r="D29">
            <v>1</v>
          </cell>
          <cell r="E29">
            <v>1</v>
          </cell>
          <cell r="F29">
            <v>0</v>
          </cell>
          <cell r="G29">
            <v>2</v>
          </cell>
          <cell r="H29">
            <v>0</v>
          </cell>
          <cell r="I29">
            <v>0</v>
          </cell>
          <cell r="J29">
            <v>0</v>
          </cell>
          <cell r="K29">
            <v>4</v>
          </cell>
          <cell r="L29">
            <v>4</v>
          </cell>
          <cell r="M29">
            <v>1</v>
          </cell>
          <cell r="N29">
            <v>3</v>
          </cell>
          <cell r="O29">
            <v>4</v>
          </cell>
          <cell r="P29">
            <v>4</v>
          </cell>
        </row>
        <row r="30">
          <cell r="B30" t="str">
            <v>TOTAL</v>
          </cell>
          <cell r="C30">
            <v>0</v>
          </cell>
          <cell r="D30">
            <v>1</v>
          </cell>
          <cell r="E30">
            <v>1</v>
          </cell>
          <cell r="F30">
            <v>0</v>
          </cell>
          <cell r="G30">
            <v>2</v>
          </cell>
          <cell r="H30">
            <v>0</v>
          </cell>
          <cell r="I30">
            <v>0</v>
          </cell>
          <cell r="J30">
            <v>0</v>
          </cell>
          <cell r="K30">
            <v>4</v>
          </cell>
          <cell r="L30">
            <v>4</v>
          </cell>
          <cell r="M30">
            <v>1</v>
          </cell>
          <cell r="N30">
            <v>3</v>
          </cell>
          <cell r="O30">
            <v>4</v>
          </cell>
          <cell r="P30">
            <v>4</v>
          </cell>
        </row>
        <row r="32">
          <cell r="A32" t="str">
            <v>Área</v>
          </cell>
          <cell r="B32" t="str">
            <v>ASSESSORIA ESPECIAL DE ACOMPANHAMENTO DE POLÍTICAS, ESTRATÉGIAS E DESEMPENHO SETORIAIS</v>
          </cell>
          <cell r="C32" t="str">
            <v>Natureza Especial</v>
          </cell>
          <cell r="D32" t="str">
            <v>Ativo Permanente</v>
          </cell>
          <cell r="E32" t="str">
            <v>Requisitado Órgãos</v>
          </cell>
          <cell r="F32" t="str">
            <v>Requisitado Empresas</v>
          </cell>
          <cell r="G32" t="str">
            <v>Sem Vínculo</v>
          </cell>
          <cell r="H32" t="str">
            <v>Exercício Descentralizado</v>
          </cell>
          <cell r="I32" t="str">
            <v>Contrato Temporário</v>
          </cell>
          <cell r="J32" t="str">
            <v>Anistiado</v>
          </cell>
          <cell r="K32" t="str">
            <v>Total</v>
          </cell>
          <cell r="L32" t="str">
            <v>Total Área</v>
          </cell>
          <cell r="M32" t="str">
            <v>Sexo Feminino</v>
          </cell>
          <cell r="N32" t="str">
            <v>Sexo Masculino</v>
          </cell>
          <cell r="O32" t="str">
            <v>Total</v>
          </cell>
          <cell r="P32" t="str">
            <v>Total Área</v>
          </cell>
        </row>
        <row r="33">
          <cell r="A33" t="str">
            <v>MEIO</v>
          </cell>
          <cell r="B33" t="str">
            <v>Assessoria Especial de Acompanhamento de Políticas, Estratégias e Desempenho Setoriais</v>
          </cell>
          <cell r="C33">
            <v>0</v>
          </cell>
          <cell r="D33">
            <v>1</v>
          </cell>
          <cell r="E33">
            <v>0</v>
          </cell>
          <cell r="F33">
            <v>0</v>
          </cell>
          <cell r="G33">
            <v>4</v>
          </cell>
          <cell r="H33">
            <v>0</v>
          </cell>
          <cell r="I33">
            <v>0</v>
          </cell>
          <cell r="J33">
            <v>0</v>
          </cell>
          <cell r="K33">
            <v>5</v>
          </cell>
          <cell r="L33">
            <v>5</v>
          </cell>
          <cell r="M33">
            <v>0</v>
          </cell>
          <cell r="N33">
            <v>5</v>
          </cell>
          <cell r="O33">
            <v>5</v>
          </cell>
          <cell r="P33">
            <v>5</v>
          </cell>
        </row>
        <row r="34">
          <cell r="B34" t="str">
            <v>TOTAL</v>
          </cell>
          <cell r="C34">
            <v>0</v>
          </cell>
          <cell r="D34">
            <v>1</v>
          </cell>
          <cell r="E34">
            <v>0</v>
          </cell>
          <cell r="F34">
            <v>0</v>
          </cell>
          <cell r="G34">
            <v>4</v>
          </cell>
          <cell r="H34">
            <v>0</v>
          </cell>
          <cell r="I34">
            <v>0</v>
          </cell>
          <cell r="J34">
            <v>0</v>
          </cell>
          <cell r="K34">
            <v>5</v>
          </cell>
          <cell r="L34">
            <v>5</v>
          </cell>
          <cell r="M34">
            <v>0</v>
          </cell>
          <cell r="N34">
            <v>5</v>
          </cell>
          <cell r="O34">
            <v>5</v>
          </cell>
          <cell r="P34">
            <v>5</v>
          </cell>
        </row>
        <row r="36">
          <cell r="A36" t="str">
            <v>Área</v>
          </cell>
          <cell r="B36" t="str">
            <v>ASSESSORIA ESPECIAL DE CONTROLE INTERNO</v>
          </cell>
          <cell r="C36" t="str">
            <v>Natureza Especial</v>
          </cell>
          <cell r="D36" t="str">
            <v>Ativo Permanente</v>
          </cell>
          <cell r="E36" t="str">
            <v>Requisitado Órgãos</v>
          </cell>
          <cell r="F36" t="str">
            <v>Requisitado Empresas</v>
          </cell>
          <cell r="G36" t="str">
            <v>Sem Vínculo</v>
          </cell>
          <cell r="H36" t="str">
            <v>Exercício Descentralizado</v>
          </cell>
          <cell r="I36" t="str">
            <v>Contrato Temporário</v>
          </cell>
          <cell r="J36" t="str">
            <v>Anistiado</v>
          </cell>
          <cell r="K36" t="str">
            <v>Total</v>
          </cell>
          <cell r="L36" t="str">
            <v>Total Área</v>
          </cell>
          <cell r="M36" t="str">
            <v>Sexo Feminino</v>
          </cell>
          <cell r="N36" t="str">
            <v>Sexo Masculino</v>
          </cell>
          <cell r="O36" t="str">
            <v>Total</v>
          </cell>
          <cell r="P36" t="str">
            <v>Total Área</v>
          </cell>
        </row>
        <row r="37">
          <cell r="A37" t="str">
            <v>MEIO</v>
          </cell>
          <cell r="B37" t="str">
            <v xml:space="preserve">          Assessoria Especial de Controle Interno</v>
          </cell>
          <cell r="C37">
            <v>0</v>
          </cell>
          <cell r="D37">
            <v>1</v>
          </cell>
          <cell r="E37">
            <v>1</v>
          </cell>
          <cell r="F37">
            <v>0</v>
          </cell>
          <cell r="G37">
            <v>2</v>
          </cell>
          <cell r="H37">
            <v>0</v>
          </cell>
          <cell r="I37">
            <v>0</v>
          </cell>
          <cell r="J37">
            <v>0</v>
          </cell>
          <cell r="K37">
            <v>4</v>
          </cell>
          <cell r="L37">
            <v>4</v>
          </cell>
          <cell r="M37">
            <v>3</v>
          </cell>
          <cell r="N37">
            <v>1</v>
          </cell>
          <cell r="O37">
            <v>4</v>
          </cell>
          <cell r="P37">
            <v>4</v>
          </cell>
        </row>
        <row r="38">
          <cell r="B38" t="str">
            <v>TOTAL</v>
          </cell>
          <cell r="C38">
            <v>0</v>
          </cell>
          <cell r="D38">
            <v>1</v>
          </cell>
          <cell r="E38">
            <v>1</v>
          </cell>
          <cell r="F38">
            <v>0</v>
          </cell>
          <cell r="G38">
            <v>2</v>
          </cell>
          <cell r="H38">
            <v>0</v>
          </cell>
          <cell r="I38">
            <v>0</v>
          </cell>
          <cell r="J38">
            <v>0</v>
          </cell>
          <cell r="K38">
            <v>4</v>
          </cell>
          <cell r="L38">
            <v>4</v>
          </cell>
          <cell r="M38">
            <v>3</v>
          </cell>
          <cell r="N38">
            <v>1</v>
          </cell>
          <cell r="O38">
            <v>4</v>
          </cell>
          <cell r="P38">
            <v>4</v>
          </cell>
        </row>
        <row r="40">
          <cell r="A40" t="str">
            <v>Área</v>
          </cell>
          <cell r="B40" t="str">
            <v>ASSESSORIA ECONÔMICA</v>
          </cell>
          <cell r="C40" t="str">
            <v>Natureza Especial</v>
          </cell>
          <cell r="D40" t="str">
            <v>Ativo Permanente</v>
          </cell>
          <cell r="E40" t="str">
            <v>Requisitado Órgãos</v>
          </cell>
          <cell r="F40" t="str">
            <v>Requisitado Empresas</v>
          </cell>
          <cell r="G40" t="str">
            <v>Sem Vínculo</v>
          </cell>
          <cell r="H40" t="str">
            <v>Exercício Descentralizado</v>
          </cell>
          <cell r="I40" t="str">
            <v>Contrato Temporário</v>
          </cell>
          <cell r="J40" t="str">
            <v>Anistiado</v>
          </cell>
          <cell r="K40" t="str">
            <v>Total</v>
          </cell>
          <cell r="L40" t="str">
            <v>Total Área</v>
          </cell>
          <cell r="M40" t="str">
            <v>Sexo Feminino</v>
          </cell>
          <cell r="N40" t="str">
            <v>Sexo Masculino</v>
          </cell>
          <cell r="O40" t="str">
            <v>Total</v>
          </cell>
          <cell r="P40" t="str">
            <v>Total Área</v>
          </cell>
        </row>
        <row r="41">
          <cell r="A41" t="str">
            <v>MEIO</v>
          </cell>
          <cell r="B41" t="str">
            <v xml:space="preserve">          Assessoria Econômica</v>
          </cell>
          <cell r="C41">
            <v>0</v>
          </cell>
          <cell r="D41">
            <v>1</v>
          </cell>
          <cell r="E41">
            <v>6</v>
          </cell>
          <cell r="F41">
            <v>0</v>
          </cell>
          <cell r="G41">
            <v>1</v>
          </cell>
          <cell r="H41">
            <v>0</v>
          </cell>
          <cell r="I41">
            <v>0</v>
          </cell>
          <cell r="J41">
            <v>0</v>
          </cell>
          <cell r="K41">
            <v>8</v>
          </cell>
          <cell r="L41">
            <v>8</v>
          </cell>
          <cell r="M41">
            <v>5</v>
          </cell>
          <cell r="N41">
            <v>3</v>
          </cell>
          <cell r="O41">
            <v>8</v>
          </cell>
          <cell r="P41">
            <v>8</v>
          </cell>
        </row>
        <row r="42">
          <cell r="B42" t="str">
            <v>TOTAL</v>
          </cell>
          <cell r="C42">
            <v>0</v>
          </cell>
          <cell r="D42">
            <v>1</v>
          </cell>
          <cell r="E42">
            <v>6</v>
          </cell>
          <cell r="F42">
            <v>0</v>
          </cell>
          <cell r="G42">
            <v>1</v>
          </cell>
          <cell r="H42">
            <v>0</v>
          </cell>
          <cell r="I42">
            <v>0</v>
          </cell>
          <cell r="J42">
            <v>0</v>
          </cell>
          <cell r="K42">
            <v>8</v>
          </cell>
          <cell r="L42">
            <v>8</v>
          </cell>
          <cell r="M42">
            <v>5</v>
          </cell>
          <cell r="N42">
            <v>3</v>
          </cell>
          <cell r="O42">
            <v>8</v>
          </cell>
          <cell r="P42">
            <v>8</v>
          </cell>
        </row>
        <row r="44">
          <cell r="A44" t="str">
            <v>Área</v>
          </cell>
          <cell r="B44" t="str">
            <v>CONSULTORIA JURÍDICA</v>
          </cell>
          <cell r="C44" t="str">
            <v>Natureza Especial</v>
          </cell>
          <cell r="D44" t="str">
            <v>Ativo Permanente</v>
          </cell>
          <cell r="E44" t="str">
            <v>Requisitado Órgãos</v>
          </cell>
          <cell r="F44" t="str">
            <v>Requisitado Empresas</v>
          </cell>
          <cell r="G44" t="str">
            <v>Sem Vínculo</v>
          </cell>
          <cell r="H44" t="str">
            <v>Exercício Descentralizado</v>
          </cell>
          <cell r="I44" t="str">
            <v>Contrato Temporário</v>
          </cell>
          <cell r="J44" t="str">
            <v>Anistiado</v>
          </cell>
          <cell r="K44" t="str">
            <v>Total</v>
          </cell>
          <cell r="L44" t="str">
            <v>Total Área</v>
          </cell>
          <cell r="M44" t="str">
            <v>Sexo Feminino</v>
          </cell>
          <cell r="N44" t="str">
            <v>Sexo Masculino</v>
          </cell>
          <cell r="O44" t="str">
            <v>Total</v>
          </cell>
          <cell r="P44" t="str">
            <v>Total Área</v>
          </cell>
        </row>
        <row r="45">
          <cell r="A45" t="str">
            <v>MEIO</v>
          </cell>
          <cell r="B45" t="str">
            <v xml:space="preserve">          Gabinete da Consultoria Jurídica</v>
          </cell>
          <cell r="C45">
            <v>0</v>
          </cell>
          <cell r="D45">
            <v>0</v>
          </cell>
          <cell r="E45">
            <v>0</v>
          </cell>
          <cell r="F45">
            <v>0</v>
          </cell>
          <cell r="G45">
            <v>3</v>
          </cell>
          <cell r="H45">
            <v>1</v>
          </cell>
          <cell r="I45">
            <v>0</v>
          </cell>
          <cell r="J45">
            <v>0</v>
          </cell>
          <cell r="K45">
            <v>4</v>
          </cell>
          <cell r="L45">
            <v>21</v>
          </cell>
          <cell r="M45">
            <v>3</v>
          </cell>
          <cell r="N45">
            <v>1</v>
          </cell>
          <cell r="O45">
            <v>4</v>
          </cell>
          <cell r="P45">
            <v>21</v>
          </cell>
        </row>
        <row r="46">
          <cell r="B46" t="str">
            <v xml:space="preserve">          Coordenação-Geral de Assuntos de Petróleo e Mineração</v>
          </cell>
          <cell r="C46">
            <v>0</v>
          </cell>
          <cell r="D46">
            <v>0</v>
          </cell>
          <cell r="E46">
            <v>0</v>
          </cell>
          <cell r="F46">
            <v>0</v>
          </cell>
          <cell r="G46">
            <v>0</v>
          </cell>
          <cell r="H46">
            <v>3</v>
          </cell>
          <cell r="I46">
            <v>0</v>
          </cell>
          <cell r="J46">
            <v>0</v>
          </cell>
          <cell r="K46">
            <v>3</v>
          </cell>
          <cell r="M46">
            <v>0</v>
          </cell>
          <cell r="N46">
            <v>3</v>
          </cell>
          <cell r="O46">
            <v>3</v>
          </cell>
        </row>
        <row r="47">
          <cell r="B47" t="str">
            <v xml:space="preserve">          Coordenação-Geral de Assuntos de Energia</v>
          </cell>
          <cell r="C47">
            <v>0</v>
          </cell>
          <cell r="D47">
            <v>0</v>
          </cell>
          <cell r="E47">
            <v>0</v>
          </cell>
          <cell r="F47">
            <v>0</v>
          </cell>
          <cell r="G47">
            <v>0</v>
          </cell>
          <cell r="H47">
            <v>3</v>
          </cell>
          <cell r="I47">
            <v>0</v>
          </cell>
          <cell r="J47">
            <v>0</v>
          </cell>
          <cell r="K47">
            <v>3</v>
          </cell>
          <cell r="M47">
            <v>1</v>
          </cell>
          <cell r="N47">
            <v>2</v>
          </cell>
          <cell r="O47">
            <v>3</v>
          </cell>
        </row>
        <row r="48">
          <cell r="B48" t="str">
            <v xml:space="preserve">          Coordenação-Geral de Assuntos Administrativos</v>
          </cell>
          <cell r="C48">
            <v>0</v>
          </cell>
          <cell r="D48">
            <v>3</v>
          </cell>
          <cell r="E48">
            <v>0</v>
          </cell>
          <cell r="F48">
            <v>0</v>
          </cell>
          <cell r="G48">
            <v>4</v>
          </cell>
          <cell r="H48">
            <v>4</v>
          </cell>
          <cell r="I48">
            <v>0</v>
          </cell>
          <cell r="J48">
            <v>0</v>
          </cell>
          <cell r="K48">
            <v>11</v>
          </cell>
          <cell r="M48">
            <v>4</v>
          </cell>
          <cell r="N48">
            <v>7</v>
          </cell>
          <cell r="O48">
            <v>11</v>
          </cell>
        </row>
        <row r="49">
          <cell r="B49" t="str">
            <v>TOTAL</v>
          </cell>
          <cell r="C49">
            <v>0</v>
          </cell>
          <cell r="D49">
            <v>3</v>
          </cell>
          <cell r="E49">
            <v>0</v>
          </cell>
          <cell r="F49">
            <v>0</v>
          </cell>
          <cell r="G49">
            <v>7</v>
          </cell>
          <cell r="H49">
            <v>11</v>
          </cell>
          <cell r="I49">
            <v>0</v>
          </cell>
          <cell r="J49">
            <v>0</v>
          </cell>
          <cell r="K49">
            <v>21</v>
          </cell>
          <cell r="L49">
            <v>21</v>
          </cell>
          <cell r="M49">
            <v>8</v>
          </cell>
          <cell r="N49">
            <v>13</v>
          </cell>
          <cell r="O49">
            <v>21</v>
          </cell>
          <cell r="P49">
            <v>21</v>
          </cell>
        </row>
        <row r="51">
          <cell r="A51" t="str">
            <v>Área</v>
          </cell>
          <cell r="B51" t="str">
            <v>SECRETARIA EXECUTIVA</v>
          </cell>
          <cell r="C51" t="str">
            <v>Natureza Especial</v>
          </cell>
          <cell r="D51" t="str">
            <v>Ativo Permanente</v>
          </cell>
          <cell r="E51" t="str">
            <v>Requisitado Órgãos</v>
          </cell>
          <cell r="F51" t="str">
            <v>Requisitado Empresas</v>
          </cell>
          <cell r="G51" t="str">
            <v>Sem Vínculo</v>
          </cell>
          <cell r="H51" t="str">
            <v>Exercício Descentralizado</v>
          </cell>
          <cell r="I51" t="str">
            <v>Contrato Temporário</v>
          </cell>
          <cell r="J51" t="str">
            <v>Anistiado</v>
          </cell>
          <cell r="K51" t="str">
            <v>Total</v>
          </cell>
          <cell r="L51" t="str">
            <v>Total Área</v>
          </cell>
          <cell r="M51" t="str">
            <v>Sexo Feminino</v>
          </cell>
          <cell r="N51" t="str">
            <v>Sexo Masculino</v>
          </cell>
          <cell r="O51" t="str">
            <v>Total</v>
          </cell>
          <cell r="P51" t="str">
            <v>Total Área</v>
          </cell>
        </row>
        <row r="52">
          <cell r="A52" t="str">
            <v>MEIO</v>
          </cell>
          <cell r="B52" t="str">
            <v xml:space="preserve">          Gabinete da Secretaria Executiva</v>
          </cell>
          <cell r="C52">
            <v>1</v>
          </cell>
          <cell r="D52">
            <v>0</v>
          </cell>
          <cell r="E52">
            <v>3</v>
          </cell>
          <cell r="F52">
            <v>1</v>
          </cell>
          <cell r="G52">
            <v>6</v>
          </cell>
          <cell r="H52">
            <v>0</v>
          </cell>
          <cell r="I52">
            <v>0</v>
          </cell>
          <cell r="J52">
            <v>0</v>
          </cell>
          <cell r="K52">
            <v>11</v>
          </cell>
          <cell r="L52">
            <v>221</v>
          </cell>
          <cell r="M52">
            <v>7</v>
          </cell>
          <cell r="N52">
            <v>4</v>
          </cell>
          <cell r="O52">
            <v>11</v>
          </cell>
          <cell r="P52">
            <v>221</v>
          </cell>
        </row>
        <row r="54">
          <cell r="B54" t="str">
            <v xml:space="preserve">          Assessoria Especial de Gestão Estratégica</v>
          </cell>
          <cell r="C54">
            <v>0</v>
          </cell>
          <cell r="D54">
            <v>2</v>
          </cell>
          <cell r="E54">
            <v>1</v>
          </cell>
          <cell r="F54">
            <v>0</v>
          </cell>
          <cell r="G54">
            <v>6</v>
          </cell>
          <cell r="H54">
            <v>2</v>
          </cell>
          <cell r="I54">
            <v>0</v>
          </cell>
          <cell r="J54">
            <v>0</v>
          </cell>
          <cell r="K54">
            <v>11</v>
          </cell>
          <cell r="M54">
            <v>1</v>
          </cell>
          <cell r="N54">
            <v>10</v>
          </cell>
          <cell r="O54">
            <v>11</v>
          </cell>
        </row>
        <row r="55">
          <cell r="B55" t="str">
            <v xml:space="preserve">               Gabinete da Assessoria Especial de Gestão Estratégica</v>
          </cell>
          <cell r="C55">
            <v>0</v>
          </cell>
          <cell r="D55">
            <v>0</v>
          </cell>
          <cell r="E55">
            <v>1</v>
          </cell>
          <cell r="F55">
            <v>0</v>
          </cell>
          <cell r="G55">
            <v>4</v>
          </cell>
          <cell r="H55">
            <v>0</v>
          </cell>
          <cell r="I55">
            <v>0</v>
          </cell>
          <cell r="J55">
            <v>0</v>
          </cell>
          <cell r="K55">
            <v>5</v>
          </cell>
          <cell r="M55">
            <v>1</v>
          </cell>
          <cell r="N55">
            <v>4</v>
          </cell>
          <cell r="O55">
            <v>5</v>
          </cell>
        </row>
        <row r="56">
          <cell r="B56" t="str">
            <v xml:space="preserve">               Coordenação-Geral de Planejamento Estratégico, Supervisão e Avaliação</v>
          </cell>
          <cell r="C56">
            <v>0</v>
          </cell>
          <cell r="D56">
            <v>2</v>
          </cell>
          <cell r="E56">
            <v>0</v>
          </cell>
          <cell r="F56">
            <v>0</v>
          </cell>
          <cell r="G56">
            <v>2</v>
          </cell>
          <cell r="H56">
            <v>2</v>
          </cell>
          <cell r="I56">
            <v>0</v>
          </cell>
          <cell r="J56">
            <v>0</v>
          </cell>
          <cell r="K56">
            <v>6</v>
          </cell>
          <cell r="M56">
            <v>0</v>
          </cell>
          <cell r="N56">
            <v>6</v>
          </cell>
          <cell r="O56">
            <v>6</v>
          </cell>
        </row>
        <row r="58">
          <cell r="B58" t="str">
            <v xml:space="preserve">          Assessoria Especial em Assuntos Regulatórios</v>
          </cell>
          <cell r="C58">
            <v>0</v>
          </cell>
          <cell r="D58">
            <v>0</v>
          </cell>
          <cell r="E58">
            <v>0</v>
          </cell>
          <cell r="F58">
            <v>0</v>
          </cell>
          <cell r="G58">
            <v>0</v>
          </cell>
          <cell r="H58">
            <v>1</v>
          </cell>
          <cell r="I58">
            <v>0</v>
          </cell>
          <cell r="J58">
            <v>0</v>
          </cell>
          <cell r="K58">
            <v>1</v>
          </cell>
          <cell r="M58">
            <v>1</v>
          </cell>
          <cell r="N58">
            <v>0</v>
          </cell>
          <cell r="O58">
            <v>1</v>
          </cell>
        </row>
        <row r="60">
          <cell r="B60" t="str">
            <v xml:space="preserve">          Assessoria Especial de Gestão de Projetos</v>
          </cell>
          <cell r="C60">
            <v>0</v>
          </cell>
          <cell r="D60">
            <v>2</v>
          </cell>
          <cell r="E60">
            <v>3</v>
          </cell>
          <cell r="F60">
            <v>0</v>
          </cell>
          <cell r="G60">
            <v>1</v>
          </cell>
          <cell r="H60">
            <v>2</v>
          </cell>
          <cell r="I60">
            <v>3</v>
          </cell>
          <cell r="J60">
            <v>2</v>
          </cell>
          <cell r="K60">
            <v>13</v>
          </cell>
          <cell r="M60">
            <v>3</v>
          </cell>
          <cell r="N60">
            <v>10</v>
          </cell>
          <cell r="O60">
            <v>13</v>
          </cell>
        </row>
        <row r="61">
          <cell r="B61" t="str">
            <v xml:space="preserve">               Gabinete da Assessoria Especial de Gestão de Projetos</v>
          </cell>
          <cell r="C61">
            <v>0</v>
          </cell>
          <cell r="D61">
            <v>0</v>
          </cell>
          <cell r="E61">
            <v>1</v>
          </cell>
          <cell r="F61">
            <v>0</v>
          </cell>
          <cell r="G61">
            <v>0</v>
          </cell>
          <cell r="H61">
            <v>0</v>
          </cell>
          <cell r="I61">
            <v>0</v>
          </cell>
          <cell r="J61">
            <v>0</v>
          </cell>
          <cell r="K61">
            <v>1</v>
          </cell>
          <cell r="M61">
            <v>0</v>
          </cell>
          <cell r="N61">
            <v>1</v>
          </cell>
          <cell r="O61">
            <v>1</v>
          </cell>
        </row>
        <row r="62">
          <cell r="B62" t="str">
            <v xml:space="preserve">               Coordenação-Geral de Planejamento, Finanças e Controle</v>
          </cell>
          <cell r="C62">
            <v>0</v>
          </cell>
          <cell r="D62">
            <v>1</v>
          </cell>
          <cell r="E62">
            <v>1</v>
          </cell>
          <cell r="F62">
            <v>0</v>
          </cell>
          <cell r="G62">
            <v>1</v>
          </cell>
          <cell r="H62">
            <v>0</v>
          </cell>
          <cell r="I62">
            <v>1</v>
          </cell>
          <cell r="J62">
            <v>1</v>
          </cell>
          <cell r="K62">
            <v>5</v>
          </cell>
          <cell r="M62">
            <v>2</v>
          </cell>
          <cell r="N62">
            <v>3</v>
          </cell>
          <cell r="O62">
            <v>5</v>
          </cell>
        </row>
        <row r="63">
          <cell r="B63" t="str">
            <v xml:space="preserve">               Coordenação-Geral de Gestão de Projetos</v>
          </cell>
          <cell r="C63">
            <v>0</v>
          </cell>
          <cell r="D63">
            <v>1</v>
          </cell>
          <cell r="E63">
            <v>1</v>
          </cell>
          <cell r="F63">
            <v>0</v>
          </cell>
          <cell r="G63">
            <v>0</v>
          </cell>
          <cell r="H63">
            <v>2</v>
          </cell>
          <cell r="I63">
            <v>2</v>
          </cell>
          <cell r="J63">
            <v>1</v>
          </cell>
          <cell r="K63">
            <v>7</v>
          </cell>
          <cell r="M63">
            <v>1</v>
          </cell>
          <cell r="N63">
            <v>6</v>
          </cell>
          <cell r="O63">
            <v>7</v>
          </cell>
        </row>
        <row r="65">
          <cell r="B65" t="str">
            <v xml:space="preserve">          Assessoria Especial de Meio Ambiente</v>
          </cell>
          <cell r="C65">
            <v>0</v>
          </cell>
          <cell r="D65">
            <v>0</v>
          </cell>
          <cell r="E65">
            <v>1</v>
          </cell>
          <cell r="F65">
            <v>0</v>
          </cell>
          <cell r="G65">
            <v>2</v>
          </cell>
          <cell r="H65">
            <v>3</v>
          </cell>
          <cell r="I65">
            <v>0</v>
          </cell>
          <cell r="J65">
            <v>1</v>
          </cell>
          <cell r="K65">
            <v>7</v>
          </cell>
          <cell r="M65">
            <v>5</v>
          </cell>
          <cell r="N65">
            <v>2</v>
          </cell>
          <cell r="O65">
            <v>7</v>
          </cell>
        </row>
        <row r="66">
          <cell r="B66" t="str">
            <v xml:space="preserve">               Gabinete da Assessoria Especial do Meio Ambiente</v>
          </cell>
          <cell r="C66">
            <v>0</v>
          </cell>
          <cell r="D66">
            <v>0</v>
          </cell>
          <cell r="E66">
            <v>1</v>
          </cell>
          <cell r="F66">
            <v>0</v>
          </cell>
          <cell r="G66">
            <v>1</v>
          </cell>
          <cell r="H66">
            <v>1</v>
          </cell>
          <cell r="I66">
            <v>0</v>
          </cell>
          <cell r="J66">
            <v>1</v>
          </cell>
          <cell r="K66">
            <v>4</v>
          </cell>
          <cell r="M66">
            <v>2</v>
          </cell>
          <cell r="N66">
            <v>2</v>
          </cell>
          <cell r="O66">
            <v>4</v>
          </cell>
        </row>
        <row r="67">
          <cell r="B67" t="str">
            <v xml:space="preserve">               Coordenação-Geral de Avaliação Ambiental e Acompanhamento de Licenciamento</v>
          </cell>
          <cell r="C67">
            <v>0</v>
          </cell>
          <cell r="D67">
            <v>0</v>
          </cell>
          <cell r="E67">
            <v>0</v>
          </cell>
          <cell r="F67">
            <v>0</v>
          </cell>
          <cell r="G67">
            <v>1</v>
          </cell>
          <cell r="H67">
            <v>0</v>
          </cell>
          <cell r="I67">
            <v>0</v>
          </cell>
          <cell r="J67">
            <v>0</v>
          </cell>
          <cell r="K67">
            <v>1</v>
          </cell>
          <cell r="M67">
            <v>1</v>
          </cell>
          <cell r="N67">
            <v>0</v>
          </cell>
          <cell r="O67">
            <v>1</v>
          </cell>
        </row>
        <row r="68">
          <cell r="B68" t="str">
            <v xml:space="preserve">               Coordenação-Geral de Articulação Institucional em Meio Ambiente</v>
          </cell>
          <cell r="C68">
            <v>0</v>
          </cell>
          <cell r="D68">
            <v>0</v>
          </cell>
          <cell r="E68">
            <v>0</v>
          </cell>
          <cell r="F68">
            <v>0</v>
          </cell>
          <cell r="G68">
            <v>0</v>
          </cell>
          <cell r="H68">
            <v>2</v>
          </cell>
          <cell r="I68">
            <v>0</v>
          </cell>
          <cell r="J68">
            <v>0</v>
          </cell>
          <cell r="K68">
            <v>2</v>
          </cell>
          <cell r="M68">
            <v>2</v>
          </cell>
          <cell r="N68">
            <v>0</v>
          </cell>
          <cell r="O68">
            <v>2</v>
          </cell>
        </row>
        <row r="70">
          <cell r="B70" t="str">
            <v xml:space="preserve">          Subsecretaria de Planejamento, Orçamento e Administração</v>
          </cell>
          <cell r="C70">
            <v>0</v>
          </cell>
          <cell r="D70">
            <v>86</v>
          </cell>
          <cell r="E70">
            <v>20</v>
          </cell>
          <cell r="F70">
            <v>0</v>
          </cell>
          <cell r="G70">
            <v>14</v>
          </cell>
          <cell r="H70">
            <v>11</v>
          </cell>
          <cell r="I70">
            <v>0</v>
          </cell>
          <cell r="J70">
            <v>47</v>
          </cell>
          <cell r="K70">
            <v>178</v>
          </cell>
          <cell r="M70">
            <v>90</v>
          </cell>
          <cell r="N70">
            <v>88</v>
          </cell>
          <cell r="O70">
            <v>178</v>
          </cell>
        </row>
        <row r="71">
          <cell r="B71" t="str">
            <v xml:space="preserve">               Gabinete da Subsecretaria de Planejamento, Orçamento e Administração</v>
          </cell>
          <cell r="C71">
            <v>0</v>
          </cell>
          <cell r="D71">
            <v>1</v>
          </cell>
          <cell r="E71">
            <v>0</v>
          </cell>
          <cell r="F71">
            <v>0</v>
          </cell>
          <cell r="G71">
            <v>2</v>
          </cell>
          <cell r="H71">
            <v>0</v>
          </cell>
          <cell r="I71">
            <v>0</v>
          </cell>
          <cell r="J71">
            <v>0</v>
          </cell>
          <cell r="K71">
            <v>3</v>
          </cell>
          <cell r="M71">
            <v>1</v>
          </cell>
          <cell r="N71">
            <v>2</v>
          </cell>
          <cell r="O71">
            <v>3</v>
          </cell>
        </row>
        <row r="72">
          <cell r="B72" t="str">
            <v xml:space="preserve">               Coordenação-Geral de Recursos Logísticos</v>
          </cell>
          <cell r="C72">
            <v>0</v>
          </cell>
          <cell r="D72">
            <v>41</v>
          </cell>
          <cell r="E72">
            <v>8</v>
          </cell>
          <cell r="F72">
            <v>0</v>
          </cell>
          <cell r="G72">
            <v>9</v>
          </cell>
          <cell r="H72">
            <v>0</v>
          </cell>
          <cell r="I72">
            <v>0</v>
          </cell>
          <cell r="J72">
            <v>15</v>
          </cell>
          <cell r="K72">
            <v>73</v>
          </cell>
          <cell r="M72">
            <v>24</v>
          </cell>
          <cell r="N72">
            <v>49</v>
          </cell>
          <cell r="O72">
            <v>73</v>
          </cell>
        </row>
        <row r="73">
          <cell r="B73" t="str">
            <v xml:space="preserve">               Coordenação-Geral de Tecnologia da Informação</v>
          </cell>
          <cell r="C73">
            <v>0</v>
          </cell>
          <cell r="D73">
            <v>6</v>
          </cell>
          <cell r="E73">
            <v>2</v>
          </cell>
          <cell r="F73">
            <v>0</v>
          </cell>
          <cell r="G73">
            <v>1</v>
          </cell>
          <cell r="H73">
            <v>3</v>
          </cell>
          <cell r="I73">
            <v>0</v>
          </cell>
          <cell r="J73">
            <v>2</v>
          </cell>
          <cell r="K73">
            <v>14</v>
          </cell>
          <cell r="M73">
            <v>3</v>
          </cell>
          <cell r="N73">
            <v>11</v>
          </cell>
          <cell r="O73">
            <v>14</v>
          </cell>
        </row>
        <row r="74">
          <cell r="B74" t="str">
            <v xml:space="preserve">               Coordenação-Geral de Compras e Contratos</v>
          </cell>
          <cell r="C74">
            <v>0</v>
          </cell>
          <cell r="D74">
            <v>5</v>
          </cell>
          <cell r="E74">
            <v>3</v>
          </cell>
          <cell r="F74">
            <v>0</v>
          </cell>
          <cell r="G74">
            <v>2</v>
          </cell>
          <cell r="H74">
            <v>0</v>
          </cell>
          <cell r="I74">
            <v>0</v>
          </cell>
          <cell r="J74">
            <v>1</v>
          </cell>
          <cell r="K74">
            <v>11</v>
          </cell>
          <cell r="M74">
            <v>11</v>
          </cell>
          <cell r="N74">
            <v>0</v>
          </cell>
          <cell r="O74">
            <v>11</v>
          </cell>
        </row>
        <row r="75">
          <cell r="B75" t="str">
            <v xml:space="preserve">               Coordenação-Geral de Recursos Humanos</v>
          </cell>
          <cell r="C75">
            <v>0</v>
          </cell>
          <cell r="D75">
            <v>25</v>
          </cell>
          <cell r="E75">
            <v>5</v>
          </cell>
          <cell r="F75">
            <v>0</v>
          </cell>
          <cell r="G75">
            <v>0</v>
          </cell>
          <cell r="H75">
            <v>0</v>
          </cell>
          <cell r="I75">
            <v>0</v>
          </cell>
          <cell r="J75">
            <v>29</v>
          </cell>
          <cell r="K75">
            <v>59</v>
          </cell>
          <cell r="M75">
            <v>44</v>
          </cell>
          <cell r="N75">
            <v>15</v>
          </cell>
          <cell r="O75">
            <v>59</v>
          </cell>
        </row>
        <row r="76">
          <cell r="B76" t="str">
            <v xml:space="preserve">               Coordenação-Geral de Orçamento e Finanças</v>
          </cell>
          <cell r="C76">
            <v>0</v>
          </cell>
          <cell r="D76">
            <v>4</v>
          </cell>
          <cell r="E76">
            <v>2</v>
          </cell>
          <cell r="F76">
            <v>0</v>
          </cell>
          <cell r="G76">
            <v>0</v>
          </cell>
          <cell r="H76">
            <v>8</v>
          </cell>
          <cell r="I76">
            <v>0</v>
          </cell>
          <cell r="J76">
            <v>0</v>
          </cell>
          <cell r="K76">
            <v>14</v>
          </cell>
          <cell r="M76">
            <v>4</v>
          </cell>
          <cell r="N76">
            <v>10</v>
          </cell>
          <cell r="O76">
            <v>14</v>
          </cell>
        </row>
        <row r="77">
          <cell r="B77" t="str">
            <v xml:space="preserve">               Coordenação de Modernização Administrativa</v>
          </cell>
          <cell r="C77">
            <v>0</v>
          </cell>
          <cell r="D77">
            <v>4</v>
          </cell>
          <cell r="E77">
            <v>0</v>
          </cell>
          <cell r="F77">
            <v>0</v>
          </cell>
          <cell r="G77">
            <v>0</v>
          </cell>
          <cell r="H77">
            <v>0</v>
          </cell>
          <cell r="I77">
            <v>0</v>
          </cell>
          <cell r="J77">
            <v>0</v>
          </cell>
          <cell r="K77">
            <v>4</v>
          </cell>
          <cell r="M77">
            <v>3</v>
          </cell>
          <cell r="N77">
            <v>1</v>
          </cell>
          <cell r="O77">
            <v>4</v>
          </cell>
        </row>
        <row r="78">
          <cell r="B78" t="str">
            <v>TOTAL</v>
          </cell>
          <cell r="C78">
            <v>1</v>
          </cell>
          <cell r="D78">
            <v>90</v>
          </cell>
          <cell r="E78">
            <v>28</v>
          </cell>
          <cell r="F78">
            <v>1</v>
          </cell>
          <cell r="G78">
            <v>29</v>
          </cell>
          <cell r="H78">
            <v>19</v>
          </cell>
          <cell r="I78">
            <v>3</v>
          </cell>
          <cell r="J78">
            <v>50</v>
          </cell>
          <cell r="K78">
            <v>221</v>
          </cell>
          <cell r="L78">
            <v>221</v>
          </cell>
          <cell r="M78">
            <v>107</v>
          </cell>
          <cell r="N78">
            <v>114</v>
          </cell>
          <cell r="O78">
            <v>221</v>
          </cell>
          <cell r="P78">
            <v>221</v>
          </cell>
        </row>
        <row r="80">
          <cell r="A80" t="str">
            <v>Área</v>
          </cell>
          <cell r="B80" t="str">
            <v>SECRETARIA DE GEOLOGIA, MINERAÇÃO E TRANSFORMAÇÃO MINERAL</v>
          </cell>
          <cell r="C80" t="str">
            <v>Natureza Especial</v>
          </cell>
          <cell r="D80" t="str">
            <v>Ativo Permanente</v>
          </cell>
          <cell r="E80" t="str">
            <v>Requisitado Órgãos</v>
          </cell>
          <cell r="F80" t="str">
            <v>Requisitado Empresas</v>
          </cell>
          <cell r="G80" t="str">
            <v>Sem Vínculo</v>
          </cell>
          <cell r="H80" t="str">
            <v>Exercício Descentralizado</v>
          </cell>
          <cell r="I80" t="str">
            <v>Contrato Temporário</v>
          </cell>
          <cell r="J80" t="str">
            <v>Anistiado</v>
          </cell>
          <cell r="K80" t="str">
            <v>Total</v>
          </cell>
          <cell r="L80" t="str">
            <v>Total Área</v>
          </cell>
          <cell r="M80" t="str">
            <v>Sexo Feminino</v>
          </cell>
          <cell r="N80" t="str">
            <v>Sexo Masculino</v>
          </cell>
          <cell r="O80" t="str">
            <v>Total</v>
          </cell>
          <cell r="P80" t="str">
            <v>Total Área</v>
          </cell>
        </row>
        <row r="81">
          <cell r="A81" t="str">
            <v>FINALÍSTICA</v>
          </cell>
          <cell r="B81" t="str">
            <v xml:space="preserve">          Gabinete da Secretaria de Geologia, Mineração e Transformação Mineral</v>
          </cell>
          <cell r="C81">
            <v>0</v>
          </cell>
          <cell r="D81">
            <v>2</v>
          </cell>
          <cell r="E81">
            <v>0</v>
          </cell>
          <cell r="F81">
            <v>0</v>
          </cell>
          <cell r="G81">
            <v>4</v>
          </cell>
          <cell r="H81">
            <v>0</v>
          </cell>
          <cell r="I81">
            <v>0</v>
          </cell>
          <cell r="J81">
            <v>0</v>
          </cell>
          <cell r="K81">
            <v>6</v>
          </cell>
          <cell r="L81">
            <v>39</v>
          </cell>
          <cell r="M81">
            <v>3</v>
          </cell>
          <cell r="N81">
            <v>3</v>
          </cell>
          <cell r="O81">
            <v>6</v>
          </cell>
          <cell r="P81">
            <v>39</v>
          </cell>
        </row>
        <row r="83">
          <cell r="B83" t="str">
            <v xml:space="preserve">      Departamento de Gestão das Políticas de Geologia, Mineração e Transformação Mineral</v>
          </cell>
          <cell r="C83">
            <v>0</v>
          </cell>
          <cell r="D83">
            <v>0</v>
          </cell>
          <cell r="E83">
            <v>2</v>
          </cell>
          <cell r="F83">
            <v>0</v>
          </cell>
          <cell r="G83">
            <v>5</v>
          </cell>
          <cell r="H83">
            <v>1</v>
          </cell>
          <cell r="I83">
            <v>0</v>
          </cell>
          <cell r="J83">
            <v>2</v>
          </cell>
          <cell r="K83">
            <v>10</v>
          </cell>
          <cell r="M83">
            <v>6</v>
          </cell>
          <cell r="N83">
            <v>4</v>
          </cell>
          <cell r="O83">
            <v>10</v>
          </cell>
        </row>
        <row r="84">
          <cell r="B84" t="str">
            <v xml:space="preserve">               Gabinete do Depto de Gestão das Políticas de Geologia, Mineração e Transf. Mineral</v>
          </cell>
          <cell r="C84">
            <v>0</v>
          </cell>
          <cell r="D84">
            <v>0</v>
          </cell>
          <cell r="E84">
            <v>0</v>
          </cell>
          <cell r="F84">
            <v>0</v>
          </cell>
          <cell r="G84">
            <v>3</v>
          </cell>
          <cell r="H84">
            <v>1</v>
          </cell>
          <cell r="I84">
            <v>0</v>
          </cell>
          <cell r="J84">
            <v>1</v>
          </cell>
          <cell r="K84">
            <v>5</v>
          </cell>
          <cell r="M84">
            <v>3</v>
          </cell>
          <cell r="N84">
            <v>2</v>
          </cell>
          <cell r="O84">
            <v>5</v>
          </cell>
        </row>
        <row r="85">
          <cell r="B85" t="str">
            <v xml:space="preserve">               Coordenação-Geral de Política e Programas para Mineração</v>
          </cell>
          <cell r="C85">
            <v>0</v>
          </cell>
          <cell r="D85">
            <v>0</v>
          </cell>
          <cell r="E85">
            <v>1</v>
          </cell>
          <cell r="F85">
            <v>0</v>
          </cell>
          <cell r="G85">
            <v>0</v>
          </cell>
          <cell r="H85">
            <v>0</v>
          </cell>
          <cell r="I85">
            <v>0</v>
          </cell>
          <cell r="J85">
            <v>0</v>
          </cell>
          <cell r="K85">
            <v>1</v>
          </cell>
          <cell r="M85">
            <v>0</v>
          </cell>
          <cell r="N85">
            <v>1</v>
          </cell>
          <cell r="O85">
            <v>1</v>
          </cell>
        </row>
        <row r="86">
          <cell r="B86" t="str">
            <v xml:space="preserve">               Coordenação-Geral de Monitoramento e Controle da Gestão de Programa</v>
          </cell>
          <cell r="C86">
            <v>0</v>
          </cell>
          <cell r="D86">
            <v>0</v>
          </cell>
          <cell r="E86">
            <v>0</v>
          </cell>
          <cell r="F86">
            <v>0</v>
          </cell>
          <cell r="G86">
            <v>2</v>
          </cell>
          <cell r="H86">
            <v>0</v>
          </cell>
          <cell r="I86">
            <v>0</v>
          </cell>
          <cell r="J86">
            <v>0</v>
          </cell>
          <cell r="K86">
            <v>2</v>
          </cell>
          <cell r="M86">
            <v>2</v>
          </cell>
          <cell r="N86">
            <v>0</v>
          </cell>
          <cell r="O86">
            <v>2</v>
          </cell>
        </row>
        <row r="87">
          <cell r="B87" t="str">
            <v xml:space="preserve">               Coordenação-Geral de Economia Mineral</v>
          </cell>
          <cell r="C87">
            <v>0</v>
          </cell>
          <cell r="D87">
            <v>0</v>
          </cell>
          <cell r="E87">
            <v>1</v>
          </cell>
          <cell r="F87">
            <v>0</v>
          </cell>
          <cell r="G87">
            <v>0</v>
          </cell>
          <cell r="H87">
            <v>0</v>
          </cell>
          <cell r="I87">
            <v>0</v>
          </cell>
          <cell r="J87">
            <v>1</v>
          </cell>
          <cell r="K87">
            <v>2</v>
          </cell>
          <cell r="M87">
            <v>1</v>
          </cell>
          <cell r="N87">
            <v>1</v>
          </cell>
          <cell r="O87">
            <v>2</v>
          </cell>
        </row>
        <row r="89">
          <cell r="B89" t="str">
            <v xml:space="preserve">          Departamento de Geologia e Produção Mineral</v>
          </cell>
          <cell r="C89">
            <v>0</v>
          </cell>
          <cell r="D89">
            <v>1</v>
          </cell>
          <cell r="E89">
            <v>0</v>
          </cell>
          <cell r="F89">
            <v>0</v>
          </cell>
          <cell r="G89">
            <v>2</v>
          </cell>
          <cell r="H89">
            <v>3</v>
          </cell>
          <cell r="I89">
            <v>0</v>
          </cell>
          <cell r="J89">
            <v>1</v>
          </cell>
          <cell r="K89">
            <v>7</v>
          </cell>
          <cell r="M89">
            <v>3</v>
          </cell>
          <cell r="N89">
            <v>4</v>
          </cell>
          <cell r="O89">
            <v>7</v>
          </cell>
        </row>
        <row r="90">
          <cell r="B90" t="str">
            <v xml:space="preserve">               Gabinete do Departamento de Geologia e Produção Mineral</v>
          </cell>
          <cell r="C90">
            <v>0</v>
          </cell>
          <cell r="D90">
            <v>1</v>
          </cell>
          <cell r="E90">
            <v>0</v>
          </cell>
          <cell r="F90">
            <v>0</v>
          </cell>
          <cell r="G90">
            <v>1</v>
          </cell>
          <cell r="H90">
            <v>2</v>
          </cell>
          <cell r="I90">
            <v>0</v>
          </cell>
          <cell r="J90">
            <v>1</v>
          </cell>
          <cell r="K90">
            <v>5</v>
          </cell>
          <cell r="M90">
            <v>3</v>
          </cell>
          <cell r="N90">
            <v>2</v>
          </cell>
          <cell r="O90">
            <v>5</v>
          </cell>
        </row>
        <row r="91">
          <cell r="B91" t="str">
            <v xml:space="preserve">               Coordenação-Geral de Geologia e Recursos Minerais</v>
          </cell>
          <cell r="C91">
            <v>0</v>
          </cell>
          <cell r="D91">
            <v>0</v>
          </cell>
          <cell r="E91">
            <v>0</v>
          </cell>
          <cell r="F91">
            <v>0</v>
          </cell>
          <cell r="G91">
            <v>0</v>
          </cell>
          <cell r="H91">
            <v>1</v>
          </cell>
          <cell r="I91">
            <v>0</v>
          </cell>
          <cell r="J91">
            <v>0</v>
          </cell>
          <cell r="K91">
            <v>1</v>
          </cell>
          <cell r="M91">
            <v>0</v>
          </cell>
          <cell r="N91">
            <v>1</v>
          </cell>
          <cell r="O91">
            <v>1</v>
          </cell>
        </row>
        <row r="92">
          <cell r="B92" t="str">
            <v xml:space="preserve">               Coordenação-Geral de Monitoramento e Controle de Concessões Minerais</v>
          </cell>
          <cell r="C92">
            <v>0</v>
          </cell>
          <cell r="D92">
            <v>0</v>
          </cell>
          <cell r="E92">
            <v>0</v>
          </cell>
          <cell r="F92">
            <v>0</v>
          </cell>
          <cell r="G92">
            <v>1</v>
          </cell>
          <cell r="H92">
            <v>0</v>
          </cell>
          <cell r="I92">
            <v>0</v>
          </cell>
          <cell r="J92">
            <v>0</v>
          </cell>
          <cell r="K92">
            <v>1</v>
          </cell>
          <cell r="M92">
            <v>0</v>
          </cell>
          <cell r="N92">
            <v>1</v>
          </cell>
          <cell r="O92">
            <v>1</v>
          </cell>
        </row>
        <row r="94">
          <cell r="B94" t="str">
            <v xml:space="preserve">          Departamento de Transformação e Tecnologia Mineral</v>
          </cell>
          <cell r="C94">
            <v>0</v>
          </cell>
          <cell r="D94">
            <v>2</v>
          </cell>
          <cell r="E94">
            <v>0</v>
          </cell>
          <cell r="F94">
            <v>0</v>
          </cell>
          <cell r="G94">
            <v>2</v>
          </cell>
          <cell r="H94">
            <v>2</v>
          </cell>
          <cell r="I94">
            <v>0</v>
          </cell>
          <cell r="J94">
            <v>2</v>
          </cell>
          <cell r="K94">
            <v>8</v>
          </cell>
          <cell r="M94">
            <v>3</v>
          </cell>
          <cell r="N94">
            <v>5</v>
          </cell>
          <cell r="O94">
            <v>8</v>
          </cell>
        </row>
        <row r="95">
          <cell r="B95" t="str">
            <v xml:space="preserve">               Gabinete do Departamento de Transformação e Tecnologia Mineral</v>
          </cell>
          <cell r="C95">
            <v>0</v>
          </cell>
          <cell r="D95">
            <v>1</v>
          </cell>
          <cell r="E95">
            <v>0</v>
          </cell>
          <cell r="F95">
            <v>0</v>
          </cell>
          <cell r="G95">
            <v>1</v>
          </cell>
          <cell r="H95">
            <v>2</v>
          </cell>
          <cell r="I95">
            <v>0</v>
          </cell>
          <cell r="J95">
            <v>2</v>
          </cell>
          <cell r="K95">
            <v>6</v>
          </cell>
          <cell r="M95">
            <v>3</v>
          </cell>
          <cell r="N95">
            <v>3</v>
          </cell>
          <cell r="O95">
            <v>6</v>
          </cell>
        </row>
        <row r="96">
          <cell r="B96" t="str">
            <v xml:space="preserve">               Coordenação-Geral de Capacitação e Desenvolvimento Tecnológico</v>
          </cell>
          <cell r="C96">
            <v>0</v>
          </cell>
          <cell r="D96">
            <v>1</v>
          </cell>
          <cell r="E96">
            <v>0</v>
          </cell>
          <cell r="F96">
            <v>0</v>
          </cell>
          <cell r="G96">
            <v>1</v>
          </cell>
          <cell r="H96">
            <v>0</v>
          </cell>
          <cell r="I96">
            <v>0</v>
          </cell>
          <cell r="J96">
            <v>0</v>
          </cell>
          <cell r="K96">
            <v>2</v>
          </cell>
          <cell r="M96">
            <v>0</v>
          </cell>
          <cell r="N96">
            <v>2</v>
          </cell>
          <cell r="O96">
            <v>2</v>
          </cell>
        </row>
        <row r="98">
          <cell r="B98" t="str">
            <v xml:space="preserve">          Departamento de Desenvolvimento Sustentável na Mineração</v>
          </cell>
          <cell r="C98">
            <v>0</v>
          </cell>
          <cell r="D98">
            <v>0</v>
          </cell>
          <cell r="E98">
            <v>1</v>
          </cell>
          <cell r="F98">
            <v>0</v>
          </cell>
          <cell r="G98">
            <v>5</v>
          </cell>
          <cell r="H98">
            <v>2</v>
          </cell>
          <cell r="I98">
            <v>0</v>
          </cell>
          <cell r="J98">
            <v>0</v>
          </cell>
          <cell r="K98">
            <v>8</v>
          </cell>
          <cell r="M98">
            <v>4</v>
          </cell>
          <cell r="N98">
            <v>4</v>
          </cell>
          <cell r="O98">
            <v>8</v>
          </cell>
        </row>
        <row r="99">
          <cell r="B99" t="str">
            <v xml:space="preserve">               Gabinete do Departamento de Desenvolvimento Sustentável na Mineração</v>
          </cell>
          <cell r="C99">
            <v>0</v>
          </cell>
          <cell r="D99">
            <v>0</v>
          </cell>
          <cell r="E99">
            <v>0</v>
          </cell>
          <cell r="F99">
            <v>0</v>
          </cell>
          <cell r="G99">
            <v>2</v>
          </cell>
          <cell r="H99">
            <v>1</v>
          </cell>
          <cell r="I99">
            <v>0</v>
          </cell>
          <cell r="J99">
            <v>0</v>
          </cell>
          <cell r="K99">
            <v>3</v>
          </cell>
          <cell r="M99">
            <v>0</v>
          </cell>
          <cell r="N99">
            <v>3</v>
          </cell>
          <cell r="O99">
            <v>3</v>
          </cell>
        </row>
        <row r="100">
          <cell r="B100" t="str">
            <v xml:space="preserve">               Coordenação-Geral de Desenvolvimento Socioambiental na Mineração</v>
          </cell>
          <cell r="C100">
            <v>0</v>
          </cell>
          <cell r="D100">
            <v>0</v>
          </cell>
          <cell r="E100">
            <v>0</v>
          </cell>
          <cell r="F100">
            <v>0</v>
          </cell>
          <cell r="G100">
            <v>3</v>
          </cell>
          <cell r="H100">
            <v>0</v>
          </cell>
          <cell r="I100">
            <v>0</v>
          </cell>
          <cell r="J100">
            <v>0</v>
          </cell>
          <cell r="K100">
            <v>3</v>
          </cell>
          <cell r="M100">
            <v>2</v>
          </cell>
          <cell r="N100">
            <v>1</v>
          </cell>
          <cell r="O100">
            <v>3</v>
          </cell>
        </row>
        <row r="101">
          <cell r="B101" t="str">
            <v xml:space="preserve">               Coordenação-Geral de Mineração em Áreas de Conservação e Conflito</v>
          </cell>
          <cell r="C101">
            <v>0</v>
          </cell>
          <cell r="D101">
            <v>0</v>
          </cell>
          <cell r="E101">
            <v>1</v>
          </cell>
          <cell r="F101">
            <v>0</v>
          </cell>
          <cell r="G101">
            <v>0</v>
          </cell>
          <cell r="H101">
            <v>1</v>
          </cell>
          <cell r="I101">
            <v>0</v>
          </cell>
          <cell r="J101">
            <v>0</v>
          </cell>
          <cell r="K101">
            <v>2</v>
          </cell>
          <cell r="M101">
            <v>2</v>
          </cell>
          <cell r="N101">
            <v>0</v>
          </cell>
          <cell r="O101">
            <v>2</v>
          </cell>
        </row>
        <row r="102">
          <cell r="B102" t="str">
            <v>TOTAL</v>
          </cell>
          <cell r="C102">
            <v>0</v>
          </cell>
          <cell r="D102">
            <v>5</v>
          </cell>
          <cell r="E102">
            <v>3</v>
          </cell>
          <cell r="F102">
            <v>0</v>
          </cell>
          <cell r="G102">
            <v>18</v>
          </cell>
          <cell r="H102">
            <v>8</v>
          </cell>
          <cell r="I102">
            <v>0</v>
          </cell>
          <cell r="J102">
            <v>5</v>
          </cell>
          <cell r="K102">
            <v>39</v>
          </cell>
          <cell r="L102">
            <v>39</v>
          </cell>
          <cell r="M102">
            <v>19</v>
          </cell>
          <cell r="N102">
            <v>20</v>
          </cell>
          <cell r="O102">
            <v>39</v>
          </cell>
          <cell r="P102">
            <v>39</v>
          </cell>
        </row>
        <row r="104">
          <cell r="A104" t="str">
            <v>Área</v>
          </cell>
          <cell r="B104" t="str">
            <v>SECRETARIA DE ENERGIA ELÉTRICA</v>
          </cell>
          <cell r="C104" t="str">
            <v>Natureza Especial</v>
          </cell>
          <cell r="D104" t="str">
            <v>Ativo Permanente</v>
          </cell>
          <cell r="E104" t="str">
            <v>Requisitado Órgãos</v>
          </cell>
          <cell r="F104" t="str">
            <v>Requisitado Empresas</v>
          </cell>
          <cell r="G104" t="str">
            <v>Sem Vínculo</v>
          </cell>
          <cell r="H104" t="str">
            <v>Exercício Descentralizado</v>
          </cell>
          <cell r="I104" t="str">
            <v>Contrato Temporário</v>
          </cell>
          <cell r="J104" t="str">
            <v>Anistiado</v>
          </cell>
          <cell r="K104" t="str">
            <v>Total</v>
          </cell>
          <cell r="L104" t="str">
            <v>Total Área</v>
          </cell>
          <cell r="M104" t="str">
            <v>Sexo Feminino</v>
          </cell>
          <cell r="N104" t="str">
            <v>Sexo Masculino</v>
          </cell>
          <cell r="O104" t="str">
            <v>Total</v>
          </cell>
          <cell r="P104" t="str">
            <v>Total Área</v>
          </cell>
        </row>
        <row r="105">
          <cell r="A105" t="str">
            <v>FINALÍSTICA</v>
          </cell>
          <cell r="B105" t="str">
            <v xml:space="preserve">          Gabinete da Secretaria de Energia Elétrica</v>
          </cell>
          <cell r="C105">
            <v>0</v>
          </cell>
          <cell r="D105">
            <v>0</v>
          </cell>
          <cell r="E105">
            <v>1</v>
          </cell>
          <cell r="F105">
            <v>3</v>
          </cell>
          <cell r="G105">
            <v>6</v>
          </cell>
          <cell r="H105">
            <v>1</v>
          </cell>
          <cell r="I105">
            <v>0</v>
          </cell>
          <cell r="J105">
            <v>3</v>
          </cell>
          <cell r="K105">
            <v>14</v>
          </cell>
          <cell r="L105">
            <v>52</v>
          </cell>
          <cell r="M105">
            <v>6</v>
          </cell>
          <cell r="N105">
            <v>8</v>
          </cell>
          <cell r="O105">
            <v>14</v>
          </cell>
          <cell r="P105">
            <v>52</v>
          </cell>
        </row>
        <row r="107">
          <cell r="B107" t="str">
            <v xml:space="preserve">          Departamento de Gestão do Setor Elétrico</v>
          </cell>
          <cell r="C107">
            <v>0</v>
          </cell>
          <cell r="D107">
            <v>0</v>
          </cell>
          <cell r="E107">
            <v>0</v>
          </cell>
          <cell r="F107">
            <v>0</v>
          </cell>
          <cell r="G107">
            <v>0</v>
          </cell>
          <cell r="H107">
            <v>5</v>
          </cell>
          <cell r="I107">
            <v>0</v>
          </cell>
          <cell r="J107">
            <v>2</v>
          </cell>
          <cell r="K107">
            <v>7</v>
          </cell>
          <cell r="M107">
            <v>3</v>
          </cell>
          <cell r="N107">
            <v>4</v>
          </cell>
          <cell r="O107">
            <v>7</v>
          </cell>
        </row>
        <row r="108">
          <cell r="B108" t="str">
            <v xml:space="preserve">               Gabinete do Departamento de Gestão do Setor Elétrico</v>
          </cell>
          <cell r="C108">
            <v>0</v>
          </cell>
          <cell r="D108">
            <v>0</v>
          </cell>
          <cell r="E108">
            <v>0</v>
          </cell>
          <cell r="F108">
            <v>0</v>
          </cell>
          <cell r="G108">
            <v>0</v>
          </cell>
          <cell r="H108">
            <v>1</v>
          </cell>
          <cell r="I108">
            <v>0</v>
          </cell>
          <cell r="J108">
            <v>0</v>
          </cell>
          <cell r="K108">
            <v>1</v>
          </cell>
          <cell r="M108">
            <v>1</v>
          </cell>
          <cell r="N108">
            <v>0</v>
          </cell>
          <cell r="O108">
            <v>1</v>
          </cell>
        </row>
        <row r="109">
          <cell r="B109" t="str">
            <v xml:space="preserve">               Coordenação-Geral de Gestão da Comercialização de Energia</v>
          </cell>
          <cell r="C109">
            <v>0</v>
          </cell>
          <cell r="D109">
            <v>0</v>
          </cell>
          <cell r="E109">
            <v>0</v>
          </cell>
          <cell r="F109">
            <v>0</v>
          </cell>
          <cell r="G109">
            <v>0</v>
          </cell>
          <cell r="H109">
            <v>2</v>
          </cell>
          <cell r="I109">
            <v>0</v>
          </cell>
          <cell r="J109">
            <v>1</v>
          </cell>
          <cell r="K109">
            <v>3</v>
          </cell>
          <cell r="M109">
            <v>1</v>
          </cell>
          <cell r="N109">
            <v>2</v>
          </cell>
          <cell r="O109">
            <v>3</v>
          </cell>
        </row>
        <row r="110">
          <cell r="B110" t="str">
            <v xml:space="preserve">               Coordenação-Geral de Gestão da Política Tarifária</v>
          </cell>
          <cell r="C110">
            <v>0</v>
          </cell>
          <cell r="D110">
            <v>0</v>
          </cell>
          <cell r="E110">
            <v>0</v>
          </cell>
          <cell r="F110">
            <v>0</v>
          </cell>
          <cell r="G110">
            <v>0</v>
          </cell>
          <cell r="H110">
            <v>0</v>
          </cell>
          <cell r="I110">
            <v>0</v>
          </cell>
          <cell r="J110">
            <v>0</v>
          </cell>
          <cell r="K110">
            <v>0</v>
          </cell>
          <cell r="M110">
            <v>0</v>
          </cell>
          <cell r="N110">
            <v>0</v>
          </cell>
          <cell r="O110">
            <v>0</v>
          </cell>
        </row>
        <row r="111">
          <cell r="B111" t="str">
            <v xml:space="preserve">               Coordenação-Geral de Gestão de Programas e Regulamentação</v>
          </cell>
          <cell r="C111">
            <v>0</v>
          </cell>
          <cell r="D111">
            <v>0</v>
          </cell>
          <cell r="E111">
            <v>0</v>
          </cell>
          <cell r="F111">
            <v>0</v>
          </cell>
          <cell r="G111">
            <v>0</v>
          </cell>
          <cell r="H111">
            <v>2</v>
          </cell>
          <cell r="I111">
            <v>0</v>
          </cell>
          <cell r="J111">
            <v>1</v>
          </cell>
          <cell r="K111">
            <v>3</v>
          </cell>
          <cell r="M111">
            <v>1</v>
          </cell>
          <cell r="N111">
            <v>2</v>
          </cell>
          <cell r="O111">
            <v>3</v>
          </cell>
        </row>
        <row r="113">
          <cell r="B113" t="str">
            <v xml:space="preserve">          Departamento de Monitoramento do Sistema Elétrico</v>
          </cell>
          <cell r="C113">
            <v>0</v>
          </cell>
          <cell r="D113">
            <v>1</v>
          </cell>
          <cell r="E113">
            <v>1</v>
          </cell>
          <cell r="F113">
            <v>0</v>
          </cell>
          <cell r="G113">
            <v>5</v>
          </cell>
          <cell r="H113">
            <v>12</v>
          </cell>
          <cell r="I113">
            <v>0</v>
          </cell>
          <cell r="J113">
            <v>0</v>
          </cell>
          <cell r="K113">
            <v>19</v>
          </cell>
          <cell r="M113">
            <v>7</v>
          </cell>
          <cell r="N113">
            <v>12</v>
          </cell>
          <cell r="O113">
            <v>19</v>
          </cell>
        </row>
        <row r="114">
          <cell r="B114" t="str">
            <v xml:space="preserve">               Gabinete do Departamento de Monitoramento do Sistema Elétrico</v>
          </cell>
          <cell r="C114">
            <v>0</v>
          </cell>
          <cell r="D114">
            <v>0</v>
          </cell>
          <cell r="E114">
            <v>0</v>
          </cell>
          <cell r="F114">
            <v>0</v>
          </cell>
          <cell r="G114">
            <v>2</v>
          </cell>
          <cell r="H114">
            <v>1</v>
          </cell>
          <cell r="I114">
            <v>0</v>
          </cell>
          <cell r="J114">
            <v>0</v>
          </cell>
          <cell r="K114">
            <v>3</v>
          </cell>
          <cell r="M114">
            <v>2</v>
          </cell>
          <cell r="N114">
            <v>1</v>
          </cell>
          <cell r="O114">
            <v>3</v>
          </cell>
        </row>
        <row r="115">
          <cell r="B115" t="str">
            <v xml:space="preserve">               Coordenação-Geral de Monitoramento da Expansão da Geração</v>
          </cell>
          <cell r="C115">
            <v>0</v>
          </cell>
          <cell r="D115">
            <v>0</v>
          </cell>
          <cell r="E115">
            <v>0</v>
          </cell>
          <cell r="F115">
            <v>0</v>
          </cell>
          <cell r="G115">
            <v>2</v>
          </cell>
          <cell r="H115">
            <v>1</v>
          </cell>
          <cell r="I115">
            <v>0</v>
          </cell>
          <cell r="J115">
            <v>0</v>
          </cell>
          <cell r="K115">
            <v>3</v>
          </cell>
          <cell r="M115">
            <v>0</v>
          </cell>
          <cell r="N115">
            <v>3</v>
          </cell>
          <cell r="O115">
            <v>3</v>
          </cell>
        </row>
        <row r="116">
          <cell r="B116" t="str">
            <v xml:space="preserve">               Coordenação-Geral de Monitoramento da Expansão da Transmissão</v>
          </cell>
          <cell r="C116">
            <v>0</v>
          </cell>
          <cell r="D116">
            <v>0</v>
          </cell>
          <cell r="E116">
            <v>0</v>
          </cell>
          <cell r="F116">
            <v>0</v>
          </cell>
          <cell r="G116">
            <v>1</v>
          </cell>
          <cell r="H116">
            <v>2</v>
          </cell>
          <cell r="I116">
            <v>0</v>
          </cell>
          <cell r="J116">
            <v>0</v>
          </cell>
          <cell r="K116">
            <v>3</v>
          </cell>
          <cell r="M116">
            <v>1</v>
          </cell>
          <cell r="N116">
            <v>2</v>
          </cell>
          <cell r="O116">
            <v>3</v>
          </cell>
        </row>
        <row r="117">
          <cell r="B117" t="str">
            <v xml:space="preserve">               Coordenação-Geral de Monitoramento da Distribuição</v>
          </cell>
          <cell r="C117">
            <v>0</v>
          </cell>
          <cell r="D117">
            <v>1</v>
          </cell>
          <cell r="E117">
            <v>0</v>
          </cell>
          <cell r="F117">
            <v>0</v>
          </cell>
          <cell r="G117">
            <v>0</v>
          </cell>
          <cell r="H117">
            <v>2</v>
          </cell>
          <cell r="I117">
            <v>0</v>
          </cell>
          <cell r="J117">
            <v>0</v>
          </cell>
          <cell r="K117">
            <v>3</v>
          </cell>
          <cell r="M117">
            <v>1</v>
          </cell>
          <cell r="N117">
            <v>2</v>
          </cell>
          <cell r="O117">
            <v>3</v>
          </cell>
        </row>
        <row r="118">
          <cell r="B118" t="str">
            <v xml:space="preserve">               Coordenação-Geral de Monitoramento do Desempenho do Sistema Elétrico</v>
          </cell>
          <cell r="C118">
            <v>0</v>
          </cell>
          <cell r="D118">
            <v>0</v>
          </cell>
          <cell r="E118">
            <v>1</v>
          </cell>
          <cell r="F118">
            <v>0</v>
          </cell>
          <cell r="G118">
            <v>0</v>
          </cell>
          <cell r="H118">
            <v>6</v>
          </cell>
          <cell r="I118">
            <v>0</v>
          </cell>
          <cell r="J118">
            <v>0</v>
          </cell>
          <cell r="K118">
            <v>7</v>
          </cell>
          <cell r="M118">
            <v>3</v>
          </cell>
          <cell r="N118">
            <v>4</v>
          </cell>
          <cell r="O118">
            <v>7</v>
          </cell>
        </row>
        <row r="120">
          <cell r="B120" t="str">
            <v xml:space="preserve">          Departamento de Políticas Sociais e Universalização do Acesso à Energia Elétrica</v>
          </cell>
          <cell r="C120">
            <v>0</v>
          </cell>
          <cell r="D120">
            <v>1</v>
          </cell>
          <cell r="E120">
            <v>1</v>
          </cell>
          <cell r="F120">
            <v>1</v>
          </cell>
          <cell r="G120">
            <v>4</v>
          </cell>
          <cell r="H120">
            <v>1</v>
          </cell>
          <cell r="I120">
            <v>0</v>
          </cell>
          <cell r="J120">
            <v>4</v>
          </cell>
          <cell r="K120">
            <v>12</v>
          </cell>
          <cell r="M120">
            <v>2</v>
          </cell>
          <cell r="N120">
            <v>10</v>
          </cell>
          <cell r="O120">
            <v>12</v>
          </cell>
        </row>
        <row r="121">
          <cell r="B121" t="str">
            <v xml:space="preserve">               Gabinete do Depto de Políticas Sociais e Universalização do Acesso à Energia Elétrica</v>
          </cell>
          <cell r="C121">
            <v>0</v>
          </cell>
          <cell r="D121">
            <v>0</v>
          </cell>
          <cell r="E121">
            <v>1</v>
          </cell>
          <cell r="F121">
            <v>0</v>
          </cell>
          <cell r="G121">
            <v>2</v>
          </cell>
          <cell r="H121">
            <v>0</v>
          </cell>
          <cell r="I121">
            <v>0</v>
          </cell>
          <cell r="J121">
            <v>0</v>
          </cell>
          <cell r="K121">
            <v>3</v>
          </cell>
          <cell r="M121">
            <v>1</v>
          </cell>
          <cell r="N121">
            <v>2</v>
          </cell>
          <cell r="O121">
            <v>3</v>
          </cell>
        </row>
        <row r="122">
          <cell r="B122" t="str">
            <v xml:space="preserve">               Coordenação-Geral de Desenvolvimento de Políticas Sociais</v>
          </cell>
          <cell r="C122">
            <v>0</v>
          </cell>
          <cell r="D122">
            <v>0</v>
          </cell>
          <cell r="E122">
            <v>0</v>
          </cell>
          <cell r="F122">
            <v>1</v>
          </cell>
          <cell r="G122">
            <v>1</v>
          </cell>
          <cell r="H122">
            <v>1</v>
          </cell>
          <cell r="I122">
            <v>0</v>
          </cell>
          <cell r="J122">
            <v>4</v>
          </cell>
          <cell r="K122">
            <v>7</v>
          </cell>
          <cell r="M122">
            <v>0</v>
          </cell>
          <cell r="N122">
            <v>7</v>
          </cell>
          <cell r="O122">
            <v>7</v>
          </cell>
        </row>
        <row r="123">
          <cell r="B123" t="str">
            <v xml:space="preserve">               Coordenação-Geral de Universalização do Acesso à Energia</v>
          </cell>
          <cell r="C123">
            <v>0</v>
          </cell>
          <cell r="D123">
            <v>1</v>
          </cell>
          <cell r="E123">
            <v>0</v>
          </cell>
          <cell r="F123">
            <v>0</v>
          </cell>
          <cell r="G123">
            <v>1</v>
          </cell>
          <cell r="H123">
            <v>0</v>
          </cell>
          <cell r="I123">
            <v>0</v>
          </cell>
          <cell r="J123">
            <v>0</v>
          </cell>
          <cell r="K123">
            <v>2</v>
          </cell>
          <cell r="M123">
            <v>1</v>
          </cell>
          <cell r="N123">
            <v>1</v>
          </cell>
          <cell r="O123">
            <v>2</v>
          </cell>
        </row>
        <row r="124">
          <cell r="B124" t="str">
            <v>TOTAL</v>
          </cell>
          <cell r="C124">
            <v>0</v>
          </cell>
          <cell r="D124">
            <v>2</v>
          </cell>
          <cell r="E124">
            <v>3</v>
          </cell>
          <cell r="F124">
            <v>4</v>
          </cell>
          <cell r="G124">
            <v>15</v>
          </cell>
          <cell r="H124">
            <v>19</v>
          </cell>
          <cell r="I124">
            <v>0</v>
          </cell>
          <cell r="J124">
            <v>9</v>
          </cell>
          <cell r="K124">
            <v>52</v>
          </cell>
          <cell r="L124">
            <v>52</v>
          </cell>
          <cell r="M124">
            <v>18</v>
          </cell>
          <cell r="N124">
            <v>34</v>
          </cell>
          <cell r="O124">
            <v>52</v>
          </cell>
          <cell r="P124">
            <v>52</v>
          </cell>
        </row>
        <row r="126">
          <cell r="A126" t="str">
            <v>Área</v>
          </cell>
          <cell r="B126" t="str">
            <v>SECRETARIA DE PLANEJAMENTO E DESENVOLVIMENTO ENERGÉTICO</v>
          </cell>
          <cell r="C126" t="str">
            <v>Natureza Especial</v>
          </cell>
          <cell r="D126" t="str">
            <v>Ativo Permanente</v>
          </cell>
          <cell r="E126" t="str">
            <v>Requisitado Órgãos</v>
          </cell>
          <cell r="F126" t="str">
            <v>Requisitado Empresas</v>
          </cell>
          <cell r="G126" t="str">
            <v>Sem Vínculo</v>
          </cell>
          <cell r="H126" t="str">
            <v>Exercício Descentralizado</v>
          </cell>
          <cell r="I126" t="str">
            <v>Contrato Temporário</v>
          </cell>
          <cell r="J126" t="str">
            <v>Anistiado</v>
          </cell>
          <cell r="K126" t="str">
            <v>Total</v>
          </cell>
          <cell r="L126" t="str">
            <v>Total Área</v>
          </cell>
          <cell r="M126" t="str">
            <v>Sexo Feminino</v>
          </cell>
          <cell r="N126" t="str">
            <v>Sexo Masculino</v>
          </cell>
          <cell r="O126" t="str">
            <v>Total</v>
          </cell>
          <cell r="P126" t="str">
            <v>Total Área</v>
          </cell>
        </row>
        <row r="127">
          <cell r="A127" t="str">
            <v>FINALÍSTICA</v>
          </cell>
          <cell r="B127" t="str">
            <v xml:space="preserve">          Gabinete da Secretaria de Planejamento e Desenvolvimento Energético</v>
          </cell>
          <cell r="C127">
            <v>0</v>
          </cell>
          <cell r="D127">
            <v>6</v>
          </cell>
          <cell r="E127">
            <v>1</v>
          </cell>
          <cell r="F127">
            <v>0</v>
          </cell>
          <cell r="G127">
            <v>5</v>
          </cell>
          <cell r="H127">
            <v>0</v>
          </cell>
          <cell r="I127">
            <v>0</v>
          </cell>
          <cell r="J127">
            <v>1</v>
          </cell>
          <cell r="K127">
            <v>13</v>
          </cell>
          <cell r="L127">
            <v>45</v>
          </cell>
          <cell r="M127">
            <v>8</v>
          </cell>
          <cell r="N127">
            <v>5</v>
          </cell>
          <cell r="O127">
            <v>13</v>
          </cell>
          <cell r="P127">
            <v>45</v>
          </cell>
        </row>
        <row r="129">
          <cell r="B129" t="str">
            <v xml:space="preserve">          Departamento de Planejamento Energético</v>
          </cell>
          <cell r="C129">
            <v>0</v>
          </cell>
          <cell r="D129">
            <v>1</v>
          </cell>
          <cell r="E129">
            <v>3</v>
          </cell>
          <cell r="F129">
            <v>0</v>
          </cell>
          <cell r="G129">
            <v>1</v>
          </cell>
          <cell r="H129">
            <v>5</v>
          </cell>
          <cell r="I129">
            <v>0</v>
          </cell>
          <cell r="J129">
            <v>2</v>
          </cell>
          <cell r="K129">
            <v>12</v>
          </cell>
          <cell r="M129">
            <v>4</v>
          </cell>
          <cell r="N129">
            <v>8</v>
          </cell>
          <cell r="O129">
            <v>12</v>
          </cell>
        </row>
        <row r="130">
          <cell r="B130" t="str">
            <v xml:space="preserve">               Gabinete Departamento de Planejamento Energético</v>
          </cell>
          <cell r="C130">
            <v>0</v>
          </cell>
          <cell r="D130">
            <v>1</v>
          </cell>
          <cell r="E130">
            <v>2</v>
          </cell>
          <cell r="F130">
            <v>0</v>
          </cell>
          <cell r="G130">
            <v>0</v>
          </cell>
          <cell r="H130">
            <v>1</v>
          </cell>
          <cell r="I130">
            <v>0</v>
          </cell>
          <cell r="J130">
            <v>2</v>
          </cell>
          <cell r="K130">
            <v>6</v>
          </cell>
          <cell r="M130">
            <v>3</v>
          </cell>
          <cell r="N130">
            <v>3</v>
          </cell>
          <cell r="O130">
            <v>6</v>
          </cell>
        </row>
        <row r="131">
          <cell r="B131" t="str">
            <v xml:space="preserve">               Coordenação-Geral de Planejamento da Transmissão</v>
          </cell>
          <cell r="C131">
            <v>0</v>
          </cell>
          <cell r="D131">
            <v>0</v>
          </cell>
          <cell r="E131">
            <v>0</v>
          </cell>
          <cell r="F131">
            <v>0</v>
          </cell>
          <cell r="G131">
            <v>1</v>
          </cell>
          <cell r="H131">
            <v>3</v>
          </cell>
          <cell r="I131">
            <v>0</v>
          </cell>
          <cell r="J131">
            <v>0</v>
          </cell>
          <cell r="K131">
            <v>4</v>
          </cell>
          <cell r="M131">
            <v>0</v>
          </cell>
          <cell r="N131">
            <v>4</v>
          </cell>
          <cell r="O131">
            <v>4</v>
          </cell>
        </row>
        <row r="132">
          <cell r="B132" t="str">
            <v xml:space="preserve">               Coordenação-Geral de Planejamento da Geração</v>
          </cell>
          <cell r="C132">
            <v>0</v>
          </cell>
          <cell r="D132">
            <v>0</v>
          </cell>
          <cell r="E132">
            <v>0</v>
          </cell>
          <cell r="F132">
            <v>0</v>
          </cell>
          <cell r="G132">
            <v>0</v>
          </cell>
          <cell r="H132">
            <v>1</v>
          </cell>
          <cell r="I132">
            <v>0</v>
          </cell>
          <cell r="J132">
            <v>0</v>
          </cell>
          <cell r="K132">
            <v>1</v>
          </cell>
          <cell r="M132">
            <v>1</v>
          </cell>
          <cell r="N132">
            <v>0</v>
          </cell>
          <cell r="O132">
            <v>1</v>
          </cell>
        </row>
        <row r="133">
          <cell r="B133" t="str">
            <v xml:space="preserve">               Coordenação-Geral de Planejamento da Expansão Energética</v>
          </cell>
          <cell r="C133">
            <v>0</v>
          </cell>
          <cell r="D133">
            <v>0</v>
          </cell>
          <cell r="E133">
            <v>1</v>
          </cell>
          <cell r="F133">
            <v>0</v>
          </cell>
          <cell r="G133">
            <v>0</v>
          </cell>
          <cell r="H133">
            <v>0</v>
          </cell>
          <cell r="I133">
            <v>0</v>
          </cell>
          <cell r="J133">
            <v>0</v>
          </cell>
          <cell r="K133">
            <v>1</v>
          </cell>
          <cell r="M133">
            <v>0</v>
          </cell>
          <cell r="N133">
            <v>1</v>
          </cell>
          <cell r="O133">
            <v>1</v>
          </cell>
        </row>
        <row r="135">
          <cell r="B135" t="str">
            <v xml:space="preserve">          Departamento de Desenvolvimento Energético</v>
          </cell>
          <cell r="C135">
            <v>0</v>
          </cell>
          <cell r="D135">
            <v>0</v>
          </cell>
          <cell r="E135">
            <v>2</v>
          </cell>
          <cell r="F135">
            <v>0</v>
          </cell>
          <cell r="G135">
            <v>2</v>
          </cell>
          <cell r="H135">
            <v>4</v>
          </cell>
          <cell r="I135">
            <v>0</v>
          </cell>
          <cell r="J135">
            <v>0</v>
          </cell>
          <cell r="K135">
            <v>8</v>
          </cell>
          <cell r="M135">
            <v>4</v>
          </cell>
          <cell r="N135">
            <v>4</v>
          </cell>
          <cell r="O135">
            <v>8</v>
          </cell>
        </row>
        <row r="136">
          <cell r="B136" t="str">
            <v xml:space="preserve">               Gabinete Departamento de Desenvolvimento Energético</v>
          </cell>
          <cell r="C136">
            <v>0</v>
          </cell>
          <cell r="D136">
            <v>0</v>
          </cell>
          <cell r="E136">
            <v>1</v>
          </cell>
          <cell r="F136">
            <v>0</v>
          </cell>
          <cell r="G136">
            <v>2</v>
          </cell>
          <cell r="H136">
            <v>1</v>
          </cell>
          <cell r="I136">
            <v>0</v>
          </cell>
          <cell r="J136">
            <v>0</v>
          </cell>
          <cell r="K136">
            <v>4</v>
          </cell>
          <cell r="M136">
            <v>3</v>
          </cell>
          <cell r="N136">
            <v>1</v>
          </cell>
          <cell r="O136">
            <v>4</v>
          </cell>
        </row>
        <row r="137">
          <cell r="B137" t="str">
            <v xml:space="preserve">               Coordenação-Geral de Eficiência Energética</v>
          </cell>
          <cell r="C137">
            <v>0</v>
          </cell>
          <cell r="D137">
            <v>0</v>
          </cell>
          <cell r="E137">
            <v>1</v>
          </cell>
          <cell r="F137">
            <v>0</v>
          </cell>
          <cell r="G137">
            <v>0</v>
          </cell>
          <cell r="H137">
            <v>0</v>
          </cell>
          <cell r="I137">
            <v>0</v>
          </cell>
          <cell r="J137">
            <v>0</v>
          </cell>
          <cell r="K137">
            <v>1</v>
          </cell>
          <cell r="M137">
            <v>1</v>
          </cell>
          <cell r="N137">
            <v>0</v>
          </cell>
          <cell r="O137">
            <v>1</v>
          </cell>
        </row>
        <row r="138">
          <cell r="B138" t="str">
            <v xml:space="preserve">               Coordenação-Geral de Sustentabilidade Ambiental do Setor Energético</v>
          </cell>
          <cell r="C138">
            <v>0</v>
          </cell>
          <cell r="D138">
            <v>0</v>
          </cell>
          <cell r="E138">
            <v>0</v>
          </cell>
          <cell r="F138">
            <v>0</v>
          </cell>
          <cell r="G138">
            <v>0</v>
          </cell>
          <cell r="H138">
            <v>2</v>
          </cell>
          <cell r="I138">
            <v>0</v>
          </cell>
          <cell r="J138">
            <v>0</v>
          </cell>
          <cell r="K138">
            <v>2</v>
          </cell>
          <cell r="M138">
            <v>0</v>
          </cell>
          <cell r="N138">
            <v>2</v>
          </cell>
          <cell r="O138">
            <v>2</v>
          </cell>
        </row>
        <row r="139">
          <cell r="B139" t="str">
            <v xml:space="preserve">               Coordenação-Geral de Fontes Alternativas</v>
          </cell>
          <cell r="C139">
            <v>0</v>
          </cell>
          <cell r="D139">
            <v>0</v>
          </cell>
          <cell r="E139">
            <v>0</v>
          </cell>
          <cell r="F139">
            <v>0</v>
          </cell>
          <cell r="G139">
            <v>0</v>
          </cell>
          <cell r="H139">
            <v>1</v>
          </cell>
          <cell r="I139">
            <v>0</v>
          </cell>
          <cell r="J139">
            <v>0</v>
          </cell>
          <cell r="K139">
            <v>1</v>
          </cell>
          <cell r="M139">
            <v>0</v>
          </cell>
          <cell r="N139">
            <v>1</v>
          </cell>
          <cell r="O139">
            <v>1</v>
          </cell>
        </row>
        <row r="141">
          <cell r="B141" t="str">
            <v xml:space="preserve">          Departamento e Outorgas de Concessões, Permissões e Autorizações</v>
          </cell>
          <cell r="C141">
            <v>0</v>
          </cell>
          <cell r="D141">
            <v>0</v>
          </cell>
          <cell r="E141">
            <v>0</v>
          </cell>
          <cell r="F141">
            <v>0</v>
          </cell>
          <cell r="G141">
            <v>1</v>
          </cell>
          <cell r="H141">
            <v>5</v>
          </cell>
          <cell r="I141">
            <v>0</v>
          </cell>
          <cell r="J141">
            <v>1</v>
          </cell>
          <cell r="K141">
            <v>7</v>
          </cell>
          <cell r="M141">
            <v>1</v>
          </cell>
          <cell r="N141">
            <v>6</v>
          </cell>
          <cell r="O141">
            <v>7</v>
          </cell>
        </row>
        <row r="142">
          <cell r="B142" t="str">
            <v xml:space="preserve">               Gabinete Departamento e Outorgas de Concessões, Permissões e Autorizações</v>
          </cell>
          <cell r="C142">
            <v>0</v>
          </cell>
          <cell r="D142">
            <v>0</v>
          </cell>
          <cell r="E142">
            <v>0</v>
          </cell>
          <cell r="F142">
            <v>0</v>
          </cell>
          <cell r="G142">
            <v>1</v>
          </cell>
          <cell r="H142">
            <v>1</v>
          </cell>
          <cell r="I142">
            <v>0</v>
          </cell>
          <cell r="J142">
            <v>1</v>
          </cell>
          <cell r="K142">
            <v>3</v>
          </cell>
          <cell r="M142">
            <v>1</v>
          </cell>
          <cell r="N142">
            <v>2</v>
          </cell>
          <cell r="O142">
            <v>3</v>
          </cell>
        </row>
        <row r="143">
          <cell r="B143" t="str">
            <v xml:space="preserve">               Coordenação-Geral de Outorgas de Geração de Energia Elétrica</v>
          </cell>
          <cell r="C143">
            <v>0</v>
          </cell>
          <cell r="D143">
            <v>0</v>
          </cell>
          <cell r="E143">
            <v>0</v>
          </cell>
          <cell r="F143">
            <v>0</v>
          </cell>
          <cell r="G143">
            <v>0</v>
          </cell>
          <cell r="H143">
            <v>2</v>
          </cell>
          <cell r="I143">
            <v>0</v>
          </cell>
          <cell r="J143">
            <v>0</v>
          </cell>
          <cell r="K143">
            <v>2</v>
          </cell>
          <cell r="M143">
            <v>0</v>
          </cell>
          <cell r="N143">
            <v>2</v>
          </cell>
          <cell r="O143">
            <v>2</v>
          </cell>
        </row>
        <row r="144">
          <cell r="B144" t="str">
            <v xml:space="preserve">               Coordenação-Geral de Outorgas de Serviços de Transmissão e Distribuição de Energia</v>
          </cell>
          <cell r="C144">
            <v>0</v>
          </cell>
          <cell r="D144">
            <v>0</v>
          </cell>
          <cell r="E144">
            <v>0</v>
          </cell>
          <cell r="F144">
            <v>0</v>
          </cell>
          <cell r="G144">
            <v>0</v>
          </cell>
          <cell r="H144">
            <v>2</v>
          </cell>
          <cell r="I144">
            <v>0</v>
          </cell>
          <cell r="J144">
            <v>0</v>
          </cell>
          <cell r="K144">
            <v>2</v>
          </cell>
          <cell r="M144">
            <v>0</v>
          </cell>
          <cell r="N144">
            <v>2</v>
          </cell>
          <cell r="O144">
            <v>2</v>
          </cell>
        </row>
        <row r="146">
          <cell r="B146" t="str">
            <v xml:space="preserve">          Departamento de Informações e Estudos Energéticos</v>
          </cell>
          <cell r="C146">
            <v>0</v>
          </cell>
          <cell r="D146">
            <v>0</v>
          </cell>
          <cell r="E146">
            <v>1</v>
          </cell>
          <cell r="F146">
            <v>0</v>
          </cell>
          <cell r="G146">
            <v>3</v>
          </cell>
          <cell r="H146">
            <v>1</v>
          </cell>
          <cell r="I146">
            <v>0</v>
          </cell>
          <cell r="J146">
            <v>0</v>
          </cell>
          <cell r="K146">
            <v>5</v>
          </cell>
          <cell r="M146">
            <v>2</v>
          </cell>
          <cell r="N146">
            <v>3</v>
          </cell>
          <cell r="O146">
            <v>5</v>
          </cell>
        </row>
        <row r="147">
          <cell r="B147" t="str">
            <v xml:space="preserve">               Gabinete Departamento de Informações e Estudos Energéticos</v>
          </cell>
          <cell r="C147">
            <v>0</v>
          </cell>
          <cell r="D147">
            <v>0</v>
          </cell>
          <cell r="E147">
            <v>1</v>
          </cell>
          <cell r="F147">
            <v>0</v>
          </cell>
          <cell r="G147">
            <v>1</v>
          </cell>
          <cell r="H147">
            <v>0</v>
          </cell>
          <cell r="I147">
            <v>0</v>
          </cell>
          <cell r="J147">
            <v>0</v>
          </cell>
          <cell r="K147">
            <v>2</v>
          </cell>
          <cell r="M147">
            <v>1</v>
          </cell>
          <cell r="N147">
            <v>1</v>
          </cell>
          <cell r="O147">
            <v>2</v>
          </cell>
        </row>
        <row r="148">
          <cell r="B148" t="str">
            <v xml:space="preserve">               Coordenação-Geral de Informações Energéticas</v>
          </cell>
          <cell r="C148">
            <v>0</v>
          </cell>
          <cell r="D148">
            <v>0</v>
          </cell>
          <cell r="E148">
            <v>0</v>
          </cell>
          <cell r="F148">
            <v>0</v>
          </cell>
          <cell r="G148">
            <v>2</v>
          </cell>
          <cell r="H148">
            <v>1</v>
          </cell>
          <cell r="I148">
            <v>0</v>
          </cell>
          <cell r="J148">
            <v>0</v>
          </cell>
          <cell r="K148">
            <v>3</v>
          </cell>
          <cell r="M148">
            <v>1</v>
          </cell>
          <cell r="N148">
            <v>2</v>
          </cell>
          <cell r="O148">
            <v>3</v>
          </cell>
        </row>
        <row r="149">
          <cell r="B149" t="str">
            <v>TOTAL</v>
          </cell>
          <cell r="C149">
            <v>0</v>
          </cell>
          <cell r="D149">
            <v>7</v>
          </cell>
          <cell r="E149">
            <v>7</v>
          </cell>
          <cell r="F149">
            <v>0</v>
          </cell>
          <cell r="G149">
            <v>12</v>
          </cell>
          <cell r="H149">
            <v>15</v>
          </cell>
          <cell r="I149">
            <v>0</v>
          </cell>
          <cell r="J149">
            <v>4</v>
          </cell>
          <cell r="K149">
            <v>45</v>
          </cell>
          <cell r="L149">
            <v>45</v>
          </cell>
          <cell r="M149">
            <v>19</v>
          </cell>
          <cell r="N149">
            <v>26</v>
          </cell>
          <cell r="O149">
            <v>45</v>
          </cell>
          <cell r="P149">
            <v>45</v>
          </cell>
        </row>
        <row r="151">
          <cell r="A151" t="str">
            <v>Área</v>
          </cell>
          <cell r="B151" t="str">
            <v>SECRETARIA DE PETRÓLEO, GÁS NATURAL E BIOCOMBUSTÍVEIS</v>
          </cell>
          <cell r="C151" t="str">
            <v>Natureza Especial</v>
          </cell>
          <cell r="D151" t="str">
            <v>Ativo Permanente</v>
          </cell>
          <cell r="E151" t="str">
            <v>Requisitado Órgãos</v>
          </cell>
          <cell r="F151" t="str">
            <v>Requisitado Empresas</v>
          </cell>
          <cell r="G151" t="str">
            <v>Sem Vínculo</v>
          </cell>
          <cell r="H151" t="str">
            <v>Exercício Descentralizado</v>
          </cell>
          <cell r="I151" t="str">
            <v>Contrato Temporário</v>
          </cell>
          <cell r="J151" t="str">
            <v>Anistiado</v>
          </cell>
          <cell r="K151" t="str">
            <v>Total</v>
          </cell>
          <cell r="L151" t="str">
            <v>Total Área</v>
          </cell>
          <cell r="M151" t="str">
            <v>Sexo Feminino</v>
          </cell>
          <cell r="N151" t="str">
            <v>Sexo Masculino</v>
          </cell>
          <cell r="O151" t="str">
            <v>Total</v>
          </cell>
          <cell r="P151" t="str">
            <v>Total Área</v>
          </cell>
        </row>
        <row r="152">
          <cell r="A152" t="str">
            <v>FINALÍSTICA</v>
          </cell>
          <cell r="B152" t="str">
            <v xml:space="preserve">          Gabinete da Secretaria de Petróleo, Gás Natural e Biocombustíveis</v>
          </cell>
          <cell r="C152">
            <v>0</v>
          </cell>
          <cell r="D152">
            <v>2</v>
          </cell>
          <cell r="E152">
            <v>3</v>
          </cell>
          <cell r="F152">
            <v>0</v>
          </cell>
          <cell r="G152">
            <v>4</v>
          </cell>
          <cell r="H152">
            <v>1</v>
          </cell>
          <cell r="I152">
            <v>0</v>
          </cell>
          <cell r="J152">
            <v>0</v>
          </cell>
          <cell r="K152">
            <v>10</v>
          </cell>
          <cell r="L152">
            <v>32</v>
          </cell>
          <cell r="M152">
            <v>5</v>
          </cell>
          <cell r="N152">
            <v>5</v>
          </cell>
          <cell r="O152">
            <v>10</v>
          </cell>
          <cell r="P152">
            <v>32</v>
          </cell>
        </row>
        <row r="154">
          <cell r="B154" t="str">
            <v xml:space="preserve">          Departamento de Política de Exploração e Produção de Petróleo e Gás Natural</v>
          </cell>
          <cell r="C154">
            <v>0</v>
          </cell>
          <cell r="D154">
            <v>0</v>
          </cell>
          <cell r="E154">
            <v>3</v>
          </cell>
          <cell r="F154">
            <v>0</v>
          </cell>
          <cell r="G154">
            <v>1</v>
          </cell>
          <cell r="H154">
            <v>2</v>
          </cell>
          <cell r="I154">
            <v>0</v>
          </cell>
          <cell r="J154">
            <v>0</v>
          </cell>
          <cell r="K154">
            <v>6</v>
          </cell>
          <cell r="M154">
            <v>0</v>
          </cell>
          <cell r="N154">
            <v>6</v>
          </cell>
          <cell r="O154">
            <v>6</v>
          </cell>
        </row>
        <row r="155">
          <cell r="B155" t="str">
            <v xml:space="preserve">               Gabinete Departamento de Política de Exploração e Produção de Petróleo e Gás Natural</v>
          </cell>
          <cell r="C155">
            <v>0</v>
          </cell>
          <cell r="D155">
            <v>0</v>
          </cell>
          <cell r="E155">
            <v>2</v>
          </cell>
          <cell r="F155">
            <v>0</v>
          </cell>
          <cell r="G155">
            <v>0</v>
          </cell>
          <cell r="H155">
            <v>2</v>
          </cell>
          <cell r="I155">
            <v>0</v>
          </cell>
          <cell r="J155">
            <v>0</v>
          </cell>
          <cell r="K155">
            <v>4</v>
          </cell>
          <cell r="M155">
            <v>0</v>
          </cell>
          <cell r="N155">
            <v>4</v>
          </cell>
          <cell r="O155">
            <v>4</v>
          </cell>
        </row>
        <row r="156">
          <cell r="B156" t="str">
            <v xml:space="preserve">               Coordenação-Geral de Reserva, Exploração e Produção de Petróleo e Gás Natural</v>
          </cell>
          <cell r="C156">
            <v>0</v>
          </cell>
          <cell r="D156">
            <v>0</v>
          </cell>
          <cell r="E156">
            <v>1</v>
          </cell>
          <cell r="F156">
            <v>0</v>
          </cell>
          <cell r="G156">
            <v>0</v>
          </cell>
          <cell r="H156">
            <v>0</v>
          </cell>
          <cell r="I156">
            <v>0</v>
          </cell>
          <cell r="J156">
            <v>0</v>
          </cell>
          <cell r="K156">
            <v>1</v>
          </cell>
          <cell r="M156">
            <v>0</v>
          </cell>
          <cell r="N156">
            <v>1</v>
          </cell>
          <cell r="O156">
            <v>1</v>
          </cell>
        </row>
        <row r="157">
          <cell r="B157" t="str">
            <v xml:space="preserve">               Coordenação-Geral de Política de Concessão de Blocos Exploratórios</v>
          </cell>
          <cell r="C157">
            <v>0</v>
          </cell>
          <cell r="D157">
            <v>0</v>
          </cell>
          <cell r="E157">
            <v>0</v>
          </cell>
          <cell r="F157">
            <v>0</v>
          </cell>
          <cell r="G157">
            <v>1</v>
          </cell>
          <cell r="H157">
            <v>0</v>
          </cell>
          <cell r="I157">
            <v>0</v>
          </cell>
          <cell r="J157">
            <v>0</v>
          </cell>
          <cell r="K157">
            <v>1</v>
          </cell>
          <cell r="M157">
            <v>0</v>
          </cell>
          <cell r="N157">
            <v>1</v>
          </cell>
          <cell r="O157">
            <v>1</v>
          </cell>
        </row>
        <row r="159">
          <cell r="B159" t="str">
            <v xml:space="preserve">          Departamento de Gás Natural</v>
          </cell>
          <cell r="C159">
            <v>0</v>
          </cell>
          <cell r="D159">
            <v>0</v>
          </cell>
          <cell r="E159">
            <v>1</v>
          </cell>
          <cell r="F159">
            <v>0</v>
          </cell>
          <cell r="G159">
            <v>0</v>
          </cell>
          <cell r="H159">
            <v>5</v>
          </cell>
          <cell r="I159">
            <v>0</v>
          </cell>
          <cell r="J159">
            <v>0</v>
          </cell>
          <cell r="K159">
            <v>6</v>
          </cell>
          <cell r="M159">
            <v>2</v>
          </cell>
          <cell r="N159">
            <v>4</v>
          </cell>
          <cell r="O159">
            <v>6</v>
          </cell>
        </row>
        <row r="160">
          <cell r="B160" t="str">
            <v xml:space="preserve">               Gabinete Departamento de Gás Natural</v>
          </cell>
          <cell r="C160">
            <v>0</v>
          </cell>
          <cell r="D160">
            <v>0</v>
          </cell>
          <cell r="E160">
            <v>1</v>
          </cell>
          <cell r="F160">
            <v>0</v>
          </cell>
          <cell r="G160">
            <v>0</v>
          </cell>
          <cell r="H160">
            <v>3</v>
          </cell>
          <cell r="I160">
            <v>0</v>
          </cell>
          <cell r="J160">
            <v>0</v>
          </cell>
          <cell r="K160">
            <v>4</v>
          </cell>
          <cell r="M160">
            <v>1</v>
          </cell>
          <cell r="N160">
            <v>3</v>
          </cell>
          <cell r="O160">
            <v>4</v>
          </cell>
        </row>
        <row r="161">
          <cell r="B161" t="str">
            <v xml:space="preserve">               Coordenação-Geral de Acompanhamento, Desenvolvimento de Mercado e Produção</v>
          </cell>
          <cell r="C161">
            <v>0</v>
          </cell>
          <cell r="D161">
            <v>0</v>
          </cell>
          <cell r="E161">
            <v>0</v>
          </cell>
          <cell r="F161">
            <v>0</v>
          </cell>
          <cell r="G161">
            <v>0</v>
          </cell>
          <cell r="H161">
            <v>1</v>
          </cell>
          <cell r="I161">
            <v>0</v>
          </cell>
          <cell r="J161">
            <v>0</v>
          </cell>
          <cell r="K161">
            <v>1</v>
          </cell>
          <cell r="M161">
            <v>1</v>
          </cell>
          <cell r="N161">
            <v>0</v>
          </cell>
          <cell r="O161">
            <v>1</v>
          </cell>
        </row>
        <row r="162">
          <cell r="B162" t="str">
            <v xml:space="preserve">               Coordenação-Geral de Processamento de Infraestrutura e Logística</v>
          </cell>
          <cell r="C162">
            <v>0</v>
          </cell>
          <cell r="D162">
            <v>0</v>
          </cell>
          <cell r="E162">
            <v>0</v>
          </cell>
          <cell r="F162">
            <v>0</v>
          </cell>
          <cell r="G162">
            <v>0</v>
          </cell>
          <cell r="H162">
            <v>1</v>
          </cell>
          <cell r="I162">
            <v>0</v>
          </cell>
          <cell r="J162">
            <v>0</v>
          </cell>
          <cell r="K162">
            <v>1</v>
          </cell>
          <cell r="M162">
            <v>0</v>
          </cell>
          <cell r="N162">
            <v>1</v>
          </cell>
          <cell r="O162">
            <v>1</v>
          </cell>
        </row>
        <row r="164">
          <cell r="B164" t="str">
            <v xml:space="preserve">          Departamento de Combustíveis Derivados de Petróleo</v>
          </cell>
          <cell r="C164">
            <v>0</v>
          </cell>
          <cell r="D164">
            <v>0</v>
          </cell>
          <cell r="E164">
            <v>2</v>
          </cell>
          <cell r="F164">
            <v>0</v>
          </cell>
          <cell r="G164">
            <v>0</v>
          </cell>
          <cell r="H164">
            <v>3</v>
          </cell>
          <cell r="I164">
            <v>0</v>
          </cell>
          <cell r="J164">
            <v>0</v>
          </cell>
          <cell r="K164">
            <v>5</v>
          </cell>
          <cell r="M164">
            <v>2</v>
          </cell>
          <cell r="N164">
            <v>3</v>
          </cell>
          <cell r="O164">
            <v>5</v>
          </cell>
        </row>
        <row r="165">
          <cell r="B165" t="str">
            <v xml:space="preserve">               Gabinete Departamento de Combustíveis Derivados de Petróleo</v>
          </cell>
          <cell r="C165">
            <v>0</v>
          </cell>
          <cell r="D165">
            <v>0</v>
          </cell>
          <cell r="E165">
            <v>1</v>
          </cell>
          <cell r="F165">
            <v>0</v>
          </cell>
          <cell r="G165">
            <v>0</v>
          </cell>
          <cell r="H165">
            <v>2</v>
          </cell>
          <cell r="I165">
            <v>0</v>
          </cell>
          <cell r="J165">
            <v>0</v>
          </cell>
          <cell r="K165">
            <v>3</v>
          </cell>
          <cell r="M165">
            <v>1</v>
          </cell>
          <cell r="N165">
            <v>2</v>
          </cell>
          <cell r="O165">
            <v>3</v>
          </cell>
        </row>
        <row r="166">
          <cell r="B166" t="str">
            <v xml:space="preserve">               Coordenação-Geral de Acompanhamento do Mercado</v>
          </cell>
          <cell r="C166">
            <v>0</v>
          </cell>
          <cell r="D166">
            <v>0</v>
          </cell>
          <cell r="E166">
            <v>0</v>
          </cell>
          <cell r="F166">
            <v>0</v>
          </cell>
          <cell r="G166">
            <v>0</v>
          </cell>
          <cell r="H166">
            <v>1</v>
          </cell>
          <cell r="I166">
            <v>0</v>
          </cell>
          <cell r="J166">
            <v>0</v>
          </cell>
          <cell r="K166">
            <v>1</v>
          </cell>
          <cell r="M166">
            <v>0</v>
          </cell>
          <cell r="N166">
            <v>1</v>
          </cell>
          <cell r="O166">
            <v>1</v>
          </cell>
        </row>
        <row r="167">
          <cell r="B167" t="str">
            <v xml:space="preserve">               Coordenação-Geral de Refino, Abastecimento e Infraestrutura</v>
          </cell>
          <cell r="C167">
            <v>0</v>
          </cell>
          <cell r="D167">
            <v>0</v>
          </cell>
          <cell r="E167">
            <v>1</v>
          </cell>
          <cell r="F167">
            <v>0</v>
          </cell>
          <cell r="G167">
            <v>0</v>
          </cell>
          <cell r="H167">
            <v>0</v>
          </cell>
          <cell r="I167">
            <v>0</v>
          </cell>
          <cell r="J167">
            <v>0</v>
          </cell>
          <cell r="K167">
            <v>1</v>
          </cell>
          <cell r="M167">
            <v>1</v>
          </cell>
          <cell r="N167">
            <v>0</v>
          </cell>
          <cell r="O167">
            <v>1</v>
          </cell>
        </row>
        <row r="169">
          <cell r="B169" t="str">
            <v xml:space="preserve">          Departamento de Biocombustíveis</v>
          </cell>
          <cell r="C169">
            <v>0</v>
          </cell>
          <cell r="D169">
            <v>0</v>
          </cell>
          <cell r="E169">
            <v>0</v>
          </cell>
          <cell r="F169">
            <v>0</v>
          </cell>
          <cell r="G169">
            <v>0</v>
          </cell>
          <cell r="H169">
            <v>5</v>
          </cell>
          <cell r="I169">
            <v>0</v>
          </cell>
          <cell r="J169">
            <v>0</v>
          </cell>
          <cell r="K169">
            <v>5</v>
          </cell>
          <cell r="M169">
            <v>0</v>
          </cell>
          <cell r="N169">
            <v>5</v>
          </cell>
          <cell r="O169">
            <v>5</v>
          </cell>
        </row>
        <row r="170">
          <cell r="B170" t="str">
            <v xml:space="preserve">               Gabinete Departamento de Biocombustíveis</v>
          </cell>
          <cell r="C170">
            <v>0</v>
          </cell>
          <cell r="D170">
            <v>0</v>
          </cell>
          <cell r="E170">
            <v>0</v>
          </cell>
          <cell r="F170">
            <v>0</v>
          </cell>
          <cell r="G170">
            <v>0</v>
          </cell>
          <cell r="H170">
            <v>2</v>
          </cell>
          <cell r="I170">
            <v>0</v>
          </cell>
          <cell r="J170">
            <v>0</v>
          </cell>
          <cell r="K170">
            <v>2</v>
          </cell>
          <cell r="M170">
            <v>0</v>
          </cell>
          <cell r="N170">
            <v>2</v>
          </cell>
          <cell r="O170">
            <v>2</v>
          </cell>
        </row>
        <row r="171">
          <cell r="B171" t="str">
            <v xml:space="preserve">               Coordenação-Geral de Biodiesel e Outros Biocombustíveis</v>
          </cell>
          <cell r="C171">
            <v>0</v>
          </cell>
          <cell r="D171">
            <v>0</v>
          </cell>
          <cell r="E171">
            <v>0</v>
          </cell>
          <cell r="F171">
            <v>0</v>
          </cell>
          <cell r="G171">
            <v>0</v>
          </cell>
          <cell r="H171">
            <v>2</v>
          </cell>
          <cell r="I171">
            <v>0</v>
          </cell>
          <cell r="J171">
            <v>0</v>
          </cell>
          <cell r="K171">
            <v>2</v>
          </cell>
          <cell r="M171">
            <v>0</v>
          </cell>
          <cell r="N171">
            <v>2</v>
          </cell>
          <cell r="O171">
            <v>2</v>
          </cell>
        </row>
        <row r="172">
          <cell r="B172" t="str">
            <v xml:space="preserve">               Coordenação-Geral de Etanol</v>
          </cell>
          <cell r="C172">
            <v>0</v>
          </cell>
          <cell r="D172">
            <v>0</v>
          </cell>
          <cell r="E172">
            <v>0</v>
          </cell>
          <cell r="F172">
            <v>0</v>
          </cell>
          <cell r="G172">
            <v>0</v>
          </cell>
          <cell r="H172">
            <v>1</v>
          </cell>
          <cell r="I172">
            <v>0</v>
          </cell>
          <cell r="J172">
            <v>0</v>
          </cell>
          <cell r="K172">
            <v>1</v>
          </cell>
          <cell r="M172">
            <v>0</v>
          </cell>
          <cell r="N172">
            <v>1</v>
          </cell>
          <cell r="O172">
            <v>1</v>
          </cell>
        </row>
        <row r="173">
          <cell r="B173" t="str">
            <v>TOTAL</v>
          </cell>
          <cell r="C173">
            <v>0</v>
          </cell>
          <cell r="D173">
            <v>2</v>
          </cell>
          <cell r="E173">
            <v>9</v>
          </cell>
          <cell r="F173">
            <v>0</v>
          </cell>
          <cell r="G173">
            <v>5</v>
          </cell>
          <cell r="H173">
            <v>16</v>
          </cell>
          <cell r="I173">
            <v>0</v>
          </cell>
          <cell r="J173">
            <v>0</v>
          </cell>
          <cell r="K173">
            <v>32</v>
          </cell>
          <cell r="L173">
            <v>32</v>
          </cell>
          <cell r="M173">
            <v>9</v>
          </cell>
          <cell r="N173">
            <v>23</v>
          </cell>
          <cell r="O173">
            <v>32</v>
          </cell>
          <cell r="P173">
            <v>32</v>
          </cell>
        </row>
        <row r="177">
          <cell r="A177" t="str">
            <v>Área</v>
          </cell>
          <cell r="B177" t="str">
            <v>ESCRITÓRIO RIO DE JANEIRO/RJ</v>
          </cell>
          <cell r="C177" t="str">
            <v>Natureza Especial</v>
          </cell>
          <cell r="D177" t="str">
            <v>Ativo Permanente</v>
          </cell>
          <cell r="E177" t="str">
            <v>Requisitado Órgãos</v>
          </cell>
          <cell r="F177" t="str">
            <v>Requisitado Empresas</v>
          </cell>
          <cell r="G177" t="str">
            <v>Sem Vínculo</v>
          </cell>
          <cell r="H177" t="str">
            <v>Exercício Descentralizado</v>
          </cell>
          <cell r="I177" t="str">
            <v>Contrato Temporário</v>
          </cell>
          <cell r="J177" t="str">
            <v>Anistiado</v>
          </cell>
          <cell r="K177" t="str">
            <v>Total</v>
          </cell>
          <cell r="L177" t="str">
            <v>Total Área</v>
          </cell>
          <cell r="M177" t="str">
            <v>Sexo Feminino</v>
          </cell>
          <cell r="N177" t="str">
            <v>Sexo Masculino</v>
          </cell>
          <cell r="O177" t="str">
            <v>Total</v>
          </cell>
          <cell r="P177" t="str">
            <v>Total Área</v>
          </cell>
        </row>
        <row r="178">
          <cell r="A178" t="str">
            <v>MEIO</v>
          </cell>
          <cell r="B178" t="str">
            <v>ESCRITÓRIO RIO DE JANEIRO/RJ</v>
          </cell>
          <cell r="C178">
            <v>0</v>
          </cell>
          <cell r="D178">
            <v>0</v>
          </cell>
          <cell r="E178">
            <v>11</v>
          </cell>
          <cell r="F178">
            <v>4</v>
          </cell>
          <cell r="G178">
            <v>0</v>
          </cell>
          <cell r="H178">
            <v>0</v>
          </cell>
          <cell r="I178">
            <v>0</v>
          </cell>
          <cell r="J178">
            <v>4</v>
          </cell>
          <cell r="K178">
            <v>19</v>
          </cell>
          <cell r="L178">
            <v>19</v>
          </cell>
          <cell r="M178">
            <v>1</v>
          </cell>
          <cell r="N178">
            <v>3</v>
          </cell>
          <cell r="O178">
            <v>4</v>
          </cell>
          <cell r="P178">
            <v>4</v>
          </cell>
        </row>
        <row r="179">
          <cell r="B179" t="str">
            <v>TOTAL</v>
          </cell>
          <cell r="C179">
            <v>0</v>
          </cell>
          <cell r="D179">
            <v>0</v>
          </cell>
          <cell r="E179">
            <v>11</v>
          </cell>
          <cell r="F179">
            <v>4</v>
          </cell>
          <cell r="G179">
            <v>0</v>
          </cell>
          <cell r="H179">
            <v>0</v>
          </cell>
          <cell r="I179">
            <v>0</v>
          </cell>
          <cell r="J179">
            <v>4</v>
          </cell>
          <cell r="K179">
            <v>19</v>
          </cell>
          <cell r="L179">
            <v>19</v>
          </cell>
          <cell r="M179">
            <v>1</v>
          </cell>
          <cell r="N179">
            <v>3</v>
          </cell>
          <cell r="O179">
            <v>4</v>
          </cell>
          <cell r="P179">
            <v>4</v>
          </cell>
        </row>
      </sheetData>
      <sheetData sheetId="84">
        <row r="4">
          <cell r="A4" t="str">
            <v>ANO</v>
          </cell>
          <cell r="B4" t="str">
            <v>Ativo Permanente</v>
          </cell>
          <cell r="E4" t="str">
            <v>Cedido</v>
          </cell>
          <cell r="H4" t="str">
            <v>Anistiado</v>
          </cell>
        </row>
        <row r="5">
          <cell r="B5" t="str">
            <v>Quantitativo</v>
          </cell>
          <cell r="C5" t="str">
            <v>Diferença de aumento ou redução</v>
          </cell>
          <cell r="D5" t="str">
            <v>% de aumento ou redução</v>
          </cell>
          <cell r="E5" t="str">
            <v>Quantitativo</v>
          </cell>
          <cell r="F5" t="str">
            <v>Diferença de aumento ou redução</v>
          </cell>
          <cell r="G5" t="str">
            <v>% de aumento ou redução</v>
          </cell>
          <cell r="H5" t="str">
            <v>Quantitativo</v>
          </cell>
          <cell r="I5" t="str">
            <v>Diferença de aumento ou redução</v>
          </cell>
          <cell r="J5" t="str">
            <v>% de aumento ou redução</v>
          </cell>
        </row>
        <row r="6">
          <cell r="A6">
            <v>2009</v>
          </cell>
          <cell r="B6">
            <v>307</v>
          </cell>
          <cell r="C6" t="str">
            <v>**</v>
          </cell>
          <cell r="D6" t="str">
            <v>**</v>
          </cell>
          <cell r="E6">
            <v>100</v>
          </cell>
          <cell r="F6" t="str">
            <v>**</v>
          </cell>
          <cell r="G6" t="str">
            <v>**</v>
          </cell>
          <cell r="H6">
            <v>419</v>
          </cell>
          <cell r="I6" t="str">
            <v>**</v>
          </cell>
          <cell r="J6" t="str">
            <v>**</v>
          </cell>
        </row>
        <row r="7">
          <cell r="A7">
            <v>2010</v>
          </cell>
          <cell r="B7">
            <v>305</v>
          </cell>
          <cell r="C7">
            <v>-2</v>
          </cell>
          <cell r="D7">
            <v>-0.65146579804560645</v>
          </cell>
          <cell r="E7">
            <v>100</v>
          </cell>
          <cell r="F7">
            <v>0</v>
          </cell>
          <cell r="G7">
            <v>0</v>
          </cell>
          <cell r="H7">
            <v>437</v>
          </cell>
          <cell r="I7">
            <v>18</v>
          </cell>
          <cell r="J7">
            <v>4.2959427207637191</v>
          </cell>
        </row>
        <row r="8">
          <cell r="A8">
            <v>2011</v>
          </cell>
          <cell r="B8">
            <v>295</v>
          </cell>
          <cell r="C8">
            <v>-10</v>
          </cell>
          <cell r="D8">
            <v>-3.2786885245901658</v>
          </cell>
          <cell r="E8">
            <v>94</v>
          </cell>
          <cell r="F8">
            <v>-6</v>
          </cell>
          <cell r="G8">
            <v>-6</v>
          </cell>
          <cell r="H8">
            <v>438</v>
          </cell>
          <cell r="I8">
            <v>1</v>
          </cell>
          <cell r="J8">
            <v>0.2288329519450798</v>
          </cell>
        </row>
        <row r="9">
          <cell r="A9">
            <v>2012</v>
          </cell>
          <cell r="B9">
            <v>218</v>
          </cell>
          <cell r="C9">
            <v>-77</v>
          </cell>
          <cell r="D9">
            <v>-26.101694915254242</v>
          </cell>
          <cell r="E9">
            <v>97</v>
          </cell>
          <cell r="F9">
            <v>3</v>
          </cell>
          <cell r="G9">
            <v>3.1914893617021249</v>
          </cell>
          <cell r="H9">
            <v>519</v>
          </cell>
          <cell r="I9">
            <v>81</v>
          </cell>
          <cell r="J9">
            <v>18.493150684931507</v>
          </cell>
        </row>
        <row r="10">
          <cell r="A10">
            <v>2013</v>
          </cell>
          <cell r="B10">
            <v>203</v>
          </cell>
          <cell r="C10">
            <v>-15</v>
          </cell>
          <cell r="D10">
            <v>-6.8807339449541303</v>
          </cell>
          <cell r="E10">
            <v>95</v>
          </cell>
          <cell r="F10">
            <v>-2</v>
          </cell>
          <cell r="G10">
            <v>-2.0618556701030997</v>
          </cell>
          <cell r="H10">
            <v>538</v>
          </cell>
          <cell r="I10">
            <v>19</v>
          </cell>
          <cell r="J10">
            <v>3.6608863198458579</v>
          </cell>
        </row>
        <row r="11">
          <cell r="A11">
            <v>2014</v>
          </cell>
          <cell r="B11">
            <v>199</v>
          </cell>
          <cell r="C11">
            <v>-4</v>
          </cell>
          <cell r="D11">
            <v>-1.970443349753694</v>
          </cell>
          <cell r="E11">
            <v>86</v>
          </cell>
          <cell r="F11">
            <v>-9</v>
          </cell>
          <cell r="G11">
            <v>-9.473684210526315</v>
          </cell>
          <cell r="H11">
            <v>546</v>
          </cell>
          <cell r="I11">
            <v>8</v>
          </cell>
          <cell r="J11">
            <v>1.4869888475836461</v>
          </cell>
        </row>
        <row r="12">
          <cell r="A12">
            <v>2015</v>
          </cell>
          <cell r="B12">
            <v>194</v>
          </cell>
          <cell r="C12">
            <v>-5</v>
          </cell>
          <cell r="D12">
            <v>-2.5125628140703498</v>
          </cell>
          <cell r="E12">
            <v>76</v>
          </cell>
          <cell r="F12">
            <v>-10</v>
          </cell>
          <cell r="G12">
            <v>-11.627906976744185</v>
          </cell>
          <cell r="H12">
            <v>556</v>
          </cell>
          <cell r="I12">
            <v>10</v>
          </cell>
          <cell r="J12">
            <v>1.831501831501825</v>
          </cell>
        </row>
        <row r="13">
          <cell r="A13">
            <v>2016</v>
          </cell>
          <cell r="B13">
            <v>193</v>
          </cell>
          <cell r="C13">
            <v>-1</v>
          </cell>
          <cell r="D13">
            <v>-0.51546391752577847</v>
          </cell>
          <cell r="E13">
            <v>67</v>
          </cell>
          <cell r="F13">
            <v>-9</v>
          </cell>
          <cell r="G13">
            <v>-11.84210526315789</v>
          </cell>
          <cell r="H13">
            <v>561</v>
          </cell>
          <cell r="I13">
            <v>5</v>
          </cell>
          <cell r="J13">
            <v>0.89928057553956364</v>
          </cell>
        </row>
        <row r="14">
          <cell r="A14">
            <v>2017</v>
          </cell>
          <cell r="B14">
            <v>174</v>
          </cell>
          <cell r="C14">
            <v>-19</v>
          </cell>
          <cell r="D14">
            <v>-9.8445595854922345</v>
          </cell>
          <cell r="E14">
            <v>62</v>
          </cell>
          <cell r="F14">
            <v>-5</v>
          </cell>
          <cell r="G14">
            <v>-7.4626865671641838</v>
          </cell>
          <cell r="H14">
            <v>548</v>
          </cell>
          <cell r="I14">
            <v>-13</v>
          </cell>
          <cell r="J14">
            <v>-2.3172905525846659</v>
          </cell>
        </row>
        <row r="15">
          <cell r="A15">
            <v>2018</v>
          </cell>
          <cell r="B15">
            <v>162</v>
          </cell>
          <cell r="C15">
            <v>-12</v>
          </cell>
          <cell r="D15">
            <v>-6.8965517241379359</v>
          </cell>
          <cell r="E15">
            <v>58</v>
          </cell>
          <cell r="F15">
            <v>-4</v>
          </cell>
          <cell r="G15">
            <v>-6.4516129032258078</v>
          </cell>
          <cell r="H15">
            <v>529</v>
          </cell>
          <cell r="I15">
            <v>-19</v>
          </cell>
          <cell r="J15">
            <v>-3.4671532846715394</v>
          </cell>
        </row>
        <row r="16">
          <cell r="A16">
            <v>2019</v>
          </cell>
          <cell r="B16">
            <v>145</v>
          </cell>
          <cell r="C16">
            <v>-17</v>
          </cell>
          <cell r="D16">
            <v>-10.493827160493822</v>
          </cell>
          <cell r="E16">
            <v>47</v>
          </cell>
          <cell r="F16">
            <v>-11</v>
          </cell>
          <cell r="G16">
            <v>-18.965517241379317</v>
          </cell>
          <cell r="H16">
            <v>529</v>
          </cell>
          <cell r="I16">
            <v>0</v>
          </cell>
          <cell r="J16">
            <v>0</v>
          </cell>
        </row>
        <row r="17">
          <cell r="A17">
            <v>2020</v>
          </cell>
          <cell r="B17">
            <v>137</v>
          </cell>
          <cell r="C17">
            <v>-8</v>
          </cell>
          <cell r="D17">
            <v>-5.5172413793103487</v>
          </cell>
          <cell r="E17">
            <v>32</v>
          </cell>
          <cell r="F17">
            <v>-15</v>
          </cell>
          <cell r="G17">
            <v>-31.914893617021278</v>
          </cell>
          <cell r="H17">
            <v>499</v>
          </cell>
          <cell r="I17">
            <v>-30</v>
          </cell>
          <cell r="J17">
            <v>-5.6710775047259006</v>
          </cell>
        </row>
      </sheetData>
      <sheetData sheetId="85">
        <row r="4">
          <cell r="A4" t="str">
            <v>ANO</v>
          </cell>
          <cell r="B4" t="str">
            <v>APOSENTADO</v>
          </cell>
          <cell r="E4" t="str">
            <v>BENEFICIÁRIO DE PENSÃO</v>
          </cell>
        </row>
        <row r="5">
          <cell r="B5" t="str">
            <v>Quantitativo</v>
          </cell>
          <cell r="C5" t="str">
            <v>Diferença de aumento ou redução</v>
          </cell>
          <cell r="D5" t="str">
            <v>% de aumento ou redução</v>
          </cell>
          <cell r="E5" t="str">
            <v>Quantitativo</v>
          </cell>
          <cell r="F5" t="str">
            <v>Diferença de aumento ou redução</v>
          </cell>
          <cell r="G5" t="str">
            <v>% de aumento ou redução</v>
          </cell>
        </row>
        <row r="6">
          <cell r="A6">
            <v>2009</v>
          </cell>
          <cell r="B6">
            <v>845</v>
          </cell>
          <cell r="C6" t="str">
            <v>**</v>
          </cell>
          <cell r="D6" t="str">
            <v>**</v>
          </cell>
          <cell r="E6">
            <v>833</v>
          </cell>
          <cell r="F6" t="str">
            <v>**</v>
          </cell>
          <cell r="G6" t="str">
            <v>**</v>
          </cell>
        </row>
        <row r="7">
          <cell r="A7">
            <v>2010</v>
          </cell>
          <cell r="B7">
            <v>816</v>
          </cell>
          <cell r="C7">
            <v>-29</v>
          </cell>
          <cell r="D7">
            <v>-3.4319526627218977</v>
          </cell>
          <cell r="E7">
            <v>826</v>
          </cell>
          <cell r="F7">
            <v>-7</v>
          </cell>
          <cell r="G7">
            <v>-0.84033613445377853</v>
          </cell>
        </row>
        <row r="8">
          <cell r="A8">
            <v>2011</v>
          </cell>
          <cell r="B8">
            <v>793</v>
          </cell>
          <cell r="C8">
            <v>-23</v>
          </cell>
          <cell r="D8">
            <v>-2.8186274509803866</v>
          </cell>
          <cell r="E8">
            <v>815</v>
          </cell>
          <cell r="F8">
            <v>-11</v>
          </cell>
          <cell r="G8">
            <v>-1.3317191283292971</v>
          </cell>
        </row>
        <row r="9">
          <cell r="A9">
            <v>2012</v>
          </cell>
          <cell r="B9">
            <v>765</v>
          </cell>
          <cell r="C9">
            <v>-28</v>
          </cell>
          <cell r="D9">
            <v>-3.5308953341740192</v>
          </cell>
          <cell r="E9">
            <v>802</v>
          </cell>
          <cell r="F9">
            <v>-13</v>
          </cell>
          <cell r="G9">
            <v>-1.5950920245398805</v>
          </cell>
        </row>
        <row r="10">
          <cell r="A10">
            <v>2013</v>
          </cell>
          <cell r="B10">
            <v>727</v>
          </cell>
          <cell r="C10">
            <v>-38</v>
          </cell>
          <cell r="D10">
            <v>-4.9673202614379051</v>
          </cell>
          <cell r="E10">
            <v>796</v>
          </cell>
          <cell r="F10">
            <v>-6</v>
          </cell>
          <cell r="G10">
            <v>-0.74812967581047474</v>
          </cell>
        </row>
        <row r="11">
          <cell r="A11">
            <v>2014</v>
          </cell>
          <cell r="B11">
            <v>696</v>
          </cell>
          <cell r="C11">
            <v>-31</v>
          </cell>
          <cell r="D11">
            <v>-4.2640990371389336</v>
          </cell>
          <cell r="E11">
            <v>788</v>
          </cell>
          <cell r="F11">
            <v>-8</v>
          </cell>
          <cell r="G11">
            <v>-1.0050251256281371</v>
          </cell>
        </row>
        <row r="12">
          <cell r="A12">
            <v>2015</v>
          </cell>
          <cell r="B12">
            <v>681</v>
          </cell>
          <cell r="C12">
            <v>-15</v>
          </cell>
          <cell r="D12">
            <v>-2.1551724137931103</v>
          </cell>
          <cell r="E12">
            <v>768</v>
          </cell>
          <cell r="F12">
            <v>-20</v>
          </cell>
          <cell r="G12">
            <v>-2.538071065989854</v>
          </cell>
        </row>
        <row r="13">
          <cell r="A13">
            <v>2016</v>
          </cell>
          <cell r="B13">
            <v>660</v>
          </cell>
          <cell r="C13">
            <v>-21</v>
          </cell>
          <cell r="D13">
            <v>-3.0837004405286308</v>
          </cell>
          <cell r="E13">
            <v>755</v>
          </cell>
          <cell r="F13">
            <v>-13</v>
          </cell>
          <cell r="G13">
            <v>-1.6927083333333286</v>
          </cell>
        </row>
        <row r="14">
          <cell r="A14">
            <v>2017</v>
          </cell>
          <cell r="B14">
            <v>650</v>
          </cell>
          <cell r="C14">
            <v>-10</v>
          </cell>
          <cell r="D14">
            <v>-1.5151515151515156</v>
          </cell>
          <cell r="E14">
            <v>722</v>
          </cell>
          <cell r="F14">
            <v>-33</v>
          </cell>
          <cell r="G14">
            <v>-4.3708609271523216</v>
          </cell>
        </row>
        <row r="15">
          <cell r="A15">
            <v>2018</v>
          </cell>
          <cell r="B15">
            <v>633</v>
          </cell>
          <cell r="C15">
            <v>-17</v>
          </cell>
          <cell r="D15">
            <v>-2.6153846153846132</v>
          </cell>
          <cell r="E15">
            <v>697</v>
          </cell>
          <cell r="F15">
            <v>-25</v>
          </cell>
          <cell r="G15">
            <v>-3.4626038781163402</v>
          </cell>
        </row>
        <row r="16">
          <cell r="A16">
            <v>2019</v>
          </cell>
          <cell r="B16">
            <v>636</v>
          </cell>
          <cell r="C16">
            <v>3</v>
          </cell>
          <cell r="D16">
            <v>0.47393364928909421</v>
          </cell>
          <cell r="E16">
            <v>675</v>
          </cell>
          <cell r="F16">
            <v>-22</v>
          </cell>
          <cell r="G16">
            <v>-3.1563845050215207</v>
          </cell>
        </row>
        <row r="17">
          <cell r="A17">
            <v>2020</v>
          </cell>
          <cell r="B17">
            <v>613</v>
          </cell>
          <cell r="C17">
            <v>-23</v>
          </cell>
          <cell r="D17">
            <v>-3.6163522012578682</v>
          </cell>
          <cell r="E17">
            <v>649</v>
          </cell>
          <cell r="F17">
            <v>-26</v>
          </cell>
          <cell r="G17">
            <v>-3.8518518518518476</v>
          </cell>
        </row>
      </sheetData>
      <sheetData sheetId="86">
        <row r="4">
          <cell r="A4" t="str">
            <v>ANO</v>
          </cell>
          <cell r="B4" t="str">
            <v>REQUISITADO DE EMPRESA</v>
          </cell>
          <cell r="E4" t="str">
            <v>REQUISITADO ÓRGÃOS</v>
          </cell>
          <cell r="H4" t="str">
            <v>SEM VÍNCULO</v>
          </cell>
          <cell r="K4" t="str">
            <v>EXERCÍCIO DESCENTRALIZADO</v>
          </cell>
          <cell r="N4" t="str">
            <v>CONTRATO TEMPORÁRIO</v>
          </cell>
        </row>
        <row r="5">
          <cell r="B5" t="str">
            <v>Quantitativo</v>
          </cell>
          <cell r="C5" t="str">
            <v>Diferença de aumento ou redução</v>
          </cell>
          <cell r="D5" t="str">
            <v>% de aumento ou redução</v>
          </cell>
          <cell r="E5" t="str">
            <v>Quantitativo</v>
          </cell>
          <cell r="F5" t="str">
            <v>Diferença de aumento ou redução</v>
          </cell>
          <cell r="G5" t="str">
            <v>% de aumento ou redução</v>
          </cell>
          <cell r="H5" t="str">
            <v>Quantitativo</v>
          </cell>
          <cell r="I5" t="str">
            <v>Diferença de aumento ou redução</v>
          </cell>
          <cell r="J5" t="str">
            <v>% de aumento ou redução</v>
          </cell>
          <cell r="K5" t="str">
            <v>Quantitativo</v>
          </cell>
          <cell r="L5" t="str">
            <v>Diferença de aumento ou redução</v>
          </cell>
          <cell r="M5" t="str">
            <v>% de aumento ou redução</v>
          </cell>
          <cell r="N5" t="str">
            <v>Quantitativo</v>
          </cell>
          <cell r="O5" t="str">
            <v>Diferença de aumento ou redução</v>
          </cell>
          <cell r="P5" t="str">
            <v>% de aumento ou redução</v>
          </cell>
        </row>
        <row r="6">
          <cell r="A6">
            <v>2009</v>
          </cell>
          <cell r="B6">
            <v>47</v>
          </cell>
          <cell r="C6" t="str">
            <v>**</v>
          </cell>
          <cell r="D6" t="str">
            <v>**</v>
          </cell>
          <cell r="E6">
            <v>34</v>
          </cell>
          <cell r="F6" t="str">
            <v>**</v>
          </cell>
          <cell r="G6" t="str">
            <v>**</v>
          </cell>
          <cell r="H6">
            <v>161</v>
          </cell>
          <cell r="I6" t="str">
            <v>**</v>
          </cell>
          <cell r="J6" t="str">
            <v>**</v>
          </cell>
          <cell r="K6">
            <v>37</v>
          </cell>
          <cell r="L6" t="str">
            <v>**</v>
          </cell>
          <cell r="M6" t="str">
            <v>**</v>
          </cell>
          <cell r="N6">
            <v>0</v>
          </cell>
          <cell r="O6" t="str">
            <v>**</v>
          </cell>
          <cell r="P6" t="str">
            <v>**</v>
          </cell>
        </row>
        <row r="7">
          <cell r="A7">
            <v>2010</v>
          </cell>
          <cell r="B7">
            <v>45</v>
          </cell>
          <cell r="C7">
            <v>-2</v>
          </cell>
          <cell r="D7">
            <v>-4.2553191489361666</v>
          </cell>
          <cell r="E7">
            <v>30</v>
          </cell>
          <cell r="F7">
            <v>-4</v>
          </cell>
          <cell r="G7">
            <v>-11.764705882352942</v>
          </cell>
          <cell r="H7">
            <v>158</v>
          </cell>
          <cell r="I7">
            <v>-3</v>
          </cell>
          <cell r="J7">
            <v>-1.8633540372670865</v>
          </cell>
          <cell r="K7">
            <v>85</v>
          </cell>
          <cell r="L7">
            <v>48</v>
          </cell>
          <cell r="M7">
            <v>129.72972972972974</v>
          </cell>
          <cell r="N7">
            <v>0</v>
          </cell>
          <cell r="O7">
            <v>0</v>
          </cell>
          <cell r="P7" t="str">
            <v>**</v>
          </cell>
        </row>
        <row r="8">
          <cell r="A8">
            <v>2011</v>
          </cell>
          <cell r="B8">
            <v>49</v>
          </cell>
          <cell r="C8">
            <v>4</v>
          </cell>
          <cell r="D8">
            <v>8.8888888888888857</v>
          </cell>
          <cell r="E8">
            <v>32</v>
          </cell>
          <cell r="F8">
            <v>2</v>
          </cell>
          <cell r="G8">
            <v>6.6666666666666714</v>
          </cell>
          <cell r="H8">
            <v>148</v>
          </cell>
          <cell r="I8">
            <v>-10</v>
          </cell>
          <cell r="J8">
            <v>-6.3291139240506311</v>
          </cell>
          <cell r="K8">
            <v>66</v>
          </cell>
          <cell r="L8">
            <v>-19</v>
          </cell>
          <cell r="M8">
            <v>-22.352941176470594</v>
          </cell>
          <cell r="N8">
            <v>0</v>
          </cell>
          <cell r="O8">
            <v>0</v>
          </cell>
          <cell r="P8" t="str">
            <v>**</v>
          </cell>
        </row>
        <row r="9">
          <cell r="A9">
            <v>2012</v>
          </cell>
          <cell r="B9">
            <v>52</v>
          </cell>
          <cell r="C9">
            <v>3</v>
          </cell>
          <cell r="D9">
            <v>6.1224489795918373</v>
          </cell>
          <cell r="E9">
            <v>30</v>
          </cell>
          <cell r="F9">
            <v>-2</v>
          </cell>
          <cell r="G9">
            <v>-6.25</v>
          </cell>
          <cell r="H9">
            <v>150</v>
          </cell>
          <cell r="I9">
            <v>2</v>
          </cell>
          <cell r="J9">
            <v>1.3513513513513544</v>
          </cell>
          <cell r="K9">
            <v>138</v>
          </cell>
          <cell r="L9">
            <v>72</v>
          </cell>
          <cell r="M9">
            <v>109.09090909090909</v>
          </cell>
          <cell r="N9">
            <v>0</v>
          </cell>
          <cell r="O9">
            <v>0</v>
          </cell>
          <cell r="P9" t="str">
            <v>**</v>
          </cell>
        </row>
        <row r="10">
          <cell r="A10">
            <v>2013</v>
          </cell>
          <cell r="B10">
            <v>48</v>
          </cell>
          <cell r="C10">
            <v>-4</v>
          </cell>
          <cell r="D10">
            <v>-7.6923076923076934</v>
          </cell>
          <cell r="E10">
            <v>32</v>
          </cell>
          <cell r="F10">
            <v>2</v>
          </cell>
          <cell r="G10">
            <v>6.6666666666666714</v>
          </cell>
          <cell r="H10">
            <v>150</v>
          </cell>
          <cell r="I10">
            <v>0</v>
          </cell>
          <cell r="J10">
            <v>0</v>
          </cell>
          <cell r="K10">
            <v>133</v>
          </cell>
          <cell r="L10">
            <v>-5</v>
          </cell>
          <cell r="M10">
            <v>-3.6231884057970944</v>
          </cell>
          <cell r="N10">
            <v>4</v>
          </cell>
          <cell r="O10">
            <v>4</v>
          </cell>
          <cell r="P10" t="str">
            <v>**</v>
          </cell>
        </row>
        <row r="11">
          <cell r="A11">
            <v>2014</v>
          </cell>
          <cell r="B11">
            <v>43</v>
          </cell>
          <cell r="C11">
            <v>-5</v>
          </cell>
          <cell r="D11">
            <v>-10.416666666666671</v>
          </cell>
          <cell r="E11">
            <v>37</v>
          </cell>
          <cell r="F11">
            <v>5</v>
          </cell>
          <cell r="G11">
            <v>15.625</v>
          </cell>
          <cell r="H11">
            <v>154</v>
          </cell>
          <cell r="I11">
            <v>4</v>
          </cell>
          <cell r="J11">
            <v>2.6666666666666714</v>
          </cell>
          <cell r="K11">
            <v>118</v>
          </cell>
          <cell r="L11">
            <v>-15</v>
          </cell>
          <cell r="M11">
            <v>-11.278195488721806</v>
          </cell>
          <cell r="N11">
            <v>7</v>
          </cell>
          <cell r="O11">
            <v>3</v>
          </cell>
          <cell r="P11">
            <v>75</v>
          </cell>
        </row>
        <row r="12">
          <cell r="A12">
            <v>2015</v>
          </cell>
          <cell r="B12">
            <v>41</v>
          </cell>
          <cell r="C12">
            <v>-2</v>
          </cell>
          <cell r="D12">
            <v>-4.6511627906976685</v>
          </cell>
          <cell r="E12">
            <v>32</v>
          </cell>
          <cell r="F12">
            <v>-5</v>
          </cell>
          <cell r="G12">
            <v>-13.513513513513516</v>
          </cell>
          <cell r="H12">
            <v>152</v>
          </cell>
          <cell r="I12">
            <v>-2</v>
          </cell>
          <cell r="J12">
            <v>-1.2987012987013031</v>
          </cell>
          <cell r="K12">
            <v>109</v>
          </cell>
          <cell r="L12">
            <v>-9</v>
          </cell>
          <cell r="M12">
            <v>-7.6271186440677923</v>
          </cell>
          <cell r="N12">
            <v>7</v>
          </cell>
          <cell r="O12">
            <v>0</v>
          </cell>
          <cell r="P12">
            <v>0</v>
          </cell>
        </row>
        <row r="13">
          <cell r="A13">
            <v>2016</v>
          </cell>
          <cell r="B13">
            <v>26</v>
          </cell>
          <cell r="C13">
            <v>-15</v>
          </cell>
          <cell r="D13">
            <v>-36.585365853658537</v>
          </cell>
          <cell r="E13">
            <v>28</v>
          </cell>
          <cell r="F13">
            <v>-4</v>
          </cell>
          <cell r="G13">
            <v>-12.5</v>
          </cell>
          <cell r="H13">
            <v>129</v>
          </cell>
          <cell r="I13">
            <v>-23</v>
          </cell>
          <cell r="J13">
            <v>-15.131578947368425</v>
          </cell>
          <cell r="K13">
            <v>105</v>
          </cell>
          <cell r="L13">
            <v>-4</v>
          </cell>
          <cell r="M13">
            <v>-3.6697247706422047</v>
          </cell>
          <cell r="N13">
            <v>7</v>
          </cell>
          <cell r="O13">
            <v>0</v>
          </cell>
          <cell r="P13">
            <v>0</v>
          </cell>
        </row>
        <row r="14">
          <cell r="A14">
            <v>2017</v>
          </cell>
          <cell r="B14">
            <v>20</v>
          </cell>
          <cell r="C14">
            <v>-6</v>
          </cell>
          <cell r="D14">
            <v>-23.07692307692308</v>
          </cell>
          <cell r="E14">
            <v>37</v>
          </cell>
          <cell r="F14">
            <v>9</v>
          </cell>
          <cell r="G14">
            <v>32.142857142857139</v>
          </cell>
          <cell r="H14">
            <v>137</v>
          </cell>
          <cell r="I14">
            <v>8</v>
          </cell>
          <cell r="J14">
            <v>6.201550387596896</v>
          </cell>
          <cell r="K14">
            <v>104</v>
          </cell>
          <cell r="L14">
            <v>-1</v>
          </cell>
          <cell r="M14">
            <v>-0.952380952380949</v>
          </cell>
          <cell r="N14">
            <v>9</v>
          </cell>
          <cell r="O14">
            <v>2</v>
          </cell>
          <cell r="P14">
            <v>28.571428571428584</v>
          </cell>
        </row>
        <row r="15">
          <cell r="A15">
            <v>2018</v>
          </cell>
          <cell r="B15">
            <v>12</v>
          </cell>
          <cell r="C15">
            <v>-8</v>
          </cell>
          <cell r="D15">
            <v>-40</v>
          </cell>
          <cell r="E15">
            <v>40</v>
          </cell>
          <cell r="F15">
            <v>3</v>
          </cell>
          <cell r="G15">
            <v>8.1081081081081123</v>
          </cell>
          <cell r="H15">
            <v>138</v>
          </cell>
          <cell r="I15">
            <v>1</v>
          </cell>
          <cell r="J15">
            <v>0.72992700729926696</v>
          </cell>
          <cell r="K15">
            <v>102</v>
          </cell>
          <cell r="L15">
            <v>-2</v>
          </cell>
          <cell r="M15">
            <v>-1.9230769230769198</v>
          </cell>
          <cell r="N15">
            <v>5</v>
          </cell>
          <cell r="O15">
            <v>-4</v>
          </cell>
          <cell r="P15">
            <v>-44.444444444444443</v>
          </cell>
        </row>
        <row r="16">
          <cell r="A16">
            <v>2019</v>
          </cell>
          <cell r="B16">
            <v>9</v>
          </cell>
          <cell r="C16">
            <v>-3</v>
          </cell>
          <cell r="D16">
            <v>-25</v>
          </cell>
          <cell r="E16">
            <v>62</v>
          </cell>
          <cell r="F16">
            <v>22</v>
          </cell>
          <cell r="G16">
            <v>55</v>
          </cell>
          <cell r="H16">
            <v>125</v>
          </cell>
          <cell r="I16">
            <v>-13</v>
          </cell>
          <cell r="J16">
            <v>-9.4202898550724683</v>
          </cell>
          <cell r="K16">
            <v>95</v>
          </cell>
          <cell r="L16">
            <v>-7</v>
          </cell>
          <cell r="M16">
            <v>-6.8627450980392126</v>
          </cell>
          <cell r="N16">
            <v>4</v>
          </cell>
          <cell r="O16">
            <v>-1</v>
          </cell>
          <cell r="P16">
            <v>-20</v>
          </cell>
        </row>
        <row r="17">
          <cell r="A17">
            <v>2020</v>
          </cell>
          <cell r="B17">
            <v>5</v>
          </cell>
          <cell r="C17">
            <v>-4</v>
          </cell>
          <cell r="D17">
            <v>-44.444444444444443</v>
          </cell>
          <cell r="E17">
            <v>71</v>
          </cell>
          <cell r="F17">
            <v>9</v>
          </cell>
          <cell r="G17">
            <v>14.516129032258064</v>
          </cell>
          <cell r="H17">
            <v>119</v>
          </cell>
          <cell r="I17">
            <v>-6</v>
          </cell>
          <cell r="J17">
            <v>-4.7999999999999972</v>
          </cell>
          <cell r="K17">
            <v>88</v>
          </cell>
          <cell r="L17">
            <v>-7</v>
          </cell>
          <cell r="M17">
            <v>-7.3684210526315752</v>
          </cell>
          <cell r="N17">
            <v>3</v>
          </cell>
          <cell r="O17">
            <v>-1</v>
          </cell>
          <cell r="P17">
            <v>-25</v>
          </cell>
        </row>
      </sheetData>
      <sheetData sheetId="87">
        <row r="4">
          <cell r="A4" t="str">
            <v>ANO</v>
          </cell>
          <cell r="B4" t="str">
            <v>Total MME</v>
          </cell>
          <cell r="C4" t="str">
            <v>ÁREA FINALISTICA</v>
          </cell>
          <cell r="E4" t="str">
            <v>ÁREA MEIO</v>
          </cell>
          <cell r="H4" t="str">
            <v>Direferença de aumento ou redução Total MME</v>
          </cell>
          <cell r="I4" t="str">
            <v>Direferença de aumento ou redução Área Finalistica</v>
          </cell>
          <cell r="J4" t="str">
            <v>Direferença de aumento ou redução Área Meio</v>
          </cell>
        </row>
        <row r="5">
          <cell r="C5" t="str">
            <v>Quantitativo</v>
          </cell>
          <cell r="D5" t="str">
            <v>% de aumento ou redução</v>
          </cell>
          <cell r="E5" t="str">
            <v>Quantitativo</v>
          </cell>
          <cell r="F5" t="str">
            <v>% de aumento ou redução</v>
          </cell>
        </row>
        <row r="6">
          <cell r="A6">
            <v>2011</v>
          </cell>
          <cell r="B6">
            <v>695</v>
          </cell>
          <cell r="C6">
            <v>245</v>
          </cell>
          <cell r="D6" t="str">
            <v>**</v>
          </cell>
          <cell r="E6">
            <v>450</v>
          </cell>
          <cell r="F6" t="str">
            <v>**</v>
          </cell>
          <cell r="H6" t="str">
            <v>**</v>
          </cell>
          <cell r="I6" t="str">
            <v>**</v>
          </cell>
          <cell r="J6" t="str">
            <v>**</v>
          </cell>
        </row>
        <row r="7">
          <cell r="A7">
            <v>2012</v>
          </cell>
          <cell r="B7">
            <v>634</v>
          </cell>
          <cell r="C7">
            <v>239</v>
          </cell>
          <cell r="D7">
            <v>-2.4489795918367321</v>
          </cell>
          <cell r="E7">
            <v>395</v>
          </cell>
          <cell r="F7">
            <v>-12.222222222222229</v>
          </cell>
          <cell r="H7">
            <v>-61</v>
          </cell>
          <cell r="I7">
            <v>-6</v>
          </cell>
          <cell r="J7">
            <v>-55</v>
          </cell>
        </row>
        <row r="8">
          <cell r="A8">
            <v>2013</v>
          </cell>
          <cell r="B8">
            <v>646</v>
          </cell>
          <cell r="C8">
            <v>252</v>
          </cell>
          <cell r="D8">
            <v>5.4393305439330533</v>
          </cell>
          <cell r="E8">
            <v>394</v>
          </cell>
          <cell r="F8">
            <v>-0.25316455696201956</v>
          </cell>
          <cell r="H8">
            <v>12</v>
          </cell>
          <cell r="I8">
            <v>13</v>
          </cell>
          <cell r="J8">
            <v>-1</v>
          </cell>
        </row>
        <row r="9">
          <cell r="A9">
            <v>2014</v>
          </cell>
          <cell r="B9">
            <v>634</v>
          </cell>
          <cell r="C9">
            <v>239</v>
          </cell>
          <cell r="D9">
            <v>-5.1587301587301653</v>
          </cell>
          <cell r="E9">
            <v>395</v>
          </cell>
          <cell r="F9">
            <v>0.25380710659898398</v>
          </cell>
          <cell r="H9">
            <v>-12</v>
          </cell>
          <cell r="I9">
            <v>-13</v>
          </cell>
          <cell r="J9">
            <v>1</v>
          </cell>
        </row>
        <row r="10">
          <cell r="A10">
            <v>2015</v>
          </cell>
          <cell r="B10">
            <v>606</v>
          </cell>
          <cell r="C10">
            <v>223</v>
          </cell>
          <cell r="D10">
            <v>-6.6945606694560666</v>
          </cell>
          <cell r="E10">
            <v>383</v>
          </cell>
          <cell r="F10">
            <v>-3.0379746835443058</v>
          </cell>
          <cell r="H10">
            <v>-28</v>
          </cell>
          <cell r="I10">
            <v>-16</v>
          </cell>
          <cell r="J10">
            <v>-12</v>
          </cell>
        </row>
        <row r="11">
          <cell r="A11">
            <v>2016</v>
          </cell>
          <cell r="B11">
            <v>565</v>
          </cell>
          <cell r="C11">
            <v>206</v>
          </cell>
          <cell r="D11">
            <v>-7.6233183856502222</v>
          </cell>
          <cell r="E11">
            <v>359</v>
          </cell>
          <cell r="F11">
            <v>-6.2663185378590072</v>
          </cell>
          <cell r="H11">
            <v>-41</v>
          </cell>
          <cell r="I11">
            <v>-17</v>
          </cell>
          <cell r="J11">
            <v>-24</v>
          </cell>
        </row>
        <row r="12">
          <cell r="A12">
            <v>2017</v>
          </cell>
          <cell r="B12">
            <v>562</v>
          </cell>
          <cell r="C12">
            <v>212</v>
          </cell>
          <cell r="D12">
            <v>2.9126213592232943</v>
          </cell>
          <cell r="E12">
            <v>350</v>
          </cell>
          <cell r="F12">
            <v>-2.5069637883008369</v>
          </cell>
          <cell r="H12">
            <v>-3</v>
          </cell>
          <cell r="I12">
            <v>6</v>
          </cell>
          <cell r="J12">
            <v>-9</v>
          </cell>
        </row>
        <row r="13">
          <cell r="A13">
            <v>2018</v>
          </cell>
          <cell r="B13">
            <v>520</v>
          </cell>
          <cell r="C13">
            <v>184</v>
          </cell>
          <cell r="D13">
            <v>-13.20754716981132</v>
          </cell>
          <cell r="E13">
            <v>336</v>
          </cell>
          <cell r="F13">
            <v>-4</v>
          </cell>
          <cell r="H13">
            <v>-42</v>
          </cell>
          <cell r="I13">
            <v>-28</v>
          </cell>
          <cell r="J13">
            <v>-14</v>
          </cell>
        </row>
        <row r="14">
          <cell r="A14">
            <v>2019</v>
          </cell>
          <cell r="B14">
            <v>528</v>
          </cell>
          <cell r="C14">
            <v>177</v>
          </cell>
          <cell r="D14">
            <v>-3.8043478260869534</v>
          </cell>
          <cell r="E14">
            <v>351</v>
          </cell>
          <cell r="F14">
            <v>4.4642857142857082</v>
          </cell>
          <cell r="H14">
            <v>8</v>
          </cell>
          <cell r="I14">
            <v>-7</v>
          </cell>
          <cell r="J14">
            <v>15</v>
          </cell>
        </row>
        <row r="15">
          <cell r="A15">
            <v>2020</v>
          </cell>
          <cell r="B15">
            <v>490</v>
          </cell>
          <cell r="C15">
            <v>168</v>
          </cell>
          <cell r="D15">
            <v>-5.0847457627118615</v>
          </cell>
          <cell r="E15">
            <v>322</v>
          </cell>
          <cell r="F15">
            <v>-8.2621082621082564</v>
          </cell>
          <cell r="H15">
            <v>-38</v>
          </cell>
          <cell r="I15">
            <v>-9</v>
          </cell>
          <cell r="J15">
            <v>-29</v>
          </cell>
        </row>
      </sheetData>
      <sheetData sheetId="88" refreshError="1"/>
      <sheetData sheetId="89">
        <row r="4">
          <cell r="A4" t="str">
            <v>Ano</v>
          </cell>
          <cell r="B4" t="str">
            <v>Quantitativo Geral de Servidores/Empregados Ativos</v>
          </cell>
          <cell r="C4" t="str">
            <v>% de aumento ou redução Quantitativo Geral</v>
          </cell>
          <cell r="D4" t="str">
            <v>Ativo Permanente</v>
          </cell>
          <cell r="F4" t="str">
            <v>Cedidos</v>
          </cell>
          <cell r="H4" t="str">
            <v>Anistiado</v>
          </cell>
          <cell r="J4" t="str">
            <v>Requisitado de Empresa</v>
          </cell>
          <cell r="L4" t="str">
            <v>Requisitado Órgãos</v>
          </cell>
          <cell r="N4" t="str">
            <v>Sem Vínculo</v>
          </cell>
          <cell r="P4" t="str">
            <v>Exercício Descentralizado</v>
          </cell>
          <cell r="R4" t="str">
            <v>Contrato Temporário</v>
          </cell>
        </row>
        <row r="5">
          <cell r="D5" t="str">
            <v>Qtd</v>
          </cell>
          <cell r="E5" t="str">
            <v>% de aumento ou redução Ativo Permanente</v>
          </cell>
          <cell r="F5" t="str">
            <v>Qtd</v>
          </cell>
          <cell r="G5" t="str">
            <v>% de aumento ou redução Cedidos</v>
          </cell>
          <cell r="H5" t="str">
            <v>Qtd</v>
          </cell>
          <cell r="I5" t="str">
            <v>% de aumento ou redução Anistiado</v>
          </cell>
          <cell r="J5" t="str">
            <v>Qtd</v>
          </cell>
          <cell r="K5" t="str">
            <v>% de aumento ou redução Requisitado de Empresa</v>
          </cell>
          <cell r="L5" t="str">
            <v>Qtd</v>
          </cell>
          <cell r="M5" t="str">
            <v>% de aumento ou redução Requisitado Órgãos</v>
          </cell>
          <cell r="N5" t="str">
            <v>Qtd</v>
          </cell>
          <cell r="O5" t="str">
            <v>% de aumento ou redução Sem Vínculo</v>
          </cell>
          <cell r="P5" t="str">
            <v>Qtd</v>
          </cell>
          <cell r="Q5" t="str">
            <v>% de aumento ou redução Exercício Descentralizado</v>
          </cell>
          <cell r="R5" t="str">
            <v>Qtd</v>
          </cell>
          <cell r="S5" t="str">
            <v>% de aumento ou redução Contrato Temporário</v>
          </cell>
        </row>
        <row r="6">
          <cell r="A6">
            <v>2009</v>
          </cell>
          <cell r="B6">
            <v>1105</v>
          </cell>
          <cell r="C6" t="str">
            <v>**</v>
          </cell>
          <cell r="D6">
            <v>307</v>
          </cell>
          <cell r="E6" t="str">
            <v>**</v>
          </cell>
          <cell r="F6">
            <v>100</v>
          </cell>
          <cell r="G6" t="str">
            <v>**</v>
          </cell>
          <cell r="H6">
            <v>419</v>
          </cell>
          <cell r="I6" t="str">
            <v>**</v>
          </cell>
          <cell r="J6">
            <v>47</v>
          </cell>
          <cell r="K6" t="str">
            <v>**</v>
          </cell>
          <cell r="L6">
            <v>34</v>
          </cell>
          <cell r="M6" t="str">
            <v>**</v>
          </cell>
          <cell r="N6">
            <v>161</v>
          </cell>
          <cell r="O6" t="str">
            <v>**</v>
          </cell>
          <cell r="P6">
            <v>37</v>
          </cell>
          <cell r="Q6" t="str">
            <v>**</v>
          </cell>
          <cell r="R6">
            <v>0</v>
          </cell>
          <cell r="S6" t="str">
            <v>**</v>
          </cell>
        </row>
        <row r="7">
          <cell r="A7">
            <v>2010</v>
          </cell>
          <cell r="B7">
            <v>1160</v>
          </cell>
          <cell r="C7">
            <v>4.9773755656108563</v>
          </cell>
          <cell r="D7">
            <v>305</v>
          </cell>
          <cell r="E7">
            <v>-0.65146579804560645</v>
          </cell>
          <cell r="F7">
            <v>100</v>
          </cell>
          <cell r="G7">
            <v>0</v>
          </cell>
          <cell r="H7">
            <v>437</v>
          </cell>
          <cell r="I7">
            <v>4.2959427207637191</v>
          </cell>
          <cell r="J7">
            <v>45</v>
          </cell>
          <cell r="K7">
            <v>-4.2553191489361666</v>
          </cell>
          <cell r="L7">
            <v>30</v>
          </cell>
          <cell r="M7">
            <v>-11.764705882352942</v>
          </cell>
          <cell r="N7">
            <v>158</v>
          </cell>
          <cell r="O7">
            <v>-1.8633540372670865</v>
          </cell>
          <cell r="P7">
            <v>85</v>
          </cell>
          <cell r="Q7">
            <v>129.72972972972974</v>
          </cell>
          <cell r="R7">
            <v>0</v>
          </cell>
          <cell r="S7" t="str">
            <v>**</v>
          </cell>
        </row>
        <row r="8">
          <cell r="A8">
            <v>2011</v>
          </cell>
          <cell r="B8">
            <v>1122</v>
          </cell>
          <cell r="C8">
            <v>-3.2758620689655231</v>
          </cell>
          <cell r="D8">
            <v>295</v>
          </cell>
          <cell r="E8">
            <v>-3.2786885245901658</v>
          </cell>
          <cell r="F8">
            <v>94</v>
          </cell>
          <cell r="G8">
            <v>-6</v>
          </cell>
          <cell r="H8">
            <v>438</v>
          </cell>
          <cell r="I8">
            <v>0.2288329519450798</v>
          </cell>
          <cell r="J8">
            <v>49</v>
          </cell>
          <cell r="K8">
            <v>8.8888888888888857</v>
          </cell>
          <cell r="L8">
            <v>32</v>
          </cell>
          <cell r="M8">
            <v>6.6666666666666714</v>
          </cell>
          <cell r="N8">
            <v>148</v>
          </cell>
          <cell r="O8">
            <v>-6.3291139240506311</v>
          </cell>
          <cell r="P8">
            <v>66</v>
          </cell>
          <cell r="Q8">
            <v>-22.352941176470594</v>
          </cell>
          <cell r="R8">
            <v>0</v>
          </cell>
          <cell r="S8" t="str">
            <v>**</v>
          </cell>
        </row>
        <row r="9">
          <cell r="A9">
            <v>2012</v>
          </cell>
          <cell r="B9">
            <v>1204</v>
          </cell>
          <cell r="C9">
            <v>7.3083778966131945</v>
          </cell>
          <cell r="D9">
            <v>218</v>
          </cell>
          <cell r="E9">
            <v>-26.101694915254242</v>
          </cell>
          <cell r="F9">
            <v>97</v>
          </cell>
          <cell r="G9">
            <v>3.1914893617021249</v>
          </cell>
          <cell r="H9">
            <v>519</v>
          </cell>
          <cell r="I9">
            <v>18.493150684931507</v>
          </cell>
          <cell r="J9">
            <v>52</v>
          </cell>
          <cell r="K9">
            <v>6.1224489795918373</v>
          </cell>
          <cell r="L9">
            <v>30</v>
          </cell>
          <cell r="M9">
            <v>-6.25</v>
          </cell>
          <cell r="N9">
            <v>150</v>
          </cell>
          <cell r="O9">
            <v>1.3513513513513544</v>
          </cell>
          <cell r="P9">
            <v>138</v>
          </cell>
          <cell r="Q9">
            <v>109.09090909090909</v>
          </cell>
          <cell r="R9">
            <v>0</v>
          </cell>
          <cell r="S9" t="str">
            <v>**</v>
          </cell>
        </row>
        <row r="10">
          <cell r="A10">
            <v>2013</v>
          </cell>
          <cell r="B10">
            <v>1203</v>
          </cell>
          <cell r="C10">
            <v>-8.3056478405310941E-2</v>
          </cell>
          <cell r="D10">
            <v>203</v>
          </cell>
          <cell r="E10">
            <v>-6.8807339449541303</v>
          </cell>
          <cell r="F10">
            <v>95</v>
          </cell>
          <cell r="G10">
            <v>-2.0618556701030997</v>
          </cell>
          <cell r="H10">
            <v>538</v>
          </cell>
          <cell r="I10">
            <v>3.6608863198458579</v>
          </cell>
          <cell r="J10">
            <v>48</v>
          </cell>
          <cell r="K10">
            <v>-7.6923076923076934</v>
          </cell>
          <cell r="L10">
            <v>32</v>
          </cell>
          <cell r="M10">
            <v>6.6666666666666714</v>
          </cell>
          <cell r="N10">
            <v>150</v>
          </cell>
          <cell r="O10">
            <v>0</v>
          </cell>
          <cell r="P10">
            <v>133</v>
          </cell>
          <cell r="Q10">
            <v>-3.6231884057970944</v>
          </cell>
          <cell r="R10">
            <v>4</v>
          </cell>
          <cell r="S10" t="str">
            <v>**</v>
          </cell>
        </row>
        <row r="11">
          <cell r="A11">
            <v>2014</v>
          </cell>
          <cell r="B11">
            <v>1190</v>
          </cell>
          <cell r="C11">
            <v>-1.0806317539484667</v>
          </cell>
          <cell r="D11">
            <v>199</v>
          </cell>
          <cell r="E11">
            <v>-1.970443349753694</v>
          </cell>
          <cell r="F11">
            <v>86</v>
          </cell>
          <cell r="G11">
            <v>-9.473684210526315</v>
          </cell>
          <cell r="H11">
            <v>546</v>
          </cell>
          <cell r="I11">
            <v>1.4869888475836461</v>
          </cell>
          <cell r="J11">
            <v>43</v>
          </cell>
          <cell r="K11">
            <v>-10.416666666666671</v>
          </cell>
          <cell r="L11">
            <v>37</v>
          </cell>
          <cell r="M11">
            <v>15.625</v>
          </cell>
          <cell r="N11">
            <v>154</v>
          </cell>
          <cell r="O11">
            <v>2.6666666666666714</v>
          </cell>
          <cell r="P11">
            <v>118</v>
          </cell>
          <cell r="Q11">
            <v>-11.278195488721806</v>
          </cell>
          <cell r="R11">
            <v>7</v>
          </cell>
          <cell r="S11">
            <v>75</v>
          </cell>
        </row>
        <row r="12">
          <cell r="A12">
            <v>2015</v>
          </cell>
          <cell r="B12">
            <v>1167</v>
          </cell>
          <cell r="C12">
            <v>-1.9327731092436977</v>
          </cell>
          <cell r="D12">
            <v>194</v>
          </cell>
          <cell r="E12">
            <v>-2.5125628140703498</v>
          </cell>
          <cell r="F12">
            <v>76</v>
          </cell>
          <cell r="G12">
            <v>-11.627906976744185</v>
          </cell>
          <cell r="H12">
            <v>556</v>
          </cell>
          <cell r="I12">
            <v>1.831501831501825</v>
          </cell>
          <cell r="J12">
            <v>41</v>
          </cell>
          <cell r="K12">
            <v>-4.6511627906976685</v>
          </cell>
          <cell r="L12">
            <v>32</v>
          </cell>
          <cell r="M12">
            <v>-13.513513513513516</v>
          </cell>
          <cell r="N12">
            <v>152</v>
          </cell>
          <cell r="O12">
            <v>-1.2987012987013031</v>
          </cell>
          <cell r="P12">
            <v>109</v>
          </cell>
          <cell r="Q12">
            <v>-7.6271186440677923</v>
          </cell>
          <cell r="R12">
            <v>7</v>
          </cell>
          <cell r="S12">
            <v>0</v>
          </cell>
        </row>
        <row r="13">
          <cell r="A13">
            <v>2016</v>
          </cell>
          <cell r="B13">
            <v>1116</v>
          </cell>
          <cell r="C13">
            <v>-4.370179948586113</v>
          </cell>
          <cell r="D13">
            <v>193</v>
          </cell>
          <cell r="E13">
            <v>-0.51546391752577847</v>
          </cell>
          <cell r="F13">
            <v>67</v>
          </cell>
          <cell r="G13">
            <v>-11.84210526315789</v>
          </cell>
          <cell r="H13">
            <v>561</v>
          </cell>
          <cell r="I13">
            <v>0.89928057553956364</v>
          </cell>
          <cell r="J13">
            <v>26</v>
          </cell>
          <cell r="K13">
            <v>-36.585365853658537</v>
          </cell>
          <cell r="L13">
            <v>28</v>
          </cell>
          <cell r="M13">
            <v>-12.5</v>
          </cell>
          <cell r="N13">
            <v>129</v>
          </cell>
          <cell r="O13">
            <v>-15.131578947368425</v>
          </cell>
          <cell r="P13">
            <v>105</v>
          </cell>
          <cell r="Q13">
            <v>-3.6697247706422047</v>
          </cell>
          <cell r="R13">
            <v>7</v>
          </cell>
          <cell r="S13">
            <v>0</v>
          </cell>
        </row>
        <row r="14">
          <cell r="A14">
            <v>2017</v>
          </cell>
          <cell r="B14">
            <v>1091</v>
          </cell>
          <cell r="C14">
            <v>-2.2401433691756267</v>
          </cell>
          <cell r="D14">
            <v>174</v>
          </cell>
          <cell r="E14">
            <v>-9.8445595854922345</v>
          </cell>
          <cell r="F14">
            <v>62</v>
          </cell>
          <cell r="G14">
            <v>-7.4626865671641838</v>
          </cell>
          <cell r="H14">
            <v>548</v>
          </cell>
          <cell r="I14">
            <v>-2.3172905525846659</v>
          </cell>
          <cell r="J14">
            <v>20</v>
          </cell>
          <cell r="K14">
            <v>-23.07692307692308</v>
          </cell>
          <cell r="L14">
            <v>37</v>
          </cell>
          <cell r="M14">
            <v>32.142857142857139</v>
          </cell>
          <cell r="N14">
            <v>137</v>
          </cell>
          <cell r="O14">
            <v>6.201550387596896</v>
          </cell>
          <cell r="P14">
            <v>104</v>
          </cell>
          <cell r="Q14">
            <v>-0.952380952380949</v>
          </cell>
          <cell r="R14">
            <v>9</v>
          </cell>
          <cell r="S14">
            <v>28.571428571428584</v>
          </cell>
        </row>
        <row r="15">
          <cell r="A15">
            <v>2018</v>
          </cell>
          <cell r="B15">
            <v>1046</v>
          </cell>
          <cell r="C15">
            <v>-4.1246562786434424</v>
          </cell>
          <cell r="D15">
            <v>162</v>
          </cell>
          <cell r="E15">
            <v>-6.8965517241379359</v>
          </cell>
          <cell r="F15">
            <v>58</v>
          </cell>
          <cell r="G15">
            <v>-6.4516129032258078</v>
          </cell>
          <cell r="H15">
            <v>529</v>
          </cell>
          <cell r="I15">
            <v>-3.4671532846715394</v>
          </cell>
          <cell r="J15">
            <v>12</v>
          </cell>
          <cell r="K15">
            <v>-40</v>
          </cell>
          <cell r="L15">
            <v>40</v>
          </cell>
          <cell r="M15">
            <v>8.1081081081081123</v>
          </cell>
          <cell r="N15">
            <v>138</v>
          </cell>
          <cell r="O15">
            <v>0.72992700729926696</v>
          </cell>
          <cell r="P15">
            <v>102</v>
          </cell>
          <cell r="Q15">
            <v>-1.9230769230769198</v>
          </cell>
          <cell r="R15">
            <v>5</v>
          </cell>
          <cell r="S15">
            <v>-44.444444444444443</v>
          </cell>
        </row>
        <row r="16">
          <cell r="A16">
            <v>2019</v>
          </cell>
          <cell r="B16">
            <v>1000</v>
          </cell>
          <cell r="C16">
            <v>-4.3977055449330749</v>
          </cell>
          <cell r="D16">
            <v>145</v>
          </cell>
          <cell r="E16">
            <v>-10.493827160493822</v>
          </cell>
          <cell r="F16">
            <v>47</v>
          </cell>
          <cell r="G16">
            <v>-18.965517241379317</v>
          </cell>
          <cell r="H16">
            <v>513</v>
          </cell>
          <cell r="I16">
            <v>-3.024574669187146</v>
          </cell>
          <cell r="J16">
            <v>9</v>
          </cell>
          <cell r="K16">
            <v>-25</v>
          </cell>
          <cell r="L16">
            <v>62</v>
          </cell>
          <cell r="M16">
            <v>55</v>
          </cell>
          <cell r="N16">
            <v>125</v>
          </cell>
          <cell r="O16">
            <v>-9.4202898550724683</v>
          </cell>
          <cell r="P16">
            <v>95</v>
          </cell>
          <cell r="Q16">
            <v>-6.8627450980392126</v>
          </cell>
          <cell r="R16">
            <v>4</v>
          </cell>
          <cell r="S16">
            <v>-20</v>
          </cell>
        </row>
        <row r="17">
          <cell r="A17">
            <v>2020</v>
          </cell>
          <cell r="B17">
            <v>954</v>
          </cell>
          <cell r="C17">
            <v>-4.5999999999999943</v>
          </cell>
          <cell r="D17">
            <v>137</v>
          </cell>
          <cell r="E17">
            <v>-5.5172413793103487</v>
          </cell>
          <cell r="F17">
            <v>32</v>
          </cell>
          <cell r="G17">
            <v>-31.914893617021278</v>
          </cell>
          <cell r="H17">
            <v>499</v>
          </cell>
          <cell r="I17">
            <v>-2.7290448343079987</v>
          </cell>
          <cell r="J17">
            <v>5</v>
          </cell>
          <cell r="K17">
            <v>-44.444444444444443</v>
          </cell>
          <cell r="L17">
            <v>71</v>
          </cell>
          <cell r="M17">
            <v>14.516129032258064</v>
          </cell>
          <cell r="N17">
            <v>119</v>
          </cell>
          <cell r="O17">
            <v>-4.7999999999999972</v>
          </cell>
          <cell r="P17">
            <v>88</v>
          </cell>
          <cell r="Q17">
            <v>-13.725490196078425</v>
          </cell>
          <cell r="R17">
            <v>3</v>
          </cell>
          <cell r="S17">
            <v>-25</v>
          </cell>
        </row>
      </sheetData>
      <sheetData sheetId="90" refreshError="1"/>
      <sheetData sheetId="91" refreshError="1"/>
      <sheetData sheetId="92" refreshError="1"/>
      <sheetData sheetId="93">
        <row r="4">
          <cell r="A4" t="str">
            <v>REMUNERAÇÃO DE CARGOS E FUNÇÕES GRATIFICADAS</v>
          </cell>
        </row>
        <row r="6">
          <cell r="A6" t="str">
            <v>Denominação</v>
          </cell>
          <cell r="B6" t="str">
            <v>Retribuição</v>
          </cell>
          <cell r="C6" t="str">
            <v>Opção</v>
          </cell>
        </row>
        <row r="8">
          <cell r="A8" t="str">
            <v>MINISTRO DE ESTADO</v>
          </cell>
          <cell r="B8">
            <v>30934.7</v>
          </cell>
          <cell r="C8" t="str">
            <v>***************</v>
          </cell>
        </row>
        <row r="10">
          <cell r="A10" t="str">
            <v>Obs: DECRETO LEGISLATIVO Nº 1658, DE 2014</v>
          </cell>
        </row>
        <row r="12">
          <cell r="A12" t="str">
            <v>CARGO DE NATUREZA ESPECIAL - NES</v>
          </cell>
        </row>
        <row r="13">
          <cell r="A13" t="str">
            <v>Denominação</v>
          </cell>
          <cell r="B13" t="str">
            <v>Retribuição</v>
          </cell>
          <cell r="C13" t="str">
            <v>Opção (60%¨)</v>
          </cell>
        </row>
        <row r="15">
          <cell r="A15" t="str">
            <v>SECRETÁRIO-EXECUTIVO</v>
          </cell>
          <cell r="B15">
            <v>17327.650000000001</v>
          </cell>
          <cell r="C15">
            <v>10396.59</v>
          </cell>
        </row>
        <row r="17">
          <cell r="A17" t="str">
            <v>Obs: A partir de janeiro/2017 (Lei nº 13.324, de 29/07/2016, D.O.U. de 29/07/2016)</v>
          </cell>
        </row>
        <row r="19">
          <cell r="A19" t="str">
            <v>GRUPO-DIREÇÃO E ASSESSORAMENTO SUPERIORES - DAS e</v>
          </cell>
        </row>
        <row r="20">
          <cell r="A20" t="str">
            <v>FUNÇÃO COMISSIONADA DO PODER EXECUTIVO - FCPE</v>
          </cell>
        </row>
        <row r="21">
          <cell r="A21" t="str">
            <v>Denominação</v>
          </cell>
          <cell r="B21" t="str">
            <v>Retribuição</v>
          </cell>
          <cell r="C21" t="str">
            <v>Opção (60%)</v>
          </cell>
        </row>
        <row r="23">
          <cell r="A23" t="str">
            <v>DAS/FCPE - 6</v>
          </cell>
          <cell r="B23">
            <v>16944.900000000001</v>
          </cell>
          <cell r="C23">
            <v>10166.94</v>
          </cell>
        </row>
        <row r="24">
          <cell r="A24" t="str">
            <v>DAS/FCPE - 5</v>
          </cell>
          <cell r="B24">
            <v>13623.39</v>
          </cell>
          <cell r="C24">
            <v>8174.0339999999997</v>
          </cell>
        </row>
        <row r="25">
          <cell r="A25" t="str">
            <v>DAS/FCPE - 4</v>
          </cell>
          <cell r="B25">
            <v>10373.299999999999</v>
          </cell>
          <cell r="C25">
            <v>6223.98</v>
          </cell>
        </row>
        <row r="26">
          <cell r="A26" t="str">
            <v>DAS/FCPE - 3</v>
          </cell>
          <cell r="B26">
            <v>5685.55</v>
          </cell>
          <cell r="C26">
            <v>3411.33</v>
          </cell>
        </row>
        <row r="27">
          <cell r="A27" t="str">
            <v>DAS/FCPE - 2</v>
          </cell>
          <cell r="B27">
            <v>3440.75</v>
          </cell>
          <cell r="C27">
            <v>2064.4499999999998</v>
          </cell>
        </row>
        <row r="28">
          <cell r="A28" t="str">
            <v>DAS/FCPE - 1</v>
          </cell>
          <cell r="B28">
            <v>2701.46</v>
          </cell>
          <cell r="C28">
            <v>1620.876</v>
          </cell>
        </row>
        <row r="30">
          <cell r="A30" t="str">
            <v>Obs: A partir de janeiro/2017 (Lei nº 13.324, de 29/07/2016, D.O.U. de 29/07/2016)</v>
          </cell>
        </row>
        <row r="32">
          <cell r="A32" t="str">
            <v>FUNÇÕES COMISSIONADAS TÉCNICAS - FCT</v>
          </cell>
        </row>
        <row r="33">
          <cell r="A33" t="str">
            <v>Denominação</v>
          </cell>
          <cell r="B33" t="str">
            <v>Retribuição</v>
          </cell>
          <cell r="C33" t="str">
            <v>Opção</v>
          </cell>
        </row>
        <row r="34">
          <cell r="C34" t="str">
            <v>Valor</v>
          </cell>
          <cell r="D34" t="str">
            <v>%</v>
          </cell>
        </row>
        <row r="36">
          <cell r="A36" t="str">
            <v>FCT 1</v>
          </cell>
          <cell r="B36">
            <v>6975.3</v>
          </cell>
          <cell r="C36">
            <v>2092.59</v>
          </cell>
          <cell r="D36">
            <v>0.3</v>
          </cell>
        </row>
        <row r="37">
          <cell r="A37" t="str">
            <v>FCT 2</v>
          </cell>
          <cell r="B37">
            <v>5850.43</v>
          </cell>
          <cell r="C37">
            <v>1755.1290000000001</v>
          </cell>
          <cell r="D37">
            <v>0.3</v>
          </cell>
        </row>
        <row r="38">
          <cell r="A38" t="str">
            <v>FCT 3</v>
          </cell>
          <cell r="B38">
            <v>4906.97</v>
          </cell>
          <cell r="C38">
            <v>1570.2304000000001</v>
          </cell>
          <cell r="D38">
            <v>0.32</v>
          </cell>
        </row>
        <row r="39">
          <cell r="A39" t="str">
            <v>FCT 4</v>
          </cell>
          <cell r="B39">
            <v>4115.66</v>
          </cell>
          <cell r="C39">
            <v>1399.3244</v>
          </cell>
          <cell r="D39">
            <v>0.34</v>
          </cell>
        </row>
        <row r="40">
          <cell r="A40" t="str">
            <v>FCT 5</v>
          </cell>
          <cell r="B40">
            <v>3451.94</v>
          </cell>
          <cell r="C40">
            <v>1277.2177999999999</v>
          </cell>
          <cell r="D40">
            <v>0.37</v>
          </cell>
        </row>
        <row r="41">
          <cell r="A41" t="str">
            <v>FCT 6</v>
          </cell>
          <cell r="B41">
            <v>2895.3</v>
          </cell>
          <cell r="C41">
            <v>1158.1200000000001</v>
          </cell>
          <cell r="D41">
            <v>0.4</v>
          </cell>
        </row>
        <row r="42">
          <cell r="A42" t="str">
            <v>FCT 7</v>
          </cell>
          <cell r="B42">
            <v>2428.37</v>
          </cell>
          <cell r="C42">
            <v>1068.4828</v>
          </cell>
          <cell r="D42">
            <v>0.44</v>
          </cell>
        </row>
        <row r="43">
          <cell r="A43" t="str">
            <v>FCT 8</v>
          </cell>
          <cell r="B43">
            <v>2036.77</v>
          </cell>
          <cell r="C43">
            <v>998.01729999999998</v>
          </cell>
          <cell r="D43">
            <v>0.49</v>
          </cell>
        </row>
        <row r="44">
          <cell r="A44" t="str">
            <v>FCT 9</v>
          </cell>
          <cell r="B44">
            <v>1708.3</v>
          </cell>
          <cell r="C44">
            <v>939.56500000000005</v>
          </cell>
          <cell r="D44">
            <v>0.55000000000000004</v>
          </cell>
        </row>
        <row r="45">
          <cell r="A45" t="str">
            <v>FCT 10</v>
          </cell>
          <cell r="B45">
            <v>1432.81</v>
          </cell>
          <cell r="C45">
            <v>888.34219999999993</v>
          </cell>
          <cell r="D45">
            <v>0.62</v>
          </cell>
        </row>
        <row r="46">
          <cell r="A46" t="str">
            <v>FCT 11</v>
          </cell>
          <cell r="B46">
            <v>1201.74</v>
          </cell>
          <cell r="C46">
            <v>841.21799999999996</v>
          </cell>
          <cell r="D46">
            <v>0.7</v>
          </cell>
        </row>
        <row r="47">
          <cell r="A47" t="str">
            <v>FCT 12</v>
          </cell>
          <cell r="B47">
            <v>1007.96</v>
          </cell>
          <cell r="C47">
            <v>806.36800000000005</v>
          </cell>
          <cell r="D47">
            <v>0.8</v>
          </cell>
        </row>
        <row r="48">
          <cell r="A48" t="str">
            <v>FCT 13</v>
          </cell>
          <cell r="B48">
            <v>845.41</v>
          </cell>
          <cell r="C48">
            <v>760.86900000000003</v>
          </cell>
          <cell r="D48">
            <v>0.9</v>
          </cell>
        </row>
        <row r="49">
          <cell r="A49" t="str">
            <v>FCT 14</v>
          </cell>
          <cell r="B49">
            <v>709.07</v>
          </cell>
          <cell r="C49">
            <v>709.07</v>
          </cell>
          <cell r="D49">
            <v>1</v>
          </cell>
        </row>
        <row r="50">
          <cell r="A50" t="str">
            <v>FCT 15</v>
          </cell>
          <cell r="B50">
            <v>594.74</v>
          </cell>
          <cell r="C50">
            <v>594.74</v>
          </cell>
          <cell r="D50">
            <v>1</v>
          </cell>
        </row>
        <row r="52">
          <cell r="A52" t="str">
            <v>Obs: A partir de janeiro/2017 (Lei nº 13.324, de 29/07/2016, D.O.U. de 29/07/2016)</v>
          </cell>
        </row>
        <row r="54">
          <cell r="A54" t="str">
            <v>FUNÇÃO GRATIFICADA (Lei nº 8.216, de 1991)</v>
          </cell>
        </row>
        <row r="55">
          <cell r="A55" t="str">
            <v>Denominação</v>
          </cell>
          <cell r="B55" t="str">
            <v>Retribuição</v>
          </cell>
        </row>
        <row r="56">
          <cell r="B56" t="str">
            <v>Vencimento</v>
          </cell>
          <cell r="C56" t="str">
            <v>Grat. At. Des.Função</v>
          </cell>
          <cell r="D56" t="str">
            <v>Total</v>
          </cell>
        </row>
        <row r="58">
          <cell r="A58" t="str">
            <v>FG - 1</v>
          </cell>
          <cell r="B58">
            <v>202.09</v>
          </cell>
          <cell r="C58">
            <v>335.46</v>
          </cell>
          <cell r="D58">
            <v>537.54999999999995</v>
          </cell>
        </row>
        <row r="59">
          <cell r="A59" t="str">
            <v>FG - 2</v>
          </cell>
          <cell r="B59">
            <v>155.47</v>
          </cell>
          <cell r="C59">
            <v>258.07</v>
          </cell>
          <cell r="D59">
            <v>413.53999999999996</v>
          </cell>
        </row>
        <row r="60">
          <cell r="A60" t="str">
            <v>FG - 3</v>
          </cell>
          <cell r="B60">
            <v>119.57</v>
          </cell>
          <cell r="C60">
            <v>198.5</v>
          </cell>
          <cell r="D60">
            <v>318.07</v>
          </cell>
        </row>
        <row r="62">
          <cell r="A62" t="str">
            <v>Obs: A partir de janeiro/2017 (Lei nº 13.324, de 29/07/2016, D.O.U. de 29/07/2016)</v>
          </cell>
        </row>
        <row r="64">
          <cell r="A64" t="str">
            <v>Gratificações Temporárias das Unidades dos Sistemas Estruturadores da Administração Pública Federal - GSISTE</v>
          </cell>
        </row>
        <row r="65">
          <cell r="A65" t="str">
            <v>Sistema Estruturador</v>
          </cell>
          <cell r="B65" t="str">
            <v>Nível</v>
          </cell>
          <cell r="C65" t="str">
            <v>Valor</v>
          </cell>
        </row>
        <row r="68">
          <cell r="A68" t="str">
            <v>SISG, SIPEC, SIGA, SPO, SCF, SAFF</v>
          </cell>
          <cell r="B68" t="str">
            <v>Intermediário</v>
          </cell>
          <cell r="C68">
            <v>2022</v>
          </cell>
        </row>
        <row r="69">
          <cell r="B69" t="str">
            <v>Superior</v>
          </cell>
          <cell r="C69">
            <v>3158</v>
          </cell>
        </row>
        <row r="70">
          <cell r="A70" t="str">
            <v>SISP</v>
          </cell>
          <cell r="B70" t="str">
            <v>Intermediário</v>
          </cell>
          <cell r="C70">
            <v>2751</v>
          </cell>
        </row>
        <row r="71">
          <cell r="B71" t="str">
            <v>Superior</v>
          </cell>
        </row>
      </sheetData>
      <sheetData sheetId="94" refreshError="1"/>
      <sheetData sheetId="95" refreshError="1"/>
      <sheetData sheetId="96" refreshError="1"/>
      <sheetData sheetId="97">
        <row r="3">
          <cell r="D3" t="str">
            <v>ASS</v>
          </cell>
          <cell r="F3" t="str">
            <v>M</v>
          </cell>
          <cell r="G3" t="str">
            <v>Sem Vínculo</v>
          </cell>
          <cell r="M3" t="str">
            <v>FA</v>
          </cell>
          <cell r="O3" t="str">
            <v>Branca</v>
          </cell>
        </row>
        <row r="4">
          <cell r="D4" t="str">
            <v>ASS</v>
          </cell>
          <cell r="F4" t="str">
            <v>M</v>
          </cell>
          <cell r="G4" t="str">
            <v>Sem Vínculo</v>
          </cell>
          <cell r="M4" t="str">
            <v>FA</v>
          </cell>
          <cell r="O4" t="str">
            <v>Branca</v>
          </cell>
        </row>
        <row r="5">
          <cell r="D5" t="str">
            <v>ASS</v>
          </cell>
          <cell r="F5" t="str">
            <v>F</v>
          </cell>
          <cell r="G5" t="str">
            <v>Requisitado Militar</v>
          </cell>
          <cell r="M5" t="str">
            <v>FA</v>
          </cell>
          <cell r="O5" t="str">
            <v>Branca</v>
          </cell>
        </row>
        <row r="6">
          <cell r="D6" t="str">
            <v>ASS</v>
          </cell>
          <cell r="F6" t="str">
            <v>M</v>
          </cell>
          <cell r="G6" t="str">
            <v>Sem Vínculo</v>
          </cell>
          <cell r="M6" t="str">
            <v>FA</v>
          </cell>
          <cell r="O6" t="str">
            <v>Parda</v>
          </cell>
        </row>
        <row r="7">
          <cell r="D7" t="str">
            <v>ASS</v>
          </cell>
          <cell r="F7" t="str">
            <v>M</v>
          </cell>
          <cell r="G7" t="str">
            <v>Sem Vínculo</v>
          </cell>
          <cell r="M7" t="str">
            <v>FA</v>
          </cell>
          <cell r="O7" t="str">
            <v>Parda</v>
          </cell>
        </row>
        <row r="8">
          <cell r="D8" t="str">
            <v>GER</v>
          </cell>
          <cell r="F8" t="str">
            <v>F</v>
          </cell>
          <cell r="G8" t="str">
            <v>Requisitado de Órgãos</v>
          </cell>
          <cell r="M8" t="str">
            <v>FA</v>
          </cell>
          <cell r="O8" t="str">
            <v>Branca</v>
          </cell>
        </row>
        <row r="9">
          <cell r="D9" t="str">
            <v>GER</v>
          </cell>
          <cell r="F9" t="str">
            <v>-</v>
          </cell>
          <cell r="G9" t="str">
            <v>-</v>
          </cell>
          <cell r="M9" t="str">
            <v>-</v>
          </cell>
          <cell r="O9" t="str">
            <v>-</v>
          </cell>
        </row>
        <row r="10">
          <cell r="D10" t="str">
            <v>ASS</v>
          </cell>
          <cell r="F10" t="str">
            <v>F</v>
          </cell>
          <cell r="G10" t="str">
            <v>Requisitado Militar</v>
          </cell>
          <cell r="M10" t="str">
            <v>FA</v>
          </cell>
          <cell r="O10" t="str">
            <v>Branca</v>
          </cell>
        </row>
        <row r="11">
          <cell r="D11" t="str">
            <v>ASS</v>
          </cell>
          <cell r="F11" t="str">
            <v>M</v>
          </cell>
          <cell r="G11" t="str">
            <v>Sem Vínculo</v>
          </cell>
          <cell r="M11" t="str">
            <v>FA</v>
          </cell>
          <cell r="O11" t="str">
            <v>Branca</v>
          </cell>
        </row>
        <row r="12">
          <cell r="D12" t="str">
            <v>ASS</v>
          </cell>
          <cell r="F12" t="str">
            <v>F</v>
          </cell>
          <cell r="G12" t="str">
            <v>Sem Vínculo</v>
          </cell>
          <cell r="M12" t="str">
            <v>FA</v>
          </cell>
          <cell r="O12" t="str">
            <v>Branca</v>
          </cell>
        </row>
        <row r="13">
          <cell r="D13" t="str">
            <v>ASS</v>
          </cell>
          <cell r="F13" t="str">
            <v>M</v>
          </cell>
          <cell r="G13" t="str">
            <v>Sem Vínculo</v>
          </cell>
          <cell r="M13" t="str">
            <v>FA</v>
          </cell>
          <cell r="O13" t="str">
            <v>Branca</v>
          </cell>
        </row>
        <row r="14">
          <cell r="D14" t="str">
            <v>ASS</v>
          </cell>
          <cell r="F14" t="str">
            <v>M</v>
          </cell>
          <cell r="G14" t="str">
            <v>Requisitado de Órgãos</v>
          </cell>
          <cell r="M14" t="str">
            <v>FA</v>
          </cell>
          <cell r="O14" t="str">
            <v>Branca</v>
          </cell>
        </row>
        <row r="15">
          <cell r="D15" t="str">
            <v>ASS</v>
          </cell>
          <cell r="F15" t="str">
            <v>-</v>
          </cell>
          <cell r="G15" t="str">
            <v>-</v>
          </cell>
          <cell r="M15" t="str">
            <v>-</v>
          </cell>
          <cell r="O15" t="str">
            <v>-</v>
          </cell>
        </row>
        <row r="16">
          <cell r="D16" t="str">
            <v>ASS</v>
          </cell>
          <cell r="F16" t="str">
            <v>-</v>
          </cell>
          <cell r="G16" t="str">
            <v>-</v>
          </cell>
          <cell r="M16" t="str">
            <v>-</v>
          </cell>
          <cell r="O16" t="str">
            <v>-</v>
          </cell>
        </row>
        <row r="17">
          <cell r="D17" t="str">
            <v>ASS</v>
          </cell>
          <cell r="F17" t="str">
            <v>-</v>
          </cell>
          <cell r="G17" t="str">
            <v>-</v>
          </cell>
          <cell r="M17" t="str">
            <v>-</v>
          </cell>
          <cell r="O17" t="str">
            <v>-</v>
          </cell>
        </row>
        <row r="18">
          <cell r="D18" t="str">
            <v>ASS</v>
          </cell>
          <cell r="F18" t="str">
            <v>F</v>
          </cell>
          <cell r="G18" t="str">
            <v>Requisitado de Órgãos</v>
          </cell>
          <cell r="M18" t="str">
            <v>FA</v>
          </cell>
          <cell r="O18" t="str">
            <v>Branca</v>
          </cell>
        </row>
        <row r="19">
          <cell r="D19" t="str">
            <v>ASS</v>
          </cell>
          <cell r="F19" t="str">
            <v>-</v>
          </cell>
          <cell r="G19" t="str">
            <v>-</v>
          </cell>
          <cell r="M19" t="str">
            <v>-</v>
          </cell>
          <cell r="O19" t="str">
            <v>-</v>
          </cell>
        </row>
        <row r="20">
          <cell r="D20" t="str">
            <v>GER</v>
          </cell>
          <cell r="F20" t="str">
            <v>M</v>
          </cell>
          <cell r="G20" t="str">
            <v>Sem Vínculo</v>
          </cell>
          <cell r="M20" t="str">
            <v>FA</v>
          </cell>
          <cell r="O20" t="str">
            <v>Parda</v>
          </cell>
        </row>
        <row r="21">
          <cell r="D21" t="str">
            <v>ASS</v>
          </cell>
          <cell r="F21" t="str">
            <v>M</v>
          </cell>
          <cell r="G21" t="str">
            <v>Requisitado Militar</v>
          </cell>
          <cell r="M21" t="str">
            <v>FA</v>
          </cell>
          <cell r="O21" t="str">
            <v>Branca</v>
          </cell>
        </row>
        <row r="22">
          <cell r="D22" t="str">
            <v>ASS</v>
          </cell>
          <cell r="F22" t="str">
            <v>M</v>
          </cell>
          <cell r="G22" t="str">
            <v>Requisitado Militar</v>
          </cell>
          <cell r="M22" t="str">
            <v>FA</v>
          </cell>
          <cell r="O22" t="str">
            <v>Parda</v>
          </cell>
        </row>
        <row r="23">
          <cell r="D23" t="str">
            <v>ASS</v>
          </cell>
          <cell r="F23" t="str">
            <v>M</v>
          </cell>
          <cell r="G23" t="str">
            <v>Ativo Permanente</v>
          </cell>
          <cell r="M23" t="str">
            <v>DIR</v>
          </cell>
          <cell r="O23" t="str">
            <v>Parda</v>
          </cell>
        </row>
        <row r="24">
          <cell r="D24" t="str">
            <v>ASS</v>
          </cell>
          <cell r="F24" t="str">
            <v>F</v>
          </cell>
          <cell r="G24" t="str">
            <v>Ativo Permanente</v>
          </cell>
          <cell r="M24" t="str">
            <v>DIR</v>
          </cell>
          <cell r="O24" t="str">
            <v>Branca</v>
          </cell>
        </row>
        <row r="25">
          <cell r="D25" t="str">
            <v>ASS</v>
          </cell>
          <cell r="F25" t="str">
            <v>M</v>
          </cell>
          <cell r="G25" t="str">
            <v>Exercício Descentralizado</v>
          </cell>
          <cell r="M25" t="str">
            <v>FA</v>
          </cell>
          <cell r="O25" t="str">
            <v>Branca</v>
          </cell>
        </row>
        <row r="26">
          <cell r="D26" t="str">
            <v>GER</v>
          </cell>
          <cell r="F26" t="str">
            <v>M</v>
          </cell>
          <cell r="G26" t="str">
            <v>Sem Vínculo</v>
          </cell>
          <cell r="M26" t="str">
            <v>FA</v>
          </cell>
          <cell r="O26" t="str">
            <v>Branca</v>
          </cell>
        </row>
        <row r="27">
          <cell r="D27" t="str">
            <v>ASS</v>
          </cell>
          <cell r="F27" t="str">
            <v>M</v>
          </cell>
          <cell r="G27" t="str">
            <v>Ativo Permanente</v>
          </cell>
          <cell r="M27" t="str">
            <v>FA</v>
          </cell>
          <cell r="O27" t="str">
            <v>Parda</v>
          </cell>
        </row>
        <row r="28">
          <cell r="D28" t="str">
            <v>GER</v>
          </cell>
          <cell r="F28" t="str">
            <v>M</v>
          </cell>
          <cell r="G28" t="str">
            <v>Ativo Permanente</v>
          </cell>
          <cell r="M28" t="str">
            <v>FA</v>
          </cell>
          <cell r="O28" t="str">
            <v>Parda</v>
          </cell>
        </row>
        <row r="29">
          <cell r="D29" t="str">
            <v>ASS</v>
          </cell>
          <cell r="F29" t="str">
            <v>M</v>
          </cell>
          <cell r="G29" t="str">
            <v>Ativo Permanente</v>
          </cell>
          <cell r="M29" t="str">
            <v>DIR</v>
          </cell>
          <cell r="O29" t="str">
            <v>Parda</v>
          </cell>
        </row>
        <row r="30">
          <cell r="D30" t="str">
            <v>ASS</v>
          </cell>
          <cell r="F30" t="str">
            <v>M</v>
          </cell>
          <cell r="G30" t="str">
            <v>Sem Vínculo</v>
          </cell>
          <cell r="M30" t="str">
            <v>DIR</v>
          </cell>
          <cell r="O30" t="str">
            <v>Branca</v>
          </cell>
        </row>
        <row r="31">
          <cell r="D31" t="str">
            <v>ASS</v>
          </cell>
          <cell r="F31" t="str">
            <v>M</v>
          </cell>
          <cell r="G31" t="str">
            <v>Ativo Permanente</v>
          </cell>
          <cell r="M31" t="str">
            <v>DIR</v>
          </cell>
          <cell r="O31" t="str">
            <v>Parda</v>
          </cell>
        </row>
        <row r="32">
          <cell r="D32" t="str">
            <v>ASS</v>
          </cell>
          <cell r="F32" t="str">
            <v>M</v>
          </cell>
          <cell r="G32" t="str">
            <v>Ativo Permanente</v>
          </cell>
          <cell r="M32" t="str">
            <v>FA</v>
          </cell>
          <cell r="O32" t="str">
            <v>Preta</v>
          </cell>
        </row>
        <row r="33">
          <cell r="D33" t="str">
            <v>ASS</v>
          </cell>
          <cell r="F33" t="str">
            <v>M</v>
          </cell>
          <cell r="G33" t="str">
            <v>Ativo Permanente</v>
          </cell>
          <cell r="M33" t="str">
            <v>FA</v>
          </cell>
          <cell r="O33" t="str">
            <v>Branca</v>
          </cell>
        </row>
        <row r="34">
          <cell r="D34" t="str">
            <v>ASS</v>
          </cell>
          <cell r="F34" t="str">
            <v>F</v>
          </cell>
          <cell r="G34" t="str">
            <v>Requisitado de Órgãos</v>
          </cell>
          <cell r="M34" t="str">
            <v>FA</v>
          </cell>
          <cell r="O34" t="str">
            <v>Parda</v>
          </cell>
        </row>
        <row r="35">
          <cell r="D35" t="str">
            <v>GER</v>
          </cell>
          <cell r="F35" t="str">
            <v>F</v>
          </cell>
          <cell r="G35" t="str">
            <v>Sem Vínculo</v>
          </cell>
          <cell r="M35" t="str">
            <v>FA</v>
          </cell>
          <cell r="O35" t="str">
            <v>Branca</v>
          </cell>
        </row>
        <row r="36">
          <cell r="D36" t="str">
            <v>ASS</v>
          </cell>
          <cell r="F36" t="str">
            <v>F</v>
          </cell>
          <cell r="G36" t="str">
            <v>Sem Vínculo</v>
          </cell>
          <cell r="M36" t="str">
            <v>FA</v>
          </cell>
          <cell r="O36" t="str">
            <v>Parda</v>
          </cell>
        </row>
        <row r="37">
          <cell r="D37" t="str">
            <v>ASS</v>
          </cell>
          <cell r="F37" t="str">
            <v>M</v>
          </cell>
          <cell r="G37" t="str">
            <v>Ativo Permanente</v>
          </cell>
          <cell r="M37" t="str">
            <v>FA</v>
          </cell>
          <cell r="O37" t="str">
            <v>Branca</v>
          </cell>
        </row>
        <row r="38">
          <cell r="D38" t="str">
            <v>ASS</v>
          </cell>
          <cell r="F38" t="str">
            <v>F</v>
          </cell>
          <cell r="G38" t="str">
            <v>Sem Vínculo</v>
          </cell>
          <cell r="M38" t="str">
            <v>FA</v>
          </cell>
          <cell r="O38" t="str">
            <v>Parda</v>
          </cell>
        </row>
        <row r="39">
          <cell r="D39" t="str">
            <v>ASS</v>
          </cell>
          <cell r="F39" t="str">
            <v>F</v>
          </cell>
          <cell r="G39" t="str">
            <v>Sem Vínculo</v>
          </cell>
          <cell r="M39" t="str">
            <v>FA</v>
          </cell>
          <cell r="O39" t="str">
            <v>Branca</v>
          </cell>
        </row>
        <row r="40">
          <cell r="D40" t="str">
            <v>ASS</v>
          </cell>
          <cell r="F40" t="str">
            <v>F</v>
          </cell>
          <cell r="G40" t="str">
            <v>Sem Vínculo</v>
          </cell>
          <cell r="M40" t="str">
            <v>FA</v>
          </cell>
          <cell r="O40" t="str">
            <v>Parda</v>
          </cell>
        </row>
        <row r="41">
          <cell r="D41" t="str">
            <v>GER</v>
          </cell>
          <cell r="F41" t="str">
            <v>M</v>
          </cell>
          <cell r="G41" t="str">
            <v>Sem Vínculo</v>
          </cell>
          <cell r="M41" t="str">
            <v>FA</v>
          </cell>
          <cell r="O41" t="str">
            <v>Branca</v>
          </cell>
        </row>
        <row r="42">
          <cell r="D42" t="str">
            <v>ASS</v>
          </cell>
          <cell r="F42" t="str">
            <v>M</v>
          </cell>
          <cell r="G42" t="str">
            <v>Sem Vínculo</v>
          </cell>
          <cell r="M42" t="str">
            <v>FA</v>
          </cell>
          <cell r="O42" t="str">
            <v>Parda</v>
          </cell>
        </row>
        <row r="43">
          <cell r="D43" t="str">
            <v>ASS</v>
          </cell>
          <cell r="F43" t="str">
            <v>F</v>
          </cell>
          <cell r="G43" t="str">
            <v>Sem Vínculo</v>
          </cell>
          <cell r="M43" t="str">
            <v>FA</v>
          </cell>
          <cell r="O43" t="str">
            <v>Parda</v>
          </cell>
        </row>
        <row r="44">
          <cell r="D44" t="str">
            <v>ASS</v>
          </cell>
          <cell r="F44" t="str">
            <v>F</v>
          </cell>
          <cell r="G44" t="str">
            <v>Sem Vínculo</v>
          </cell>
          <cell r="M44" t="str">
            <v>FA</v>
          </cell>
          <cell r="O44" t="str">
            <v>Branca</v>
          </cell>
        </row>
        <row r="45">
          <cell r="D45" t="str">
            <v>ASS</v>
          </cell>
          <cell r="F45" t="str">
            <v>F</v>
          </cell>
          <cell r="G45" t="str">
            <v>Sem Vínculo</v>
          </cell>
          <cell r="M45" t="str">
            <v>FA</v>
          </cell>
          <cell r="O45" t="str">
            <v>Parda</v>
          </cell>
        </row>
        <row r="46">
          <cell r="D46" t="str">
            <v>GER</v>
          </cell>
          <cell r="F46" t="str">
            <v>F</v>
          </cell>
          <cell r="G46" t="str">
            <v>Requisitado de Órgãos</v>
          </cell>
          <cell r="M46" t="str">
            <v>FA</v>
          </cell>
          <cell r="O46" t="str">
            <v>Branca</v>
          </cell>
        </row>
        <row r="47">
          <cell r="D47" t="str">
            <v>ASS</v>
          </cell>
          <cell r="F47" t="str">
            <v>M</v>
          </cell>
          <cell r="G47" t="str">
            <v>Sem Vínculo</v>
          </cell>
          <cell r="M47" t="str">
            <v>FA</v>
          </cell>
          <cell r="O47" t="str">
            <v>Parda</v>
          </cell>
        </row>
        <row r="48">
          <cell r="D48" t="str">
            <v>ASS</v>
          </cell>
          <cell r="F48" t="str">
            <v>F</v>
          </cell>
          <cell r="G48" t="str">
            <v>Sem Vínculo</v>
          </cell>
          <cell r="M48" t="str">
            <v>FA</v>
          </cell>
          <cell r="O48" t="str">
            <v>Parda</v>
          </cell>
        </row>
        <row r="49">
          <cell r="D49" t="str">
            <v>ASS</v>
          </cell>
          <cell r="F49" t="str">
            <v>F</v>
          </cell>
          <cell r="G49" t="str">
            <v>Sem Vínculo</v>
          </cell>
          <cell r="M49" t="str">
            <v>FA</v>
          </cell>
          <cell r="O49" t="str">
            <v>Parda</v>
          </cell>
        </row>
        <row r="50">
          <cell r="D50" t="str">
            <v>ASS</v>
          </cell>
          <cell r="F50" t="str">
            <v>F</v>
          </cell>
          <cell r="G50" t="str">
            <v>Sem Vínculo</v>
          </cell>
          <cell r="M50" t="str">
            <v>FA</v>
          </cell>
          <cell r="O50" t="str">
            <v>Preta</v>
          </cell>
        </row>
        <row r="51">
          <cell r="D51" t="str">
            <v>GER</v>
          </cell>
          <cell r="F51" t="str">
            <v>F</v>
          </cell>
          <cell r="G51" t="str">
            <v>Requisitado de Órgãos</v>
          </cell>
          <cell r="M51" t="str">
            <v>FA</v>
          </cell>
          <cell r="O51" t="str">
            <v>Branca</v>
          </cell>
        </row>
        <row r="52">
          <cell r="D52" t="str">
            <v>ASS</v>
          </cell>
          <cell r="F52" t="str">
            <v>M</v>
          </cell>
          <cell r="G52" t="str">
            <v>Sem Vínculo</v>
          </cell>
          <cell r="M52" t="str">
            <v>FA</v>
          </cell>
          <cell r="O52" t="str">
            <v>Parda</v>
          </cell>
        </row>
        <row r="53">
          <cell r="D53" t="str">
            <v>ASS</v>
          </cell>
          <cell r="F53" t="str">
            <v>M</v>
          </cell>
          <cell r="G53" t="str">
            <v>Exercício Descentralizado</v>
          </cell>
          <cell r="M53" t="str">
            <v>FA</v>
          </cell>
          <cell r="O53" t="str">
            <v>Parda</v>
          </cell>
        </row>
      </sheetData>
      <sheetData sheetId="98">
        <row r="3">
          <cell r="D3" t="str">
            <v>GER</v>
          </cell>
          <cell r="F3" t="str">
            <v>M</v>
          </cell>
          <cell r="G3" t="str">
            <v>Requisitado Militar</v>
          </cell>
          <cell r="M3" t="str">
            <v>FA</v>
          </cell>
          <cell r="O3" t="str">
            <v>Parda</v>
          </cell>
        </row>
        <row r="4">
          <cell r="D4" t="str">
            <v>ASS</v>
          </cell>
          <cell r="F4" t="str">
            <v>M</v>
          </cell>
          <cell r="G4" t="str">
            <v>Requisitado Militar</v>
          </cell>
          <cell r="M4" t="str">
            <v>FA</v>
          </cell>
          <cell r="O4" t="str">
            <v>Branca</v>
          </cell>
        </row>
        <row r="5">
          <cell r="D5" t="str">
            <v>ASS</v>
          </cell>
          <cell r="F5" t="str">
            <v>F</v>
          </cell>
          <cell r="G5" t="str">
            <v>Requisitado Militar</v>
          </cell>
          <cell r="M5" t="str">
            <v>FA</v>
          </cell>
          <cell r="O5" t="str">
            <v>Branca</v>
          </cell>
        </row>
        <row r="6">
          <cell r="D6" t="str">
            <v>ASS</v>
          </cell>
          <cell r="F6" t="str">
            <v>M</v>
          </cell>
          <cell r="G6" t="str">
            <v>Requisitado Militar</v>
          </cell>
          <cell r="M6" t="str">
            <v>FA</v>
          </cell>
          <cell r="O6" t="str">
            <v>Parda</v>
          </cell>
        </row>
      </sheetData>
      <sheetData sheetId="99">
        <row r="3">
          <cell r="D3" t="str">
            <v>GER</v>
          </cell>
          <cell r="F3" t="str">
            <v>F</v>
          </cell>
          <cell r="G3" t="str">
            <v>Sem Vínculo</v>
          </cell>
          <cell r="M3" t="str">
            <v>FA</v>
          </cell>
          <cell r="O3" t="str">
            <v>Branca</v>
          </cell>
        </row>
        <row r="4">
          <cell r="D4" t="str">
            <v>GER</v>
          </cell>
          <cell r="F4" t="str">
            <v>M</v>
          </cell>
          <cell r="G4" t="str">
            <v>Requisitado de Órgãos</v>
          </cell>
          <cell r="M4" t="str">
            <v>FA</v>
          </cell>
          <cell r="O4" t="str">
            <v>Parda</v>
          </cell>
        </row>
        <row r="5">
          <cell r="D5" t="str">
            <v>GER</v>
          </cell>
          <cell r="F5" t="str">
            <v>M</v>
          </cell>
          <cell r="G5" t="str">
            <v>Requisitado de Empresa</v>
          </cell>
          <cell r="M5" t="str">
            <v>FA</v>
          </cell>
          <cell r="O5" t="str">
            <v>Parda</v>
          </cell>
        </row>
        <row r="6">
          <cell r="D6" t="str">
            <v>GER</v>
          </cell>
          <cell r="F6" t="str">
            <v>F</v>
          </cell>
          <cell r="G6" t="str">
            <v>Requisitado de Órgãos</v>
          </cell>
          <cell r="M6" t="str">
            <v>FA</v>
          </cell>
          <cell r="O6" t="str">
            <v>Branca</v>
          </cell>
        </row>
        <row r="7">
          <cell r="D7" t="str">
            <v>ASS</v>
          </cell>
          <cell r="F7" t="str">
            <v>M</v>
          </cell>
          <cell r="G7" t="str">
            <v>Sem Vínculo</v>
          </cell>
          <cell r="M7" t="str">
            <v>FA</v>
          </cell>
          <cell r="O7" t="str">
            <v>Parda</v>
          </cell>
        </row>
        <row r="8">
          <cell r="D8" t="str">
            <v>ASS</v>
          </cell>
          <cell r="F8" t="str">
            <v>M</v>
          </cell>
          <cell r="G8" t="str">
            <v>Sem Vínculo</v>
          </cell>
          <cell r="M8" t="str">
            <v>FA</v>
          </cell>
          <cell r="O8" t="str">
            <v>Branca</v>
          </cell>
        </row>
        <row r="9">
          <cell r="D9" t="str">
            <v>ASS</v>
          </cell>
          <cell r="F9" t="str">
            <v>M</v>
          </cell>
          <cell r="G9" t="str">
            <v>Requisitado de Órgãos</v>
          </cell>
          <cell r="M9" t="str">
            <v>FA</v>
          </cell>
          <cell r="O9" t="str">
            <v>Amarela</v>
          </cell>
        </row>
        <row r="10">
          <cell r="D10" t="str">
            <v>ASS</v>
          </cell>
          <cell r="F10" t="str">
            <v>M</v>
          </cell>
          <cell r="G10" t="str">
            <v>Requisitado de Órgãos</v>
          </cell>
          <cell r="M10" t="str">
            <v>FA</v>
          </cell>
          <cell r="O10" t="str">
            <v>Branca</v>
          </cell>
        </row>
        <row r="11">
          <cell r="D11" t="str">
            <v>ASS</v>
          </cell>
          <cell r="F11" t="str">
            <v>M</v>
          </cell>
          <cell r="G11" t="str">
            <v>Ativo Permanente</v>
          </cell>
          <cell r="M11" t="str">
            <v>FA</v>
          </cell>
          <cell r="O11" t="str">
            <v>Branca</v>
          </cell>
        </row>
        <row r="12">
          <cell r="D12" t="str">
            <v>ASS</v>
          </cell>
          <cell r="F12" t="str">
            <v>F</v>
          </cell>
          <cell r="G12" t="str">
            <v>Sem Vínculo</v>
          </cell>
          <cell r="M12" t="str">
            <v>FA</v>
          </cell>
          <cell r="O12" t="str">
            <v>Parda</v>
          </cell>
        </row>
        <row r="13">
          <cell r="D13" t="str">
            <v>ASS</v>
          </cell>
          <cell r="F13" t="str">
            <v>F</v>
          </cell>
          <cell r="G13" t="str">
            <v>Sem Vínculo</v>
          </cell>
          <cell r="M13" t="str">
            <v>FA</v>
          </cell>
          <cell r="O13" t="str">
            <v>Branca</v>
          </cell>
        </row>
        <row r="14">
          <cell r="D14" t="str">
            <v>ASS</v>
          </cell>
          <cell r="F14" t="str">
            <v>F</v>
          </cell>
          <cell r="G14" t="str">
            <v>Sem Vínculo</v>
          </cell>
          <cell r="M14" t="str">
            <v>FA</v>
          </cell>
          <cell r="O14" t="str">
            <v>Branca</v>
          </cell>
        </row>
        <row r="15">
          <cell r="D15" t="str">
            <v>GER</v>
          </cell>
          <cell r="F15" t="str">
            <v>F</v>
          </cell>
          <cell r="G15" t="str">
            <v>Sem Vínculo</v>
          </cell>
          <cell r="M15" t="str">
            <v>FA</v>
          </cell>
          <cell r="O15" t="str">
            <v>Branca</v>
          </cell>
        </row>
        <row r="16">
          <cell r="D16" t="str">
            <v>ASS</v>
          </cell>
          <cell r="F16" t="str">
            <v>F</v>
          </cell>
          <cell r="G16" t="str">
            <v>Sem Vínculo</v>
          </cell>
          <cell r="M16" t="str">
            <v>FA</v>
          </cell>
          <cell r="O16" t="str">
            <v>Branca</v>
          </cell>
        </row>
        <row r="17">
          <cell r="D17" t="str">
            <v>ASS</v>
          </cell>
          <cell r="F17" t="str">
            <v>F</v>
          </cell>
          <cell r="G17" t="str">
            <v>Sem Vínculo</v>
          </cell>
          <cell r="M17" t="str">
            <v>FA</v>
          </cell>
          <cell r="O17" t="str">
            <v>Branca</v>
          </cell>
        </row>
        <row r="18">
          <cell r="D18" t="str">
            <v>ASS</v>
          </cell>
          <cell r="F18" t="str">
            <v>F</v>
          </cell>
          <cell r="G18" t="str">
            <v>Sem Vínculo</v>
          </cell>
          <cell r="M18" t="str">
            <v>FA</v>
          </cell>
          <cell r="O18" t="str">
            <v>Branca</v>
          </cell>
        </row>
        <row r="19">
          <cell r="D19" t="str">
            <v>ASS</v>
          </cell>
          <cell r="F19" t="str">
            <v>F</v>
          </cell>
          <cell r="G19" t="str">
            <v>Ativo Permanente</v>
          </cell>
          <cell r="M19" t="str">
            <v>FA</v>
          </cell>
          <cell r="O19" t="str">
            <v>Parda</v>
          </cell>
        </row>
        <row r="20">
          <cell r="D20" t="str">
            <v>ASS</v>
          </cell>
          <cell r="F20" t="str">
            <v>F</v>
          </cell>
          <cell r="G20" t="str">
            <v>Requisitado de Órgãos</v>
          </cell>
          <cell r="M20" t="str">
            <v>FA</v>
          </cell>
          <cell r="O20" t="str">
            <v>Branca</v>
          </cell>
        </row>
        <row r="21">
          <cell r="D21" t="str">
            <v>ASS</v>
          </cell>
          <cell r="F21" t="str">
            <v>M</v>
          </cell>
          <cell r="G21" t="str">
            <v>Ativo Permanente</v>
          </cell>
          <cell r="M21" t="str">
            <v>DIR</v>
          </cell>
          <cell r="O21" t="str">
            <v>Branca</v>
          </cell>
        </row>
        <row r="22">
          <cell r="D22" t="str">
            <v>GER</v>
          </cell>
          <cell r="F22" t="str">
            <v>M</v>
          </cell>
          <cell r="G22" t="str">
            <v>Sem Vínculo</v>
          </cell>
          <cell r="M22" t="str">
            <v>FA</v>
          </cell>
          <cell r="O22" t="str">
            <v>Branca</v>
          </cell>
        </row>
        <row r="23">
          <cell r="D23" t="str">
            <v>ASS</v>
          </cell>
          <cell r="F23" t="str">
            <v>M</v>
          </cell>
          <cell r="G23" t="str">
            <v>Sem Vínculo</v>
          </cell>
          <cell r="M23" t="str">
            <v>FA</v>
          </cell>
          <cell r="O23" t="str">
            <v>Branca</v>
          </cell>
        </row>
        <row r="24">
          <cell r="D24" t="str">
            <v>ASS</v>
          </cell>
          <cell r="F24" t="str">
            <v>F</v>
          </cell>
          <cell r="G24" t="str">
            <v>Sem Vínculo</v>
          </cell>
          <cell r="M24" t="str">
            <v>FA</v>
          </cell>
          <cell r="O24" t="str">
            <v>Branca</v>
          </cell>
        </row>
        <row r="25">
          <cell r="D25" t="str">
            <v>GER</v>
          </cell>
          <cell r="F25" t="str">
            <v>M</v>
          </cell>
          <cell r="G25" t="str">
            <v>Sem Vínculo</v>
          </cell>
          <cell r="M25" t="str">
            <v>FA</v>
          </cell>
          <cell r="O25" t="str">
            <v>Branca</v>
          </cell>
        </row>
        <row r="26">
          <cell r="D26" t="str">
            <v>GER</v>
          </cell>
          <cell r="F26" t="str">
            <v>M</v>
          </cell>
          <cell r="G26" t="str">
            <v>Ativo Permanente</v>
          </cell>
          <cell r="M26" t="str">
            <v>FA</v>
          </cell>
          <cell r="O26" t="str">
            <v>Parda</v>
          </cell>
        </row>
        <row r="27">
          <cell r="D27" t="str">
            <v>GER</v>
          </cell>
          <cell r="F27" t="str">
            <v>M</v>
          </cell>
          <cell r="G27" t="str">
            <v>Exercício Descentralizado</v>
          </cell>
          <cell r="M27" t="str">
            <v>FA</v>
          </cell>
          <cell r="O27" t="str">
            <v>Branca</v>
          </cell>
        </row>
        <row r="28">
          <cell r="D28" t="str">
            <v>ASS</v>
          </cell>
          <cell r="F28" t="str">
            <v>M</v>
          </cell>
          <cell r="G28" t="str">
            <v>Sem Vínculo</v>
          </cell>
          <cell r="M28" t="str">
            <v>FA</v>
          </cell>
          <cell r="O28" t="str">
            <v>Branca</v>
          </cell>
        </row>
        <row r="30">
          <cell r="D30" t="str">
            <v>ASS</v>
          </cell>
          <cell r="F30" t="str">
            <v>M</v>
          </cell>
          <cell r="G30" t="str">
            <v>Sem Vínculo</v>
          </cell>
          <cell r="M30" t="str">
            <v>FA</v>
          </cell>
          <cell r="O30" t="str">
            <v>Branca</v>
          </cell>
        </row>
        <row r="31">
          <cell r="D31" t="str">
            <v>GER</v>
          </cell>
          <cell r="F31" t="str">
            <v>F</v>
          </cell>
          <cell r="G31" t="str">
            <v>Exercício Descentralizado</v>
          </cell>
          <cell r="M31" t="str">
            <v>FA</v>
          </cell>
          <cell r="O31" t="str">
            <v>Branca</v>
          </cell>
        </row>
        <row r="32">
          <cell r="D32" t="str">
            <v>ASS</v>
          </cell>
          <cell r="F32" t="str">
            <v>F</v>
          </cell>
          <cell r="G32" t="str">
            <v>Ativo Permanente</v>
          </cell>
          <cell r="M32" t="str">
            <v>FA</v>
          </cell>
          <cell r="O32" t="str">
            <v>Preta</v>
          </cell>
        </row>
        <row r="33">
          <cell r="D33" t="str">
            <v>GER</v>
          </cell>
          <cell r="F33" t="str">
            <v>M</v>
          </cell>
          <cell r="G33" t="str">
            <v>Requisitado de Órgãos</v>
          </cell>
          <cell r="M33" t="str">
            <v>FA</v>
          </cell>
          <cell r="O33" t="str">
            <v>Branca</v>
          </cell>
        </row>
        <row r="34">
          <cell r="D34" t="str">
            <v>GER</v>
          </cell>
          <cell r="F34" t="str">
            <v>M</v>
          </cell>
          <cell r="G34" t="str">
            <v>Requisitado de Órgãos</v>
          </cell>
          <cell r="M34" t="str">
            <v>FA</v>
          </cell>
          <cell r="O34" t="str">
            <v>Branca</v>
          </cell>
        </row>
        <row r="35">
          <cell r="D35" t="str">
            <v>GER</v>
          </cell>
          <cell r="F35" t="str">
            <v>M</v>
          </cell>
          <cell r="G35" t="str">
            <v>Sem Vínculo</v>
          </cell>
          <cell r="M35" t="str">
            <v>FA</v>
          </cell>
          <cell r="O35" t="str">
            <v>Branca</v>
          </cell>
        </row>
        <row r="36">
          <cell r="D36" t="str">
            <v>GER</v>
          </cell>
          <cell r="F36" t="str">
            <v>M</v>
          </cell>
          <cell r="G36" t="str">
            <v>Requisitado de Órgãos</v>
          </cell>
          <cell r="M36" t="str">
            <v>FA</v>
          </cell>
          <cell r="O36" t="str">
            <v>Branca</v>
          </cell>
        </row>
        <row r="37">
          <cell r="D37" t="str">
            <v>GER</v>
          </cell>
          <cell r="F37" t="str">
            <v>M</v>
          </cell>
          <cell r="G37" t="str">
            <v>Exercício Descentralizado</v>
          </cell>
          <cell r="M37" t="str">
            <v>FA</v>
          </cell>
          <cell r="O37" t="str">
            <v>Parda</v>
          </cell>
        </row>
        <row r="38">
          <cell r="D38" t="str">
            <v>GER</v>
          </cell>
          <cell r="F38" t="str">
            <v>F</v>
          </cell>
          <cell r="G38" t="str">
            <v>Requisitado de Órgãos</v>
          </cell>
          <cell r="M38" t="str">
            <v>FA</v>
          </cell>
          <cell r="O38" t="str">
            <v>Branca</v>
          </cell>
        </row>
        <row r="39">
          <cell r="D39" t="str">
            <v>ASS</v>
          </cell>
          <cell r="F39" t="str">
            <v>F</v>
          </cell>
          <cell r="G39" t="str">
            <v>Sem Vínculo</v>
          </cell>
          <cell r="M39" t="str">
            <v>FA</v>
          </cell>
          <cell r="O39" t="str">
            <v>Branca</v>
          </cell>
        </row>
        <row r="40">
          <cell r="D40" t="str">
            <v>GER</v>
          </cell>
          <cell r="F40" t="str">
            <v>F</v>
          </cell>
          <cell r="G40" t="str">
            <v>Sem Vínculo</v>
          </cell>
          <cell r="M40" t="str">
            <v>FA</v>
          </cell>
          <cell r="O40" t="str">
            <v>Branca</v>
          </cell>
        </row>
        <row r="41">
          <cell r="D41" t="str">
            <v>GER</v>
          </cell>
          <cell r="F41" t="str">
            <v>F</v>
          </cell>
          <cell r="G41" t="str">
            <v>Exercício Descentralizado</v>
          </cell>
          <cell r="M41" t="str">
            <v>FA</v>
          </cell>
          <cell r="O41" t="str">
            <v>Branca</v>
          </cell>
        </row>
        <row r="42">
          <cell r="D42" t="str">
            <v>GER</v>
          </cell>
          <cell r="F42" t="str">
            <v>M</v>
          </cell>
          <cell r="G42" t="str">
            <v>Sem Vínculo</v>
          </cell>
          <cell r="M42" t="str">
            <v>FA</v>
          </cell>
          <cell r="O42" t="str">
            <v>Branca</v>
          </cell>
        </row>
        <row r="43">
          <cell r="D43" t="str">
            <v>ASS</v>
          </cell>
          <cell r="F43" t="str">
            <v>M</v>
          </cell>
          <cell r="G43" t="str">
            <v>Sem Vínculo</v>
          </cell>
          <cell r="M43" t="str">
            <v>FA</v>
          </cell>
          <cell r="O43" t="str">
            <v>Parda</v>
          </cell>
        </row>
        <row r="44">
          <cell r="D44" t="str">
            <v>ASS</v>
          </cell>
          <cell r="F44" t="str">
            <v>F</v>
          </cell>
          <cell r="G44" t="str">
            <v>Anistiado MME</v>
          </cell>
          <cell r="M44" t="str">
            <v>FA</v>
          </cell>
          <cell r="O44" t="str">
            <v>Branca</v>
          </cell>
        </row>
        <row r="45">
          <cell r="D45" t="str">
            <v>ASS</v>
          </cell>
          <cell r="F45" t="str">
            <v>F</v>
          </cell>
          <cell r="G45" t="str">
            <v>Sem Vínculo</v>
          </cell>
          <cell r="M45" t="str">
            <v>FA</v>
          </cell>
          <cell r="O45" t="str">
            <v>Parda</v>
          </cell>
        </row>
        <row r="46">
          <cell r="D46" t="str">
            <v>ASS</v>
          </cell>
          <cell r="F46" t="str">
            <v>M</v>
          </cell>
          <cell r="G46" t="str">
            <v>Sem Vínculo</v>
          </cell>
          <cell r="M46" t="str">
            <v>FA</v>
          </cell>
          <cell r="O46" t="str">
            <v>Branca</v>
          </cell>
        </row>
        <row r="47">
          <cell r="D47" t="str">
            <v>GER</v>
          </cell>
          <cell r="F47" t="str">
            <v>F</v>
          </cell>
          <cell r="G47" t="str">
            <v>Ativo Permanente</v>
          </cell>
          <cell r="M47" t="str">
            <v>FA</v>
          </cell>
          <cell r="O47" t="str">
            <v>Parda</v>
          </cell>
        </row>
        <row r="48">
          <cell r="D48" t="str">
            <v>ASS</v>
          </cell>
          <cell r="F48" t="str">
            <v>F</v>
          </cell>
          <cell r="G48" t="str">
            <v>Ativo Permanente</v>
          </cell>
          <cell r="M48" t="str">
            <v>FA</v>
          </cell>
          <cell r="O48" t="str">
            <v>Parda</v>
          </cell>
        </row>
        <row r="49">
          <cell r="D49" t="str">
            <v>ASS</v>
          </cell>
          <cell r="F49" t="str">
            <v>M</v>
          </cell>
          <cell r="G49" t="str">
            <v>Ativo Permanente</v>
          </cell>
          <cell r="M49" t="str">
            <v>FA</v>
          </cell>
          <cell r="O49" t="str">
            <v>Branca</v>
          </cell>
        </row>
        <row r="50">
          <cell r="D50" t="str">
            <v>ASS</v>
          </cell>
          <cell r="F50" t="str">
            <v>F</v>
          </cell>
          <cell r="G50" t="str">
            <v>Ativo Permanente</v>
          </cell>
          <cell r="M50" t="str">
            <v>FA</v>
          </cell>
          <cell r="O50" t="str">
            <v>Parda</v>
          </cell>
        </row>
        <row r="51">
          <cell r="D51" t="str">
            <v>GER</v>
          </cell>
          <cell r="F51" t="str">
            <v>F</v>
          </cell>
          <cell r="G51" t="str">
            <v>Ativo Permanente</v>
          </cell>
          <cell r="M51" t="str">
            <v>FA</v>
          </cell>
          <cell r="O51" t="str">
            <v>Branca</v>
          </cell>
        </row>
        <row r="52">
          <cell r="D52" t="str">
            <v>GER</v>
          </cell>
          <cell r="F52" t="str">
            <v>M</v>
          </cell>
          <cell r="G52" t="str">
            <v>Requisitado de Órgãos</v>
          </cell>
          <cell r="M52" t="str">
            <v>FA</v>
          </cell>
          <cell r="O52" t="str">
            <v>Amarela</v>
          </cell>
        </row>
        <row r="53">
          <cell r="D53" t="str">
            <v>GER</v>
          </cell>
          <cell r="F53" t="str">
            <v>F</v>
          </cell>
          <cell r="G53" t="str">
            <v>Sem Vínculo</v>
          </cell>
          <cell r="M53" t="str">
            <v>FA</v>
          </cell>
          <cell r="O53" t="str">
            <v>Branca</v>
          </cell>
        </row>
        <row r="54">
          <cell r="D54" t="str">
            <v>GER</v>
          </cell>
          <cell r="F54" t="str">
            <v>-</v>
          </cell>
          <cell r="G54" t="str">
            <v>-</v>
          </cell>
          <cell r="M54" t="str">
            <v>-</v>
          </cell>
          <cell r="O54" t="str">
            <v>-</v>
          </cell>
        </row>
        <row r="55">
          <cell r="D55" t="str">
            <v>GER</v>
          </cell>
          <cell r="F55" t="str">
            <v>F</v>
          </cell>
          <cell r="G55" t="str">
            <v>Sem Vínculo</v>
          </cell>
          <cell r="M55" t="str">
            <v>FA</v>
          </cell>
          <cell r="O55" t="str">
            <v>Amarela</v>
          </cell>
        </row>
        <row r="56">
          <cell r="D56" t="str">
            <v>GER</v>
          </cell>
          <cell r="F56" t="str">
            <v>F</v>
          </cell>
          <cell r="G56" t="str">
            <v>Sem Vínculo</v>
          </cell>
          <cell r="M56" t="str">
            <v>FA</v>
          </cell>
          <cell r="O56" t="str">
            <v>Branca</v>
          </cell>
        </row>
        <row r="57">
          <cell r="D57" t="str">
            <v>GER</v>
          </cell>
          <cell r="F57" t="str">
            <v>M</v>
          </cell>
          <cell r="G57" t="str">
            <v>Sem Vínculo</v>
          </cell>
          <cell r="M57" t="str">
            <v>FA</v>
          </cell>
          <cell r="O57" t="str">
            <v>Branca</v>
          </cell>
        </row>
        <row r="58">
          <cell r="D58" t="str">
            <v>GER</v>
          </cell>
          <cell r="F58" t="str">
            <v>F</v>
          </cell>
          <cell r="G58" t="str">
            <v>Sem Vínculo</v>
          </cell>
          <cell r="M58" t="str">
            <v>FA</v>
          </cell>
          <cell r="O58" t="str">
            <v>Parda</v>
          </cell>
        </row>
        <row r="59">
          <cell r="D59" t="str">
            <v>GER</v>
          </cell>
          <cell r="F59" t="str">
            <v>M</v>
          </cell>
          <cell r="G59" t="str">
            <v>Sem Vínculo</v>
          </cell>
          <cell r="M59" t="str">
            <v>FA</v>
          </cell>
          <cell r="O59" t="str">
            <v>Branca</v>
          </cell>
        </row>
        <row r="61">
          <cell r="D61" t="str">
            <v>GER</v>
          </cell>
          <cell r="F61" t="str">
            <v>F</v>
          </cell>
          <cell r="G61" t="str">
            <v>Anistiado MME</v>
          </cell>
          <cell r="M61" t="str">
            <v>FA</v>
          </cell>
          <cell r="O61" t="str">
            <v>Branca</v>
          </cell>
        </row>
        <row r="63">
          <cell r="D63" t="str">
            <v>ASS</v>
          </cell>
          <cell r="F63" t="str">
            <v>F</v>
          </cell>
          <cell r="G63" t="str">
            <v>Anistiado MME</v>
          </cell>
          <cell r="M63" t="str">
            <v>FA</v>
          </cell>
          <cell r="O63" t="str">
            <v>Branca</v>
          </cell>
        </row>
        <row r="64">
          <cell r="D64" t="str">
            <v>ASS</v>
          </cell>
          <cell r="F64" t="str">
            <v>F</v>
          </cell>
          <cell r="G64" t="str">
            <v>Sem Vínculo</v>
          </cell>
          <cell r="M64" t="str">
            <v>FA</v>
          </cell>
          <cell r="O64" t="str">
            <v>Branca</v>
          </cell>
        </row>
        <row r="65">
          <cell r="D65" t="str">
            <v>GER</v>
          </cell>
          <cell r="F65" t="str">
            <v>M</v>
          </cell>
          <cell r="G65" t="str">
            <v>Ativo Permanente</v>
          </cell>
          <cell r="M65" t="str">
            <v>FA</v>
          </cell>
          <cell r="O65" t="str">
            <v>Branca</v>
          </cell>
        </row>
        <row r="66">
          <cell r="D66" t="str">
            <v>GER</v>
          </cell>
          <cell r="F66" t="str">
            <v>M</v>
          </cell>
          <cell r="G66" t="str">
            <v>Ativo Permanente</v>
          </cell>
          <cell r="M66" t="str">
            <v>FA</v>
          </cell>
          <cell r="O66" t="str">
            <v>Parda</v>
          </cell>
        </row>
        <row r="67">
          <cell r="D67" t="str">
            <v>GER</v>
          </cell>
          <cell r="F67" t="str">
            <v>F</v>
          </cell>
          <cell r="G67" t="str">
            <v>Anistiado MME</v>
          </cell>
          <cell r="M67" t="str">
            <v>FA</v>
          </cell>
          <cell r="O67" t="str">
            <v>Branca</v>
          </cell>
        </row>
        <row r="68">
          <cell r="D68" t="str">
            <v>ASS</v>
          </cell>
          <cell r="F68" t="str">
            <v>F</v>
          </cell>
          <cell r="G68" t="str">
            <v>Anistiado MME</v>
          </cell>
          <cell r="M68" t="str">
            <v>FA</v>
          </cell>
          <cell r="O68" t="str">
            <v>Branca</v>
          </cell>
        </row>
        <row r="69">
          <cell r="D69" t="str">
            <v>GER</v>
          </cell>
          <cell r="F69" t="str">
            <v>F</v>
          </cell>
          <cell r="G69" t="str">
            <v>Anistiado MME</v>
          </cell>
          <cell r="M69" t="str">
            <v>FA</v>
          </cell>
          <cell r="O69" t="str">
            <v>Branca</v>
          </cell>
        </row>
        <row r="70">
          <cell r="D70" t="str">
            <v>GER</v>
          </cell>
          <cell r="F70" t="str">
            <v>F</v>
          </cell>
          <cell r="G70" t="str">
            <v>Anistiado MME</v>
          </cell>
          <cell r="M70" t="str">
            <v>FA</v>
          </cell>
          <cell r="O70" t="str">
            <v>Branca</v>
          </cell>
        </row>
        <row r="71">
          <cell r="D71" t="str">
            <v>GER</v>
          </cell>
          <cell r="F71" t="str">
            <v>M</v>
          </cell>
          <cell r="G71" t="str">
            <v>Requisitado de Órgãos</v>
          </cell>
          <cell r="M71" t="str">
            <v>FA</v>
          </cell>
          <cell r="O71" t="str">
            <v>Parda</v>
          </cell>
        </row>
        <row r="72">
          <cell r="D72" t="str">
            <v>GER</v>
          </cell>
          <cell r="F72" t="str">
            <v>F</v>
          </cell>
          <cell r="G72" t="str">
            <v>Ativo Permanente</v>
          </cell>
          <cell r="M72" t="str">
            <v>FA</v>
          </cell>
          <cell r="O72" t="str">
            <v>Parda</v>
          </cell>
        </row>
        <row r="73">
          <cell r="D73" t="str">
            <v>GER</v>
          </cell>
          <cell r="F73" t="str">
            <v>F</v>
          </cell>
          <cell r="G73" t="str">
            <v>Anistiado MME</v>
          </cell>
          <cell r="M73" t="str">
            <v>FA</v>
          </cell>
          <cell r="O73" t="str">
            <v>Branca</v>
          </cell>
        </row>
        <row r="75">
          <cell r="D75" t="str">
            <v>GER</v>
          </cell>
          <cell r="F75" t="str">
            <v>M</v>
          </cell>
          <cell r="G75" t="str">
            <v>Ativo Permanente</v>
          </cell>
          <cell r="M75" t="str">
            <v>FA</v>
          </cell>
          <cell r="O75" t="str">
            <v>Parda</v>
          </cell>
        </row>
        <row r="76">
          <cell r="D76" t="str">
            <v>GER</v>
          </cell>
          <cell r="F76" t="str">
            <v>M</v>
          </cell>
          <cell r="G76" t="str">
            <v>Ativo Permanente</v>
          </cell>
          <cell r="M76" t="str">
            <v>FA</v>
          </cell>
          <cell r="O76" t="str">
            <v>Preta</v>
          </cell>
        </row>
        <row r="77">
          <cell r="D77" t="str">
            <v>GER</v>
          </cell>
          <cell r="F77" t="str">
            <v>M</v>
          </cell>
          <cell r="G77" t="str">
            <v>Exercício Descentralizado</v>
          </cell>
          <cell r="M77" t="str">
            <v>FA</v>
          </cell>
          <cell r="O77" t="str">
            <v>Branca</v>
          </cell>
        </row>
        <row r="78">
          <cell r="D78" t="str">
            <v>GER</v>
          </cell>
          <cell r="F78" t="str">
            <v>M</v>
          </cell>
          <cell r="G78" t="str">
            <v>Exercício Descentralizado</v>
          </cell>
          <cell r="M78" t="str">
            <v>FA</v>
          </cell>
          <cell r="O78" t="str">
            <v>Parda</v>
          </cell>
        </row>
        <row r="79">
          <cell r="D79" t="str">
            <v>GER</v>
          </cell>
          <cell r="F79" t="str">
            <v>F</v>
          </cell>
          <cell r="G79" t="str">
            <v>Ativo Permanente</v>
          </cell>
          <cell r="M79" t="str">
            <v>FA</v>
          </cell>
          <cell r="O79" t="str">
            <v>Branca</v>
          </cell>
        </row>
        <row r="80">
          <cell r="D80" t="str">
            <v>GER</v>
          </cell>
          <cell r="F80" t="str">
            <v>M</v>
          </cell>
          <cell r="G80" t="str">
            <v>Exercício Descentralizado</v>
          </cell>
          <cell r="M80" t="str">
            <v>FA</v>
          </cell>
          <cell r="O80" t="str">
            <v>Branca</v>
          </cell>
        </row>
        <row r="81">
          <cell r="D81" t="str">
            <v>ASS</v>
          </cell>
          <cell r="F81" t="str">
            <v>M</v>
          </cell>
          <cell r="G81" t="str">
            <v>Exercício Descentralizado</v>
          </cell>
          <cell r="M81" t="str">
            <v>FA</v>
          </cell>
          <cell r="O81" t="str">
            <v>Branca</v>
          </cell>
        </row>
        <row r="82">
          <cell r="D82" t="str">
            <v>ASS</v>
          </cell>
          <cell r="F82" t="str">
            <v>M</v>
          </cell>
          <cell r="G82" t="str">
            <v>Sem Vínculo</v>
          </cell>
          <cell r="M82" t="str">
            <v>FA</v>
          </cell>
          <cell r="O82" t="str">
            <v>Branca</v>
          </cell>
        </row>
        <row r="83">
          <cell r="D83" t="str">
            <v>ASS</v>
          </cell>
          <cell r="F83" t="str">
            <v>M</v>
          </cell>
          <cell r="G83" t="str">
            <v>Exercício Descentralizado</v>
          </cell>
          <cell r="M83" t="str">
            <v>FA</v>
          </cell>
          <cell r="O83" t="str">
            <v>Branca</v>
          </cell>
        </row>
        <row r="84">
          <cell r="D84" t="str">
            <v>ASS</v>
          </cell>
          <cell r="F84" t="str">
            <v>M</v>
          </cell>
          <cell r="G84" t="str">
            <v>Ativo Permanente</v>
          </cell>
          <cell r="M84" t="str">
            <v>FA</v>
          </cell>
          <cell r="O84" t="str">
            <v>Parda</v>
          </cell>
        </row>
        <row r="85">
          <cell r="D85" t="str">
            <v>GER</v>
          </cell>
          <cell r="F85" t="str">
            <v>M</v>
          </cell>
          <cell r="G85" t="str">
            <v>Requisitado Militar</v>
          </cell>
          <cell r="M85" t="str">
            <v>FA</v>
          </cell>
          <cell r="O85" t="str">
            <v>Parda</v>
          </cell>
        </row>
        <row r="86">
          <cell r="D86" t="str">
            <v>GER</v>
          </cell>
          <cell r="F86" t="str">
            <v>F</v>
          </cell>
          <cell r="G86" t="str">
            <v>Exercício Descentralizado</v>
          </cell>
          <cell r="M86" t="str">
            <v>FA</v>
          </cell>
          <cell r="O86" t="str">
            <v>Parda</v>
          </cell>
        </row>
        <row r="87">
          <cell r="D87" t="str">
            <v>GER</v>
          </cell>
          <cell r="F87" t="str">
            <v>M</v>
          </cell>
          <cell r="G87" t="str">
            <v>Sem Vínculo</v>
          </cell>
          <cell r="M87" t="str">
            <v>FA</v>
          </cell>
          <cell r="O87" t="str">
            <v>Branca</v>
          </cell>
        </row>
        <row r="88">
          <cell r="D88" t="str">
            <v>ASS</v>
          </cell>
          <cell r="F88" t="str">
            <v>M</v>
          </cell>
          <cell r="G88" t="str">
            <v>Anistiado MME</v>
          </cell>
          <cell r="M88" t="str">
            <v>FA</v>
          </cell>
          <cell r="O88" t="str">
            <v>Branca</v>
          </cell>
        </row>
        <row r="89">
          <cell r="D89" t="str">
            <v>ASS</v>
          </cell>
          <cell r="F89" t="str">
            <v>F</v>
          </cell>
          <cell r="G89" t="str">
            <v>Ativo Permanente</v>
          </cell>
          <cell r="M89" t="str">
            <v>FA</v>
          </cell>
          <cell r="O89" t="str">
            <v>Branca</v>
          </cell>
        </row>
        <row r="90">
          <cell r="D90" t="str">
            <v>GER</v>
          </cell>
          <cell r="F90" t="str">
            <v>F</v>
          </cell>
          <cell r="G90" t="str">
            <v>Sem Vínculo</v>
          </cell>
          <cell r="M90" t="str">
            <v>FA</v>
          </cell>
          <cell r="O90" t="str">
            <v>Branca</v>
          </cell>
        </row>
        <row r="91">
          <cell r="D91" t="str">
            <v>GER</v>
          </cell>
          <cell r="F91" t="str">
            <v>F</v>
          </cell>
          <cell r="G91" t="str">
            <v>Ativo Permanente</v>
          </cell>
          <cell r="M91" t="str">
            <v>FA</v>
          </cell>
          <cell r="O91" t="str">
            <v>Parda</v>
          </cell>
        </row>
        <row r="92">
          <cell r="D92" t="str">
            <v>GER</v>
          </cell>
          <cell r="F92" t="str">
            <v>-</v>
          </cell>
          <cell r="G92" t="str">
            <v>-</v>
          </cell>
          <cell r="M92" t="str">
            <v>-</v>
          </cell>
          <cell r="O92" t="str">
            <v>-</v>
          </cell>
        </row>
        <row r="93">
          <cell r="D93" t="str">
            <v>ASS</v>
          </cell>
          <cell r="F93" t="str">
            <v>M</v>
          </cell>
          <cell r="G93" t="str">
            <v>Anistiado MME</v>
          </cell>
          <cell r="M93" t="str">
            <v>FA</v>
          </cell>
          <cell r="O93" t="str">
            <v>Branca</v>
          </cell>
        </row>
        <row r="94">
          <cell r="D94" t="str">
            <v>ASS</v>
          </cell>
          <cell r="F94" t="str">
            <v>F</v>
          </cell>
          <cell r="G94" t="str">
            <v>Sem Vínculo</v>
          </cell>
          <cell r="M94" t="str">
            <v>FA</v>
          </cell>
          <cell r="O94" t="str">
            <v>Branca</v>
          </cell>
        </row>
        <row r="96">
          <cell r="D96" t="str">
            <v>ASS</v>
          </cell>
          <cell r="F96" t="str">
            <v>M</v>
          </cell>
          <cell r="G96" t="str">
            <v>Ativo Permanente</v>
          </cell>
          <cell r="M96" t="str">
            <v>FA</v>
          </cell>
          <cell r="O96" t="str">
            <v>Parda</v>
          </cell>
        </row>
        <row r="97">
          <cell r="D97" t="str">
            <v>ASS</v>
          </cell>
          <cell r="F97" t="str">
            <v>M</v>
          </cell>
          <cell r="G97" t="str">
            <v>Ativo Permanente</v>
          </cell>
          <cell r="M97" t="str">
            <v>FA</v>
          </cell>
          <cell r="O97" t="str">
            <v>Branca</v>
          </cell>
        </row>
        <row r="98">
          <cell r="D98" t="str">
            <v>ASS</v>
          </cell>
          <cell r="F98" t="str">
            <v>-</v>
          </cell>
          <cell r="G98" t="str">
            <v>-</v>
          </cell>
          <cell r="M98" t="str">
            <v>-</v>
          </cell>
          <cell r="O98" t="str">
            <v>-</v>
          </cell>
        </row>
      </sheetData>
      <sheetData sheetId="100">
        <row r="3">
          <cell r="D3" t="str">
            <v>GER</v>
          </cell>
          <cell r="F3" t="str">
            <v>F</v>
          </cell>
          <cell r="G3" t="str">
            <v>Sem Vínculo</v>
          </cell>
          <cell r="M3" t="str">
            <v>FA</v>
          </cell>
          <cell r="O3" t="str">
            <v>Branca</v>
          </cell>
        </row>
        <row r="4">
          <cell r="D4" t="str">
            <v>ASS</v>
          </cell>
          <cell r="F4" t="str">
            <v>M</v>
          </cell>
          <cell r="G4" t="str">
            <v>Exercício Descentralizado</v>
          </cell>
          <cell r="M4" t="str">
            <v>FA</v>
          </cell>
          <cell r="O4" t="str">
            <v>Parda</v>
          </cell>
        </row>
        <row r="5">
          <cell r="D5" t="str">
            <v>ASS</v>
          </cell>
          <cell r="F5" t="str">
            <v>M</v>
          </cell>
          <cell r="G5" t="str">
            <v>Exercício Descentralizado</v>
          </cell>
          <cell r="M5" t="str">
            <v>FA</v>
          </cell>
          <cell r="O5" t="str">
            <v>Branca</v>
          </cell>
        </row>
        <row r="6">
          <cell r="D6" t="str">
            <v>ASS</v>
          </cell>
          <cell r="F6" t="str">
            <v>F</v>
          </cell>
          <cell r="G6" t="str">
            <v>Exercício Descentralizado</v>
          </cell>
          <cell r="M6" t="str">
            <v>FA</v>
          </cell>
          <cell r="O6" t="str">
            <v>Parda</v>
          </cell>
        </row>
        <row r="7">
          <cell r="D7" t="str">
            <v>ASS</v>
          </cell>
          <cell r="F7" t="str">
            <v>F</v>
          </cell>
          <cell r="G7" t="str">
            <v>Sem Vínculo</v>
          </cell>
          <cell r="M7" t="str">
            <v>FA</v>
          </cell>
          <cell r="O7" t="str">
            <v>Parda</v>
          </cell>
        </row>
        <row r="8">
          <cell r="D8" t="str">
            <v>ASS</v>
          </cell>
          <cell r="F8" t="str">
            <v>M</v>
          </cell>
          <cell r="G8" t="str">
            <v>Sem Vínculo</v>
          </cell>
          <cell r="M8" t="str">
            <v>FA</v>
          </cell>
          <cell r="O8" t="str">
            <v>Branca</v>
          </cell>
        </row>
        <row r="9">
          <cell r="D9" t="str">
            <v>ASS</v>
          </cell>
          <cell r="F9" t="str">
            <v>F</v>
          </cell>
          <cell r="G9" t="str">
            <v>Sem Vínculo</v>
          </cell>
          <cell r="M9" t="str">
            <v>FA</v>
          </cell>
          <cell r="O9" t="str">
            <v>Branca</v>
          </cell>
        </row>
        <row r="10">
          <cell r="D10" t="str">
            <v>ASS</v>
          </cell>
          <cell r="F10" t="str">
            <v>F</v>
          </cell>
          <cell r="G10" t="str">
            <v>Sem Vínculo</v>
          </cell>
          <cell r="M10" t="str">
            <v>FA</v>
          </cell>
          <cell r="O10" t="str">
            <v>Branca</v>
          </cell>
        </row>
        <row r="11">
          <cell r="D11" t="str">
            <v>ASS</v>
          </cell>
          <cell r="F11" t="str">
            <v>F</v>
          </cell>
          <cell r="G11" t="str">
            <v>Sem Vínculo</v>
          </cell>
          <cell r="M11" t="str">
            <v>FA</v>
          </cell>
          <cell r="O11" t="str">
            <v>Branca</v>
          </cell>
        </row>
        <row r="12">
          <cell r="D12" t="str">
            <v>GER</v>
          </cell>
          <cell r="F12" t="str">
            <v>M</v>
          </cell>
          <cell r="G12" t="str">
            <v>Exercício Descentralizado</v>
          </cell>
          <cell r="M12" t="str">
            <v>FA</v>
          </cell>
          <cell r="O12" t="str">
            <v>Branca</v>
          </cell>
        </row>
        <row r="13">
          <cell r="D13" t="str">
            <v>GER</v>
          </cell>
          <cell r="F13" t="str">
            <v>F</v>
          </cell>
          <cell r="G13" t="str">
            <v>Exercício Descentralizado</v>
          </cell>
          <cell r="M13" t="str">
            <v>FA</v>
          </cell>
          <cell r="O13" t="str">
            <v>Parda</v>
          </cell>
        </row>
        <row r="14">
          <cell r="D14" t="str">
            <v>GER</v>
          </cell>
          <cell r="F14" t="str">
            <v>M</v>
          </cell>
          <cell r="G14" t="str">
            <v>Exercício Descentralizado</v>
          </cell>
          <cell r="M14" t="str">
            <v>FA</v>
          </cell>
          <cell r="O14" t="str">
            <v>Branca</v>
          </cell>
        </row>
        <row r="15">
          <cell r="D15" t="str">
            <v>GER</v>
          </cell>
          <cell r="F15" t="str">
            <v>M</v>
          </cell>
          <cell r="G15" t="str">
            <v>Ativo Permanente</v>
          </cell>
          <cell r="M15" t="str">
            <v>FA</v>
          </cell>
          <cell r="O15" t="str">
            <v>Branca</v>
          </cell>
        </row>
        <row r="16">
          <cell r="D16" t="str">
            <v>ASS</v>
          </cell>
          <cell r="F16" t="str">
            <v>F</v>
          </cell>
          <cell r="G16" t="str">
            <v>Sem Vínculo</v>
          </cell>
          <cell r="M16" t="str">
            <v>FA</v>
          </cell>
          <cell r="O16" t="str">
            <v>Branca</v>
          </cell>
        </row>
      </sheetData>
      <sheetData sheetId="101">
        <row r="3">
          <cell r="D3" t="str">
            <v>GER</v>
          </cell>
          <cell r="F3" t="str">
            <v>M</v>
          </cell>
          <cell r="G3" t="str">
            <v>Requisitado de Órgãos</v>
          </cell>
          <cell r="M3" t="str">
            <v>FA</v>
          </cell>
          <cell r="O3" t="str">
            <v>Branca</v>
          </cell>
        </row>
        <row r="4">
          <cell r="D4" t="str">
            <v>ASS</v>
          </cell>
          <cell r="F4" t="str">
            <v>F</v>
          </cell>
          <cell r="G4" t="str">
            <v>Requisitado de Órgãos</v>
          </cell>
          <cell r="M4" t="str">
            <v>FA</v>
          </cell>
          <cell r="O4" t="str">
            <v>Branca</v>
          </cell>
        </row>
        <row r="5">
          <cell r="D5" t="str">
            <v>ASS</v>
          </cell>
          <cell r="F5" t="str">
            <v>F</v>
          </cell>
          <cell r="G5" t="str">
            <v>Requisitado de Órgãos</v>
          </cell>
          <cell r="M5" t="str">
            <v>FA</v>
          </cell>
          <cell r="O5" t="str">
            <v>Branca</v>
          </cell>
        </row>
        <row r="6">
          <cell r="D6" t="str">
            <v>ASS</v>
          </cell>
          <cell r="F6" t="str">
            <v>M</v>
          </cell>
          <cell r="G6" t="str">
            <v>Requisitado Militar</v>
          </cell>
          <cell r="M6" t="str">
            <v>FA</v>
          </cell>
          <cell r="O6" t="str">
            <v>Parda</v>
          </cell>
        </row>
        <row r="7">
          <cell r="D7" t="str">
            <v>ASS</v>
          </cell>
          <cell r="F7" t="str">
            <v>M</v>
          </cell>
          <cell r="G7" t="str">
            <v>Sem Vínculo</v>
          </cell>
          <cell r="M7" t="str">
            <v>FA</v>
          </cell>
          <cell r="O7" t="str">
            <v>Parda</v>
          </cell>
        </row>
        <row r="8">
          <cell r="D8" t="str">
            <v>ASS</v>
          </cell>
          <cell r="F8" t="str">
            <v>F</v>
          </cell>
          <cell r="G8" t="str">
            <v>Requisitado Militar</v>
          </cell>
          <cell r="M8" t="str">
            <v>FA</v>
          </cell>
          <cell r="O8" t="str">
            <v>Preta</v>
          </cell>
        </row>
        <row r="9">
          <cell r="D9" t="str">
            <v>ASS</v>
          </cell>
          <cell r="F9" t="str">
            <v>F</v>
          </cell>
          <cell r="G9" t="str">
            <v>Sem Vínculo</v>
          </cell>
          <cell r="M9" t="str">
            <v>FA</v>
          </cell>
          <cell r="O9" t="str">
            <v>Branca</v>
          </cell>
        </row>
        <row r="10">
          <cell r="D10" t="str">
            <v>ASS</v>
          </cell>
          <cell r="F10" t="str">
            <v>F</v>
          </cell>
          <cell r="G10" t="str">
            <v>Sem Vínculo</v>
          </cell>
          <cell r="M10" t="str">
            <v>FA</v>
          </cell>
          <cell r="O10" t="str">
            <v>Parda</v>
          </cell>
        </row>
        <row r="11">
          <cell r="D11" t="str">
            <v>ASS</v>
          </cell>
          <cell r="F11" t="str">
            <v>F</v>
          </cell>
          <cell r="G11" t="str">
            <v>Sem Vínculo</v>
          </cell>
          <cell r="M11" t="str">
            <v>FA</v>
          </cell>
          <cell r="O11" t="str">
            <v>Branca</v>
          </cell>
        </row>
      </sheetData>
      <sheetData sheetId="102">
        <row r="3">
          <cell r="D3" t="str">
            <v>GER</v>
          </cell>
          <cell r="F3" t="str">
            <v>M</v>
          </cell>
          <cell r="G3" t="str">
            <v>Requisitado de Órgãos</v>
          </cell>
          <cell r="M3" t="str">
            <v>FA</v>
          </cell>
          <cell r="O3" t="str">
            <v>Branca</v>
          </cell>
        </row>
        <row r="4">
          <cell r="D4" t="str">
            <v>ASS</v>
          </cell>
          <cell r="F4" t="str">
            <v>F</v>
          </cell>
          <cell r="G4" t="str">
            <v>Sem Vínculo</v>
          </cell>
          <cell r="M4" t="str">
            <v>FA</v>
          </cell>
          <cell r="O4" t="str">
            <v>Branca</v>
          </cell>
        </row>
        <row r="5">
          <cell r="D5" t="str">
            <v>ASS</v>
          </cell>
          <cell r="F5" t="str">
            <v>M</v>
          </cell>
          <cell r="G5" t="str">
            <v>Ativo Permanente</v>
          </cell>
          <cell r="M5" t="str">
            <v>FA</v>
          </cell>
          <cell r="O5" t="str">
            <v>Amarela</v>
          </cell>
        </row>
        <row r="6">
          <cell r="D6" t="str">
            <v>ASS</v>
          </cell>
          <cell r="F6" t="str">
            <v>M</v>
          </cell>
          <cell r="G6" t="str">
            <v>Sem Vínculo</v>
          </cell>
          <cell r="M6" t="str">
            <v>FA</v>
          </cell>
          <cell r="O6" t="str">
            <v>Branca</v>
          </cell>
        </row>
      </sheetData>
      <sheetData sheetId="103">
        <row r="3">
          <cell r="D3" t="str">
            <v>GER</v>
          </cell>
          <cell r="F3" t="str">
            <v>M</v>
          </cell>
          <cell r="G3" t="str">
            <v>Sem Vínculo</v>
          </cell>
          <cell r="M3" t="str">
            <v>FA</v>
          </cell>
          <cell r="O3" t="str">
            <v>Branca</v>
          </cell>
        </row>
        <row r="4">
          <cell r="D4" t="str">
            <v>ASS</v>
          </cell>
          <cell r="F4" t="str">
            <v>F</v>
          </cell>
          <cell r="G4" t="str">
            <v>Requisitado de Órgãos</v>
          </cell>
          <cell r="M4" t="str">
            <v>FA</v>
          </cell>
          <cell r="O4" t="str">
            <v>Parda</v>
          </cell>
        </row>
        <row r="5">
          <cell r="D5" t="str">
            <v>ASS</v>
          </cell>
          <cell r="F5" t="str">
            <v>F</v>
          </cell>
          <cell r="G5" t="str">
            <v>Ativo Permanente</v>
          </cell>
          <cell r="M5" t="str">
            <v>DIR</v>
          </cell>
          <cell r="O5" t="str">
            <v>Preta</v>
          </cell>
        </row>
      </sheetData>
      <sheetData sheetId="104">
        <row r="3">
          <cell r="D3" t="str">
            <v>GER</v>
          </cell>
          <cell r="F3" t="str">
            <v>M</v>
          </cell>
          <cell r="G3" t="str">
            <v>Sem Vínculo</v>
          </cell>
          <cell r="M3" t="str">
            <v>FA</v>
          </cell>
          <cell r="N3" t="str">
            <v>-</v>
          </cell>
          <cell r="O3" t="str">
            <v>Branca</v>
          </cell>
        </row>
        <row r="4">
          <cell r="D4" t="str">
            <v>ASS</v>
          </cell>
          <cell r="F4" t="str">
            <v>M</v>
          </cell>
          <cell r="G4" t="str">
            <v>Sem Vínculo</v>
          </cell>
          <cell r="M4" t="str">
            <v>FA</v>
          </cell>
          <cell r="N4" t="str">
            <v>SEE / DEPARTAMENTO DE POLÍTICAS SOCIAIS E UNIVERSALIZAÇÃO DO ACESSO À ENERGIA ELÉTRICA - DPUE</v>
          </cell>
          <cell r="O4" t="str">
            <v>Parda</v>
          </cell>
        </row>
        <row r="5">
          <cell r="D5" t="str">
            <v>ASS</v>
          </cell>
          <cell r="F5" t="str">
            <v>M</v>
          </cell>
          <cell r="G5" t="str">
            <v>Requisitado de Órgãos</v>
          </cell>
          <cell r="M5" t="str">
            <v>FA</v>
          </cell>
          <cell r="N5" t="str">
            <v>ASSESSORIA ESPECIAL DE ASSUNTOS ECONÔMICOS - ASSEC</v>
          </cell>
          <cell r="O5" t="str">
            <v>Branca</v>
          </cell>
        </row>
        <row r="6">
          <cell r="D6" t="str">
            <v>ASS</v>
          </cell>
          <cell r="F6" t="str">
            <v>M</v>
          </cell>
          <cell r="G6" t="str">
            <v>Ativo Permanente</v>
          </cell>
          <cell r="M6" t="str">
            <v>FA</v>
          </cell>
          <cell r="N6" t="str">
            <v>-</v>
          </cell>
          <cell r="O6" t="str">
            <v>Parda</v>
          </cell>
        </row>
      </sheetData>
      <sheetData sheetId="105">
        <row r="3">
          <cell r="D3" t="str">
            <v>GER</v>
          </cell>
          <cell r="F3" t="str">
            <v>-</v>
          </cell>
          <cell r="G3" t="str">
            <v>-</v>
          </cell>
          <cell r="M3" t="str">
            <v>-</v>
          </cell>
          <cell r="O3" t="str">
            <v>-</v>
          </cell>
        </row>
        <row r="4">
          <cell r="D4" t="str">
            <v>GER</v>
          </cell>
          <cell r="F4" t="str">
            <v>M</v>
          </cell>
          <cell r="G4" t="str">
            <v>Sem Vínculo</v>
          </cell>
          <cell r="M4" t="str">
            <v>FA</v>
          </cell>
          <cell r="O4" t="str">
            <v>Branca</v>
          </cell>
        </row>
        <row r="5">
          <cell r="D5" t="str">
            <v>ASS</v>
          </cell>
          <cell r="F5" t="str">
            <v>F</v>
          </cell>
          <cell r="G5" t="str">
            <v>Sem Vínculo</v>
          </cell>
          <cell r="M5" t="str">
            <v>FA</v>
          </cell>
          <cell r="O5" t="str">
            <v>Parda</v>
          </cell>
        </row>
        <row r="7">
          <cell r="D7" t="str">
            <v>ASS</v>
          </cell>
          <cell r="F7" t="str">
            <v>M</v>
          </cell>
          <cell r="G7" t="str">
            <v>Requisitado de Órgãos</v>
          </cell>
          <cell r="M7" t="str">
            <v>FA</v>
          </cell>
          <cell r="O7" t="str">
            <v>Parda</v>
          </cell>
        </row>
        <row r="8">
          <cell r="D8" t="str">
            <v>ASS</v>
          </cell>
          <cell r="F8" t="str">
            <v>M</v>
          </cell>
          <cell r="G8" t="str">
            <v>Ativo Permanente</v>
          </cell>
          <cell r="M8" t="str">
            <v>FA</v>
          </cell>
          <cell r="O8" t="str">
            <v>Branca</v>
          </cell>
        </row>
        <row r="10">
          <cell r="D10" t="str">
            <v>ASS</v>
          </cell>
          <cell r="F10" t="str">
            <v>F</v>
          </cell>
          <cell r="G10" t="str">
            <v>Sem Vínculo</v>
          </cell>
          <cell r="M10" t="str">
            <v>FA</v>
          </cell>
          <cell r="O10" t="str">
            <v>Parda</v>
          </cell>
        </row>
        <row r="11">
          <cell r="D11" t="str">
            <v>ASS</v>
          </cell>
          <cell r="F11" t="str">
            <v>F</v>
          </cell>
          <cell r="G11" t="str">
            <v>Sem Vínculo</v>
          </cell>
          <cell r="M11" t="str">
            <v>FA</v>
          </cell>
          <cell r="O11" t="str">
            <v>Branca</v>
          </cell>
        </row>
        <row r="13">
          <cell r="D13" t="str">
            <v>ASS</v>
          </cell>
          <cell r="F13" t="str">
            <v>F</v>
          </cell>
          <cell r="G13" t="str">
            <v>Sem Vínculo</v>
          </cell>
          <cell r="M13" t="str">
            <v>FA</v>
          </cell>
          <cell r="O13" t="str">
            <v>Parda</v>
          </cell>
        </row>
        <row r="14">
          <cell r="D14" t="str">
            <v>GER</v>
          </cell>
          <cell r="F14" t="str">
            <v>M</v>
          </cell>
          <cell r="G14" t="str">
            <v>Requisitado de Órgãos</v>
          </cell>
          <cell r="M14" t="str">
            <v>FA</v>
          </cell>
          <cell r="O14" t="str">
            <v>Parda</v>
          </cell>
        </row>
        <row r="15">
          <cell r="D15" t="str">
            <v>ASS</v>
          </cell>
          <cell r="F15" t="str">
            <v>F</v>
          </cell>
          <cell r="G15" t="str">
            <v>Exercício Descentralizado</v>
          </cell>
          <cell r="M15" t="str">
            <v>FA</v>
          </cell>
          <cell r="O15" t="str">
            <v>Branca</v>
          </cell>
        </row>
        <row r="16">
          <cell r="D16" t="str">
            <v>ASS</v>
          </cell>
          <cell r="F16" t="str">
            <v>M</v>
          </cell>
          <cell r="G16" t="str">
            <v>Exercício Descentralizado</v>
          </cell>
          <cell r="M16" t="str">
            <v>FA</v>
          </cell>
          <cell r="O16" t="str">
            <v>Parda</v>
          </cell>
        </row>
        <row r="17">
          <cell r="D17" t="str">
            <v>ASS</v>
          </cell>
          <cell r="F17" t="str">
            <v>F</v>
          </cell>
          <cell r="G17" t="str">
            <v>Ativo Permanente</v>
          </cell>
          <cell r="M17" t="str">
            <v>FA</v>
          </cell>
          <cell r="O17" t="str">
            <v>Parda</v>
          </cell>
        </row>
        <row r="18">
          <cell r="D18" t="str">
            <v>GER</v>
          </cell>
          <cell r="F18" t="str">
            <v>M</v>
          </cell>
          <cell r="G18" t="str">
            <v>Sem Vínculo</v>
          </cell>
          <cell r="M18" t="str">
            <v>FA</v>
          </cell>
          <cell r="O18" t="str">
            <v>Parda</v>
          </cell>
        </row>
        <row r="19">
          <cell r="D19" t="str">
            <v>GER</v>
          </cell>
          <cell r="F19" t="str">
            <v>F</v>
          </cell>
          <cell r="G19" t="str">
            <v>Exercício Descentralizado</v>
          </cell>
          <cell r="M19" t="str">
            <v>FA</v>
          </cell>
          <cell r="O19" t="str">
            <v>Branca</v>
          </cell>
        </row>
        <row r="20">
          <cell r="D20" t="str">
            <v>GER</v>
          </cell>
          <cell r="F20" t="str">
            <v>M</v>
          </cell>
          <cell r="G20" t="str">
            <v>Requisitado de Órgãos</v>
          </cell>
          <cell r="M20" t="str">
            <v>FA</v>
          </cell>
          <cell r="O20" t="str">
            <v>Branca</v>
          </cell>
        </row>
        <row r="21">
          <cell r="D21" t="str">
            <v>GER</v>
          </cell>
          <cell r="F21" t="str">
            <v>M</v>
          </cell>
          <cell r="G21" t="str">
            <v>Requisitado de Órgãos</v>
          </cell>
          <cell r="M21" t="str">
            <v>FA</v>
          </cell>
          <cell r="O21" t="str">
            <v>Branca</v>
          </cell>
        </row>
        <row r="22">
          <cell r="D22" t="str">
            <v>ASS</v>
          </cell>
          <cell r="F22" t="str">
            <v>F</v>
          </cell>
          <cell r="G22" t="str">
            <v>Sem Vínculo</v>
          </cell>
          <cell r="M22" t="str">
            <v>FA</v>
          </cell>
          <cell r="O22" t="str">
            <v>Branca</v>
          </cell>
        </row>
        <row r="23">
          <cell r="D23" t="str">
            <v>ASS</v>
          </cell>
          <cell r="F23" t="str">
            <v>F</v>
          </cell>
          <cell r="G23" t="str">
            <v>Ativo Permanente</v>
          </cell>
          <cell r="M23" t="str">
            <v>FA</v>
          </cell>
          <cell r="O23" t="str">
            <v>Parda</v>
          </cell>
        </row>
        <row r="24">
          <cell r="D24" t="str">
            <v>GER</v>
          </cell>
          <cell r="F24" t="str">
            <v>F</v>
          </cell>
          <cell r="G24" t="str">
            <v>Requisitado de Órgãos</v>
          </cell>
          <cell r="M24" t="str">
            <v>FA</v>
          </cell>
          <cell r="O24" t="str">
            <v>Branca</v>
          </cell>
        </row>
        <row r="25">
          <cell r="D25" t="str">
            <v>GER</v>
          </cell>
          <cell r="F25" t="str">
            <v>M</v>
          </cell>
          <cell r="G25" t="str">
            <v>Exercício Descentralizado</v>
          </cell>
          <cell r="M25" t="str">
            <v>FA</v>
          </cell>
          <cell r="O25" t="str">
            <v>Branca</v>
          </cell>
        </row>
        <row r="26">
          <cell r="D26" t="str">
            <v>GER</v>
          </cell>
          <cell r="F26" t="str">
            <v>M</v>
          </cell>
          <cell r="G26" t="str">
            <v>Exercício Descentralizado</v>
          </cell>
          <cell r="M26" t="str">
            <v>FA</v>
          </cell>
          <cell r="O26" t="str">
            <v>Branca</v>
          </cell>
        </row>
        <row r="27">
          <cell r="D27" t="str">
            <v>GER</v>
          </cell>
          <cell r="F27" t="str">
            <v>M</v>
          </cell>
          <cell r="G27" t="str">
            <v>Exercício Descentralizado</v>
          </cell>
          <cell r="M27" t="str">
            <v>FA</v>
          </cell>
          <cell r="O27" t="str">
            <v>Branca</v>
          </cell>
        </row>
        <row r="28">
          <cell r="D28" t="str">
            <v>ASS</v>
          </cell>
          <cell r="F28" t="str">
            <v>F</v>
          </cell>
          <cell r="G28" t="str">
            <v>Sem Vínculo</v>
          </cell>
          <cell r="M28" t="str">
            <v>FA</v>
          </cell>
          <cell r="O28" t="str">
            <v>Branca</v>
          </cell>
        </row>
        <row r="29">
          <cell r="D29" t="str">
            <v>ASS</v>
          </cell>
          <cell r="F29" t="str">
            <v>M</v>
          </cell>
          <cell r="G29" t="str">
            <v>Exercício Descentralizado</v>
          </cell>
          <cell r="M29" t="str">
            <v>FA</v>
          </cell>
          <cell r="O29" t="str">
            <v>Branca</v>
          </cell>
        </row>
        <row r="30">
          <cell r="D30" t="str">
            <v>GER</v>
          </cell>
          <cell r="F30" t="str">
            <v>M</v>
          </cell>
          <cell r="G30" t="str">
            <v>Exercício Descentralizado</v>
          </cell>
          <cell r="M30" t="str">
            <v>FA</v>
          </cell>
          <cell r="O30" t="str">
            <v>Parda</v>
          </cell>
        </row>
        <row r="31">
          <cell r="D31" t="str">
            <v>GER</v>
          </cell>
          <cell r="F31" t="str">
            <v>M</v>
          </cell>
          <cell r="G31" t="str">
            <v>Exercício Descentralizado</v>
          </cell>
          <cell r="M31" t="str">
            <v>FA</v>
          </cell>
          <cell r="O31" t="str">
            <v>Branca</v>
          </cell>
        </row>
        <row r="32">
          <cell r="D32" t="str">
            <v>GER</v>
          </cell>
          <cell r="F32" t="str">
            <v>M</v>
          </cell>
          <cell r="G32" t="str">
            <v>Requisitado de Órgãos</v>
          </cell>
          <cell r="M32" t="str">
            <v>FA</v>
          </cell>
          <cell r="O32" t="str">
            <v>Parda</v>
          </cell>
        </row>
        <row r="33">
          <cell r="D33" t="str">
            <v>ASS</v>
          </cell>
          <cell r="F33" t="str">
            <v>F</v>
          </cell>
          <cell r="G33" t="str">
            <v>Sem Vínculo</v>
          </cell>
          <cell r="M33" t="str">
            <v>FA</v>
          </cell>
          <cell r="O33" t="str">
            <v>Preta</v>
          </cell>
        </row>
        <row r="34">
          <cell r="D34" t="str">
            <v>GER</v>
          </cell>
          <cell r="F34" t="str">
            <v>M</v>
          </cell>
          <cell r="G34" t="str">
            <v>Sem Vínculo</v>
          </cell>
          <cell r="M34" t="str">
            <v>FA</v>
          </cell>
          <cell r="O34" t="str">
            <v>Branca</v>
          </cell>
        </row>
        <row r="35">
          <cell r="D35" t="str">
            <v>ASS</v>
          </cell>
          <cell r="F35" t="str">
            <v>F</v>
          </cell>
          <cell r="G35" t="str">
            <v>Sem Vínculo</v>
          </cell>
          <cell r="M35" t="str">
            <v>FA</v>
          </cell>
          <cell r="O35" t="str">
            <v>Branca</v>
          </cell>
        </row>
      </sheetData>
      <sheetData sheetId="106">
        <row r="3">
          <cell r="D3" t="str">
            <v>GER</v>
          </cell>
          <cell r="F3" t="str">
            <v>M</v>
          </cell>
          <cell r="G3" t="str">
            <v>Requisitado de Órgãos</v>
          </cell>
          <cell r="M3" t="str">
            <v>FA</v>
          </cell>
          <cell r="O3" t="str">
            <v>Branca</v>
          </cell>
        </row>
        <row r="4">
          <cell r="D4" t="str">
            <v>GER</v>
          </cell>
          <cell r="F4" t="str">
            <v>M</v>
          </cell>
          <cell r="G4" t="str">
            <v>Requisitado de Empresa</v>
          </cell>
          <cell r="M4" t="str">
            <v>FA</v>
          </cell>
          <cell r="O4" t="str">
            <v>Branca</v>
          </cell>
        </row>
        <row r="5">
          <cell r="D5" t="str">
            <v>GER</v>
          </cell>
          <cell r="F5" t="str">
            <v>M</v>
          </cell>
          <cell r="G5" t="str">
            <v>Requisitado de Empresa</v>
          </cell>
          <cell r="M5" t="str">
            <v>FA</v>
          </cell>
          <cell r="O5" t="str">
            <v>Branca</v>
          </cell>
        </row>
        <row r="7">
          <cell r="D7" t="str">
            <v>ASS</v>
          </cell>
          <cell r="F7" t="str">
            <v>M</v>
          </cell>
          <cell r="G7" t="str">
            <v>Requisitado de Empresa</v>
          </cell>
          <cell r="M7" t="str">
            <v>FA</v>
          </cell>
          <cell r="O7" t="str">
            <v>Branca</v>
          </cell>
        </row>
        <row r="8">
          <cell r="D8" t="str">
            <v>ASS</v>
          </cell>
          <cell r="F8" t="str">
            <v>M</v>
          </cell>
          <cell r="G8" t="str">
            <v>Exercício Descentralizado</v>
          </cell>
          <cell r="M8" t="str">
            <v>FA</v>
          </cell>
          <cell r="O8" t="str">
            <v>Branca</v>
          </cell>
        </row>
        <row r="9">
          <cell r="D9" t="str">
            <v>ASS</v>
          </cell>
          <cell r="F9" t="str">
            <v>F</v>
          </cell>
          <cell r="G9" t="str">
            <v>Sem Vínculo</v>
          </cell>
          <cell r="M9" t="str">
            <v>FA</v>
          </cell>
          <cell r="O9" t="str">
            <v>Parda</v>
          </cell>
        </row>
        <row r="10">
          <cell r="D10" t="str">
            <v>ASS</v>
          </cell>
          <cell r="F10" t="str">
            <v>F</v>
          </cell>
          <cell r="G10" t="str">
            <v>Sem Vínculo</v>
          </cell>
          <cell r="M10" t="str">
            <v>FA</v>
          </cell>
          <cell r="O10" t="str">
            <v>Parda</v>
          </cell>
        </row>
        <row r="13">
          <cell r="D13" t="str">
            <v>ASS</v>
          </cell>
          <cell r="F13" t="str">
            <v>F</v>
          </cell>
          <cell r="G13" t="str">
            <v>Sem Vínculo</v>
          </cell>
          <cell r="M13" t="str">
            <v>FA</v>
          </cell>
          <cell r="O13" t="str">
            <v>Branca</v>
          </cell>
        </row>
        <row r="14">
          <cell r="D14" t="str">
            <v>ASS</v>
          </cell>
          <cell r="F14" t="str">
            <v>M</v>
          </cell>
          <cell r="G14" t="str">
            <v>Sem Vínculo</v>
          </cell>
          <cell r="M14" t="str">
            <v>FA</v>
          </cell>
          <cell r="O14" t="str">
            <v>Parda</v>
          </cell>
        </row>
        <row r="15">
          <cell r="D15" t="str">
            <v>GER</v>
          </cell>
          <cell r="F15" t="str">
            <v>F</v>
          </cell>
          <cell r="G15" t="str">
            <v>Exercício Descentralizado</v>
          </cell>
          <cell r="M15" t="str">
            <v>FA</v>
          </cell>
          <cell r="O15" t="str">
            <v>Branca</v>
          </cell>
        </row>
        <row r="17">
          <cell r="D17" t="str">
            <v>ASS</v>
          </cell>
          <cell r="F17" t="str">
            <v>F</v>
          </cell>
          <cell r="G17" t="str">
            <v>Sem Vínculo</v>
          </cell>
          <cell r="M17" t="str">
            <v>FA</v>
          </cell>
          <cell r="O17" t="str">
            <v>Parda</v>
          </cell>
        </row>
        <row r="18">
          <cell r="D18" t="str">
            <v>GER</v>
          </cell>
          <cell r="F18" t="str">
            <v>M</v>
          </cell>
          <cell r="G18" t="str">
            <v>Exercício Descentralizado</v>
          </cell>
          <cell r="M18" t="str">
            <v>FA</v>
          </cell>
          <cell r="O18" t="str">
            <v>Parda</v>
          </cell>
        </row>
        <row r="19">
          <cell r="D19" t="str">
            <v>ASS</v>
          </cell>
          <cell r="F19" t="str">
            <v>F</v>
          </cell>
          <cell r="G19" t="str">
            <v>Exercício Descentralizado</v>
          </cell>
          <cell r="M19" t="str">
            <v>FA</v>
          </cell>
          <cell r="O19" t="str">
            <v>Parda</v>
          </cell>
        </row>
        <row r="20">
          <cell r="D20" t="str">
            <v>GER</v>
          </cell>
          <cell r="F20" t="str">
            <v>M</v>
          </cell>
          <cell r="G20" t="str">
            <v>Exercício Descentralizado</v>
          </cell>
          <cell r="M20" t="str">
            <v>FA</v>
          </cell>
          <cell r="O20" t="str">
            <v>Branca</v>
          </cell>
        </row>
        <row r="21">
          <cell r="D21" t="str">
            <v>ASS</v>
          </cell>
          <cell r="F21" t="str">
            <v>M</v>
          </cell>
          <cell r="G21" t="str">
            <v>Exercício Descentralizado</v>
          </cell>
          <cell r="M21" t="str">
            <v>FA</v>
          </cell>
          <cell r="O21" t="str">
            <v>Parda</v>
          </cell>
        </row>
        <row r="22">
          <cell r="D22" t="str">
            <v>GER</v>
          </cell>
          <cell r="F22" t="str">
            <v>M</v>
          </cell>
          <cell r="G22" t="str">
            <v>Exercício Descentralizado</v>
          </cell>
          <cell r="M22" t="str">
            <v>FA</v>
          </cell>
          <cell r="O22" t="str">
            <v>Branca</v>
          </cell>
        </row>
        <row r="24">
          <cell r="D24" t="str">
            <v>ASS</v>
          </cell>
          <cell r="F24" t="str">
            <v>F</v>
          </cell>
          <cell r="G24" t="str">
            <v>Sem Vínculo</v>
          </cell>
          <cell r="M24" t="str">
            <v>FA</v>
          </cell>
          <cell r="O24" t="str">
            <v>Parda</v>
          </cell>
        </row>
        <row r="25">
          <cell r="D25" t="str">
            <v>ASS</v>
          </cell>
          <cell r="F25" t="str">
            <v>F</v>
          </cell>
          <cell r="G25" t="str">
            <v>Sem Vínculo</v>
          </cell>
          <cell r="M25" t="str">
            <v>FA</v>
          </cell>
          <cell r="O25" t="str">
            <v>Branca</v>
          </cell>
        </row>
        <row r="26">
          <cell r="D26" t="str">
            <v>GER</v>
          </cell>
          <cell r="F26" t="str">
            <v>F</v>
          </cell>
          <cell r="G26" t="str">
            <v>Exercício Descentralizado</v>
          </cell>
          <cell r="M26" t="str">
            <v>FA</v>
          </cell>
          <cell r="O26" t="str">
            <v>Parda</v>
          </cell>
        </row>
        <row r="27">
          <cell r="D27" t="str">
            <v>GER</v>
          </cell>
          <cell r="F27" t="str">
            <v>M</v>
          </cell>
          <cell r="G27" t="str">
            <v>Sem Vínculo</v>
          </cell>
          <cell r="M27" t="str">
            <v>FA</v>
          </cell>
          <cell r="O27" t="str">
            <v>Branca</v>
          </cell>
        </row>
        <row r="28">
          <cell r="D28" t="str">
            <v>ASS</v>
          </cell>
          <cell r="F28" t="str">
            <v>M</v>
          </cell>
          <cell r="G28" t="str">
            <v>Sem Vínculo</v>
          </cell>
          <cell r="M28" t="str">
            <v>FA</v>
          </cell>
          <cell r="O28" t="str">
            <v>Parda</v>
          </cell>
        </row>
        <row r="29">
          <cell r="D29" t="str">
            <v>GER</v>
          </cell>
          <cell r="F29" t="str">
            <v>M</v>
          </cell>
          <cell r="G29" t="str">
            <v>Exercício Descentralizado</v>
          </cell>
          <cell r="M29" t="str">
            <v>FA</v>
          </cell>
          <cell r="O29" t="str">
            <v>Branca</v>
          </cell>
        </row>
        <row r="30">
          <cell r="D30" t="str">
            <v>ASS</v>
          </cell>
          <cell r="F30" t="str">
            <v>F</v>
          </cell>
          <cell r="G30" t="str">
            <v>Sem Vínculo</v>
          </cell>
          <cell r="M30" t="str">
            <v>FA</v>
          </cell>
          <cell r="O30" t="str">
            <v>Amarela</v>
          </cell>
        </row>
        <row r="31">
          <cell r="D31" t="str">
            <v>GER</v>
          </cell>
          <cell r="F31" t="str">
            <v>M</v>
          </cell>
          <cell r="G31" t="str">
            <v>Exercício Descentralizado</v>
          </cell>
          <cell r="M31" t="str">
            <v>FA</v>
          </cell>
          <cell r="O31" t="str">
            <v>Parda</v>
          </cell>
        </row>
        <row r="32">
          <cell r="D32" t="str">
            <v>GER</v>
          </cell>
          <cell r="F32" t="str">
            <v>M</v>
          </cell>
          <cell r="G32" t="str">
            <v>Exercício Descentralizado</v>
          </cell>
          <cell r="M32" t="str">
            <v>FA</v>
          </cell>
          <cell r="O32" t="str">
            <v>Parda</v>
          </cell>
        </row>
        <row r="33">
          <cell r="D33" t="str">
            <v>GER</v>
          </cell>
          <cell r="F33" t="str">
            <v>M</v>
          </cell>
          <cell r="G33" t="str">
            <v>Exercício Descentralizado</v>
          </cell>
          <cell r="M33" t="str">
            <v>FA</v>
          </cell>
          <cell r="O33" t="str">
            <v>Branca</v>
          </cell>
        </row>
        <row r="34">
          <cell r="D34" t="str">
            <v>GER</v>
          </cell>
          <cell r="F34" t="str">
            <v>M</v>
          </cell>
          <cell r="G34" t="str">
            <v>Requisitado de Órgãos</v>
          </cell>
          <cell r="M34" t="str">
            <v>FA</v>
          </cell>
          <cell r="O34" t="str">
            <v>Branca</v>
          </cell>
        </row>
        <row r="35">
          <cell r="D35" t="str">
            <v>ASS</v>
          </cell>
          <cell r="F35" t="str">
            <v>-</v>
          </cell>
          <cell r="G35" t="str">
            <v>-</v>
          </cell>
          <cell r="M35" t="str">
            <v>-</v>
          </cell>
          <cell r="O35" t="str">
            <v>-</v>
          </cell>
        </row>
        <row r="36">
          <cell r="D36" t="str">
            <v>GER</v>
          </cell>
          <cell r="F36" t="str">
            <v>M</v>
          </cell>
          <cell r="G36" t="str">
            <v>Requisitado de Empresa</v>
          </cell>
          <cell r="M36" t="str">
            <v>FA</v>
          </cell>
          <cell r="O36" t="str">
            <v>Branca</v>
          </cell>
        </row>
        <row r="37">
          <cell r="D37" t="str">
            <v>GER</v>
          </cell>
          <cell r="F37" t="str">
            <v>F</v>
          </cell>
          <cell r="G37" t="str">
            <v>Sem Vínculo</v>
          </cell>
          <cell r="M37" t="str">
            <v>FA</v>
          </cell>
          <cell r="O37" t="str">
            <v>Branca</v>
          </cell>
        </row>
        <row r="38">
          <cell r="D38" t="str">
            <v>ASS</v>
          </cell>
          <cell r="F38" t="str">
            <v>F</v>
          </cell>
          <cell r="G38" t="str">
            <v>Anistiado MME</v>
          </cell>
          <cell r="M38" t="str">
            <v>FA</v>
          </cell>
          <cell r="O38" t="str">
            <v>Branca</v>
          </cell>
        </row>
        <row r="39">
          <cell r="D39" t="str">
            <v>ASS</v>
          </cell>
          <cell r="F39" t="str">
            <v>M</v>
          </cell>
          <cell r="G39" t="str">
            <v>Sem Vínculo</v>
          </cell>
          <cell r="M39" t="str">
            <v>FA</v>
          </cell>
          <cell r="O39" t="str">
            <v>Branca</v>
          </cell>
        </row>
      </sheetData>
      <sheetData sheetId="107">
        <row r="3">
          <cell r="D3" t="str">
            <v>GER</v>
          </cell>
          <cell r="F3" t="str">
            <v>M</v>
          </cell>
          <cell r="G3" t="str">
            <v>Requisitado de Órgãos</v>
          </cell>
          <cell r="M3" t="str">
            <v>FA</v>
          </cell>
          <cell r="O3" t="str">
            <v>Branca</v>
          </cell>
        </row>
        <row r="4">
          <cell r="D4" t="str">
            <v>GER</v>
          </cell>
          <cell r="F4" t="str">
            <v>M</v>
          </cell>
          <cell r="G4" t="str">
            <v>Sem Vínculo</v>
          </cell>
          <cell r="M4" t="str">
            <v>FA</v>
          </cell>
          <cell r="O4" t="str">
            <v>Branca</v>
          </cell>
        </row>
        <row r="5">
          <cell r="D5" t="str">
            <v>ASS</v>
          </cell>
          <cell r="F5" t="str">
            <v>F</v>
          </cell>
          <cell r="G5" t="str">
            <v>Requisitado de Órgãos</v>
          </cell>
          <cell r="M5" t="str">
            <v>FA</v>
          </cell>
          <cell r="O5" t="str">
            <v>Branca</v>
          </cell>
        </row>
        <row r="6">
          <cell r="D6" t="str">
            <v>ASS</v>
          </cell>
          <cell r="F6" t="str">
            <v>F</v>
          </cell>
          <cell r="G6" t="str">
            <v>Exercício Descentralizado</v>
          </cell>
          <cell r="M6" t="str">
            <v>FA</v>
          </cell>
          <cell r="O6" t="str">
            <v>Branca</v>
          </cell>
        </row>
        <row r="7">
          <cell r="D7" t="str">
            <v>ASS</v>
          </cell>
          <cell r="F7" t="str">
            <v>M</v>
          </cell>
          <cell r="G7" t="str">
            <v>Sem Vínculo</v>
          </cell>
          <cell r="M7" t="str">
            <v>FA</v>
          </cell>
          <cell r="O7" t="str">
            <v>Parda</v>
          </cell>
        </row>
        <row r="8">
          <cell r="D8" t="str">
            <v>ASS</v>
          </cell>
          <cell r="F8" t="str">
            <v>M</v>
          </cell>
          <cell r="G8" t="str">
            <v>Requisitado de Órgãos</v>
          </cell>
          <cell r="M8" t="str">
            <v>FA</v>
          </cell>
          <cell r="O8" t="str">
            <v>Branca</v>
          </cell>
        </row>
        <row r="10">
          <cell r="D10" t="str">
            <v>ASS</v>
          </cell>
          <cell r="F10" t="str">
            <v>F</v>
          </cell>
          <cell r="G10" t="str">
            <v>Sem Vínculo</v>
          </cell>
          <cell r="M10" t="str">
            <v>FA</v>
          </cell>
          <cell r="O10" t="str">
            <v>Branca</v>
          </cell>
        </row>
        <row r="11">
          <cell r="D11" t="str">
            <v>ASS</v>
          </cell>
          <cell r="F11" t="str">
            <v>-</v>
          </cell>
          <cell r="G11" t="str">
            <v>-</v>
          </cell>
          <cell r="M11" t="str">
            <v>-</v>
          </cell>
          <cell r="O11" t="str">
            <v>-</v>
          </cell>
        </row>
        <row r="12">
          <cell r="D12" t="str">
            <v>GER</v>
          </cell>
          <cell r="F12" t="str">
            <v>M</v>
          </cell>
          <cell r="G12" t="str">
            <v>Requisitado de Órgãos</v>
          </cell>
          <cell r="M12" t="str">
            <v>FA</v>
          </cell>
          <cell r="O12" t="str">
            <v>Branca</v>
          </cell>
        </row>
        <row r="13">
          <cell r="D13" t="str">
            <v>GER</v>
          </cell>
          <cell r="F13" t="str">
            <v>M</v>
          </cell>
          <cell r="G13" t="str">
            <v>Requisitado de Órgãos</v>
          </cell>
          <cell r="M13" t="str">
            <v>FA</v>
          </cell>
          <cell r="O13" t="str">
            <v>Parda</v>
          </cell>
        </row>
        <row r="14">
          <cell r="D14" t="str">
            <v>ASS</v>
          </cell>
          <cell r="F14" t="str">
            <v>M</v>
          </cell>
          <cell r="G14" t="str">
            <v>Exercício Descentralizado</v>
          </cell>
          <cell r="M14" t="str">
            <v>FA</v>
          </cell>
          <cell r="O14" t="str">
            <v>Branca</v>
          </cell>
        </row>
        <row r="15">
          <cell r="D15" t="str">
            <v>GER</v>
          </cell>
          <cell r="F15" t="str">
            <v>M</v>
          </cell>
          <cell r="G15" t="str">
            <v>Requisitado de Órgãos</v>
          </cell>
          <cell r="M15" t="str">
            <v>FA</v>
          </cell>
          <cell r="O15" t="str">
            <v>Parda</v>
          </cell>
        </row>
        <row r="16">
          <cell r="D16" t="str">
            <v>GER</v>
          </cell>
          <cell r="F16" t="str">
            <v>M</v>
          </cell>
          <cell r="G16" t="str">
            <v>Sem Vínculo</v>
          </cell>
          <cell r="M16" t="str">
            <v>FA</v>
          </cell>
          <cell r="O16" t="str">
            <v>Branca</v>
          </cell>
        </row>
        <row r="17">
          <cell r="D17" t="str">
            <v>GER</v>
          </cell>
          <cell r="F17" t="str">
            <v>F</v>
          </cell>
          <cell r="G17" t="str">
            <v>Exercício Descentralizado</v>
          </cell>
          <cell r="M17" t="str">
            <v>FA</v>
          </cell>
          <cell r="O17" t="str">
            <v>Branca</v>
          </cell>
        </row>
        <row r="18">
          <cell r="D18" t="str">
            <v>GER</v>
          </cell>
          <cell r="F18" t="str">
            <v>M</v>
          </cell>
          <cell r="G18" t="str">
            <v>Requisitado de Órgãos</v>
          </cell>
          <cell r="M18" t="str">
            <v>FA</v>
          </cell>
          <cell r="O18" t="str">
            <v>Amarela</v>
          </cell>
        </row>
        <row r="19">
          <cell r="D19" t="str">
            <v>ASS</v>
          </cell>
          <cell r="F19" t="str">
            <v>M</v>
          </cell>
          <cell r="G19" t="str">
            <v>Exercício Descentralizado</v>
          </cell>
          <cell r="M19" t="str">
            <v>FA</v>
          </cell>
          <cell r="O19" t="str">
            <v>Preta</v>
          </cell>
        </row>
        <row r="20">
          <cell r="D20" t="str">
            <v>GER</v>
          </cell>
          <cell r="F20" t="str">
            <v>F</v>
          </cell>
          <cell r="G20" t="str">
            <v>Exercício Descentralizado</v>
          </cell>
          <cell r="M20" t="str">
            <v>FA</v>
          </cell>
          <cell r="O20" t="str">
            <v>Branca</v>
          </cell>
        </row>
        <row r="21">
          <cell r="D21" t="str">
            <v>GER</v>
          </cell>
          <cell r="F21" t="str">
            <v>M</v>
          </cell>
          <cell r="G21" t="str">
            <v>Exercício Descentralizado</v>
          </cell>
          <cell r="M21" t="str">
            <v>FA</v>
          </cell>
          <cell r="O21" t="str">
            <v>Branca</v>
          </cell>
        </row>
        <row r="22">
          <cell r="D22" t="str">
            <v>GER</v>
          </cell>
          <cell r="F22" t="str">
            <v>F</v>
          </cell>
          <cell r="G22" t="str">
            <v>Requisitado de Órgãos</v>
          </cell>
          <cell r="M22" t="str">
            <v>FA</v>
          </cell>
          <cell r="O22" t="str">
            <v>Branca</v>
          </cell>
        </row>
        <row r="23">
          <cell r="D23" t="str">
            <v>ASS</v>
          </cell>
          <cell r="F23" t="str">
            <v>M</v>
          </cell>
          <cell r="G23" t="str">
            <v>Exercício Descentralizado</v>
          </cell>
          <cell r="M23" t="str">
            <v>FA</v>
          </cell>
          <cell r="O23" t="str">
            <v>Branca</v>
          </cell>
        </row>
        <row r="24">
          <cell r="D24" t="str">
            <v>GER</v>
          </cell>
          <cell r="F24" t="str">
            <v>M</v>
          </cell>
          <cell r="G24" t="str">
            <v>Exercício Descentralizado</v>
          </cell>
          <cell r="M24" t="str">
            <v>FA</v>
          </cell>
          <cell r="O24" t="str">
            <v>Parda</v>
          </cell>
        </row>
        <row r="25">
          <cell r="D25" t="str">
            <v>GER</v>
          </cell>
          <cell r="F25" t="str">
            <v>F</v>
          </cell>
          <cell r="G25" t="str">
            <v>Requisitado de Órgãos</v>
          </cell>
          <cell r="M25" t="str">
            <v>FA</v>
          </cell>
          <cell r="O25" t="str">
            <v>Branca</v>
          </cell>
        </row>
        <row r="26">
          <cell r="D26" t="str">
            <v>GER</v>
          </cell>
          <cell r="F26" t="str">
            <v>-</v>
          </cell>
          <cell r="G26" t="str">
            <v>-</v>
          </cell>
          <cell r="M26" t="str">
            <v>-</v>
          </cell>
          <cell r="O26" t="str">
            <v>-</v>
          </cell>
        </row>
        <row r="27">
          <cell r="D27" t="str">
            <v>ASS</v>
          </cell>
          <cell r="F27" t="str">
            <v>M</v>
          </cell>
          <cell r="G27" t="str">
            <v>Exercício Descentralizado</v>
          </cell>
          <cell r="M27" t="str">
            <v>FA</v>
          </cell>
          <cell r="O27" t="str">
            <v>Branca</v>
          </cell>
        </row>
        <row r="28">
          <cell r="D28" t="str">
            <v>GER</v>
          </cell>
          <cell r="F28" t="str">
            <v>M</v>
          </cell>
          <cell r="G28" t="str">
            <v>Exercício Descentralizado</v>
          </cell>
          <cell r="M28" t="str">
            <v>FA</v>
          </cell>
          <cell r="O28" t="str">
            <v>Parda</v>
          </cell>
        </row>
        <row r="29">
          <cell r="D29" t="str">
            <v>GER</v>
          </cell>
          <cell r="F29" t="str">
            <v>M</v>
          </cell>
          <cell r="G29" t="str">
            <v>Exercício Descentralizado</v>
          </cell>
          <cell r="M29" t="str">
            <v>FA</v>
          </cell>
          <cell r="O29" t="str">
            <v>Branca</v>
          </cell>
        </row>
      </sheetData>
      <sheetData sheetId="108">
        <row r="3">
          <cell r="D3" t="str">
            <v>GER</v>
          </cell>
          <cell r="F3" t="str">
            <v>M</v>
          </cell>
          <cell r="G3" t="str">
            <v>Sem Vínculo</v>
          </cell>
          <cell r="M3" t="str">
            <v>FA</v>
          </cell>
          <cell r="O3" t="str">
            <v>Branca</v>
          </cell>
        </row>
        <row r="4">
          <cell r="D4" t="str">
            <v>GER</v>
          </cell>
          <cell r="F4" t="str">
            <v>F</v>
          </cell>
          <cell r="G4" t="str">
            <v>Sem Vínculo</v>
          </cell>
          <cell r="M4" t="str">
            <v>FA</v>
          </cell>
          <cell r="O4" t="str">
            <v>Branca</v>
          </cell>
        </row>
        <row r="5">
          <cell r="D5" t="str">
            <v>ASS</v>
          </cell>
          <cell r="F5" t="str">
            <v>F</v>
          </cell>
          <cell r="G5" t="str">
            <v>Sem Vínculo</v>
          </cell>
          <cell r="M5" t="str">
            <v>FA</v>
          </cell>
          <cell r="O5" t="str">
            <v>Branca</v>
          </cell>
        </row>
        <row r="6">
          <cell r="D6" t="str">
            <v>ASS</v>
          </cell>
          <cell r="F6" t="str">
            <v>M</v>
          </cell>
          <cell r="G6" t="str">
            <v>Ativo Permanente</v>
          </cell>
          <cell r="M6" t="str">
            <v>FA</v>
          </cell>
          <cell r="O6" t="str">
            <v>Branca</v>
          </cell>
        </row>
        <row r="7">
          <cell r="D7" t="str">
            <v>ASS</v>
          </cell>
          <cell r="F7" t="str">
            <v>M</v>
          </cell>
          <cell r="G7" t="str">
            <v>Ativo Permanente</v>
          </cell>
          <cell r="M7" t="str">
            <v>FA</v>
          </cell>
          <cell r="O7" t="str">
            <v>Parda</v>
          </cell>
        </row>
        <row r="8">
          <cell r="D8" t="str">
            <v>ASS</v>
          </cell>
          <cell r="F8" t="str">
            <v>F</v>
          </cell>
          <cell r="G8" t="str">
            <v>Sem Vínculo</v>
          </cell>
          <cell r="M8" t="str">
            <v>FA</v>
          </cell>
          <cell r="O8" t="str">
            <v>Preta</v>
          </cell>
        </row>
        <row r="10">
          <cell r="D10" t="str">
            <v>ASS</v>
          </cell>
          <cell r="F10" t="str">
            <v>F</v>
          </cell>
          <cell r="G10" t="str">
            <v>Sem Vínculo</v>
          </cell>
          <cell r="M10" t="str">
            <v>FA</v>
          </cell>
          <cell r="O10" t="str">
            <v>Branca</v>
          </cell>
        </row>
        <row r="11">
          <cell r="D11" t="str">
            <v>GER</v>
          </cell>
          <cell r="F11" t="str">
            <v>M</v>
          </cell>
          <cell r="G11" t="str">
            <v>Sem Vínculo</v>
          </cell>
          <cell r="M11" t="str">
            <v>FA</v>
          </cell>
          <cell r="O11" t="str">
            <v>Branca</v>
          </cell>
        </row>
        <row r="12">
          <cell r="D12" t="str">
            <v>ASS</v>
          </cell>
          <cell r="F12" t="str">
            <v>F</v>
          </cell>
          <cell r="G12" t="str">
            <v>Sem Vínculo</v>
          </cell>
          <cell r="M12" t="str">
            <v>FA</v>
          </cell>
          <cell r="O12" t="str">
            <v>Branca</v>
          </cell>
        </row>
        <row r="13">
          <cell r="D13" t="str">
            <v>ASS</v>
          </cell>
          <cell r="F13" t="str">
            <v>F</v>
          </cell>
          <cell r="G13" t="str">
            <v>Sem Vínculo</v>
          </cell>
          <cell r="M13" t="str">
            <v>FA</v>
          </cell>
          <cell r="O13" t="str">
            <v>Branca</v>
          </cell>
        </row>
        <row r="14">
          <cell r="D14" t="str">
            <v>GER</v>
          </cell>
          <cell r="F14" t="str">
            <v>M</v>
          </cell>
          <cell r="G14" t="str">
            <v>Requisitado de Órgãos</v>
          </cell>
          <cell r="M14" t="str">
            <v>FA</v>
          </cell>
          <cell r="O14" t="str">
            <v>Branca</v>
          </cell>
        </row>
        <row r="15">
          <cell r="D15" t="str">
            <v>GER</v>
          </cell>
          <cell r="F15" t="str">
            <v>F</v>
          </cell>
          <cell r="G15" t="str">
            <v>Sem Vínculo</v>
          </cell>
          <cell r="M15" t="str">
            <v>FA</v>
          </cell>
          <cell r="O15" t="str">
            <v>Branca</v>
          </cell>
        </row>
        <row r="16">
          <cell r="D16" t="str">
            <v>ASS</v>
          </cell>
          <cell r="F16" t="str">
            <v>F</v>
          </cell>
          <cell r="G16" t="str">
            <v>Sem Vínculo</v>
          </cell>
          <cell r="M16" t="str">
            <v>FA</v>
          </cell>
          <cell r="O16" t="str">
            <v>Branca</v>
          </cell>
        </row>
        <row r="17">
          <cell r="D17" t="str">
            <v>GER</v>
          </cell>
          <cell r="F17" t="str">
            <v>F</v>
          </cell>
          <cell r="G17" t="str">
            <v>Requisitado de Órgãos</v>
          </cell>
          <cell r="M17" t="str">
            <v>FA</v>
          </cell>
          <cell r="O17" t="str">
            <v>Parda</v>
          </cell>
        </row>
        <row r="18">
          <cell r="D18" t="str">
            <v>GER</v>
          </cell>
          <cell r="F18" t="str">
            <v>M</v>
          </cell>
          <cell r="G18" t="str">
            <v>Exercício Descentralizado</v>
          </cell>
          <cell r="M18" t="str">
            <v>FA</v>
          </cell>
          <cell r="O18" t="str">
            <v>Parda</v>
          </cell>
        </row>
        <row r="19">
          <cell r="D19" t="str">
            <v>ASS</v>
          </cell>
          <cell r="F19" t="str">
            <v>F</v>
          </cell>
          <cell r="G19" t="str">
            <v>Sem Vínculo</v>
          </cell>
          <cell r="M19" t="str">
            <v>FA</v>
          </cell>
          <cell r="O19" t="str">
            <v>Branca</v>
          </cell>
        </row>
        <row r="20">
          <cell r="D20" t="str">
            <v>ASS</v>
          </cell>
          <cell r="F20" t="str">
            <v>F</v>
          </cell>
          <cell r="G20" t="str">
            <v>Requisitado de Órgãos</v>
          </cell>
          <cell r="M20" t="str">
            <v>FA</v>
          </cell>
          <cell r="O20" t="str">
            <v>Parda</v>
          </cell>
        </row>
        <row r="21">
          <cell r="D21" t="str">
            <v>GER</v>
          </cell>
          <cell r="F21" t="str">
            <v>M</v>
          </cell>
          <cell r="G21" t="str">
            <v>Exercício Descentralizado</v>
          </cell>
          <cell r="M21" t="str">
            <v>FA</v>
          </cell>
          <cell r="O21" t="str">
            <v>Parda</v>
          </cell>
        </row>
        <row r="22">
          <cell r="D22" t="str">
            <v>GER</v>
          </cell>
          <cell r="F22" t="str">
            <v>M</v>
          </cell>
          <cell r="G22" t="str">
            <v>Sem Vínculo</v>
          </cell>
          <cell r="M22" t="str">
            <v>FA</v>
          </cell>
          <cell r="O22" t="str">
            <v>Branca</v>
          </cell>
        </row>
        <row r="23">
          <cell r="D23" t="str">
            <v>GER</v>
          </cell>
          <cell r="F23" t="str">
            <v>M</v>
          </cell>
          <cell r="G23" t="str">
            <v>Exercício Descentralizado</v>
          </cell>
          <cell r="M23" t="str">
            <v>FA</v>
          </cell>
          <cell r="O23" t="str">
            <v>Branca</v>
          </cell>
        </row>
        <row r="24">
          <cell r="D24" t="str">
            <v>ASS</v>
          </cell>
          <cell r="F24" t="str">
            <v>F</v>
          </cell>
          <cell r="G24" t="str">
            <v>Sem Vínculo</v>
          </cell>
          <cell r="M24" t="str">
            <v>FA</v>
          </cell>
          <cell r="O24" t="str">
            <v>Branca</v>
          </cell>
        </row>
        <row r="25">
          <cell r="D25" t="str">
            <v>ASS</v>
          </cell>
          <cell r="F25" t="str">
            <v>F</v>
          </cell>
          <cell r="G25" t="str">
            <v>Exercício Descentralizado</v>
          </cell>
          <cell r="M25" t="str">
            <v>FA</v>
          </cell>
          <cell r="O25" t="str">
            <v>Parda</v>
          </cell>
        </row>
        <row r="26">
          <cell r="D26" t="str">
            <v>ASS</v>
          </cell>
          <cell r="F26" t="str">
            <v>M</v>
          </cell>
          <cell r="G26" t="str">
            <v>Ativo Permanente</v>
          </cell>
          <cell r="M26" t="str">
            <v>FA</v>
          </cell>
          <cell r="O26" t="str">
            <v>Branca</v>
          </cell>
        </row>
        <row r="27">
          <cell r="D27" t="str">
            <v>GER</v>
          </cell>
          <cell r="F27" t="str">
            <v>M</v>
          </cell>
          <cell r="G27" t="str">
            <v>Sem Vínculo</v>
          </cell>
          <cell r="M27" t="str">
            <v>FA</v>
          </cell>
          <cell r="O27" t="str">
            <v>Parda</v>
          </cell>
        </row>
        <row r="28">
          <cell r="D28" t="str">
            <v>GER</v>
          </cell>
          <cell r="F28" t="str">
            <v>M</v>
          </cell>
          <cell r="G28" t="str">
            <v>Sem Vínculo</v>
          </cell>
          <cell r="M28" t="str">
            <v>FA</v>
          </cell>
          <cell r="O28" t="str">
            <v>Branca</v>
          </cell>
        </row>
        <row r="29">
          <cell r="D29" t="str">
            <v>ASS</v>
          </cell>
          <cell r="F29" t="str">
            <v>M</v>
          </cell>
          <cell r="G29" t="str">
            <v>Sem Vínculo</v>
          </cell>
          <cell r="M29" t="str">
            <v>FA</v>
          </cell>
          <cell r="O29" t="str">
            <v>Branca</v>
          </cell>
        </row>
        <row r="30">
          <cell r="D30" t="str">
            <v>GER</v>
          </cell>
          <cell r="F30" t="str">
            <v>F</v>
          </cell>
          <cell r="G30" t="str">
            <v>Sem Vínculo</v>
          </cell>
          <cell r="M30" t="str">
            <v>FA</v>
          </cell>
          <cell r="O30" t="str">
            <v>Branca</v>
          </cell>
        </row>
        <row r="31">
          <cell r="D31" t="str">
            <v>ASS</v>
          </cell>
          <cell r="F31" t="str">
            <v>M</v>
          </cell>
          <cell r="G31" t="str">
            <v>Sem Vínculo</v>
          </cell>
          <cell r="M31" t="str">
            <v>FA</v>
          </cell>
          <cell r="O31" t="str">
            <v>Branca</v>
          </cell>
        </row>
        <row r="32">
          <cell r="D32" t="str">
            <v>GER</v>
          </cell>
          <cell r="F32" t="str">
            <v>F</v>
          </cell>
          <cell r="G32" t="str">
            <v>Requisitado de Órgãos</v>
          </cell>
          <cell r="M32" t="str">
            <v>FA</v>
          </cell>
          <cell r="O32" t="str">
            <v>Branca</v>
          </cell>
        </row>
        <row r="33">
          <cell r="D33" t="str">
            <v>ASS</v>
          </cell>
          <cell r="F33" t="str">
            <v>F</v>
          </cell>
          <cell r="G33" t="str">
            <v>Exercício Descentralizado</v>
          </cell>
          <cell r="M33" t="str">
            <v>FA</v>
          </cell>
          <cell r="O33" t="str">
            <v>Parda</v>
          </cell>
        </row>
      </sheetData>
      <sheetData sheetId="109">
        <row r="3">
          <cell r="B3" t="str">
            <v>Total de DAS / FCPE na Unidade</v>
          </cell>
        </row>
        <row r="4">
          <cell r="C4" t="str">
            <v>Ativo Permanente</v>
          </cell>
          <cell r="D4" t="str">
            <v>Requisitado Órgãos</v>
          </cell>
          <cell r="E4" t="str">
            <v>Requisitado Empresa</v>
          </cell>
          <cell r="F4" t="str">
            <v>S/Vínculo</v>
          </cell>
          <cell r="G4" t="str">
            <v>Exercício Descentralizado</v>
          </cell>
          <cell r="H4" t="str">
            <v>Anistiado</v>
          </cell>
          <cell r="I4" t="str">
            <v>Vago</v>
          </cell>
        </row>
        <row r="5">
          <cell r="A5" t="str">
            <v>GM</v>
          </cell>
          <cell r="B5">
            <v>51</v>
          </cell>
        </row>
        <row r="6">
          <cell r="A6" t="str">
            <v>SE</v>
          </cell>
          <cell r="B6">
            <v>91</v>
          </cell>
        </row>
        <row r="7">
          <cell r="A7" t="str">
            <v>CONJUR</v>
          </cell>
          <cell r="B7">
            <v>14</v>
          </cell>
        </row>
        <row r="8">
          <cell r="A8" t="str">
            <v>ASSEC</v>
          </cell>
          <cell r="B8">
            <v>9</v>
          </cell>
        </row>
        <row r="9">
          <cell r="A9" t="str">
            <v>ASSINT</v>
          </cell>
          <cell r="B9">
            <v>4</v>
          </cell>
        </row>
        <row r="10">
          <cell r="A10" t="str">
            <v>AECI</v>
          </cell>
          <cell r="B10">
            <v>3</v>
          </cell>
        </row>
        <row r="11">
          <cell r="A11" t="str">
            <v>AEPED</v>
          </cell>
          <cell r="B11">
            <v>4</v>
          </cell>
        </row>
        <row r="12">
          <cell r="A12" t="str">
            <v>SPE</v>
          </cell>
          <cell r="B12">
            <v>30</v>
          </cell>
        </row>
        <row r="13">
          <cell r="A13" t="str">
            <v>SEE</v>
          </cell>
          <cell r="B13">
            <v>32</v>
          </cell>
        </row>
        <row r="14">
          <cell r="A14" t="str">
            <v>SPG</v>
          </cell>
          <cell r="B14">
            <v>26</v>
          </cell>
        </row>
        <row r="15">
          <cell r="A15" t="str">
            <v>SGM</v>
          </cell>
          <cell r="B15">
            <v>30</v>
          </cell>
        </row>
        <row r="18">
          <cell r="A18" t="str">
            <v>TOTAL</v>
          </cell>
          <cell r="C18">
            <v>40</v>
          </cell>
          <cell r="D18">
            <v>55</v>
          </cell>
          <cell r="E18">
            <v>5</v>
          </cell>
          <cell r="F18">
            <v>120</v>
          </cell>
          <cell r="G18">
            <v>55</v>
          </cell>
          <cell r="H18">
            <v>11</v>
          </cell>
          <cell r="I18">
            <v>12</v>
          </cell>
        </row>
        <row r="23">
          <cell r="C23" t="str">
            <v>DAS / FCPE Gerencial</v>
          </cell>
          <cell r="D23" t="str">
            <v>DAS / FCPE Assessoria / Assistência</v>
          </cell>
          <cell r="E23" t="str">
            <v>DAS / FCPE Gerencial ocupado por Servidores do MME</v>
          </cell>
          <cell r="F23" t="str">
            <v>DAS /FCPE Gerencial ocupados por Requisitados e S/Vínculo</v>
          </cell>
          <cell r="G23" t="str">
            <v>DAS /FCPE Gerencial vagos</v>
          </cell>
        </row>
        <row r="37">
          <cell r="A37" t="str">
            <v>TOTAL</v>
          </cell>
          <cell r="C37">
            <v>130</v>
          </cell>
          <cell r="D37">
            <v>168</v>
          </cell>
          <cell r="E37">
            <v>17</v>
          </cell>
          <cell r="F37">
            <v>108</v>
          </cell>
          <cell r="G37">
            <v>5</v>
          </cell>
        </row>
        <row r="42">
          <cell r="B42" t="str">
            <v>MASCULINO</v>
          </cell>
          <cell r="C42" t="str">
            <v>FEMININO</v>
          </cell>
          <cell r="D42" t="str">
            <v>VAGO</v>
          </cell>
          <cell r="E42" t="str">
            <v>MASCULINO</v>
          </cell>
          <cell r="F42" t="str">
            <v>FEMININO</v>
          </cell>
          <cell r="G42" t="str">
            <v>VAGO</v>
          </cell>
        </row>
        <row r="56">
          <cell r="A56" t="str">
            <v>TOTAL</v>
          </cell>
          <cell r="B56">
            <v>157</v>
          </cell>
          <cell r="C56">
            <v>129</v>
          </cell>
          <cell r="D56">
            <v>12</v>
          </cell>
          <cell r="E56">
            <v>82</v>
          </cell>
          <cell r="F56">
            <v>43</v>
          </cell>
          <cell r="G56">
            <v>5</v>
          </cell>
        </row>
        <row r="62">
          <cell r="C62" t="str">
            <v xml:space="preserve">BRANCA </v>
          </cell>
          <cell r="D62" t="str">
            <v>AMARELA</v>
          </cell>
          <cell r="E62" t="str">
            <v xml:space="preserve">PARDA </v>
          </cell>
          <cell r="F62" t="str">
            <v>INDIGENA</v>
          </cell>
          <cell r="G62" t="str">
            <v xml:space="preserve">PRETA </v>
          </cell>
          <cell r="H62" t="str">
            <v>S / INFORMAÇÃO</v>
          </cell>
        </row>
        <row r="76">
          <cell r="C76">
            <v>179</v>
          </cell>
          <cell r="D76">
            <v>6</v>
          </cell>
          <cell r="E76">
            <v>92</v>
          </cell>
          <cell r="F76">
            <v>0</v>
          </cell>
          <cell r="G76">
            <v>9</v>
          </cell>
          <cell r="H76">
            <v>12</v>
          </cell>
        </row>
        <row r="83">
          <cell r="C83" t="str">
            <v xml:space="preserve">BRANCA </v>
          </cell>
          <cell r="D83" t="str">
            <v>AMARELA</v>
          </cell>
          <cell r="E83" t="str">
            <v xml:space="preserve">PARDA </v>
          </cell>
          <cell r="F83" t="str">
            <v>INDIGENA</v>
          </cell>
          <cell r="G83" t="str">
            <v xml:space="preserve">PRETA </v>
          </cell>
          <cell r="H83" t="str">
            <v>S / INFORMAÇÃO</v>
          </cell>
        </row>
        <row r="97">
          <cell r="C97">
            <v>87</v>
          </cell>
          <cell r="D97">
            <v>3</v>
          </cell>
          <cell r="E97">
            <v>34</v>
          </cell>
          <cell r="F97">
            <v>0</v>
          </cell>
          <cell r="G97">
            <v>1</v>
          </cell>
          <cell r="H97">
            <v>5</v>
          </cell>
        </row>
      </sheetData>
      <sheetData sheetId="110" refreshError="1"/>
      <sheetData sheetId="111">
        <row r="2">
          <cell r="A2" t="str">
            <v>Unidade</v>
          </cell>
          <cell r="B2" t="str">
            <v>Custo Relativo - Função DAS/FCPE por Unidade</v>
          </cell>
          <cell r="D2" t="str">
            <v>Custo Relativo - Função FCPE por Unidade</v>
          </cell>
          <cell r="F2" t="str">
            <v>Custo Relativo - Função DAS por Unidade</v>
          </cell>
        </row>
        <row r="4">
          <cell r="B4" t="str">
            <v>Valor</v>
          </cell>
          <cell r="C4" t="str">
            <v>%</v>
          </cell>
          <cell r="D4" t="str">
            <v>Valor</v>
          </cell>
          <cell r="E4" t="str">
            <v>%</v>
          </cell>
          <cell r="F4" t="str">
            <v>Valor</v>
          </cell>
          <cell r="G4" t="str">
            <v>%</v>
          </cell>
        </row>
        <row r="5">
          <cell r="A5" t="str">
            <v>GM</v>
          </cell>
          <cell r="B5">
            <v>251175.95399999982</v>
          </cell>
          <cell r="C5">
            <v>16.328994315027362</v>
          </cell>
          <cell r="D5">
            <v>27344.37</v>
          </cell>
          <cell r="E5">
            <v>13.520036057424532</v>
          </cell>
          <cell r="F5">
            <v>223831.58399999983</v>
          </cell>
          <cell r="G5">
            <v>16.754238800653187</v>
          </cell>
        </row>
        <row r="6">
          <cell r="A6" t="str">
            <v>SE</v>
          </cell>
          <cell r="B6">
            <v>389696.5900000002</v>
          </cell>
          <cell r="C6">
            <v>25.334245979197341</v>
          </cell>
          <cell r="D6">
            <v>47436.977999999974</v>
          </cell>
          <cell r="E6">
            <v>23.454541209589173</v>
          </cell>
          <cell r="F6">
            <v>342259.6120000002</v>
          </cell>
          <cell r="G6">
            <v>25.618812004953295</v>
          </cell>
        </row>
        <row r="7">
          <cell r="A7" t="str">
            <v>CONJUR</v>
          </cell>
          <cell r="B7">
            <v>67311.62999999999</v>
          </cell>
          <cell r="C7">
            <v>4.3759412718513087</v>
          </cell>
          <cell r="D7">
            <v>27559.049999999996</v>
          </cell>
          <cell r="E7">
            <v>13.626181539686797</v>
          </cell>
          <cell r="F7">
            <v>39752.579999999994</v>
          </cell>
          <cell r="G7">
            <v>2.975559598693946</v>
          </cell>
        </row>
        <row r="8">
          <cell r="A8" t="str">
            <v>ASSEC</v>
          </cell>
          <cell r="B8">
            <v>60499.90400000001</v>
          </cell>
          <cell r="C8">
            <v>3.9331097294277697</v>
          </cell>
          <cell r="D8">
            <v>0</v>
          </cell>
          <cell r="E8">
            <v>0</v>
          </cell>
          <cell r="F8">
            <v>60499.90400000001</v>
          </cell>
          <cell r="G8">
            <v>4.5285380236267008</v>
          </cell>
        </row>
        <row r="9">
          <cell r="A9" t="str">
            <v>AERINT</v>
          </cell>
          <cell r="B9">
            <v>24052.534</v>
          </cell>
          <cell r="C9">
            <v>1.5636595967622067</v>
          </cell>
          <cell r="D9">
            <v>2064.4499999999998</v>
          </cell>
          <cell r="E9">
            <v>1.0207380326827815</v>
          </cell>
          <cell r="F9">
            <v>21988.083999999999</v>
          </cell>
          <cell r="G9">
            <v>1.6458517762391467</v>
          </cell>
        </row>
        <row r="10">
          <cell r="A10" t="str">
            <v>AECI</v>
          </cell>
          <cell r="B10">
            <v>21911.82</v>
          </cell>
          <cell r="C10">
            <v>1.4244913914486539</v>
          </cell>
          <cell r="D10">
            <v>8288.43</v>
          </cell>
          <cell r="E10">
            <v>4.098096699958317</v>
          </cell>
          <cell r="F10">
            <v>13623.39</v>
          </cell>
          <cell r="G10">
            <v>1.0197378102566204</v>
          </cell>
        </row>
        <row r="11">
          <cell r="A11" t="str">
            <v>AEPED</v>
          </cell>
          <cell r="B11">
            <v>33632</v>
          </cell>
          <cell r="C11">
            <v>2.1864224184573042</v>
          </cell>
          <cell r="D11">
            <v>6223.98</v>
          </cell>
          <cell r="E11">
            <v>3.0773586672755355</v>
          </cell>
          <cell r="F11">
            <v>27408.02</v>
          </cell>
          <cell r="G11">
            <v>2.05154475488624</v>
          </cell>
        </row>
        <row r="12">
          <cell r="A12" t="str">
            <v>SPE</v>
          </cell>
          <cell r="B12">
            <v>172801.30599999998</v>
          </cell>
          <cell r="C12">
            <v>11.233844236949947</v>
          </cell>
          <cell r="D12">
            <v>15828.66</v>
          </cell>
          <cell r="E12">
            <v>7.8262565179125865</v>
          </cell>
          <cell r="F12">
            <v>156972.64599999998</v>
          </cell>
          <cell r="G12">
            <v>11.749714447155048</v>
          </cell>
        </row>
        <row r="13">
          <cell r="A13" t="str">
            <v>SEE</v>
          </cell>
          <cell r="B13">
            <v>176750.27000000002</v>
          </cell>
          <cell r="C13">
            <v>11.490567102651685</v>
          </cell>
          <cell r="D13">
            <v>19270.62</v>
          </cell>
          <cell r="E13">
            <v>9.5280848397284839</v>
          </cell>
          <cell r="F13">
            <v>157479.65000000002</v>
          </cell>
          <cell r="G13">
            <v>11.787664703937788</v>
          </cell>
        </row>
        <row r="14">
          <cell r="A14" t="str">
            <v>SPG</v>
          </cell>
          <cell r="B14">
            <v>146598.06200000001</v>
          </cell>
          <cell r="C14">
            <v>9.5303665931016237</v>
          </cell>
          <cell r="D14">
            <v>8257.7999999999993</v>
          </cell>
          <cell r="E14">
            <v>4.0829521307311261</v>
          </cell>
          <cell r="F14">
            <v>138340.26200000002</v>
          </cell>
          <cell r="G14">
            <v>10.35504348346536</v>
          </cell>
        </row>
        <row r="15">
          <cell r="A15" t="str">
            <v>SGM</v>
          </cell>
          <cell r="B15">
            <v>193790.52800000002</v>
          </cell>
          <cell r="C15">
            <v>12.598357365124819</v>
          </cell>
          <cell r="D15">
            <v>39976.379999999997</v>
          </cell>
          <cell r="E15">
            <v>19.765754305010677</v>
          </cell>
          <cell r="F15">
            <v>153814.14800000002</v>
          </cell>
          <cell r="G15">
            <v>11.513294596132662</v>
          </cell>
        </row>
        <row r="16">
          <cell r="A16" t="str">
            <v>ESCRITÓRIO RJ</v>
          </cell>
          <cell r="B16">
            <v>6223.98</v>
          </cell>
          <cell r="C16">
            <v>0.40462206838813902</v>
          </cell>
          <cell r="D16">
            <v>0</v>
          </cell>
          <cell r="E16">
            <v>0</v>
          </cell>
          <cell r="F16">
            <v>6223.98</v>
          </cell>
          <cell r="G16">
            <v>0.46587726962826431</v>
          </cell>
        </row>
        <row r="17">
          <cell r="A17" t="str">
            <v>TOTAL</v>
          </cell>
          <cell r="B17">
            <v>1538220.5979999998</v>
          </cell>
          <cell r="C17">
            <v>100.00000000000003</v>
          </cell>
          <cell r="D17">
            <v>202250.71799999994</v>
          </cell>
          <cell r="E17">
            <v>100</v>
          </cell>
          <cell r="F17">
            <v>1335969.8800000001</v>
          </cell>
          <cell r="G17">
            <v>100.00000000000001</v>
          </cell>
        </row>
        <row r="95">
          <cell r="A95" t="str">
            <v>Unidade</v>
          </cell>
          <cell r="B95" t="str">
            <v>Custo Relativo (R$)</v>
          </cell>
          <cell r="D95" t="str">
            <v>Custo Absoluto (R$)</v>
          </cell>
        </row>
        <row r="97">
          <cell r="B97" t="str">
            <v>Valor</v>
          </cell>
          <cell r="C97" t="str">
            <v>%</v>
          </cell>
          <cell r="D97" t="str">
            <v>Valor</v>
          </cell>
          <cell r="E97" t="str">
            <v>%</v>
          </cell>
        </row>
        <row r="98">
          <cell r="A98" t="str">
            <v>GM</v>
          </cell>
          <cell r="B98">
            <v>251175.95399999982</v>
          </cell>
          <cell r="C98">
            <v>0.16328994315027359</v>
          </cell>
          <cell r="D98">
            <v>340903.94999999995</v>
          </cell>
          <cell r="E98">
            <v>0.16715890544750037</v>
          </cell>
        </row>
        <row r="99">
          <cell r="A99" t="str">
            <v>SE</v>
          </cell>
          <cell r="B99">
            <v>389696.5900000002</v>
          </cell>
          <cell r="C99">
            <v>0.2533424597919734</v>
          </cell>
          <cell r="D99">
            <v>525488.16799999995</v>
          </cell>
          <cell r="E99">
            <v>0.25766796479915294</v>
          </cell>
        </row>
        <row r="100">
          <cell r="A100" t="str">
            <v>CONJUR</v>
          </cell>
          <cell r="B100">
            <v>67311.62999999999</v>
          </cell>
          <cell r="C100">
            <v>4.375941271851308E-2</v>
          </cell>
          <cell r="D100">
            <v>71460.95</v>
          </cell>
          <cell r="E100">
            <v>3.5040175346277305E-2</v>
          </cell>
        </row>
        <row r="101">
          <cell r="A101" t="str">
            <v>ASSEC</v>
          </cell>
          <cell r="B101">
            <v>60499.90400000001</v>
          </cell>
          <cell r="C101">
            <v>3.9331097294277695E-2</v>
          </cell>
          <cell r="D101">
            <v>82546.539999999994</v>
          </cell>
          <cell r="E101">
            <v>4.0475885582664288E-2</v>
          </cell>
        </row>
        <row r="102">
          <cell r="A102" t="str">
            <v>AERINT</v>
          </cell>
          <cell r="B102">
            <v>24052.534</v>
          </cell>
          <cell r="C102">
            <v>1.5636595967622065E-2</v>
          </cell>
          <cell r="D102">
            <v>29501.89</v>
          </cell>
          <cell r="E102">
            <v>1.4465962160404879E-2</v>
          </cell>
        </row>
        <row r="103">
          <cell r="A103" t="str">
            <v>AECI</v>
          </cell>
          <cell r="B103">
            <v>21911.82</v>
          </cell>
          <cell r="C103">
            <v>1.4244913914486538E-2</v>
          </cell>
          <cell r="D103">
            <v>21911.82</v>
          </cell>
          <cell r="E103">
            <v>1.0744245842744408E-2</v>
          </cell>
        </row>
        <row r="104">
          <cell r="A104" t="str">
            <v>AEPED</v>
          </cell>
          <cell r="B104">
            <v>33632</v>
          </cell>
          <cell r="C104">
            <v>2.1864224184573042E-2</v>
          </cell>
          <cell r="D104">
            <v>35906.22</v>
          </cell>
          <cell r="E104">
            <v>1.760626250871293E-2</v>
          </cell>
        </row>
        <row r="105">
          <cell r="A105" t="str">
            <v>SPE</v>
          </cell>
          <cell r="B105">
            <v>172801.30599999998</v>
          </cell>
          <cell r="C105">
            <v>0.11233844236949947</v>
          </cell>
          <cell r="D105">
            <v>247012.41</v>
          </cell>
          <cell r="E105">
            <v>0.12112011048141037</v>
          </cell>
        </row>
        <row r="106">
          <cell r="A106" t="str">
            <v>SEE</v>
          </cell>
          <cell r="B106">
            <v>176750.27000000002</v>
          </cell>
          <cell r="C106">
            <v>0.11490567102651686</v>
          </cell>
          <cell r="D106">
            <v>246911.52</v>
          </cell>
          <cell r="E106">
            <v>0.12107064006028266</v>
          </cell>
        </row>
        <row r="107">
          <cell r="A107" t="str">
            <v>SPG</v>
          </cell>
          <cell r="B107">
            <v>146598.06200000001</v>
          </cell>
          <cell r="C107">
            <v>9.5303665931016246E-2</v>
          </cell>
          <cell r="D107">
            <v>233067.75999999998</v>
          </cell>
          <cell r="E107">
            <v>0.11428248823957807</v>
          </cell>
        </row>
        <row r="108">
          <cell r="A108" t="str">
            <v>SGM</v>
          </cell>
          <cell r="B108">
            <v>193790.52800000002</v>
          </cell>
          <cell r="C108">
            <v>0.12598357365124821</v>
          </cell>
          <cell r="D108">
            <v>204689.23999999996</v>
          </cell>
          <cell r="E108">
            <v>0.10036735953127181</v>
          </cell>
        </row>
        <row r="109">
          <cell r="A109" t="str">
            <v>ESCRITÓRIO RJ</v>
          </cell>
          <cell r="B109">
            <v>6223.98</v>
          </cell>
          <cell r="C109">
            <v>4.0462206838813896E-3</v>
          </cell>
          <cell r="D109">
            <v>27429.95</v>
          </cell>
          <cell r="E109">
            <v>1.3450006720308353E-2</v>
          </cell>
        </row>
        <row r="111">
          <cell r="A111" t="str">
            <v>TOTAL</v>
          </cell>
          <cell r="B111">
            <v>1538220.5979999998</v>
          </cell>
          <cell r="C111">
            <v>1.0000000000000002</v>
          </cell>
          <cell r="D111">
            <v>2039400.4679999999</v>
          </cell>
          <cell r="E111">
            <v>1</v>
          </cell>
        </row>
      </sheetData>
      <sheetData sheetId="112">
        <row r="26">
          <cell r="A26" t="str">
            <v>Unidade</v>
          </cell>
          <cell r="B26" t="str">
            <v>Custo Absoluto - Quadro Resumo</v>
          </cell>
        </row>
        <row r="27">
          <cell r="B27" t="str">
            <v>Total Custo Absoluto DAS/FCPE</v>
          </cell>
          <cell r="C27" t="str">
            <v>% Total Custo Absoluto</v>
          </cell>
          <cell r="D27" t="str">
            <v>TOTAL DAS + FCPE</v>
          </cell>
          <cell r="E27" t="str">
            <v>% TOTAL DAS + FCPE</v>
          </cell>
          <cell r="F27" t="str">
            <v>TOTAL      DAS</v>
          </cell>
          <cell r="G27" t="str">
            <v>TOTAL     FCPE</v>
          </cell>
        </row>
        <row r="29">
          <cell r="A29" t="str">
            <v xml:space="preserve">GM </v>
          </cell>
          <cell r="B29">
            <v>340903.94999999995</v>
          </cell>
          <cell r="C29">
            <v>0.1649404552163892</v>
          </cell>
          <cell r="D29">
            <v>51</v>
          </cell>
          <cell r="E29">
            <v>0.17114093959731544</v>
          </cell>
          <cell r="F29">
            <v>40</v>
          </cell>
          <cell r="G29">
            <v>11</v>
          </cell>
        </row>
        <row r="30">
          <cell r="A30" t="str">
            <v>SE</v>
          </cell>
          <cell r="B30">
            <v>525488.16799999995</v>
          </cell>
          <cell r="C30">
            <v>0.25424832314423584</v>
          </cell>
          <cell r="D30">
            <v>91</v>
          </cell>
          <cell r="E30">
            <v>0.30536912751677853</v>
          </cell>
          <cell r="F30">
            <v>73</v>
          </cell>
          <cell r="G30">
            <v>18</v>
          </cell>
        </row>
        <row r="31">
          <cell r="A31" t="str">
            <v>CONJUR</v>
          </cell>
          <cell r="B31">
            <v>71460.95</v>
          </cell>
          <cell r="C31">
            <v>3.4575139487810658E-2</v>
          </cell>
          <cell r="D31">
            <v>14</v>
          </cell>
          <cell r="E31">
            <v>4.6979865771812082E-2</v>
          </cell>
          <cell r="F31">
            <v>8</v>
          </cell>
          <cell r="G31">
            <v>6</v>
          </cell>
        </row>
        <row r="32">
          <cell r="A32" t="str">
            <v>ASSEC</v>
          </cell>
          <cell r="B32">
            <v>82546.539999999994</v>
          </cell>
          <cell r="C32">
            <v>3.9938709669212931E-2</v>
          </cell>
          <cell r="D32">
            <v>9</v>
          </cell>
          <cell r="E32">
            <v>3.0201342281879196E-2</v>
          </cell>
          <cell r="F32">
            <v>9</v>
          </cell>
          <cell r="G32">
            <v>0</v>
          </cell>
        </row>
        <row r="33">
          <cell r="A33" t="str">
            <v>ASSINT</v>
          </cell>
          <cell r="B33">
            <v>29501.89</v>
          </cell>
          <cell r="C33">
            <v>1.4273977072849525E-2</v>
          </cell>
          <cell r="D33">
            <v>4</v>
          </cell>
          <cell r="E33">
            <v>1.3422818791946308E-2</v>
          </cell>
          <cell r="F33">
            <v>3</v>
          </cell>
          <cell r="G33">
            <v>1</v>
          </cell>
        </row>
        <row r="34">
          <cell r="A34" t="str">
            <v>AECI</v>
          </cell>
          <cell r="B34">
            <v>21911.82</v>
          </cell>
          <cell r="C34">
            <v>1.0601653531499361E-2</v>
          </cell>
          <cell r="D34">
            <v>3</v>
          </cell>
          <cell r="E34">
            <v>1.0067114093959731E-2</v>
          </cell>
          <cell r="F34">
            <v>1</v>
          </cell>
          <cell r="G34">
            <v>2</v>
          </cell>
        </row>
        <row r="35">
          <cell r="A35" t="str">
            <v>AEPED</v>
          </cell>
          <cell r="B35">
            <v>35906.22</v>
          </cell>
          <cell r="C35">
            <v>1.7372600909727854E-2</v>
          </cell>
          <cell r="D35">
            <v>4</v>
          </cell>
          <cell r="E35">
            <v>1.3422818791946308E-2</v>
          </cell>
          <cell r="F35">
            <v>3</v>
          </cell>
          <cell r="G35">
            <v>1</v>
          </cell>
        </row>
        <row r="36">
          <cell r="A36" t="str">
            <v>SPE</v>
          </cell>
          <cell r="B36">
            <v>247012.41</v>
          </cell>
          <cell r="C36">
            <v>0.11951266434283726</v>
          </cell>
          <cell r="D36">
            <v>30</v>
          </cell>
          <cell r="E36">
            <v>0.10067114093959731</v>
          </cell>
          <cell r="F36">
            <v>25</v>
          </cell>
          <cell r="G36">
            <v>5</v>
          </cell>
        </row>
        <row r="37">
          <cell r="A37" t="str">
            <v>SEE</v>
          </cell>
          <cell r="B37">
            <v>246911.52</v>
          </cell>
          <cell r="C37">
            <v>0.11946385046864547</v>
          </cell>
          <cell r="D37">
            <v>32</v>
          </cell>
          <cell r="E37">
            <v>0.10738255033557047</v>
          </cell>
          <cell r="F37">
            <v>28</v>
          </cell>
          <cell r="G37">
            <v>4</v>
          </cell>
        </row>
        <row r="38">
          <cell r="A38" t="str">
            <v>SPG</v>
          </cell>
          <cell r="B38">
            <v>233067.75999999998</v>
          </cell>
          <cell r="C38">
            <v>0.11276578763802575</v>
          </cell>
          <cell r="D38">
            <v>26</v>
          </cell>
          <cell r="E38">
            <v>8.7248322147651006E-2</v>
          </cell>
          <cell r="F38">
            <v>22</v>
          </cell>
          <cell r="G38">
            <v>4</v>
          </cell>
        </row>
        <row r="39">
          <cell r="A39" t="str">
            <v>SGM</v>
          </cell>
          <cell r="B39">
            <v>204689.23999999996</v>
          </cell>
          <cell r="C39">
            <v>9.9035333628421554E-2</v>
          </cell>
          <cell r="D39">
            <v>30</v>
          </cell>
          <cell r="E39">
            <v>0.10067114093959731</v>
          </cell>
          <cell r="F39">
            <v>20</v>
          </cell>
          <cell r="G39">
            <v>10</v>
          </cell>
        </row>
        <row r="40">
          <cell r="A40" t="str">
            <v>ESCRITÓRIO RJ</v>
          </cell>
          <cell r="B40">
            <v>27429.95</v>
          </cell>
          <cell r="C40">
            <v>1.3271504890344614E-2</v>
          </cell>
          <cell r="D40">
            <v>4</v>
          </cell>
          <cell r="E40">
            <v>1.3422818791946308E-2</v>
          </cell>
          <cell r="F40">
            <v>4</v>
          </cell>
          <cell r="G40">
            <v>0</v>
          </cell>
        </row>
        <row r="42">
          <cell r="A42" t="str">
            <v>TOTAL</v>
          </cell>
          <cell r="B42">
            <v>2066830.4179999998</v>
          </cell>
          <cell r="C42">
            <v>0.99999999999999989</v>
          </cell>
          <cell r="D42">
            <v>298</v>
          </cell>
          <cell r="E42">
            <v>0.99999999999999989</v>
          </cell>
          <cell r="F42">
            <v>236</v>
          </cell>
          <cell r="G42">
            <v>62</v>
          </cell>
        </row>
        <row r="47">
          <cell r="A47" t="str">
            <v>FUNÇÃO</v>
          </cell>
          <cell r="B47" t="str">
            <v>NÍVEL</v>
          </cell>
          <cell r="C47" t="str">
            <v>CUSTO (R$)</v>
          </cell>
          <cell r="D47" t="str">
            <v>% CUSTO ABSOLUTO</v>
          </cell>
        </row>
        <row r="48">
          <cell r="A48" t="str">
            <v>NES</v>
          </cell>
          <cell r="B48" t="str">
            <v>Secretário Executivo</v>
          </cell>
          <cell r="C48">
            <v>17327.650000000001</v>
          </cell>
          <cell r="D48">
            <v>8.3836824971675068E-3</v>
          </cell>
        </row>
        <row r="49">
          <cell r="B49" t="str">
            <v>Subtotal NES</v>
          </cell>
          <cell r="C49">
            <v>17327.650000000001</v>
          </cell>
          <cell r="D49">
            <v>8.3836824971675068E-3</v>
          </cell>
        </row>
        <row r="50">
          <cell r="A50" t="str">
            <v>DAS</v>
          </cell>
          <cell r="B50">
            <v>6</v>
          </cell>
          <cell r="C50">
            <v>84724.5</v>
          </cell>
          <cell r="D50">
            <v>4.0992477787309203E-2</v>
          </cell>
        </row>
        <row r="51">
          <cell r="B51">
            <v>5</v>
          </cell>
          <cell r="C51">
            <v>544935.60000000009</v>
          </cell>
          <cell r="D51">
            <v>0.26365762534466436</v>
          </cell>
        </row>
        <row r="52">
          <cell r="B52">
            <v>4</v>
          </cell>
          <cell r="C52">
            <v>726130.99999999988</v>
          </cell>
          <cell r="D52">
            <v>0.35132587254190484</v>
          </cell>
        </row>
        <row r="53">
          <cell r="B53">
            <v>3</v>
          </cell>
          <cell r="C53">
            <v>227421.99999999997</v>
          </cell>
          <cell r="D53">
            <v>0.11003418472042246</v>
          </cell>
        </row>
        <row r="54">
          <cell r="B54">
            <v>2</v>
          </cell>
          <cell r="C54">
            <v>216767.25</v>
          </cell>
          <cell r="D54">
            <v>0.10487906898997458</v>
          </cell>
        </row>
        <row r="55">
          <cell r="B55">
            <v>1</v>
          </cell>
          <cell r="C55">
            <v>45924.82</v>
          </cell>
          <cell r="D55">
            <v>2.221992651164862E-2</v>
          </cell>
        </row>
        <row r="56">
          <cell r="B56" t="str">
            <v>Subtotal DAS</v>
          </cell>
          <cell r="C56">
            <v>1845905.1700000002</v>
          </cell>
          <cell r="D56">
            <v>0.89310915589592421</v>
          </cell>
        </row>
        <row r="57">
          <cell r="A57" t="str">
            <v>FCPE</v>
          </cell>
          <cell r="B57">
            <v>6</v>
          </cell>
          <cell r="C57">
            <v>0</v>
          </cell>
          <cell r="D57">
            <v>0</v>
          </cell>
        </row>
        <row r="58">
          <cell r="B58">
            <v>5</v>
          </cell>
          <cell r="C58">
            <v>0</v>
          </cell>
          <cell r="D58">
            <v>0</v>
          </cell>
        </row>
        <row r="59">
          <cell r="B59">
            <v>4</v>
          </cell>
          <cell r="C59">
            <v>99583.679999999978</v>
          </cell>
          <cell r="D59">
            <v>4.8181833948604084E-2</v>
          </cell>
        </row>
        <row r="60">
          <cell r="B60">
            <v>3</v>
          </cell>
          <cell r="C60">
            <v>37524.629999999997</v>
          </cell>
          <cell r="D60">
            <v>1.8155640478869708E-2</v>
          </cell>
        </row>
        <row r="61">
          <cell r="B61">
            <v>2</v>
          </cell>
          <cell r="C61">
            <v>45417.899999999994</v>
          </cell>
          <cell r="D61">
            <v>2.197466207408991E-2</v>
          </cell>
        </row>
        <row r="62">
          <cell r="B62">
            <v>1</v>
          </cell>
          <cell r="C62">
            <v>21071.387999999999</v>
          </cell>
          <cell r="D62">
            <v>1.019502510534466E-2</v>
          </cell>
        </row>
        <row r="63">
          <cell r="B63" t="str">
            <v>Subtotal FCPE</v>
          </cell>
          <cell r="C63">
            <v>203597.59799999997</v>
          </cell>
          <cell r="D63">
            <v>9.8507161606908367E-2</v>
          </cell>
        </row>
        <row r="64">
          <cell r="A64" t="str">
            <v>Total Geral Custo (R$)</v>
          </cell>
          <cell r="C64">
            <v>2066830.4180000001</v>
          </cell>
          <cell r="D64">
            <v>1</v>
          </cell>
        </row>
        <row r="82">
          <cell r="A82" t="str">
            <v>FUNÇÃO</v>
          </cell>
          <cell r="B82" t="str">
            <v>CUSTO (R$)</v>
          </cell>
          <cell r="C82" t="str">
            <v>% CUSTO ABSOLUTO</v>
          </cell>
          <cell r="D82" t="str">
            <v>Quantitativo</v>
          </cell>
          <cell r="E82" t="str">
            <v>% Quantitativo</v>
          </cell>
        </row>
        <row r="83">
          <cell r="A83" t="str">
            <v>NES</v>
          </cell>
          <cell r="B83">
            <v>17327.650000000001</v>
          </cell>
          <cell r="C83">
            <v>8.3836824971675068E-3</v>
          </cell>
          <cell r="D83">
            <v>1</v>
          </cell>
          <cell r="E83">
            <v>3.3557046979865771E-3</v>
          </cell>
        </row>
        <row r="84">
          <cell r="A84" t="str">
            <v>DAS 6</v>
          </cell>
          <cell r="B84">
            <v>84724.5</v>
          </cell>
          <cell r="C84">
            <v>4.0992477787309203E-2</v>
          </cell>
          <cell r="D84">
            <v>5</v>
          </cell>
          <cell r="E84">
            <v>1.6778523489932886E-2</v>
          </cell>
        </row>
        <row r="85">
          <cell r="A85" t="str">
            <v xml:space="preserve">DAS 5 </v>
          </cell>
          <cell r="B85">
            <v>544935.60000000009</v>
          </cell>
          <cell r="C85">
            <v>0.26365762534466436</v>
          </cell>
          <cell r="D85">
            <v>40</v>
          </cell>
          <cell r="E85">
            <v>0.13422818791946309</v>
          </cell>
        </row>
        <row r="86">
          <cell r="A86" t="str">
            <v>DAS 4</v>
          </cell>
          <cell r="B86">
            <v>726130.99999999988</v>
          </cell>
          <cell r="C86">
            <v>0.35132587254190484</v>
          </cell>
          <cell r="D86">
            <v>70</v>
          </cell>
          <cell r="E86">
            <v>0.2348993288590604</v>
          </cell>
        </row>
        <row r="87">
          <cell r="A87" t="str">
            <v>DAS 3</v>
          </cell>
          <cell r="B87">
            <v>227421.99999999997</v>
          </cell>
          <cell r="C87">
            <v>0.11003418472042246</v>
          </cell>
          <cell r="D87">
            <v>40</v>
          </cell>
          <cell r="E87">
            <v>0.13422818791946309</v>
          </cell>
        </row>
        <row r="88">
          <cell r="A88" t="str">
            <v>DAS 2</v>
          </cell>
          <cell r="B88">
            <v>216767.25</v>
          </cell>
          <cell r="C88">
            <v>0.10487906898997458</v>
          </cell>
          <cell r="D88">
            <v>63</v>
          </cell>
          <cell r="E88">
            <v>0.21140939597315436</v>
          </cell>
        </row>
        <row r="89">
          <cell r="A89" t="str">
            <v>DAS 1</v>
          </cell>
          <cell r="B89">
            <v>45924.82</v>
          </cell>
          <cell r="C89">
            <v>2.221992651164862E-2</v>
          </cell>
          <cell r="D89">
            <v>17</v>
          </cell>
          <cell r="E89">
            <v>5.7046979865771813E-2</v>
          </cell>
        </row>
        <row r="90">
          <cell r="A90" t="str">
            <v>FCPE 6</v>
          </cell>
          <cell r="B90">
            <v>0</v>
          </cell>
          <cell r="C90">
            <v>0</v>
          </cell>
          <cell r="D90">
            <v>0</v>
          </cell>
          <cell r="E90">
            <v>0</v>
          </cell>
        </row>
        <row r="91">
          <cell r="A91" t="str">
            <v>FCPE 5</v>
          </cell>
          <cell r="B91">
            <v>0</v>
          </cell>
          <cell r="C91">
            <v>0</v>
          </cell>
          <cell r="D91">
            <v>0</v>
          </cell>
          <cell r="E91">
            <v>0</v>
          </cell>
        </row>
        <row r="92">
          <cell r="A92" t="str">
            <v>FCPE 4</v>
          </cell>
          <cell r="B92">
            <v>99583.679999999978</v>
          </cell>
          <cell r="C92">
            <v>4.8181833948604084E-2</v>
          </cell>
          <cell r="D92">
            <v>16</v>
          </cell>
          <cell r="E92">
            <v>5.3691275167785234E-2</v>
          </cell>
        </row>
        <row r="93">
          <cell r="A93" t="str">
            <v>FCPE 3</v>
          </cell>
          <cell r="B93">
            <v>37524.629999999997</v>
          </cell>
          <cell r="C93">
            <v>1.8155640478869708E-2</v>
          </cell>
          <cell r="D93">
            <v>11</v>
          </cell>
          <cell r="E93">
            <v>3.6912751677852351E-2</v>
          </cell>
        </row>
        <row r="94">
          <cell r="A94" t="str">
            <v>FCPE 2</v>
          </cell>
          <cell r="B94">
            <v>45417.899999999994</v>
          </cell>
          <cell r="C94">
            <v>2.197466207408991E-2</v>
          </cell>
          <cell r="D94">
            <v>22</v>
          </cell>
          <cell r="E94">
            <v>7.3825503355704702E-2</v>
          </cell>
        </row>
        <row r="95">
          <cell r="A95" t="str">
            <v>FCPE 1</v>
          </cell>
          <cell r="B95">
            <v>21071.387999999999</v>
          </cell>
          <cell r="C95">
            <v>1.019502510534466E-2</v>
          </cell>
          <cell r="D95">
            <v>13</v>
          </cell>
          <cell r="E95">
            <v>4.3624161073825503E-2</v>
          </cell>
        </row>
        <row r="96">
          <cell r="A96" t="str">
            <v>Total</v>
          </cell>
          <cell r="B96">
            <v>2066830.4179999998</v>
          </cell>
          <cell r="C96">
            <v>1</v>
          </cell>
          <cell r="D96">
            <v>298</v>
          </cell>
          <cell r="E96">
            <v>1</v>
          </cell>
        </row>
      </sheetData>
      <sheetData sheetId="113">
        <row r="2">
          <cell r="B2" t="str">
            <v>DAS/FCPE UNITÁRIO</v>
          </cell>
          <cell r="C2" t="str">
            <v>SITUAÇÃO ATUAL</v>
          </cell>
        </row>
        <row r="3">
          <cell r="A3" t="str">
            <v>CÓDIGO</v>
          </cell>
          <cell r="C3" t="str">
            <v>QTD.</v>
          </cell>
          <cell r="D3" t="str">
            <v>% QTD.</v>
          </cell>
          <cell r="E3" t="str">
            <v>VALOR TOTAL</v>
          </cell>
          <cell r="F3" t="str">
            <v>% VALOR TOTAL</v>
          </cell>
        </row>
        <row r="4">
          <cell r="A4" t="str">
            <v>NE</v>
          </cell>
          <cell r="B4">
            <v>6.41</v>
          </cell>
          <cell r="C4">
            <v>1</v>
          </cell>
          <cell r="D4">
            <v>2.6666666666666666E-3</v>
          </cell>
          <cell r="E4">
            <v>6.41</v>
          </cell>
          <cell r="F4">
            <v>8.2205835203590927E-3</v>
          </cell>
        </row>
        <row r="5">
          <cell r="A5" t="str">
            <v>DAS 101.6</v>
          </cell>
          <cell r="B5">
            <v>6.27</v>
          </cell>
          <cell r="C5">
            <v>5</v>
          </cell>
          <cell r="D5">
            <v>1.3333333333333334E-2</v>
          </cell>
          <cell r="E5">
            <v>31.349999999999998</v>
          </cell>
          <cell r="F5">
            <v>4.020519397242707E-2</v>
          </cell>
        </row>
        <row r="6">
          <cell r="A6" t="str">
            <v>DAS 101.5</v>
          </cell>
          <cell r="B6">
            <v>5.04</v>
          </cell>
          <cell r="C6">
            <v>35</v>
          </cell>
          <cell r="D6">
            <v>9.3333333333333338E-2</v>
          </cell>
          <cell r="E6">
            <v>176.4</v>
          </cell>
          <cell r="F6">
            <v>0.22622635460083368</v>
          </cell>
        </row>
        <row r="7">
          <cell r="A7" t="str">
            <v>DAS 101.4</v>
          </cell>
          <cell r="B7">
            <v>3.84</v>
          </cell>
          <cell r="C7">
            <v>43</v>
          </cell>
          <cell r="D7">
            <v>0.11466666666666667</v>
          </cell>
          <cell r="E7">
            <v>165.12</v>
          </cell>
          <cell r="F7">
            <v>0.21176017954472595</v>
          </cell>
        </row>
        <row r="8">
          <cell r="A8" t="str">
            <v>DAS 101.3</v>
          </cell>
          <cell r="B8">
            <v>2.1</v>
          </cell>
          <cell r="C8">
            <v>14</v>
          </cell>
          <cell r="D8">
            <v>3.7333333333333336E-2</v>
          </cell>
          <cell r="E8">
            <v>29.400000000000002</v>
          </cell>
          <cell r="F8">
            <v>3.7704392433472282E-2</v>
          </cell>
        </row>
        <row r="9">
          <cell r="A9" t="str">
            <v>DAS 101.2</v>
          </cell>
          <cell r="B9">
            <v>1.27</v>
          </cell>
          <cell r="C9">
            <v>10</v>
          </cell>
          <cell r="D9">
            <v>2.6666666666666668E-2</v>
          </cell>
          <cell r="E9">
            <v>12.7</v>
          </cell>
          <cell r="F9">
            <v>1.6287271561397889E-2</v>
          </cell>
        </row>
        <row r="10">
          <cell r="A10" t="str">
            <v>DAS 101.1</v>
          </cell>
          <cell r="B10">
            <v>1</v>
          </cell>
          <cell r="C10">
            <v>2</v>
          </cell>
          <cell r="D10">
            <v>5.3333333333333332E-3</v>
          </cell>
          <cell r="E10">
            <v>2</v>
          </cell>
          <cell r="F10">
            <v>2.5649246553382504E-3</v>
          </cell>
        </row>
        <row r="12">
          <cell r="A12" t="str">
            <v>DAS 102.5</v>
          </cell>
          <cell r="B12">
            <v>5.04</v>
          </cell>
          <cell r="C12">
            <v>5</v>
          </cell>
          <cell r="D12">
            <v>1.3333333333333334E-2</v>
          </cell>
          <cell r="E12">
            <v>25.2</v>
          </cell>
          <cell r="F12">
            <v>3.2318050657261954E-2</v>
          </cell>
        </row>
        <row r="13">
          <cell r="A13" t="str">
            <v>DAS 102.4</v>
          </cell>
          <cell r="B13">
            <v>3.84</v>
          </cell>
          <cell r="C13">
            <v>27</v>
          </cell>
          <cell r="D13">
            <v>7.1999999999999995E-2</v>
          </cell>
          <cell r="E13">
            <v>103.67999999999999</v>
          </cell>
          <cell r="F13">
            <v>0.13296569413273487</v>
          </cell>
        </row>
        <row r="14">
          <cell r="A14" t="str">
            <v>DAS 102.3</v>
          </cell>
          <cell r="B14">
            <v>2.1</v>
          </cell>
          <cell r="C14">
            <v>26</v>
          </cell>
          <cell r="D14">
            <v>6.933333333333333E-2</v>
          </cell>
          <cell r="E14">
            <v>54.6</v>
          </cell>
          <cell r="F14">
            <v>7.0022443090734229E-2</v>
          </cell>
        </row>
        <row r="15">
          <cell r="A15" t="str">
            <v>DAS 102.2</v>
          </cell>
          <cell r="B15">
            <v>1.27</v>
          </cell>
          <cell r="C15">
            <v>53</v>
          </cell>
          <cell r="D15">
            <v>0.14133333333333334</v>
          </cell>
          <cell r="E15">
            <v>67.31</v>
          </cell>
          <cell r="F15">
            <v>8.6322539275408811E-2</v>
          </cell>
        </row>
        <row r="16">
          <cell r="A16" t="str">
            <v>DAS 102.1</v>
          </cell>
          <cell r="B16">
            <v>1</v>
          </cell>
          <cell r="C16">
            <v>15</v>
          </cell>
          <cell r="D16">
            <v>0.04</v>
          </cell>
          <cell r="E16">
            <v>15</v>
          </cell>
          <cell r="F16">
            <v>1.9236934915036877E-2</v>
          </cell>
        </row>
        <row r="17">
          <cell r="A17" t="str">
            <v>SUBTOTAL DAS</v>
          </cell>
          <cell r="C17">
            <v>236</v>
          </cell>
          <cell r="D17">
            <v>0.6293333333333333</v>
          </cell>
          <cell r="E17">
            <v>689.16999999999985</v>
          </cell>
          <cell r="F17">
            <v>0.88383456235973079</v>
          </cell>
        </row>
        <row r="18">
          <cell r="A18" t="str">
            <v>FCPE 101.4</v>
          </cell>
          <cell r="B18">
            <v>2.2999999999999998</v>
          </cell>
          <cell r="C18">
            <v>14</v>
          </cell>
          <cell r="D18">
            <v>3.7333333333333336E-2</v>
          </cell>
          <cell r="E18">
            <v>32.199999999999996</v>
          </cell>
          <cell r="F18">
            <v>4.1295286950945823E-2</v>
          </cell>
        </row>
        <row r="19">
          <cell r="A19" t="str">
            <v>FCPE 101.3</v>
          </cell>
          <cell r="B19">
            <v>1.26</v>
          </cell>
          <cell r="C19">
            <v>4</v>
          </cell>
          <cell r="D19">
            <v>1.0666666666666666E-2</v>
          </cell>
          <cell r="E19">
            <v>5.04</v>
          </cell>
          <cell r="F19">
            <v>6.4636101314523905E-3</v>
          </cell>
        </row>
        <row r="20">
          <cell r="A20" t="str">
            <v>FCPE 101.2</v>
          </cell>
          <cell r="B20">
            <v>0.76</v>
          </cell>
          <cell r="C20">
            <v>2</v>
          </cell>
          <cell r="D20">
            <v>5.3333333333333332E-3</v>
          </cell>
          <cell r="E20">
            <v>1.52</v>
          </cell>
          <cell r="F20">
            <v>1.9493427380570701E-3</v>
          </cell>
        </row>
        <row r="21">
          <cell r="A21" t="str">
            <v>FCPE 101.1</v>
          </cell>
          <cell r="B21">
            <v>0.6</v>
          </cell>
          <cell r="C21">
            <v>0</v>
          </cell>
          <cell r="D21">
            <v>0</v>
          </cell>
          <cell r="E21">
            <v>0</v>
          </cell>
          <cell r="F21">
            <v>0</v>
          </cell>
        </row>
        <row r="23">
          <cell r="A23" t="str">
            <v>FCPE 102.4</v>
          </cell>
          <cell r="B23">
            <v>2.2999999999999998</v>
          </cell>
          <cell r="C23">
            <v>2</v>
          </cell>
          <cell r="D23">
            <v>5.3333333333333332E-3</v>
          </cell>
          <cell r="E23">
            <v>4.5999999999999996</v>
          </cell>
          <cell r="F23">
            <v>5.8993267072779748E-3</v>
          </cell>
        </row>
        <row r="24">
          <cell r="A24" t="str">
            <v>FCPE 102.3</v>
          </cell>
          <cell r="B24">
            <v>1.26</v>
          </cell>
          <cell r="C24">
            <v>7</v>
          </cell>
          <cell r="D24">
            <v>1.8666666666666668E-2</v>
          </cell>
          <cell r="E24">
            <v>8.82</v>
          </cell>
          <cell r="F24">
            <v>1.1311317730041683E-2</v>
          </cell>
        </row>
        <row r="25">
          <cell r="A25" t="str">
            <v>FCPE 102.2</v>
          </cell>
          <cell r="B25">
            <v>0.76</v>
          </cell>
          <cell r="C25">
            <v>20</v>
          </cell>
          <cell r="D25">
            <v>5.3333333333333337E-2</v>
          </cell>
          <cell r="E25">
            <v>15.2</v>
          </cell>
          <cell r="F25">
            <v>1.9493427380570701E-2</v>
          </cell>
        </row>
        <row r="26">
          <cell r="A26" t="str">
            <v>FCPE 102.1</v>
          </cell>
          <cell r="B26">
            <v>0.6</v>
          </cell>
          <cell r="C26">
            <v>13</v>
          </cell>
          <cell r="D26">
            <v>3.4666666666666665E-2</v>
          </cell>
          <cell r="E26">
            <v>7.8</v>
          </cell>
          <cell r="F26">
            <v>1.0003206155819176E-2</v>
          </cell>
        </row>
        <row r="27">
          <cell r="A27" t="str">
            <v>SUBTOTAL FCPE</v>
          </cell>
          <cell r="C27">
            <v>62</v>
          </cell>
          <cell r="D27">
            <v>0.16533333333333333</v>
          </cell>
          <cell r="E27">
            <v>75.179999999999993</v>
          </cell>
          <cell r="F27">
            <v>9.6415517794164809E-2</v>
          </cell>
        </row>
        <row r="28">
          <cell r="A28" t="str">
            <v>FG-1</v>
          </cell>
          <cell r="B28">
            <v>0.2</v>
          </cell>
          <cell r="C28">
            <v>77</v>
          </cell>
          <cell r="D28">
            <v>0.20533333333333334</v>
          </cell>
          <cell r="E28">
            <v>15.4</v>
          </cell>
          <cell r="F28">
            <v>1.9749919846104528E-2</v>
          </cell>
        </row>
        <row r="29">
          <cell r="A29" t="str">
            <v>SUBTOTAL FG</v>
          </cell>
          <cell r="C29">
            <v>77</v>
          </cell>
          <cell r="D29">
            <v>0.20533333333333334</v>
          </cell>
          <cell r="E29">
            <v>15.4</v>
          </cell>
          <cell r="F29">
            <v>1.9749919846104528E-2</v>
          </cell>
        </row>
        <row r="31">
          <cell r="A31" t="str">
            <v>TOTAL</v>
          </cell>
          <cell r="C31">
            <v>375</v>
          </cell>
          <cell r="D31">
            <v>1</v>
          </cell>
          <cell r="E31">
            <v>779.74999999999977</v>
          </cell>
          <cell r="F31">
            <v>1.0000000000000002</v>
          </cell>
        </row>
        <row r="38">
          <cell r="A38" t="str">
            <v>Unidade</v>
          </cell>
          <cell r="B38" t="str">
            <v>Quadro Geral</v>
          </cell>
        </row>
        <row r="39">
          <cell r="B39" t="str">
            <v>DAS 1</v>
          </cell>
          <cell r="E39" t="str">
            <v>FCPE 1</v>
          </cell>
          <cell r="H39" t="str">
            <v>DAS 2</v>
          </cell>
          <cell r="K39" t="str">
            <v>FCPE 2</v>
          </cell>
          <cell r="N39" t="str">
            <v>DAS 3</v>
          </cell>
          <cell r="Q39" t="str">
            <v>FCPE 3</v>
          </cell>
          <cell r="T39" t="str">
            <v>DAS 4</v>
          </cell>
          <cell r="W39" t="str">
            <v>FCPE 4</v>
          </cell>
          <cell r="Z39" t="str">
            <v>DAS 5</v>
          </cell>
          <cell r="AC39" t="str">
            <v>DAS 6</v>
          </cell>
          <cell r="AF39" t="str">
            <v>NES</v>
          </cell>
          <cell r="AI39" t="str">
            <v>Total Custo Unitário DAS/FCPE</v>
          </cell>
          <cell r="AJ39" t="str">
            <v>% Total Custo Unitário DAS/FCPE</v>
          </cell>
          <cell r="AK39" t="str">
            <v>TOTAL DAS + FCPE</v>
          </cell>
          <cell r="AL39" t="str">
            <v>% TOTAL DAS + FCPE</v>
          </cell>
          <cell r="AM39" t="str">
            <v>TOTAL      DAS</v>
          </cell>
          <cell r="AN39" t="str">
            <v>TOTAL     FCPE</v>
          </cell>
        </row>
        <row r="40">
          <cell r="B40" t="str">
            <v>QTD</v>
          </cell>
          <cell r="C40" t="str">
            <v>Valor Unitário</v>
          </cell>
          <cell r="D40" t="str">
            <v>% Valor Unitário ou QTD</v>
          </cell>
          <cell r="E40" t="str">
            <v>QTD</v>
          </cell>
          <cell r="F40" t="str">
            <v>Valor Unitário</v>
          </cell>
          <cell r="G40" t="str">
            <v>% Valor Unitário ou QTD</v>
          </cell>
          <cell r="H40" t="str">
            <v>QTD</v>
          </cell>
          <cell r="I40" t="str">
            <v>Valor Unitário</v>
          </cell>
          <cell r="J40" t="str">
            <v>% Valor Unitário ou QTD</v>
          </cell>
          <cell r="K40" t="str">
            <v>QTD</v>
          </cell>
          <cell r="L40" t="str">
            <v>Valor Unitário</v>
          </cell>
          <cell r="M40" t="str">
            <v>% Valor Unitário ou QTD</v>
          </cell>
          <cell r="N40" t="str">
            <v>QTD</v>
          </cell>
          <cell r="O40" t="str">
            <v>Valor Unitário</v>
          </cell>
          <cell r="P40" t="str">
            <v>% Valor Unitário ou QTD</v>
          </cell>
          <cell r="Q40" t="str">
            <v>QTD</v>
          </cell>
          <cell r="R40" t="str">
            <v>Valor Unitário</v>
          </cell>
          <cell r="S40" t="str">
            <v>% Valor Unitário ou QTD</v>
          </cell>
          <cell r="T40" t="str">
            <v>QTD</v>
          </cell>
          <cell r="U40" t="str">
            <v>Valor Unitário</v>
          </cell>
          <cell r="V40" t="str">
            <v>% Valor Unitário ou QTD</v>
          </cell>
          <cell r="W40" t="str">
            <v>QTD</v>
          </cell>
          <cell r="X40" t="str">
            <v>Valor Unitário</v>
          </cell>
          <cell r="Y40" t="str">
            <v>% Valor Unitário ou QTD</v>
          </cell>
          <cell r="Z40" t="str">
            <v>QTD</v>
          </cell>
          <cell r="AA40" t="str">
            <v>Valor Unitário</v>
          </cell>
          <cell r="AB40" t="str">
            <v>% Valor Unitário ou QTD</v>
          </cell>
          <cell r="AC40" t="str">
            <v>QTD</v>
          </cell>
          <cell r="AD40" t="str">
            <v>Valor Unitário</v>
          </cell>
          <cell r="AE40" t="str">
            <v>% Valor Unitário ou QTD</v>
          </cell>
          <cell r="AF40" t="str">
            <v>QTD</v>
          </cell>
          <cell r="AG40" t="str">
            <v>Valor Unitário</v>
          </cell>
          <cell r="AH40" t="str">
            <v>% Valor Unitário ou QTD</v>
          </cell>
        </row>
        <row r="41">
          <cell r="A41" t="str">
            <v xml:space="preserve">GM </v>
          </cell>
          <cell r="B41">
            <v>6</v>
          </cell>
          <cell r="C41">
            <v>6</v>
          </cell>
          <cell r="D41">
            <v>35.294117647058826</v>
          </cell>
          <cell r="E41">
            <v>5</v>
          </cell>
          <cell r="F41">
            <v>3</v>
          </cell>
          <cell r="G41">
            <v>38.46153846153846</v>
          </cell>
          <cell r="H41">
            <v>7</v>
          </cell>
          <cell r="I41">
            <v>8.89</v>
          </cell>
          <cell r="J41">
            <v>11.111111111111109</v>
          </cell>
          <cell r="K41">
            <v>3</v>
          </cell>
          <cell r="L41">
            <v>2.2800000000000002</v>
          </cell>
          <cell r="M41">
            <v>13.636363636363638</v>
          </cell>
          <cell r="N41">
            <v>7</v>
          </cell>
          <cell r="O41">
            <v>14.700000000000001</v>
          </cell>
          <cell r="P41">
            <v>17.5</v>
          </cell>
          <cell r="Q41">
            <v>2</v>
          </cell>
          <cell r="R41">
            <v>2.52</v>
          </cell>
          <cell r="S41">
            <v>18.181818181818183</v>
          </cell>
          <cell r="T41">
            <v>12</v>
          </cell>
          <cell r="U41">
            <v>46.08</v>
          </cell>
          <cell r="V41">
            <v>17.142857142857142</v>
          </cell>
          <cell r="W41">
            <v>1</v>
          </cell>
          <cell r="X41">
            <v>2.2999999999999998</v>
          </cell>
          <cell r="Y41">
            <v>6.25</v>
          </cell>
          <cell r="Z41">
            <v>8</v>
          </cell>
          <cell r="AA41">
            <v>40.32</v>
          </cell>
          <cell r="AB41">
            <v>20</v>
          </cell>
          <cell r="AC41">
            <v>0</v>
          </cell>
          <cell r="AD41">
            <v>0</v>
          </cell>
          <cell r="AE41">
            <v>0</v>
          </cell>
          <cell r="AF41">
            <v>0</v>
          </cell>
          <cell r="AG41">
            <v>0</v>
          </cell>
          <cell r="AH41">
            <v>0</v>
          </cell>
          <cell r="AI41">
            <v>126.09</v>
          </cell>
          <cell r="AJ41">
            <v>16.496369464250673</v>
          </cell>
          <cell r="AK41">
            <v>51</v>
          </cell>
          <cell r="AL41">
            <v>17.114093959731544</v>
          </cell>
          <cell r="AM41">
            <v>40</v>
          </cell>
          <cell r="AN41">
            <v>11</v>
          </cell>
        </row>
        <row r="42">
          <cell r="A42" t="str">
            <v>SE</v>
          </cell>
          <cell r="B42">
            <v>8</v>
          </cell>
          <cell r="C42">
            <v>8</v>
          </cell>
          <cell r="D42">
            <v>47.058823529411768</v>
          </cell>
          <cell r="E42">
            <v>8</v>
          </cell>
          <cell r="F42">
            <v>4.8</v>
          </cell>
          <cell r="G42">
            <v>61.53846153846154</v>
          </cell>
          <cell r="H42">
            <v>24</v>
          </cell>
          <cell r="I42">
            <v>30.48</v>
          </cell>
          <cell r="J42">
            <v>38.095238095238088</v>
          </cell>
          <cell r="K42">
            <v>5</v>
          </cell>
          <cell r="L42">
            <v>3.8</v>
          </cell>
          <cell r="M42">
            <v>22.72727272727273</v>
          </cell>
          <cell r="N42">
            <v>19</v>
          </cell>
          <cell r="O42">
            <v>39.9</v>
          </cell>
          <cell r="P42">
            <v>47.5</v>
          </cell>
          <cell r="Q42">
            <v>2</v>
          </cell>
          <cell r="R42">
            <v>2.52</v>
          </cell>
          <cell r="S42">
            <v>18.181818181818183</v>
          </cell>
          <cell r="T42">
            <v>13</v>
          </cell>
          <cell r="U42">
            <v>49.92</v>
          </cell>
          <cell r="V42">
            <v>18.571428571428569</v>
          </cell>
          <cell r="W42">
            <v>3</v>
          </cell>
          <cell r="X42">
            <v>6.8999999999999995</v>
          </cell>
          <cell r="Y42">
            <v>18.75</v>
          </cell>
          <cell r="Z42">
            <v>7</v>
          </cell>
          <cell r="AA42">
            <v>35.28</v>
          </cell>
          <cell r="AB42">
            <v>17.5</v>
          </cell>
          <cell r="AC42">
            <v>1</v>
          </cell>
          <cell r="AD42">
            <v>6.27</v>
          </cell>
          <cell r="AE42">
            <v>20</v>
          </cell>
          <cell r="AF42">
            <v>1</v>
          </cell>
          <cell r="AG42">
            <v>6.41</v>
          </cell>
          <cell r="AH42">
            <v>100</v>
          </cell>
          <cell r="AI42">
            <v>194.28</v>
          </cell>
          <cell r="AJ42">
            <v>25.41767514881926</v>
          </cell>
          <cell r="AK42">
            <v>91</v>
          </cell>
          <cell r="AL42">
            <v>30.536912751677853</v>
          </cell>
          <cell r="AM42">
            <v>73</v>
          </cell>
          <cell r="AN42">
            <v>18</v>
          </cell>
        </row>
        <row r="43">
          <cell r="A43" t="str">
            <v>CONJUR</v>
          </cell>
          <cell r="B43">
            <v>1</v>
          </cell>
          <cell r="C43">
            <v>1</v>
          </cell>
          <cell r="D43">
            <v>5.882352941176471</v>
          </cell>
          <cell r="E43">
            <v>0</v>
          </cell>
          <cell r="F43">
            <v>0</v>
          </cell>
          <cell r="G43">
            <v>0</v>
          </cell>
          <cell r="H43">
            <v>5</v>
          </cell>
          <cell r="I43">
            <v>6.35</v>
          </cell>
          <cell r="J43">
            <v>7.936507936507935</v>
          </cell>
          <cell r="K43">
            <v>1</v>
          </cell>
          <cell r="L43">
            <v>0.76</v>
          </cell>
          <cell r="M43">
            <v>4.5454545454545459</v>
          </cell>
          <cell r="N43">
            <v>0</v>
          </cell>
          <cell r="O43">
            <v>0</v>
          </cell>
          <cell r="P43">
            <v>0</v>
          </cell>
          <cell r="Q43">
            <v>2</v>
          </cell>
          <cell r="R43">
            <v>2.52</v>
          </cell>
          <cell r="S43">
            <v>18.181818181818183</v>
          </cell>
          <cell r="T43">
            <v>1</v>
          </cell>
          <cell r="U43">
            <v>3.84</v>
          </cell>
          <cell r="V43">
            <v>1.4285714285714286</v>
          </cell>
          <cell r="W43">
            <v>3</v>
          </cell>
          <cell r="X43">
            <v>6.8999999999999995</v>
          </cell>
          <cell r="Y43">
            <v>18.75</v>
          </cell>
          <cell r="Z43">
            <v>1</v>
          </cell>
          <cell r="AA43">
            <v>5.04</v>
          </cell>
          <cell r="AB43">
            <v>2.5</v>
          </cell>
          <cell r="AC43">
            <v>0</v>
          </cell>
          <cell r="AD43">
            <v>0</v>
          </cell>
          <cell r="AE43">
            <v>0</v>
          </cell>
          <cell r="AF43">
            <v>0</v>
          </cell>
          <cell r="AG43">
            <v>0</v>
          </cell>
          <cell r="AH43">
            <v>0</v>
          </cell>
          <cell r="AI43">
            <v>26.409999999999997</v>
          </cell>
          <cell r="AJ43">
            <v>3.4552233924249363</v>
          </cell>
          <cell r="AK43">
            <v>14</v>
          </cell>
          <cell r="AL43">
            <v>4.6979865771812079</v>
          </cell>
          <cell r="AM43">
            <v>8</v>
          </cell>
          <cell r="AN43">
            <v>6</v>
          </cell>
        </row>
        <row r="44">
          <cell r="A44" t="str">
            <v>ASSEC</v>
          </cell>
          <cell r="B44">
            <v>0</v>
          </cell>
          <cell r="C44">
            <v>0</v>
          </cell>
          <cell r="D44">
            <v>0</v>
          </cell>
          <cell r="E44">
            <v>0</v>
          </cell>
          <cell r="F44">
            <v>0</v>
          </cell>
          <cell r="G44">
            <v>0</v>
          </cell>
          <cell r="H44">
            <v>0</v>
          </cell>
          <cell r="I44">
            <v>0</v>
          </cell>
          <cell r="J44">
            <v>0</v>
          </cell>
          <cell r="K44">
            <v>0</v>
          </cell>
          <cell r="L44">
            <v>0</v>
          </cell>
          <cell r="M44">
            <v>0</v>
          </cell>
          <cell r="N44">
            <v>3</v>
          </cell>
          <cell r="O44">
            <v>6.3000000000000007</v>
          </cell>
          <cell r="P44">
            <v>7.5000000000000018</v>
          </cell>
          <cell r="Q44">
            <v>0</v>
          </cell>
          <cell r="R44">
            <v>0</v>
          </cell>
          <cell r="S44">
            <v>0</v>
          </cell>
          <cell r="T44">
            <v>5</v>
          </cell>
          <cell r="U44">
            <v>19.2</v>
          </cell>
          <cell r="V44">
            <v>7.1428571428571423</v>
          </cell>
          <cell r="W44">
            <v>0</v>
          </cell>
          <cell r="X44">
            <v>0</v>
          </cell>
          <cell r="Y44">
            <v>0</v>
          </cell>
          <cell r="Z44">
            <v>1</v>
          </cell>
          <cell r="AA44">
            <v>5.04</v>
          </cell>
          <cell r="AB44">
            <v>2.5</v>
          </cell>
          <cell r="AC44">
            <v>0</v>
          </cell>
          <cell r="AD44">
            <v>0</v>
          </cell>
          <cell r="AE44">
            <v>0</v>
          </cell>
          <cell r="AF44">
            <v>0</v>
          </cell>
          <cell r="AG44">
            <v>0</v>
          </cell>
          <cell r="AH44">
            <v>0</v>
          </cell>
          <cell r="AI44">
            <v>30.54</v>
          </cell>
          <cell r="AJ44">
            <v>3.9955517760188402</v>
          </cell>
          <cell r="AK44">
            <v>9</v>
          </cell>
          <cell r="AL44">
            <v>3.0201342281879193</v>
          </cell>
          <cell r="AM44">
            <v>9</v>
          </cell>
          <cell r="AN44">
            <v>0</v>
          </cell>
        </row>
        <row r="45">
          <cell r="A45" t="str">
            <v>ASSINT</v>
          </cell>
          <cell r="B45">
            <v>0</v>
          </cell>
          <cell r="C45">
            <v>0</v>
          </cell>
          <cell r="D45">
            <v>0</v>
          </cell>
          <cell r="E45">
            <v>0</v>
          </cell>
          <cell r="F45">
            <v>0</v>
          </cell>
          <cell r="G45">
            <v>0</v>
          </cell>
          <cell r="H45">
            <v>1</v>
          </cell>
          <cell r="I45">
            <v>1.27</v>
          </cell>
          <cell r="J45">
            <v>1.587301587301587</v>
          </cell>
          <cell r="K45">
            <v>1</v>
          </cell>
          <cell r="L45">
            <v>0.76</v>
          </cell>
          <cell r="M45">
            <v>4.5454545454545459</v>
          </cell>
          <cell r="N45">
            <v>0</v>
          </cell>
          <cell r="O45">
            <v>0</v>
          </cell>
          <cell r="P45">
            <v>0</v>
          </cell>
          <cell r="Q45">
            <v>0</v>
          </cell>
          <cell r="R45">
            <v>0</v>
          </cell>
          <cell r="S45">
            <v>0</v>
          </cell>
          <cell r="T45">
            <v>1</v>
          </cell>
          <cell r="U45">
            <v>3.84</v>
          </cell>
          <cell r="V45">
            <v>1.4285714285714286</v>
          </cell>
          <cell r="W45">
            <v>0</v>
          </cell>
          <cell r="X45">
            <v>0</v>
          </cell>
          <cell r="Y45">
            <v>0</v>
          </cell>
          <cell r="Z45">
            <v>1</v>
          </cell>
          <cell r="AA45">
            <v>5.04</v>
          </cell>
          <cell r="AB45">
            <v>2.5</v>
          </cell>
          <cell r="AC45">
            <v>0</v>
          </cell>
          <cell r="AD45">
            <v>0</v>
          </cell>
          <cell r="AE45">
            <v>0</v>
          </cell>
          <cell r="AF45">
            <v>0</v>
          </cell>
          <cell r="AG45">
            <v>0</v>
          </cell>
          <cell r="AH45">
            <v>0</v>
          </cell>
          <cell r="AI45">
            <v>10.91</v>
          </cell>
          <cell r="AJ45">
            <v>1.427356577484137</v>
          </cell>
          <cell r="AK45">
            <v>4</v>
          </cell>
          <cell r="AL45">
            <v>1.3422818791946309</v>
          </cell>
          <cell r="AM45">
            <v>3</v>
          </cell>
          <cell r="AN45">
            <v>1</v>
          </cell>
        </row>
        <row r="46">
          <cell r="A46" t="str">
            <v>AECI</v>
          </cell>
          <cell r="B46">
            <v>0</v>
          </cell>
          <cell r="C46">
            <v>0</v>
          </cell>
          <cell r="D46">
            <v>0</v>
          </cell>
          <cell r="E46">
            <v>0</v>
          </cell>
          <cell r="F46">
            <v>0</v>
          </cell>
          <cell r="G46">
            <v>0</v>
          </cell>
          <cell r="H46">
            <v>0</v>
          </cell>
          <cell r="I46">
            <v>0</v>
          </cell>
          <cell r="J46">
            <v>0</v>
          </cell>
          <cell r="K46">
            <v>1</v>
          </cell>
          <cell r="L46">
            <v>0.76</v>
          </cell>
          <cell r="M46">
            <v>4.5454545454545459</v>
          </cell>
          <cell r="N46">
            <v>0</v>
          </cell>
          <cell r="O46">
            <v>0</v>
          </cell>
          <cell r="P46">
            <v>0</v>
          </cell>
          <cell r="Q46">
            <v>0</v>
          </cell>
          <cell r="R46">
            <v>0</v>
          </cell>
          <cell r="S46">
            <v>0</v>
          </cell>
          <cell r="T46">
            <v>0</v>
          </cell>
          <cell r="U46">
            <v>0</v>
          </cell>
          <cell r="V46">
            <v>0</v>
          </cell>
          <cell r="W46">
            <v>1</v>
          </cell>
          <cell r="X46">
            <v>2.2999999999999998</v>
          </cell>
          <cell r="Y46">
            <v>6.25</v>
          </cell>
          <cell r="Z46">
            <v>1</v>
          </cell>
          <cell r="AA46">
            <v>5.04</v>
          </cell>
          <cell r="AB46">
            <v>2.5</v>
          </cell>
          <cell r="AC46">
            <v>0</v>
          </cell>
          <cell r="AD46">
            <v>0</v>
          </cell>
          <cell r="AE46">
            <v>0</v>
          </cell>
          <cell r="AF46">
            <v>0</v>
          </cell>
          <cell r="AG46">
            <v>0</v>
          </cell>
          <cell r="AH46">
            <v>0</v>
          </cell>
          <cell r="AI46">
            <v>8.1</v>
          </cell>
          <cell r="AJ46">
            <v>1.0597239484529339</v>
          </cell>
          <cell r="AK46">
            <v>3</v>
          </cell>
          <cell r="AL46">
            <v>1.0067114093959733</v>
          </cell>
          <cell r="AM46">
            <v>1</v>
          </cell>
          <cell r="AN46">
            <v>2</v>
          </cell>
        </row>
        <row r="47">
          <cell r="A47" t="str">
            <v>AEPED</v>
          </cell>
          <cell r="B47">
            <v>0</v>
          </cell>
          <cell r="C47">
            <v>0</v>
          </cell>
          <cell r="D47">
            <v>0</v>
          </cell>
          <cell r="E47">
            <v>0</v>
          </cell>
          <cell r="F47">
            <v>0</v>
          </cell>
          <cell r="G47">
            <v>0</v>
          </cell>
          <cell r="H47">
            <v>0</v>
          </cell>
          <cell r="I47">
            <v>0</v>
          </cell>
          <cell r="J47">
            <v>0</v>
          </cell>
          <cell r="K47">
            <v>0</v>
          </cell>
          <cell r="L47">
            <v>0</v>
          </cell>
          <cell r="M47">
            <v>0</v>
          </cell>
          <cell r="N47">
            <v>1</v>
          </cell>
          <cell r="O47">
            <v>2.1</v>
          </cell>
          <cell r="P47">
            <v>2.5</v>
          </cell>
          <cell r="Q47">
            <v>0</v>
          </cell>
          <cell r="R47">
            <v>0</v>
          </cell>
          <cell r="S47">
            <v>0</v>
          </cell>
          <cell r="T47">
            <v>1</v>
          </cell>
          <cell r="U47">
            <v>3.84</v>
          </cell>
          <cell r="V47">
            <v>1.4285714285714286</v>
          </cell>
          <cell r="W47">
            <v>1</v>
          </cell>
          <cell r="X47">
            <v>2.2999999999999998</v>
          </cell>
          <cell r="Y47">
            <v>6.25</v>
          </cell>
          <cell r="Z47">
            <v>1</v>
          </cell>
          <cell r="AA47">
            <v>5.04</v>
          </cell>
          <cell r="AB47">
            <v>2.5</v>
          </cell>
          <cell r="AC47">
            <v>0</v>
          </cell>
          <cell r="AD47">
            <v>0</v>
          </cell>
          <cell r="AE47">
            <v>0</v>
          </cell>
          <cell r="AF47">
            <v>0</v>
          </cell>
          <cell r="AG47">
            <v>0</v>
          </cell>
          <cell r="AH47">
            <v>0</v>
          </cell>
          <cell r="AI47">
            <v>13.279999999999998</v>
          </cell>
          <cell r="AJ47">
            <v>1.7374239549944397</v>
          </cell>
          <cell r="AK47">
            <v>4</v>
          </cell>
          <cell r="AL47">
            <v>1.3422818791946309</v>
          </cell>
          <cell r="AM47">
            <v>3</v>
          </cell>
          <cell r="AN47">
            <v>1</v>
          </cell>
        </row>
        <row r="48">
          <cell r="A48" t="str">
            <v>SPE</v>
          </cell>
          <cell r="B48">
            <v>0</v>
          </cell>
          <cell r="C48">
            <v>0</v>
          </cell>
          <cell r="D48">
            <v>0</v>
          </cell>
          <cell r="E48">
            <v>0</v>
          </cell>
          <cell r="F48">
            <v>0</v>
          </cell>
          <cell r="G48">
            <v>0</v>
          </cell>
          <cell r="H48">
            <v>6</v>
          </cell>
          <cell r="I48">
            <v>7.62</v>
          </cell>
          <cell r="J48">
            <v>9.5238095238095219</v>
          </cell>
          <cell r="K48">
            <v>3</v>
          </cell>
          <cell r="L48">
            <v>2.2800000000000002</v>
          </cell>
          <cell r="M48">
            <v>13.636363636363638</v>
          </cell>
          <cell r="N48">
            <v>2</v>
          </cell>
          <cell r="O48">
            <v>4.2</v>
          </cell>
          <cell r="P48">
            <v>5</v>
          </cell>
          <cell r="Q48">
            <v>1</v>
          </cell>
          <cell r="R48">
            <v>1.26</v>
          </cell>
          <cell r="S48">
            <v>9.0909090909090917</v>
          </cell>
          <cell r="T48">
            <v>11</v>
          </cell>
          <cell r="U48">
            <v>42.239999999999995</v>
          </cell>
          <cell r="V48">
            <v>15.71428571428571</v>
          </cell>
          <cell r="W48">
            <v>1</v>
          </cell>
          <cell r="X48">
            <v>2.2999999999999998</v>
          </cell>
          <cell r="Y48">
            <v>6.25</v>
          </cell>
          <cell r="Z48">
            <v>5</v>
          </cell>
          <cell r="AA48">
            <v>25.2</v>
          </cell>
          <cell r="AB48">
            <v>12.5</v>
          </cell>
          <cell r="AC48">
            <v>1</v>
          </cell>
          <cell r="AD48">
            <v>6.27</v>
          </cell>
          <cell r="AE48">
            <v>20</v>
          </cell>
          <cell r="AF48">
            <v>0</v>
          </cell>
          <cell r="AG48">
            <v>0</v>
          </cell>
          <cell r="AH48">
            <v>0</v>
          </cell>
          <cell r="AI48">
            <v>91.36999999999999</v>
          </cell>
          <cell r="AJ48">
            <v>11.953947798783279</v>
          </cell>
          <cell r="AK48">
            <v>30</v>
          </cell>
          <cell r="AL48">
            <v>10.067114093959731</v>
          </cell>
          <cell r="AM48">
            <v>25</v>
          </cell>
          <cell r="AN48">
            <v>5</v>
          </cell>
        </row>
        <row r="49">
          <cell r="A49" t="str">
            <v>SEE</v>
          </cell>
          <cell r="B49">
            <v>0</v>
          </cell>
          <cell r="C49">
            <v>0</v>
          </cell>
          <cell r="D49">
            <v>0</v>
          </cell>
          <cell r="E49">
            <v>0</v>
          </cell>
          <cell r="F49">
            <v>0</v>
          </cell>
          <cell r="G49">
            <v>0</v>
          </cell>
          <cell r="H49">
            <v>11</v>
          </cell>
          <cell r="I49">
            <v>13.97</v>
          </cell>
          <cell r="J49">
            <v>17.460317460317455</v>
          </cell>
          <cell r="K49">
            <v>0</v>
          </cell>
          <cell r="L49">
            <v>0</v>
          </cell>
          <cell r="M49">
            <v>0</v>
          </cell>
          <cell r="N49">
            <v>2</v>
          </cell>
          <cell r="O49">
            <v>4.2</v>
          </cell>
          <cell r="P49">
            <v>5</v>
          </cell>
          <cell r="Q49">
            <v>2</v>
          </cell>
          <cell r="R49">
            <v>2.52</v>
          </cell>
          <cell r="S49">
            <v>18.181818181818183</v>
          </cell>
          <cell r="T49">
            <v>9</v>
          </cell>
          <cell r="U49">
            <v>34.56</v>
          </cell>
          <cell r="V49">
            <v>12.857142857142856</v>
          </cell>
          <cell r="W49">
            <v>2</v>
          </cell>
          <cell r="X49">
            <v>4.5999999999999996</v>
          </cell>
          <cell r="Y49">
            <v>12.5</v>
          </cell>
          <cell r="Z49">
            <v>5</v>
          </cell>
          <cell r="AA49">
            <v>25.2</v>
          </cell>
          <cell r="AB49">
            <v>12.5</v>
          </cell>
          <cell r="AC49">
            <v>1</v>
          </cell>
          <cell r="AD49">
            <v>6.27</v>
          </cell>
          <cell r="AE49">
            <v>20</v>
          </cell>
          <cell r="AF49">
            <v>0</v>
          </cell>
          <cell r="AG49">
            <v>0</v>
          </cell>
          <cell r="AH49">
            <v>0</v>
          </cell>
          <cell r="AI49">
            <v>91.32</v>
          </cell>
          <cell r="AJ49">
            <v>11.947406292928633</v>
          </cell>
          <cell r="AK49">
            <v>32</v>
          </cell>
          <cell r="AL49">
            <v>10.738255033557047</v>
          </cell>
          <cell r="AM49">
            <v>28</v>
          </cell>
          <cell r="AN49">
            <v>4</v>
          </cell>
        </row>
        <row r="50">
          <cell r="A50" t="str">
            <v>SPG</v>
          </cell>
          <cell r="B50">
            <v>1</v>
          </cell>
          <cell r="C50">
            <v>1</v>
          </cell>
          <cell r="D50">
            <v>5.882352941176471</v>
          </cell>
          <cell r="E50">
            <v>0</v>
          </cell>
          <cell r="F50">
            <v>0</v>
          </cell>
          <cell r="G50">
            <v>0</v>
          </cell>
          <cell r="H50">
            <v>2</v>
          </cell>
          <cell r="I50">
            <v>2.54</v>
          </cell>
          <cell r="J50">
            <v>3.174603174603174</v>
          </cell>
          <cell r="K50">
            <v>4</v>
          </cell>
          <cell r="L50">
            <v>3.04</v>
          </cell>
          <cell r="M50">
            <v>18.181818181818183</v>
          </cell>
          <cell r="N50">
            <v>1</v>
          </cell>
          <cell r="O50">
            <v>2.1</v>
          </cell>
          <cell r="P50">
            <v>2.5</v>
          </cell>
          <cell r="Q50">
            <v>0</v>
          </cell>
          <cell r="R50">
            <v>0</v>
          </cell>
          <cell r="S50">
            <v>0</v>
          </cell>
          <cell r="T50">
            <v>12</v>
          </cell>
          <cell r="U50">
            <v>46.08</v>
          </cell>
          <cell r="V50">
            <v>17.142857142857142</v>
          </cell>
          <cell r="W50">
            <v>0</v>
          </cell>
          <cell r="X50">
            <v>0</v>
          </cell>
          <cell r="Y50">
            <v>0</v>
          </cell>
          <cell r="Z50">
            <v>5</v>
          </cell>
          <cell r="AA50">
            <v>25.2</v>
          </cell>
          <cell r="AB50">
            <v>12.5</v>
          </cell>
          <cell r="AC50">
            <v>1</v>
          </cell>
          <cell r="AD50">
            <v>6.27</v>
          </cell>
          <cell r="AE50">
            <v>20</v>
          </cell>
          <cell r="AF50">
            <v>0</v>
          </cell>
          <cell r="AG50">
            <v>0</v>
          </cell>
          <cell r="AH50">
            <v>0</v>
          </cell>
          <cell r="AI50">
            <v>86.22999999999999</v>
          </cell>
          <cell r="AJ50">
            <v>11.281480996925492</v>
          </cell>
          <cell r="AK50">
            <v>26</v>
          </cell>
          <cell r="AL50">
            <v>8.724832214765101</v>
          </cell>
          <cell r="AM50">
            <v>22</v>
          </cell>
          <cell r="AN50">
            <v>4</v>
          </cell>
        </row>
        <row r="51">
          <cell r="A51" t="str">
            <v>SGM</v>
          </cell>
          <cell r="B51">
            <v>1</v>
          </cell>
          <cell r="C51">
            <v>1</v>
          </cell>
          <cell r="D51">
            <v>5.882352941176471</v>
          </cell>
          <cell r="E51">
            <v>0</v>
          </cell>
          <cell r="F51">
            <v>0</v>
          </cell>
          <cell r="G51">
            <v>0</v>
          </cell>
          <cell r="H51">
            <v>7</v>
          </cell>
          <cell r="I51">
            <v>8.89</v>
          </cell>
          <cell r="J51">
            <v>11.111111111111109</v>
          </cell>
          <cell r="K51">
            <v>4</v>
          </cell>
          <cell r="L51">
            <v>3.04</v>
          </cell>
          <cell r="M51">
            <v>18.181818181818183</v>
          </cell>
          <cell r="N51">
            <v>2</v>
          </cell>
          <cell r="O51">
            <v>4.2</v>
          </cell>
          <cell r="P51">
            <v>5</v>
          </cell>
          <cell r="Q51">
            <v>2</v>
          </cell>
          <cell r="R51">
            <v>2.52</v>
          </cell>
          <cell r="S51">
            <v>18.181818181818183</v>
          </cell>
          <cell r="T51">
            <v>4</v>
          </cell>
          <cell r="U51">
            <v>15.36</v>
          </cell>
          <cell r="V51">
            <v>5.7142857142857144</v>
          </cell>
          <cell r="W51">
            <v>4</v>
          </cell>
          <cell r="X51">
            <v>9.1999999999999993</v>
          </cell>
          <cell r="Y51">
            <v>25</v>
          </cell>
          <cell r="Z51">
            <v>5</v>
          </cell>
          <cell r="AA51">
            <v>25.2</v>
          </cell>
          <cell r="AB51">
            <v>12.5</v>
          </cell>
          <cell r="AC51">
            <v>1</v>
          </cell>
          <cell r="AD51">
            <v>6.27</v>
          </cell>
          <cell r="AE51">
            <v>20</v>
          </cell>
          <cell r="AF51">
            <v>0</v>
          </cell>
          <cell r="AG51">
            <v>0</v>
          </cell>
          <cell r="AH51">
            <v>0</v>
          </cell>
          <cell r="AI51">
            <v>75.679999999999993</v>
          </cell>
          <cell r="AJ51">
            <v>9.9012232615948186</v>
          </cell>
          <cell r="AK51">
            <v>30</v>
          </cell>
          <cell r="AL51">
            <v>10.067114093959731</v>
          </cell>
          <cell r="AM51">
            <v>20</v>
          </cell>
          <cell r="AN51">
            <v>10</v>
          </cell>
        </row>
        <row r="52">
          <cell r="A52" t="str">
            <v>ESCRITÓRIO RJ</v>
          </cell>
          <cell r="B52">
            <v>0</v>
          </cell>
          <cell r="C52">
            <v>0</v>
          </cell>
          <cell r="D52">
            <v>0</v>
          </cell>
          <cell r="E52">
            <v>0</v>
          </cell>
          <cell r="F52">
            <v>0</v>
          </cell>
          <cell r="G52">
            <v>0</v>
          </cell>
          <cell r="H52">
            <v>0</v>
          </cell>
          <cell r="I52">
            <v>0</v>
          </cell>
          <cell r="J52">
            <v>0</v>
          </cell>
          <cell r="K52">
            <v>0</v>
          </cell>
          <cell r="L52">
            <v>0</v>
          </cell>
          <cell r="M52">
            <v>0</v>
          </cell>
          <cell r="N52">
            <v>3</v>
          </cell>
          <cell r="O52">
            <v>6.3000000000000007</v>
          </cell>
          <cell r="P52">
            <v>7.5000000000000018</v>
          </cell>
          <cell r="Q52">
            <v>0</v>
          </cell>
          <cell r="R52">
            <v>0</v>
          </cell>
          <cell r="S52">
            <v>0</v>
          </cell>
          <cell r="T52">
            <v>1</v>
          </cell>
          <cell r="U52">
            <v>3.84</v>
          </cell>
          <cell r="V52">
            <v>1.4285714285714286</v>
          </cell>
          <cell r="W52">
            <v>0</v>
          </cell>
          <cell r="X52">
            <v>0</v>
          </cell>
          <cell r="Y52">
            <v>0</v>
          </cell>
          <cell r="Z52">
            <v>0</v>
          </cell>
          <cell r="AA52">
            <v>0</v>
          </cell>
          <cell r="AB52">
            <v>0</v>
          </cell>
          <cell r="AC52">
            <v>0</v>
          </cell>
          <cell r="AD52">
            <v>0</v>
          </cell>
          <cell r="AE52">
            <v>0</v>
          </cell>
          <cell r="AF52">
            <v>0</v>
          </cell>
          <cell r="AG52">
            <v>0</v>
          </cell>
          <cell r="AH52">
            <v>0</v>
          </cell>
          <cell r="AI52">
            <v>10.14</v>
          </cell>
          <cell r="AJ52">
            <v>1.3266173873225617</v>
          </cell>
          <cell r="AK52">
            <v>4</v>
          </cell>
          <cell r="AL52">
            <v>1.3422818791946309</v>
          </cell>
          <cell r="AM52">
            <v>4</v>
          </cell>
          <cell r="AN52">
            <v>0</v>
          </cell>
        </row>
        <row r="54">
          <cell r="A54" t="str">
            <v>TOTAL</v>
          </cell>
          <cell r="B54">
            <v>17</v>
          </cell>
          <cell r="C54">
            <v>17</v>
          </cell>
          <cell r="D54">
            <v>100</v>
          </cell>
          <cell r="E54">
            <v>13</v>
          </cell>
          <cell r="F54">
            <v>7.8</v>
          </cell>
          <cell r="G54">
            <v>100</v>
          </cell>
          <cell r="H54">
            <v>63</v>
          </cell>
          <cell r="I54">
            <v>80.010000000000019</v>
          </cell>
          <cell r="J54">
            <v>99.999999999999986</v>
          </cell>
          <cell r="K54">
            <v>22</v>
          </cell>
          <cell r="L54">
            <v>16.72</v>
          </cell>
          <cell r="M54">
            <v>100.00000000000001</v>
          </cell>
          <cell r="N54">
            <v>40</v>
          </cell>
          <cell r="O54">
            <v>84</v>
          </cell>
          <cell r="P54">
            <v>100</v>
          </cell>
          <cell r="Q54">
            <v>11</v>
          </cell>
          <cell r="R54">
            <v>13.86</v>
          </cell>
          <cell r="S54">
            <v>100.00000000000001</v>
          </cell>
          <cell r="T54">
            <v>70</v>
          </cell>
          <cell r="U54">
            <v>268.8</v>
          </cell>
          <cell r="V54">
            <v>99.999999999999986</v>
          </cell>
          <cell r="W54">
            <v>16</v>
          </cell>
          <cell r="X54">
            <v>36.799999999999997</v>
          </cell>
          <cell r="Y54">
            <v>100</v>
          </cell>
          <cell r="Z54">
            <v>40</v>
          </cell>
          <cell r="AA54">
            <v>201.6</v>
          </cell>
          <cell r="AB54">
            <v>100</v>
          </cell>
          <cell r="AC54">
            <v>5</v>
          </cell>
          <cell r="AD54">
            <v>31.349999999999998</v>
          </cell>
          <cell r="AE54">
            <v>100</v>
          </cell>
          <cell r="AF54">
            <v>1</v>
          </cell>
          <cell r="AG54">
            <v>6.41</v>
          </cell>
          <cell r="AH54">
            <v>100</v>
          </cell>
          <cell r="AI54">
            <v>764.34999999999991</v>
          </cell>
          <cell r="AJ54">
            <v>100.00000000000001</v>
          </cell>
          <cell r="AK54">
            <v>298</v>
          </cell>
          <cell r="AL54">
            <v>100.00000000000001</v>
          </cell>
          <cell r="AM54">
            <v>236</v>
          </cell>
          <cell r="AN54">
            <v>62</v>
          </cell>
        </row>
        <row r="60">
          <cell r="A60" t="str">
            <v>Unidade</v>
          </cell>
          <cell r="B60" t="str">
            <v>QUADRO RESUMO</v>
          </cell>
        </row>
        <row r="61">
          <cell r="B61" t="str">
            <v>Total Custo Unitário DAS/FCPE</v>
          </cell>
          <cell r="C61" t="str">
            <v>% Total Custo Unitário DAS/FCPE</v>
          </cell>
          <cell r="D61" t="str">
            <v>TOTAL DAS + FCPE</v>
          </cell>
          <cell r="E61" t="str">
            <v>% TOTAL DAS + FCPE</v>
          </cell>
          <cell r="F61" t="str">
            <v>TOTAL      DAS</v>
          </cell>
          <cell r="G61" t="str">
            <v>TOTAL     FCPE</v>
          </cell>
        </row>
        <row r="63">
          <cell r="A63" t="str">
            <v xml:space="preserve">GM </v>
          </cell>
          <cell r="B63">
            <v>126.09</v>
          </cell>
          <cell r="C63">
            <v>16.496369464250673</v>
          </cell>
          <cell r="D63">
            <v>51</v>
          </cell>
          <cell r="E63">
            <v>17.114093959731544</v>
          </cell>
          <cell r="F63">
            <v>40</v>
          </cell>
          <cell r="G63">
            <v>11</v>
          </cell>
        </row>
        <row r="64">
          <cell r="A64" t="str">
            <v>SE</v>
          </cell>
          <cell r="B64">
            <v>194.28</v>
          </cell>
          <cell r="C64">
            <v>25.41767514881926</v>
          </cell>
          <cell r="D64">
            <v>91</v>
          </cell>
          <cell r="E64">
            <v>30.536912751677853</v>
          </cell>
          <cell r="F64">
            <v>73</v>
          </cell>
          <cell r="G64">
            <v>18</v>
          </cell>
        </row>
        <row r="65">
          <cell r="A65" t="str">
            <v>CONJUR</v>
          </cell>
          <cell r="B65">
            <v>26.409999999999997</v>
          </cell>
          <cell r="C65">
            <v>3.4552233924249363</v>
          </cell>
          <cell r="D65">
            <v>14</v>
          </cell>
          <cell r="E65">
            <v>4.6979865771812079</v>
          </cell>
          <cell r="F65">
            <v>8</v>
          </cell>
          <cell r="G65">
            <v>6</v>
          </cell>
        </row>
        <row r="66">
          <cell r="A66" t="str">
            <v>ASSEC</v>
          </cell>
          <cell r="B66">
            <v>30.54</v>
          </cell>
          <cell r="C66">
            <v>3.9955517760188402</v>
          </cell>
          <cell r="D66">
            <v>9</v>
          </cell>
          <cell r="E66">
            <v>3.0201342281879193</v>
          </cell>
          <cell r="F66">
            <v>9</v>
          </cell>
          <cell r="G66">
            <v>0</v>
          </cell>
        </row>
        <row r="67">
          <cell r="A67" t="str">
            <v>ASSINT</v>
          </cell>
          <cell r="B67">
            <v>10.91</v>
          </cell>
          <cell r="C67">
            <v>1.427356577484137</v>
          </cell>
          <cell r="D67">
            <v>4</v>
          </cell>
          <cell r="E67">
            <v>1.3422818791946309</v>
          </cell>
          <cell r="F67">
            <v>3</v>
          </cell>
          <cell r="G67">
            <v>1</v>
          </cell>
        </row>
        <row r="68">
          <cell r="A68" t="str">
            <v>AECI</v>
          </cell>
          <cell r="B68">
            <v>8.1</v>
          </cell>
          <cell r="C68">
            <v>1.0597239484529339</v>
          </cell>
          <cell r="D68">
            <v>3</v>
          </cell>
          <cell r="E68">
            <v>1.0067114093959733</v>
          </cell>
          <cell r="F68">
            <v>1</v>
          </cell>
          <cell r="G68">
            <v>2</v>
          </cell>
        </row>
        <row r="69">
          <cell r="A69" t="str">
            <v>AEPED</v>
          </cell>
          <cell r="B69">
            <v>13.279999999999998</v>
          </cell>
          <cell r="C69">
            <v>1.7374239549944397</v>
          </cell>
          <cell r="D69">
            <v>4</v>
          </cell>
          <cell r="E69">
            <v>1.3422818791946309</v>
          </cell>
          <cell r="F69">
            <v>3</v>
          </cell>
          <cell r="G69">
            <v>1</v>
          </cell>
        </row>
        <row r="70">
          <cell r="A70" t="str">
            <v>SPE</v>
          </cell>
          <cell r="B70">
            <v>91.36999999999999</v>
          </cell>
          <cell r="C70">
            <v>11.953947798783279</v>
          </cell>
          <cell r="D70">
            <v>30</v>
          </cell>
          <cell r="E70">
            <v>10.067114093959731</v>
          </cell>
          <cell r="F70">
            <v>25</v>
          </cell>
          <cell r="G70">
            <v>5</v>
          </cell>
        </row>
        <row r="71">
          <cell r="A71" t="str">
            <v>SEE</v>
          </cell>
          <cell r="B71">
            <v>91.32</v>
          </cell>
          <cell r="C71">
            <v>11.947406292928633</v>
          </cell>
          <cell r="D71">
            <v>32</v>
          </cell>
          <cell r="E71">
            <v>10.738255033557047</v>
          </cell>
          <cell r="F71">
            <v>28</v>
          </cell>
          <cell r="G71">
            <v>4</v>
          </cell>
        </row>
        <row r="72">
          <cell r="A72" t="str">
            <v>SPG</v>
          </cell>
          <cell r="B72">
            <v>86.22999999999999</v>
          </cell>
          <cell r="C72">
            <v>11.281480996925492</v>
          </cell>
          <cell r="D72">
            <v>26</v>
          </cell>
          <cell r="E72">
            <v>8.724832214765101</v>
          </cell>
          <cell r="F72">
            <v>22</v>
          </cell>
          <cell r="G72">
            <v>4</v>
          </cell>
        </row>
        <row r="73">
          <cell r="A73" t="str">
            <v>SGM</v>
          </cell>
          <cell r="B73">
            <v>75.679999999999993</v>
          </cell>
          <cell r="C73">
            <v>9.9012232615948186</v>
          </cell>
          <cell r="D73">
            <v>30</v>
          </cell>
          <cell r="E73">
            <v>10.067114093959731</v>
          </cell>
          <cell r="F73">
            <v>20</v>
          </cell>
          <cell r="G73">
            <v>10</v>
          </cell>
        </row>
        <row r="74">
          <cell r="A74" t="str">
            <v>ESCRITÓRIO RJ</v>
          </cell>
          <cell r="B74">
            <v>10.14</v>
          </cell>
          <cell r="C74">
            <v>1.3266173873225617</v>
          </cell>
          <cell r="D74">
            <v>4</v>
          </cell>
          <cell r="E74">
            <v>1.3422818791946309</v>
          </cell>
          <cell r="F74">
            <v>4</v>
          </cell>
          <cell r="G74">
            <v>0</v>
          </cell>
        </row>
        <row r="76">
          <cell r="A76" t="str">
            <v>TOTAL</v>
          </cell>
          <cell r="B76">
            <v>764.34999999999991</v>
          </cell>
          <cell r="C76">
            <v>100.00000000000001</v>
          </cell>
          <cell r="D76">
            <v>298</v>
          </cell>
          <cell r="E76">
            <v>100.00000000000001</v>
          </cell>
          <cell r="F76">
            <v>236</v>
          </cell>
          <cell r="G76">
            <v>62</v>
          </cell>
        </row>
      </sheetData>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ow r="4">
          <cell r="A4" t="str">
            <v>Unidade</v>
          </cell>
          <cell r="B4" t="str">
            <v>Total de DAS na Unidade Estrutura Nova</v>
          </cell>
          <cell r="C4" t="str">
            <v>Nível (Quantitativo) MME</v>
          </cell>
        </row>
        <row r="5">
          <cell r="C5" t="str">
            <v>DAS 1</v>
          </cell>
          <cell r="G5" t="str">
            <v>FCPE 1</v>
          </cell>
          <cell r="I5" t="str">
            <v>DAS 2</v>
          </cell>
          <cell r="M5" t="str">
            <v>FCPE 2</v>
          </cell>
          <cell r="Q5" t="str">
            <v>DAS 3</v>
          </cell>
          <cell r="U5" t="str">
            <v>FCPE 3</v>
          </cell>
          <cell r="Y5" t="str">
            <v>DAS 4</v>
          </cell>
          <cell r="AC5" t="str">
            <v>FCPE 4</v>
          </cell>
          <cell r="AG5" t="str">
            <v>DAS 5</v>
          </cell>
          <cell r="AK5" t="str">
            <v>DAS 6</v>
          </cell>
          <cell r="AM5" t="str">
            <v>NES</v>
          </cell>
          <cell r="AO5" t="str">
            <v>TOTAL DAS + FCPE</v>
          </cell>
          <cell r="AR5" t="str">
            <v>TOTAL      DAS</v>
          </cell>
          <cell r="AU5" t="str">
            <v>TOTAL     FCPE</v>
          </cell>
        </row>
        <row r="6">
          <cell r="C6" t="str">
            <v>101.1</v>
          </cell>
          <cell r="E6" t="str">
            <v>102.1</v>
          </cell>
          <cell r="G6" t="str">
            <v>102.1</v>
          </cell>
          <cell r="I6" t="str">
            <v>101.2</v>
          </cell>
          <cell r="K6" t="str">
            <v>102.2</v>
          </cell>
          <cell r="M6" t="str">
            <v>101.2</v>
          </cell>
          <cell r="O6" t="str">
            <v>102.2</v>
          </cell>
          <cell r="Q6" t="str">
            <v>101.3</v>
          </cell>
          <cell r="S6" t="str">
            <v>102.3</v>
          </cell>
          <cell r="U6" t="str">
            <v>101.3</v>
          </cell>
          <cell r="W6" t="str">
            <v>102.3</v>
          </cell>
          <cell r="Y6" t="str">
            <v>101.4</v>
          </cell>
          <cell r="AA6" t="str">
            <v>102.4</v>
          </cell>
          <cell r="AC6" t="str">
            <v>101.4</v>
          </cell>
          <cell r="AE6" t="str">
            <v>102.4</v>
          </cell>
          <cell r="AG6" t="str">
            <v>101.5</v>
          </cell>
          <cell r="AI6" t="str">
            <v>102.5</v>
          </cell>
          <cell r="AK6" t="str">
            <v>101.6</v>
          </cell>
          <cell r="AM6" t="str">
            <v>Secretário Executivo</v>
          </cell>
        </row>
        <row r="7">
          <cell r="C7" t="str">
            <v>Ocupado</v>
          </cell>
          <cell r="D7" t="str">
            <v>Vago</v>
          </cell>
          <cell r="E7" t="str">
            <v>Ocupado</v>
          </cell>
          <cell r="F7" t="str">
            <v>Vago</v>
          </cell>
          <cell r="G7" t="str">
            <v>Ocupado</v>
          </cell>
          <cell r="H7" t="str">
            <v>Vago</v>
          </cell>
          <cell r="I7" t="str">
            <v>Ocupado</v>
          </cell>
          <cell r="J7" t="str">
            <v>Vago</v>
          </cell>
          <cell r="K7" t="str">
            <v>Ocupado</v>
          </cell>
          <cell r="L7" t="str">
            <v>Vago</v>
          </cell>
          <cell r="M7" t="str">
            <v>Ocupado</v>
          </cell>
          <cell r="N7" t="str">
            <v>Vago</v>
          </cell>
          <cell r="O7" t="str">
            <v>Ocupado</v>
          </cell>
          <cell r="P7" t="str">
            <v>Vago</v>
          </cell>
          <cell r="Q7" t="str">
            <v>Ocupado</v>
          </cell>
          <cell r="R7" t="str">
            <v>Vago</v>
          </cell>
          <cell r="S7" t="str">
            <v>Ocupado</v>
          </cell>
          <cell r="T7" t="str">
            <v>Vago</v>
          </cell>
          <cell r="U7" t="str">
            <v>Ocupado</v>
          </cell>
          <cell r="V7" t="str">
            <v>Vago</v>
          </cell>
          <cell r="W7" t="str">
            <v>Ocupado</v>
          </cell>
          <cell r="X7" t="str">
            <v>Vago</v>
          </cell>
          <cell r="Y7" t="str">
            <v>Ocupado</v>
          </cell>
          <cell r="Z7" t="str">
            <v>Vago</v>
          </cell>
          <cell r="AA7" t="str">
            <v>Ocupado</v>
          </cell>
          <cell r="AB7" t="str">
            <v>Vago</v>
          </cell>
          <cell r="AC7" t="str">
            <v>Ocupado</v>
          </cell>
          <cell r="AD7" t="str">
            <v>Vago</v>
          </cell>
          <cell r="AE7" t="str">
            <v>Ocupado</v>
          </cell>
          <cell r="AF7" t="str">
            <v>Vago</v>
          </cell>
          <cell r="AG7" t="str">
            <v>Ocupado</v>
          </cell>
          <cell r="AH7" t="str">
            <v>Vago</v>
          </cell>
          <cell r="AI7" t="str">
            <v>Ocupado</v>
          </cell>
          <cell r="AJ7" t="str">
            <v>Vago</v>
          </cell>
          <cell r="AK7" t="str">
            <v>Ocupado</v>
          </cell>
          <cell r="AL7" t="str">
            <v>Vago</v>
          </cell>
          <cell r="AM7" t="str">
            <v>Ocupado</v>
          </cell>
          <cell r="AN7" t="str">
            <v>Vago</v>
          </cell>
          <cell r="AO7" t="str">
            <v>Ocupado</v>
          </cell>
          <cell r="AP7" t="str">
            <v>Vago</v>
          </cell>
          <cell r="AQ7" t="str">
            <v>Total</v>
          </cell>
          <cell r="AR7" t="str">
            <v>Ocupado</v>
          </cell>
          <cell r="AS7" t="str">
            <v>Vago</v>
          </cell>
          <cell r="AT7" t="str">
            <v>Total</v>
          </cell>
          <cell r="AU7" t="str">
            <v>Ocupado</v>
          </cell>
          <cell r="AV7" t="str">
            <v>Vago</v>
          </cell>
          <cell r="AW7" t="str">
            <v>Total</v>
          </cell>
        </row>
        <row r="8">
          <cell r="A8" t="str">
            <v xml:space="preserve">GM </v>
          </cell>
          <cell r="B8">
            <v>51</v>
          </cell>
          <cell r="C8">
            <v>0</v>
          </cell>
          <cell r="D8">
            <v>0</v>
          </cell>
          <cell r="E8">
            <v>6</v>
          </cell>
          <cell r="F8">
            <v>0</v>
          </cell>
          <cell r="G8">
            <v>5</v>
          </cell>
          <cell r="H8">
            <v>0</v>
          </cell>
          <cell r="I8">
            <v>0</v>
          </cell>
          <cell r="J8">
            <v>0</v>
          </cell>
          <cell r="K8">
            <v>7</v>
          </cell>
          <cell r="L8">
            <v>0</v>
          </cell>
          <cell r="M8">
            <v>0</v>
          </cell>
          <cell r="N8">
            <v>0</v>
          </cell>
          <cell r="O8">
            <v>3</v>
          </cell>
          <cell r="P8">
            <v>0</v>
          </cell>
          <cell r="Q8">
            <v>0</v>
          </cell>
          <cell r="R8">
            <v>0</v>
          </cell>
          <cell r="S8">
            <v>5</v>
          </cell>
          <cell r="T8">
            <v>2</v>
          </cell>
          <cell r="U8">
            <v>1</v>
          </cell>
          <cell r="V8">
            <v>0</v>
          </cell>
          <cell r="W8">
            <v>1</v>
          </cell>
          <cell r="X8">
            <v>0</v>
          </cell>
          <cell r="Y8">
            <v>4</v>
          </cell>
          <cell r="Z8">
            <v>0</v>
          </cell>
          <cell r="AA8">
            <v>6</v>
          </cell>
          <cell r="AB8">
            <v>2</v>
          </cell>
          <cell r="AC8">
            <v>1</v>
          </cell>
          <cell r="AD8">
            <v>0</v>
          </cell>
          <cell r="AE8">
            <v>0</v>
          </cell>
          <cell r="AF8">
            <v>0</v>
          </cell>
          <cell r="AG8">
            <v>2</v>
          </cell>
          <cell r="AH8">
            <v>1</v>
          </cell>
          <cell r="AI8">
            <v>5</v>
          </cell>
          <cell r="AJ8">
            <v>0</v>
          </cell>
          <cell r="AK8">
            <v>0</v>
          </cell>
          <cell r="AL8">
            <v>0</v>
          </cell>
          <cell r="AM8">
            <v>0</v>
          </cell>
          <cell r="AN8">
            <v>0</v>
          </cell>
          <cell r="AO8">
            <v>46</v>
          </cell>
          <cell r="AP8">
            <v>5</v>
          </cell>
          <cell r="AQ8">
            <v>51</v>
          </cell>
          <cell r="AR8">
            <v>35</v>
          </cell>
          <cell r="AS8">
            <v>5</v>
          </cell>
          <cell r="AT8">
            <v>40</v>
          </cell>
          <cell r="AU8">
            <v>11</v>
          </cell>
          <cell r="AV8">
            <v>0</v>
          </cell>
          <cell r="AW8">
            <v>11</v>
          </cell>
        </row>
        <row r="9">
          <cell r="A9" t="str">
            <v>SE</v>
          </cell>
          <cell r="B9">
            <v>91</v>
          </cell>
          <cell r="C9">
            <v>1</v>
          </cell>
          <cell r="D9">
            <v>1</v>
          </cell>
          <cell r="E9">
            <v>5</v>
          </cell>
          <cell r="F9">
            <v>1</v>
          </cell>
          <cell r="G9">
            <v>8</v>
          </cell>
          <cell r="H9">
            <v>0</v>
          </cell>
          <cell r="I9">
            <v>10</v>
          </cell>
          <cell r="J9">
            <v>0</v>
          </cell>
          <cell r="K9">
            <v>14</v>
          </cell>
          <cell r="L9">
            <v>0</v>
          </cell>
          <cell r="M9">
            <v>2</v>
          </cell>
          <cell r="N9">
            <v>0</v>
          </cell>
          <cell r="O9">
            <v>3</v>
          </cell>
          <cell r="P9">
            <v>0</v>
          </cell>
          <cell r="Q9">
            <v>13</v>
          </cell>
          <cell r="R9">
            <v>1</v>
          </cell>
          <cell r="S9">
            <v>5</v>
          </cell>
          <cell r="T9">
            <v>0</v>
          </cell>
          <cell r="U9">
            <v>2</v>
          </cell>
          <cell r="V9">
            <v>0</v>
          </cell>
          <cell r="W9">
            <v>0</v>
          </cell>
          <cell r="X9">
            <v>0</v>
          </cell>
          <cell r="Y9">
            <v>8</v>
          </cell>
          <cell r="Z9">
            <v>0</v>
          </cell>
          <cell r="AA9">
            <v>5</v>
          </cell>
          <cell r="AB9">
            <v>0</v>
          </cell>
          <cell r="AC9">
            <v>3</v>
          </cell>
          <cell r="AD9">
            <v>0</v>
          </cell>
          <cell r="AE9">
            <v>0</v>
          </cell>
          <cell r="AF9">
            <v>0</v>
          </cell>
          <cell r="AG9">
            <v>7</v>
          </cell>
          <cell r="AH9">
            <v>0</v>
          </cell>
          <cell r="AI9">
            <v>0</v>
          </cell>
          <cell r="AJ9">
            <v>0</v>
          </cell>
          <cell r="AK9">
            <v>1</v>
          </cell>
          <cell r="AL9">
            <v>0</v>
          </cell>
          <cell r="AM9">
            <v>1</v>
          </cell>
          <cell r="AN9">
            <v>0</v>
          </cell>
          <cell r="AO9">
            <v>88</v>
          </cell>
          <cell r="AP9">
            <v>3</v>
          </cell>
          <cell r="AQ9">
            <v>91</v>
          </cell>
          <cell r="AR9">
            <v>70</v>
          </cell>
          <cell r="AS9">
            <v>3</v>
          </cell>
          <cell r="AT9">
            <v>73</v>
          </cell>
          <cell r="AU9">
            <v>18</v>
          </cell>
          <cell r="AV9">
            <v>0</v>
          </cell>
          <cell r="AW9">
            <v>18</v>
          </cell>
        </row>
        <row r="10">
          <cell r="A10" t="str">
            <v>CONJUR</v>
          </cell>
          <cell r="B10">
            <v>14</v>
          </cell>
          <cell r="C10">
            <v>0</v>
          </cell>
          <cell r="D10">
            <v>0</v>
          </cell>
          <cell r="E10">
            <v>1</v>
          </cell>
          <cell r="F10">
            <v>0</v>
          </cell>
          <cell r="G10">
            <v>0</v>
          </cell>
          <cell r="H10">
            <v>0</v>
          </cell>
          <cell r="I10">
            <v>0</v>
          </cell>
          <cell r="J10">
            <v>0</v>
          </cell>
          <cell r="K10">
            <v>5</v>
          </cell>
          <cell r="L10">
            <v>0</v>
          </cell>
          <cell r="M10">
            <v>0</v>
          </cell>
          <cell r="N10">
            <v>0</v>
          </cell>
          <cell r="O10">
            <v>1</v>
          </cell>
          <cell r="P10">
            <v>0</v>
          </cell>
          <cell r="Q10">
            <v>0</v>
          </cell>
          <cell r="R10">
            <v>0</v>
          </cell>
          <cell r="S10">
            <v>0</v>
          </cell>
          <cell r="T10">
            <v>0</v>
          </cell>
          <cell r="U10">
            <v>1</v>
          </cell>
          <cell r="V10">
            <v>0</v>
          </cell>
          <cell r="W10">
            <v>1</v>
          </cell>
          <cell r="X10">
            <v>0</v>
          </cell>
          <cell r="Y10">
            <v>0</v>
          </cell>
          <cell r="Z10">
            <v>0</v>
          </cell>
          <cell r="AA10">
            <v>1</v>
          </cell>
          <cell r="AB10">
            <v>0</v>
          </cell>
          <cell r="AC10">
            <v>3</v>
          </cell>
          <cell r="AD10">
            <v>0</v>
          </cell>
          <cell r="AE10">
            <v>0</v>
          </cell>
          <cell r="AF10">
            <v>0</v>
          </cell>
          <cell r="AG10">
            <v>1</v>
          </cell>
          <cell r="AH10">
            <v>0</v>
          </cell>
          <cell r="AI10">
            <v>0</v>
          </cell>
          <cell r="AJ10">
            <v>0</v>
          </cell>
          <cell r="AK10">
            <v>0</v>
          </cell>
          <cell r="AL10">
            <v>0</v>
          </cell>
          <cell r="AM10">
            <v>0</v>
          </cell>
          <cell r="AN10">
            <v>0</v>
          </cell>
          <cell r="AO10">
            <v>14</v>
          </cell>
          <cell r="AP10">
            <v>0</v>
          </cell>
          <cell r="AQ10">
            <v>14</v>
          </cell>
          <cell r="AR10">
            <v>8</v>
          </cell>
          <cell r="AS10">
            <v>0</v>
          </cell>
          <cell r="AT10">
            <v>8</v>
          </cell>
          <cell r="AU10">
            <v>6</v>
          </cell>
          <cell r="AV10">
            <v>0</v>
          </cell>
          <cell r="AW10">
            <v>6</v>
          </cell>
        </row>
        <row r="11">
          <cell r="A11" t="str">
            <v>ASSEC</v>
          </cell>
          <cell r="B11">
            <v>9</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3</v>
          </cell>
          <cell r="T11">
            <v>0</v>
          </cell>
          <cell r="U11">
            <v>0</v>
          </cell>
          <cell r="V11">
            <v>0</v>
          </cell>
          <cell r="W11">
            <v>0</v>
          </cell>
          <cell r="X11">
            <v>0</v>
          </cell>
          <cell r="Y11">
            <v>0</v>
          </cell>
          <cell r="Z11">
            <v>0</v>
          </cell>
          <cell r="AA11">
            <v>5</v>
          </cell>
          <cell r="AB11">
            <v>0</v>
          </cell>
          <cell r="AC11">
            <v>0</v>
          </cell>
          <cell r="AD11">
            <v>0</v>
          </cell>
          <cell r="AE11">
            <v>0</v>
          </cell>
          <cell r="AF11">
            <v>0</v>
          </cell>
          <cell r="AG11">
            <v>1</v>
          </cell>
          <cell r="AH11">
            <v>0</v>
          </cell>
          <cell r="AI11">
            <v>0</v>
          </cell>
          <cell r="AJ11">
            <v>0</v>
          </cell>
          <cell r="AK11">
            <v>0</v>
          </cell>
          <cell r="AL11">
            <v>0</v>
          </cell>
          <cell r="AM11">
            <v>0</v>
          </cell>
          <cell r="AN11">
            <v>0</v>
          </cell>
          <cell r="AO11">
            <v>9</v>
          </cell>
          <cell r="AP11">
            <v>0</v>
          </cell>
          <cell r="AQ11">
            <v>9</v>
          </cell>
          <cell r="AR11">
            <v>9</v>
          </cell>
          <cell r="AS11">
            <v>0</v>
          </cell>
          <cell r="AT11">
            <v>9</v>
          </cell>
          <cell r="AU11">
            <v>0</v>
          </cell>
          <cell r="AV11">
            <v>0</v>
          </cell>
          <cell r="AW11">
            <v>0</v>
          </cell>
        </row>
        <row r="12">
          <cell r="A12" t="str">
            <v>ASSINT</v>
          </cell>
          <cell r="B12">
            <v>4</v>
          </cell>
          <cell r="C12">
            <v>0</v>
          </cell>
          <cell r="D12">
            <v>0</v>
          </cell>
          <cell r="E12">
            <v>0</v>
          </cell>
          <cell r="F12">
            <v>0</v>
          </cell>
          <cell r="G12">
            <v>0</v>
          </cell>
          <cell r="H12">
            <v>0</v>
          </cell>
          <cell r="I12">
            <v>0</v>
          </cell>
          <cell r="J12">
            <v>0</v>
          </cell>
          <cell r="K12">
            <v>1</v>
          </cell>
          <cell r="L12">
            <v>0</v>
          </cell>
          <cell r="M12">
            <v>0</v>
          </cell>
          <cell r="N12">
            <v>0</v>
          </cell>
          <cell r="O12">
            <v>1</v>
          </cell>
          <cell r="P12">
            <v>0</v>
          </cell>
          <cell r="Q12">
            <v>0</v>
          </cell>
          <cell r="R12">
            <v>0</v>
          </cell>
          <cell r="S12">
            <v>0</v>
          </cell>
          <cell r="T12">
            <v>0</v>
          </cell>
          <cell r="U12">
            <v>0</v>
          </cell>
          <cell r="V12">
            <v>0</v>
          </cell>
          <cell r="W12">
            <v>0</v>
          </cell>
          <cell r="X12">
            <v>0</v>
          </cell>
          <cell r="Y12">
            <v>0</v>
          </cell>
          <cell r="Z12">
            <v>0</v>
          </cell>
          <cell r="AA12">
            <v>1</v>
          </cell>
          <cell r="AB12">
            <v>0</v>
          </cell>
          <cell r="AC12">
            <v>0</v>
          </cell>
          <cell r="AD12">
            <v>0</v>
          </cell>
          <cell r="AE12">
            <v>0</v>
          </cell>
          <cell r="AF12">
            <v>0</v>
          </cell>
          <cell r="AG12">
            <v>1</v>
          </cell>
          <cell r="AH12">
            <v>0</v>
          </cell>
          <cell r="AI12">
            <v>0</v>
          </cell>
          <cell r="AJ12">
            <v>0</v>
          </cell>
          <cell r="AK12">
            <v>0</v>
          </cell>
          <cell r="AL12">
            <v>0</v>
          </cell>
          <cell r="AM12">
            <v>0</v>
          </cell>
          <cell r="AN12">
            <v>0</v>
          </cell>
          <cell r="AO12">
            <v>4</v>
          </cell>
          <cell r="AP12">
            <v>0</v>
          </cell>
          <cell r="AQ12">
            <v>4</v>
          </cell>
          <cell r="AR12">
            <v>3</v>
          </cell>
          <cell r="AS12">
            <v>0</v>
          </cell>
          <cell r="AT12">
            <v>3</v>
          </cell>
          <cell r="AU12">
            <v>1</v>
          </cell>
          <cell r="AV12">
            <v>0</v>
          </cell>
          <cell r="AW12">
            <v>1</v>
          </cell>
        </row>
        <row r="13">
          <cell r="A13" t="str">
            <v>AECI</v>
          </cell>
          <cell r="B13">
            <v>3</v>
          </cell>
          <cell r="C13">
            <v>0</v>
          </cell>
          <cell r="D13">
            <v>0</v>
          </cell>
          <cell r="E13">
            <v>0</v>
          </cell>
          <cell r="F13">
            <v>0</v>
          </cell>
          <cell r="G13">
            <v>0</v>
          </cell>
          <cell r="H13">
            <v>0</v>
          </cell>
          <cell r="I13">
            <v>0</v>
          </cell>
          <cell r="J13">
            <v>0</v>
          </cell>
          <cell r="K13">
            <v>0</v>
          </cell>
          <cell r="L13">
            <v>0</v>
          </cell>
          <cell r="M13">
            <v>0</v>
          </cell>
          <cell r="N13">
            <v>0</v>
          </cell>
          <cell r="O13">
            <v>1</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0</v>
          </cell>
          <cell r="AG13">
            <v>1</v>
          </cell>
          <cell r="AH13">
            <v>0</v>
          </cell>
          <cell r="AI13">
            <v>0</v>
          </cell>
          <cell r="AJ13">
            <v>0</v>
          </cell>
          <cell r="AK13">
            <v>0</v>
          </cell>
          <cell r="AL13">
            <v>0</v>
          </cell>
          <cell r="AM13">
            <v>0</v>
          </cell>
          <cell r="AN13">
            <v>0</v>
          </cell>
          <cell r="AO13">
            <v>3</v>
          </cell>
          <cell r="AP13">
            <v>0</v>
          </cell>
          <cell r="AQ13">
            <v>3</v>
          </cell>
          <cell r="AR13">
            <v>1</v>
          </cell>
          <cell r="AS13">
            <v>0</v>
          </cell>
          <cell r="AT13">
            <v>1</v>
          </cell>
          <cell r="AU13">
            <v>2</v>
          </cell>
          <cell r="AV13">
            <v>0</v>
          </cell>
          <cell r="AW13">
            <v>2</v>
          </cell>
        </row>
        <row r="14">
          <cell r="A14" t="str">
            <v>AEPED</v>
          </cell>
          <cell r="B14">
            <v>4</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1</v>
          </cell>
          <cell r="T14">
            <v>0</v>
          </cell>
          <cell r="U14">
            <v>0</v>
          </cell>
          <cell r="V14">
            <v>0</v>
          </cell>
          <cell r="W14">
            <v>0</v>
          </cell>
          <cell r="X14">
            <v>0</v>
          </cell>
          <cell r="Y14">
            <v>0</v>
          </cell>
          <cell r="Z14">
            <v>0</v>
          </cell>
          <cell r="AA14">
            <v>1</v>
          </cell>
          <cell r="AB14">
            <v>0</v>
          </cell>
          <cell r="AC14">
            <v>0</v>
          </cell>
          <cell r="AD14">
            <v>0</v>
          </cell>
          <cell r="AE14">
            <v>1</v>
          </cell>
          <cell r="AF14">
            <v>0</v>
          </cell>
          <cell r="AG14">
            <v>1</v>
          </cell>
          <cell r="AH14">
            <v>0</v>
          </cell>
          <cell r="AI14">
            <v>0</v>
          </cell>
          <cell r="AJ14">
            <v>0</v>
          </cell>
          <cell r="AK14">
            <v>0</v>
          </cell>
          <cell r="AL14">
            <v>0</v>
          </cell>
          <cell r="AM14">
            <v>0</v>
          </cell>
          <cell r="AN14">
            <v>0</v>
          </cell>
          <cell r="AO14">
            <v>4</v>
          </cell>
          <cell r="AP14">
            <v>0</v>
          </cell>
          <cell r="AQ14">
            <v>4</v>
          </cell>
          <cell r="AR14">
            <v>3</v>
          </cell>
          <cell r="AS14">
            <v>0</v>
          </cell>
          <cell r="AT14">
            <v>3</v>
          </cell>
          <cell r="AU14">
            <v>1</v>
          </cell>
          <cell r="AV14">
            <v>0</v>
          </cell>
          <cell r="AW14">
            <v>1</v>
          </cell>
        </row>
        <row r="15">
          <cell r="A15" t="str">
            <v>SPE</v>
          </cell>
          <cell r="B15">
            <v>30</v>
          </cell>
          <cell r="C15">
            <v>0</v>
          </cell>
          <cell r="D15">
            <v>0</v>
          </cell>
          <cell r="E15">
            <v>0</v>
          </cell>
          <cell r="F15">
            <v>0</v>
          </cell>
          <cell r="G15">
            <v>0</v>
          </cell>
          <cell r="H15">
            <v>0</v>
          </cell>
          <cell r="I15">
            <v>0</v>
          </cell>
          <cell r="J15">
            <v>0</v>
          </cell>
          <cell r="K15">
            <v>6</v>
          </cell>
          <cell r="L15">
            <v>0</v>
          </cell>
          <cell r="M15">
            <v>0</v>
          </cell>
          <cell r="N15">
            <v>0</v>
          </cell>
          <cell r="O15">
            <v>3</v>
          </cell>
          <cell r="P15">
            <v>0</v>
          </cell>
          <cell r="Q15">
            <v>0</v>
          </cell>
          <cell r="R15">
            <v>0</v>
          </cell>
          <cell r="S15">
            <v>2</v>
          </cell>
          <cell r="T15">
            <v>0</v>
          </cell>
          <cell r="U15">
            <v>0</v>
          </cell>
          <cell r="V15">
            <v>0</v>
          </cell>
          <cell r="W15">
            <v>1</v>
          </cell>
          <cell r="X15">
            <v>0</v>
          </cell>
          <cell r="Y15">
            <v>8</v>
          </cell>
          <cell r="Z15">
            <v>0</v>
          </cell>
          <cell r="AA15">
            <v>3</v>
          </cell>
          <cell r="AB15">
            <v>0</v>
          </cell>
          <cell r="AC15">
            <v>1</v>
          </cell>
          <cell r="AD15">
            <v>0</v>
          </cell>
          <cell r="AE15">
            <v>0</v>
          </cell>
          <cell r="AF15">
            <v>0</v>
          </cell>
          <cell r="AG15">
            <v>5</v>
          </cell>
          <cell r="AH15">
            <v>0</v>
          </cell>
          <cell r="AI15">
            <v>0</v>
          </cell>
          <cell r="AJ15">
            <v>0</v>
          </cell>
          <cell r="AK15">
            <v>0</v>
          </cell>
          <cell r="AL15">
            <v>1</v>
          </cell>
          <cell r="AM15">
            <v>0</v>
          </cell>
          <cell r="AN15">
            <v>0</v>
          </cell>
          <cell r="AO15">
            <v>29</v>
          </cell>
          <cell r="AP15">
            <v>1</v>
          </cell>
          <cell r="AQ15">
            <v>30</v>
          </cell>
          <cell r="AR15">
            <v>24</v>
          </cell>
          <cell r="AS15">
            <v>1</v>
          </cell>
          <cell r="AT15">
            <v>25</v>
          </cell>
          <cell r="AU15">
            <v>5</v>
          </cell>
          <cell r="AV15">
            <v>0</v>
          </cell>
          <cell r="AW15">
            <v>5</v>
          </cell>
        </row>
        <row r="16">
          <cell r="A16" t="str">
            <v>SEE</v>
          </cell>
          <cell r="B16">
            <v>32</v>
          </cell>
          <cell r="C16">
            <v>0</v>
          </cell>
          <cell r="D16">
            <v>0</v>
          </cell>
          <cell r="E16">
            <v>0</v>
          </cell>
          <cell r="F16">
            <v>0</v>
          </cell>
          <cell r="G16">
            <v>0</v>
          </cell>
          <cell r="H16">
            <v>0</v>
          </cell>
          <cell r="I16">
            <v>0</v>
          </cell>
          <cell r="J16">
            <v>0</v>
          </cell>
          <cell r="K16">
            <v>10</v>
          </cell>
          <cell r="L16">
            <v>1</v>
          </cell>
          <cell r="M16">
            <v>0</v>
          </cell>
          <cell r="N16">
            <v>0</v>
          </cell>
          <cell r="O16">
            <v>0</v>
          </cell>
          <cell r="P16">
            <v>0</v>
          </cell>
          <cell r="Q16">
            <v>0</v>
          </cell>
          <cell r="R16">
            <v>0</v>
          </cell>
          <cell r="S16">
            <v>2</v>
          </cell>
          <cell r="T16">
            <v>0</v>
          </cell>
          <cell r="U16">
            <v>0</v>
          </cell>
          <cell r="V16">
            <v>0</v>
          </cell>
          <cell r="W16">
            <v>2</v>
          </cell>
          <cell r="X16">
            <v>0</v>
          </cell>
          <cell r="Y16">
            <v>8</v>
          </cell>
          <cell r="Z16">
            <v>0</v>
          </cell>
          <cell r="AA16">
            <v>1</v>
          </cell>
          <cell r="AB16">
            <v>0</v>
          </cell>
          <cell r="AC16">
            <v>2</v>
          </cell>
          <cell r="AD16">
            <v>0</v>
          </cell>
          <cell r="AE16">
            <v>0</v>
          </cell>
          <cell r="AF16">
            <v>0</v>
          </cell>
          <cell r="AG16">
            <v>5</v>
          </cell>
          <cell r="AH16">
            <v>0</v>
          </cell>
          <cell r="AI16">
            <v>0</v>
          </cell>
          <cell r="AJ16">
            <v>0</v>
          </cell>
          <cell r="AK16">
            <v>1</v>
          </cell>
          <cell r="AL16">
            <v>0</v>
          </cell>
          <cell r="AM16">
            <v>0</v>
          </cell>
          <cell r="AN16">
            <v>0</v>
          </cell>
          <cell r="AO16">
            <v>31</v>
          </cell>
          <cell r="AP16">
            <v>1</v>
          </cell>
          <cell r="AQ16">
            <v>32</v>
          </cell>
          <cell r="AR16">
            <v>27</v>
          </cell>
          <cell r="AS16">
            <v>1</v>
          </cell>
          <cell r="AT16">
            <v>28</v>
          </cell>
          <cell r="AU16">
            <v>4</v>
          </cell>
          <cell r="AV16">
            <v>0</v>
          </cell>
          <cell r="AW16">
            <v>4</v>
          </cell>
        </row>
        <row r="17">
          <cell r="A17" t="str">
            <v>SPG</v>
          </cell>
          <cell r="B17">
            <v>26</v>
          </cell>
          <cell r="C17">
            <v>0</v>
          </cell>
          <cell r="D17">
            <v>0</v>
          </cell>
          <cell r="E17">
            <v>0</v>
          </cell>
          <cell r="F17">
            <v>1</v>
          </cell>
          <cell r="G17">
            <v>0</v>
          </cell>
          <cell r="H17">
            <v>0</v>
          </cell>
          <cell r="I17">
            <v>0</v>
          </cell>
          <cell r="J17">
            <v>0</v>
          </cell>
          <cell r="K17">
            <v>2</v>
          </cell>
          <cell r="L17">
            <v>0</v>
          </cell>
          <cell r="M17">
            <v>0</v>
          </cell>
          <cell r="N17">
            <v>0</v>
          </cell>
          <cell r="O17">
            <v>4</v>
          </cell>
          <cell r="P17">
            <v>0</v>
          </cell>
          <cell r="Q17">
            <v>0</v>
          </cell>
          <cell r="R17">
            <v>0</v>
          </cell>
          <cell r="S17">
            <v>1</v>
          </cell>
          <cell r="T17">
            <v>0</v>
          </cell>
          <cell r="U17">
            <v>0</v>
          </cell>
          <cell r="V17">
            <v>0</v>
          </cell>
          <cell r="W17">
            <v>0</v>
          </cell>
          <cell r="X17">
            <v>0</v>
          </cell>
          <cell r="Y17">
            <v>10</v>
          </cell>
          <cell r="Z17">
            <v>0</v>
          </cell>
          <cell r="AA17">
            <v>2</v>
          </cell>
          <cell r="AB17">
            <v>0</v>
          </cell>
          <cell r="AC17">
            <v>0</v>
          </cell>
          <cell r="AD17">
            <v>0</v>
          </cell>
          <cell r="AE17">
            <v>0</v>
          </cell>
          <cell r="AF17">
            <v>0</v>
          </cell>
          <cell r="AG17">
            <v>4</v>
          </cell>
          <cell r="AH17">
            <v>1</v>
          </cell>
          <cell r="AI17">
            <v>0</v>
          </cell>
          <cell r="AJ17">
            <v>0</v>
          </cell>
          <cell r="AK17">
            <v>1</v>
          </cell>
          <cell r="AL17">
            <v>0</v>
          </cell>
          <cell r="AM17">
            <v>0</v>
          </cell>
          <cell r="AN17">
            <v>0</v>
          </cell>
          <cell r="AO17">
            <v>24</v>
          </cell>
          <cell r="AP17">
            <v>2</v>
          </cell>
          <cell r="AQ17">
            <v>26</v>
          </cell>
          <cell r="AR17">
            <v>20</v>
          </cell>
          <cell r="AS17">
            <v>2</v>
          </cell>
          <cell r="AT17">
            <v>22</v>
          </cell>
          <cell r="AU17">
            <v>4</v>
          </cell>
          <cell r="AV17">
            <v>0</v>
          </cell>
          <cell r="AW17">
            <v>4</v>
          </cell>
        </row>
        <row r="18">
          <cell r="A18" t="str">
            <v>SGM</v>
          </cell>
          <cell r="B18">
            <v>30</v>
          </cell>
          <cell r="C18">
            <v>0</v>
          </cell>
          <cell r="D18">
            <v>0</v>
          </cell>
          <cell r="E18">
            <v>1</v>
          </cell>
          <cell r="F18">
            <v>0</v>
          </cell>
          <cell r="G18">
            <v>0</v>
          </cell>
          <cell r="H18">
            <v>0</v>
          </cell>
          <cell r="I18">
            <v>0</v>
          </cell>
          <cell r="J18">
            <v>0</v>
          </cell>
          <cell r="K18">
            <v>7</v>
          </cell>
          <cell r="L18">
            <v>0</v>
          </cell>
          <cell r="M18">
            <v>0</v>
          </cell>
          <cell r="N18">
            <v>0</v>
          </cell>
          <cell r="O18">
            <v>4</v>
          </cell>
          <cell r="P18">
            <v>0</v>
          </cell>
          <cell r="Q18">
            <v>0</v>
          </cell>
          <cell r="R18">
            <v>0</v>
          </cell>
          <cell r="S18">
            <v>2</v>
          </cell>
          <cell r="T18">
            <v>0</v>
          </cell>
          <cell r="U18">
            <v>0</v>
          </cell>
          <cell r="V18">
            <v>0</v>
          </cell>
          <cell r="W18">
            <v>2</v>
          </cell>
          <cell r="X18">
            <v>0</v>
          </cell>
          <cell r="Y18">
            <v>4</v>
          </cell>
          <cell r="Z18">
            <v>0</v>
          </cell>
          <cell r="AA18">
            <v>0</v>
          </cell>
          <cell r="AB18">
            <v>0</v>
          </cell>
          <cell r="AC18">
            <v>4</v>
          </cell>
          <cell r="AD18">
            <v>0</v>
          </cell>
          <cell r="AE18">
            <v>0</v>
          </cell>
          <cell r="AF18">
            <v>0</v>
          </cell>
          <cell r="AG18">
            <v>5</v>
          </cell>
          <cell r="AH18">
            <v>0</v>
          </cell>
          <cell r="AI18">
            <v>0</v>
          </cell>
          <cell r="AJ18">
            <v>0</v>
          </cell>
          <cell r="AK18">
            <v>1</v>
          </cell>
          <cell r="AL18">
            <v>0</v>
          </cell>
          <cell r="AM18">
            <v>0</v>
          </cell>
          <cell r="AN18">
            <v>0</v>
          </cell>
          <cell r="AO18">
            <v>30</v>
          </cell>
          <cell r="AP18">
            <v>0</v>
          </cell>
          <cell r="AQ18">
            <v>30</v>
          </cell>
          <cell r="AR18">
            <v>20</v>
          </cell>
          <cell r="AS18">
            <v>0</v>
          </cell>
          <cell r="AT18">
            <v>20</v>
          </cell>
          <cell r="AU18">
            <v>10</v>
          </cell>
          <cell r="AV18">
            <v>0</v>
          </cell>
          <cell r="AW18">
            <v>10</v>
          </cell>
        </row>
        <row r="19">
          <cell r="A19" t="str">
            <v>ESCRITÓRIO RJ</v>
          </cell>
          <cell r="B19">
            <v>4</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3</v>
          </cell>
          <cell r="T19">
            <v>0</v>
          </cell>
          <cell r="U19">
            <v>0</v>
          </cell>
          <cell r="V19">
            <v>0</v>
          </cell>
          <cell r="W19">
            <v>0</v>
          </cell>
          <cell r="X19">
            <v>0</v>
          </cell>
          <cell r="Y19">
            <v>1</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4</v>
          </cell>
          <cell r="AP19">
            <v>0</v>
          </cell>
          <cell r="AQ19">
            <v>4</v>
          </cell>
          <cell r="AR19">
            <v>4</v>
          </cell>
          <cell r="AS19">
            <v>0</v>
          </cell>
          <cell r="AT19">
            <v>4</v>
          </cell>
          <cell r="AU19">
            <v>0</v>
          </cell>
          <cell r="AV19">
            <v>0</v>
          </cell>
          <cell r="AW19">
            <v>0</v>
          </cell>
        </row>
        <row r="21">
          <cell r="A21" t="str">
            <v>TOTAL</v>
          </cell>
          <cell r="B21">
            <v>298</v>
          </cell>
          <cell r="C21">
            <v>1</v>
          </cell>
          <cell r="D21">
            <v>1</v>
          </cell>
          <cell r="E21">
            <v>13</v>
          </cell>
          <cell r="F21">
            <v>2</v>
          </cell>
          <cell r="G21">
            <v>13</v>
          </cell>
          <cell r="H21">
            <v>0</v>
          </cell>
          <cell r="I21">
            <v>10</v>
          </cell>
          <cell r="J21">
            <v>0</v>
          </cell>
          <cell r="K21">
            <v>52</v>
          </cell>
          <cell r="L21">
            <v>1</v>
          </cell>
          <cell r="M21">
            <v>2</v>
          </cell>
          <cell r="N21">
            <v>0</v>
          </cell>
          <cell r="O21">
            <v>20</v>
          </cell>
          <cell r="P21">
            <v>0</v>
          </cell>
          <cell r="Q21">
            <v>13</v>
          </cell>
          <cell r="R21">
            <v>1</v>
          </cell>
          <cell r="S21">
            <v>24</v>
          </cell>
          <cell r="T21">
            <v>2</v>
          </cell>
          <cell r="U21">
            <v>4</v>
          </cell>
          <cell r="V21">
            <v>0</v>
          </cell>
          <cell r="W21">
            <v>7</v>
          </cell>
          <cell r="X21">
            <v>0</v>
          </cell>
          <cell r="Y21">
            <v>43</v>
          </cell>
          <cell r="Z21">
            <v>0</v>
          </cell>
          <cell r="AA21">
            <v>25</v>
          </cell>
          <cell r="AB21">
            <v>2</v>
          </cell>
          <cell r="AC21">
            <v>14</v>
          </cell>
          <cell r="AD21">
            <v>0</v>
          </cell>
          <cell r="AE21">
            <v>2</v>
          </cell>
          <cell r="AF21">
            <v>0</v>
          </cell>
          <cell r="AG21">
            <v>33</v>
          </cell>
          <cell r="AH21">
            <v>2</v>
          </cell>
          <cell r="AI21">
            <v>5</v>
          </cell>
          <cell r="AJ21">
            <v>0</v>
          </cell>
          <cell r="AK21">
            <v>4</v>
          </cell>
          <cell r="AL21">
            <v>1</v>
          </cell>
          <cell r="AM21">
            <v>1</v>
          </cell>
          <cell r="AN21">
            <v>0</v>
          </cell>
          <cell r="AO21">
            <v>286</v>
          </cell>
          <cell r="AP21">
            <v>12</v>
          </cell>
          <cell r="AQ21">
            <v>298</v>
          </cell>
          <cell r="AR21">
            <v>224</v>
          </cell>
          <cell r="AS21">
            <v>12</v>
          </cell>
          <cell r="AT21">
            <v>236</v>
          </cell>
          <cell r="AU21">
            <v>62</v>
          </cell>
          <cell r="AV21">
            <v>0</v>
          </cell>
          <cell r="AW21">
            <v>62</v>
          </cell>
        </row>
        <row r="22">
          <cell r="A22" t="str">
            <v>TOTAL</v>
          </cell>
          <cell r="C22">
            <v>2</v>
          </cell>
          <cell r="E22">
            <v>15</v>
          </cell>
          <cell r="G22">
            <v>13</v>
          </cell>
          <cell r="I22">
            <v>10</v>
          </cell>
          <cell r="K22">
            <v>53</v>
          </cell>
          <cell r="M22">
            <v>2</v>
          </cell>
          <cell r="O22">
            <v>20</v>
          </cell>
          <cell r="Q22">
            <v>14</v>
          </cell>
          <cell r="S22">
            <v>26</v>
          </cell>
          <cell r="U22">
            <v>4</v>
          </cell>
          <cell r="W22">
            <v>7</v>
          </cell>
          <cell r="Y22">
            <v>43</v>
          </cell>
          <cell r="AA22">
            <v>27</v>
          </cell>
          <cell r="AC22">
            <v>14</v>
          </cell>
          <cell r="AE22">
            <v>2</v>
          </cell>
          <cell r="AG22">
            <v>35</v>
          </cell>
          <cell r="AI22">
            <v>5</v>
          </cell>
          <cell r="AK22">
            <v>5</v>
          </cell>
          <cell r="AM22">
            <v>1</v>
          </cell>
        </row>
      </sheetData>
      <sheetData sheetId="126" refreshError="1"/>
      <sheetData sheetId="127" refreshError="1"/>
      <sheetData sheetId="128">
        <row r="5">
          <cell r="A5" t="str">
            <v>-</v>
          </cell>
          <cell r="C5" t="str">
            <v>-</v>
          </cell>
          <cell r="D5" t="str">
            <v>-</v>
          </cell>
          <cell r="E5" t="str">
            <v>-</v>
          </cell>
          <cell r="F5" t="str">
            <v>-</v>
          </cell>
          <cell r="G5" t="str">
            <v>-</v>
          </cell>
          <cell r="H5" t="str">
            <v>-</v>
          </cell>
        </row>
        <row r="6">
          <cell r="A6" t="str">
            <v>S/VINCULO</v>
          </cell>
          <cell r="C6" t="str">
            <v>F</v>
          </cell>
          <cell r="D6" t="str">
            <v>DIR</v>
          </cell>
          <cell r="E6" t="str">
            <v>AMARELA</v>
          </cell>
          <cell r="F6" t="str">
            <v>I</v>
          </cell>
          <cell r="G6" t="str">
            <v>AECI</v>
          </cell>
          <cell r="H6" t="str">
            <v>N</v>
          </cell>
        </row>
        <row r="7">
          <cell r="A7" t="str">
            <v>MME</v>
          </cell>
          <cell r="C7" t="str">
            <v>M</v>
          </cell>
          <cell r="D7" t="str">
            <v>FA</v>
          </cell>
          <cell r="E7" t="str">
            <v>BRANCA</v>
          </cell>
          <cell r="F7" t="str">
            <v>O</v>
          </cell>
          <cell r="G7" t="str">
            <v>AEPED</v>
          </cell>
          <cell r="H7" t="str">
            <v>S</v>
          </cell>
        </row>
        <row r="8">
          <cell r="A8" t="str">
            <v>ADVOGADO DA UNIÃO/AGU</v>
          </cell>
          <cell r="E8" t="str">
            <v>INDIGENA</v>
          </cell>
          <cell r="G8" t="str">
            <v>ASSEC</v>
          </cell>
        </row>
        <row r="9">
          <cell r="A9" t="str">
            <v>AINFRA/ME</v>
          </cell>
          <cell r="E9" t="str">
            <v>PARDA</v>
          </cell>
          <cell r="G9" t="str">
            <v>ASSINT</v>
          </cell>
        </row>
        <row r="10">
          <cell r="A10" t="str">
            <v>ANAC</v>
          </cell>
          <cell r="E10" t="str">
            <v>PRETA</v>
          </cell>
          <cell r="G10" t="str">
            <v>CONJUR</v>
          </cell>
        </row>
        <row r="11">
          <cell r="A11" t="str">
            <v>ANEEL</v>
          </cell>
          <cell r="G11" t="str">
            <v>GM</v>
          </cell>
        </row>
        <row r="12">
          <cell r="A12" t="str">
            <v>ANM</v>
          </cell>
          <cell r="G12" t="str">
            <v>GM/CHEFIA DE GABINETE</v>
          </cell>
        </row>
        <row r="13">
          <cell r="A13" t="str">
            <v>ANP</v>
          </cell>
          <cell r="G13" t="str">
            <v>GM/ASCOM</v>
          </cell>
        </row>
        <row r="14">
          <cell r="A14" t="str">
            <v>ATI/ME</v>
          </cell>
          <cell r="G14" t="str">
            <v>GM/ASPAR</v>
          </cell>
        </row>
        <row r="15">
          <cell r="A15" t="str">
            <v>BNDES</v>
          </cell>
          <cell r="G15" t="str">
            <v>GM/ASTAD</v>
          </cell>
        </row>
        <row r="16">
          <cell r="A16" t="str">
            <v>CÂMARA DOS DEPUTADOS</v>
          </cell>
          <cell r="G16" t="str">
            <v>GM/OUVIR</v>
          </cell>
        </row>
        <row r="17">
          <cell r="A17" t="str">
            <v>DATAPREV</v>
          </cell>
          <cell r="G17" t="str">
            <v>GM/APOIO AO MINISTRO</v>
          </cell>
        </row>
        <row r="18">
          <cell r="A18" t="str">
            <v>DEFESA</v>
          </cell>
          <cell r="G18" t="str">
            <v>SE</v>
          </cell>
        </row>
        <row r="19">
          <cell r="A19" t="str">
            <v>ELETRONORTE</v>
          </cell>
          <cell r="G19" t="str">
            <v>SE/CHEFIA DE GABINETE</v>
          </cell>
        </row>
        <row r="20">
          <cell r="A20" t="str">
            <v>ELETROSUL</v>
          </cell>
          <cell r="G20" t="str">
            <v>SE/AEGE</v>
          </cell>
        </row>
        <row r="21">
          <cell r="A21" t="str">
            <v>EMBRAPA</v>
          </cell>
          <cell r="G21" t="str">
            <v>SE/AEREG</v>
          </cell>
        </row>
        <row r="22">
          <cell r="A22" t="str">
            <v>EPE</v>
          </cell>
          <cell r="G22" t="str">
            <v>SE/AEGP</v>
          </cell>
        </row>
        <row r="23">
          <cell r="A23" t="str">
            <v>EPPGG/ME</v>
          </cell>
          <cell r="G23" t="str">
            <v>SE/AEMA</v>
          </cell>
        </row>
        <row r="24">
          <cell r="A24" t="str">
            <v>FURNAS</v>
          </cell>
          <cell r="G24" t="str">
            <v>SPOA</v>
          </cell>
        </row>
        <row r="25">
          <cell r="A25" t="str">
            <v>IMBEL</v>
          </cell>
          <cell r="G25" t="str">
            <v>SPOA/CMA</v>
          </cell>
        </row>
        <row r="26">
          <cell r="A26" t="str">
            <v>MAPA</v>
          </cell>
          <cell r="G26" t="str">
            <v>SPOA/CGRL</v>
          </cell>
        </row>
        <row r="27">
          <cell r="A27" t="str">
            <v>MARINHA</v>
          </cell>
          <cell r="G27" t="str">
            <v>SPOA/CGRH</v>
          </cell>
        </row>
        <row r="28">
          <cell r="A28" t="str">
            <v>MCTIC</v>
          </cell>
          <cell r="G28" t="str">
            <v>SPOA/CGOF</v>
          </cell>
        </row>
        <row r="29">
          <cell r="A29" t="str">
            <v>ME</v>
          </cell>
          <cell r="G29" t="str">
            <v>SPOA/CGCC</v>
          </cell>
        </row>
        <row r="30">
          <cell r="A30" t="str">
            <v>MF</v>
          </cell>
          <cell r="G30" t="str">
            <v>SPOA/CGTI</v>
          </cell>
        </row>
        <row r="31">
          <cell r="A31" t="str">
            <v>MI</v>
          </cell>
          <cell r="G31" t="str">
            <v>SEE</v>
          </cell>
        </row>
        <row r="32">
          <cell r="A32" t="str">
            <v>MJ</v>
          </cell>
          <cell r="G32" t="str">
            <v>SPE</v>
          </cell>
        </row>
        <row r="33">
          <cell r="A33" t="str">
            <v>MRE</v>
          </cell>
          <cell r="G33" t="str">
            <v>SPG</v>
          </cell>
        </row>
        <row r="34">
          <cell r="A34" t="str">
            <v>MRE</v>
          </cell>
          <cell r="G34" t="str">
            <v>SGM</v>
          </cell>
        </row>
        <row r="35">
          <cell r="A35" t="str">
            <v>MTRAB</v>
          </cell>
        </row>
        <row r="36">
          <cell r="A36" t="str">
            <v>PETROBRAS</v>
          </cell>
        </row>
        <row r="37">
          <cell r="A37" t="str">
            <v>PROCURADORIA FEDERAL</v>
          </cell>
        </row>
        <row r="38">
          <cell r="A38" t="str">
            <v>RECEITA FEDERAL</v>
          </cell>
        </row>
        <row r="39">
          <cell r="A39" t="str">
            <v>UNB</v>
          </cell>
        </row>
        <row r="40">
          <cell r="A40" t="str">
            <v>SENADO FEDERAL</v>
          </cell>
        </row>
        <row r="41">
          <cell r="A41" t="str">
            <v>SOF/ME</v>
          </cell>
        </row>
      </sheetData>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ow r="15">
          <cell r="B15" t="str">
            <v>VAGAS VÁLIDAS</v>
          </cell>
          <cell r="E15" t="str">
            <v>DEFINIÇÃO DE VAGAS POR UNIDADE</v>
          </cell>
          <cell r="N15" t="str">
            <v>QUANTITATIVO E OCUPAÇÃO DE VAGAS ATUAL</v>
          </cell>
        </row>
        <row r="17">
          <cell r="B17" t="str">
            <v>Descricao</v>
          </cell>
          <cell r="C17" t="str">
            <v>Quantidade</v>
          </cell>
          <cell r="E17" t="str">
            <v>Unidade</v>
          </cell>
          <cell r="F17" t="str">
            <v>Quantidade Definida</v>
          </cell>
          <cell r="G17" t="str">
            <v>Nível Médo</v>
          </cell>
          <cell r="I17" t="str">
            <v>Nível Superior</v>
          </cell>
          <cell r="K17" t="str">
            <v>Pós-Graduação</v>
          </cell>
          <cell r="N17" t="str">
            <v>Nível</v>
          </cell>
          <cell r="O17" t="str">
            <v>Quantitativo Vagas Válidas</v>
          </cell>
        </row>
        <row r="18">
          <cell r="B18" t="str">
            <v>ATIVO PERMANENTE</v>
          </cell>
          <cell r="C18">
            <v>137</v>
          </cell>
          <cell r="G18" t="str">
            <v>Definição</v>
          </cell>
          <cell r="H18" t="str">
            <v>Ocupação</v>
          </cell>
          <cell r="I18" t="str">
            <v>Definição</v>
          </cell>
          <cell r="J18" t="str">
            <v>Ocupação</v>
          </cell>
          <cell r="K18" t="str">
            <v>Definição</v>
          </cell>
          <cell r="L18" t="str">
            <v>Ocupação</v>
          </cell>
          <cell r="O18" t="str">
            <v>Previsto</v>
          </cell>
          <cell r="P18" t="str">
            <v>Preenchido</v>
          </cell>
          <cell r="Q18" t="str">
            <v>Vago</v>
          </cell>
        </row>
        <row r="19">
          <cell r="B19" t="str">
            <v>REQUISITADO EMPRESAS</v>
          </cell>
          <cell r="C19">
            <v>5</v>
          </cell>
          <cell r="E19" t="str">
            <v>GM/GABINETE</v>
          </cell>
          <cell r="F19">
            <v>3</v>
          </cell>
          <cell r="G19">
            <v>1</v>
          </cell>
          <cell r="H19">
            <v>0</v>
          </cell>
          <cell r="I19">
            <v>2</v>
          </cell>
          <cell r="J19">
            <v>3</v>
          </cell>
          <cell r="K19">
            <v>0</v>
          </cell>
          <cell r="L19">
            <v>0</v>
          </cell>
          <cell r="N19" t="str">
            <v>Médio</v>
          </cell>
          <cell r="O19">
            <v>8</v>
          </cell>
          <cell r="P19">
            <v>6</v>
          </cell>
          <cell r="Q19">
            <v>2</v>
          </cell>
        </row>
        <row r="20">
          <cell r="B20" t="str">
            <v>NOMEADO CARGO COMISÃO</v>
          </cell>
          <cell r="C20">
            <v>119</v>
          </cell>
          <cell r="E20" t="str">
            <v>GM/ASCOM</v>
          </cell>
          <cell r="F20">
            <v>4</v>
          </cell>
          <cell r="G20">
            <v>0</v>
          </cell>
          <cell r="H20">
            <v>0</v>
          </cell>
          <cell r="I20">
            <v>4</v>
          </cell>
          <cell r="J20">
            <v>4</v>
          </cell>
          <cell r="K20">
            <v>0</v>
          </cell>
          <cell r="L20">
            <v>0</v>
          </cell>
          <cell r="N20" t="str">
            <v>Superior Graduação</v>
          </cell>
          <cell r="O20">
            <v>60</v>
          </cell>
          <cell r="P20">
            <v>34</v>
          </cell>
          <cell r="Q20">
            <v>26</v>
          </cell>
        </row>
        <row r="21">
          <cell r="B21" t="str">
            <v>NATUREZA ESPECIAL</v>
          </cell>
          <cell r="C21">
            <v>1</v>
          </cell>
          <cell r="E21" t="str">
            <v>GM/ASPAR</v>
          </cell>
          <cell r="F21">
            <v>3</v>
          </cell>
          <cell r="G21">
            <v>1</v>
          </cell>
          <cell r="H21">
            <v>1</v>
          </cell>
          <cell r="I21">
            <v>2</v>
          </cell>
          <cell r="J21">
            <v>2</v>
          </cell>
          <cell r="K21">
            <v>0</v>
          </cell>
          <cell r="L21">
            <v>0</v>
          </cell>
          <cell r="N21" t="str">
            <v>Superior Pós-Graduação</v>
          </cell>
          <cell r="O21">
            <v>12</v>
          </cell>
          <cell r="P21">
            <v>2</v>
          </cell>
          <cell r="Q21">
            <v>10</v>
          </cell>
        </row>
        <row r="22">
          <cell r="B22" t="str">
            <v>CEDIDO</v>
          </cell>
          <cell r="C22">
            <v>32</v>
          </cell>
          <cell r="E22" t="str">
            <v>CONJUR</v>
          </cell>
          <cell r="F22">
            <v>3</v>
          </cell>
          <cell r="G22">
            <v>0</v>
          </cell>
          <cell r="H22">
            <v>0</v>
          </cell>
          <cell r="I22">
            <v>3</v>
          </cell>
          <cell r="J22">
            <v>2</v>
          </cell>
          <cell r="K22">
            <v>0</v>
          </cell>
          <cell r="L22">
            <v>0</v>
          </cell>
          <cell r="N22" t="str">
            <v>Total</v>
          </cell>
          <cell r="O22">
            <v>80</v>
          </cell>
          <cell r="P22">
            <v>42</v>
          </cell>
          <cell r="Q22">
            <v>38</v>
          </cell>
        </row>
        <row r="23">
          <cell r="B23" t="str">
            <v>REQUISITADO DE OUTROS ORGAOS</v>
          </cell>
          <cell r="C23">
            <v>71</v>
          </cell>
          <cell r="E23" t="str">
            <v>ASSINT</v>
          </cell>
          <cell r="F23">
            <v>1</v>
          </cell>
          <cell r="G23">
            <v>0</v>
          </cell>
          <cell r="H23">
            <v>0</v>
          </cell>
          <cell r="I23">
            <v>1</v>
          </cell>
          <cell r="J23">
            <v>0</v>
          </cell>
          <cell r="K23">
            <v>0</v>
          </cell>
          <cell r="L23">
            <v>0</v>
          </cell>
        </row>
        <row r="24">
          <cell r="B24" t="str">
            <v>EXERCÍCIO DESCENTRALIZADO CARREIRA</v>
          </cell>
          <cell r="C24">
            <v>88</v>
          </cell>
          <cell r="E24" t="str">
            <v>ASSEC</v>
          </cell>
          <cell r="F24">
            <v>1</v>
          </cell>
          <cell r="G24">
            <v>0</v>
          </cell>
          <cell r="H24">
            <v>0</v>
          </cell>
          <cell r="I24">
            <v>1</v>
          </cell>
          <cell r="J24">
            <v>0</v>
          </cell>
          <cell r="K24">
            <v>0</v>
          </cell>
          <cell r="L24">
            <v>0</v>
          </cell>
          <cell r="O24">
            <v>1</v>
          </cell>
          <cell r="P24">
            <v>0.52500000000000002</v>
          </cell>
          <cell r="Q24">
            <v>0.47499999999999998</v>
          </cell>
        </row>
        <row r="25">
          <cell r="B25" t="str">
            <v>ANISTIADO</v>
          </cell>
          <cell r="C25">
            <v>499</v>
          </cell>
          <cell r="E25" t="str">
            <v>AEPED</v>
          </cell>
          <cell r="F25">
            <v>1</v>
          </cell>
          <cell r="G25">
            <v>0</v>
          </cell>
          <cell r="H25">
            <v>0</v>
          </cell>
          <cell r="I25">
            <v>1</v>
          </cell>
          <cell r="J25">
            <v>0</v>
          </cell>
          <cell r="K25">
            <v>0</v>
          </cell>
          <cell r="L25">
            <v>0</v>
          </cell>
        </row>
        <row r="26">
          <cell r="B26" t="str">
            <v>TOTAL</v>
          </cell>
          <cell r="C26">
            <v>952</v>
          </cell>
          <cell r="E26" t="str">
            <v>AECI</v>
          </cell>
          <cell r="F26">
            <v>1</v>
          </cell>
          <cell r="G26">
            <v>0</v>
          </cell>
          <cell r="H26">
            <v>0</v>
          </cell>
          <cell r="I26">
            <v>1</v>
          </cell>
          <cell r="J26">
            <v>0</v>
          </cell>
          <cell r="K26">
            <v>0</v>
          </cell>
          <cell r="L26">
            <v>0</v>
          </cell>
          <cell r="N26" t="str">
            <v>Nível</v>
          </cell>
          <cell r="O26" t="str">
            <v>Preenchido</v>
          </cell>
        </row>
        <row r="27">
          <cell r="B27" t="str">
            <v>Limite de 8%  (nº de vagas válidas)</v>
          </cell>
          <cell r="E27" t="str">
            <v>SE</v>
          </cell>
          <cell r="F27">
            <v>4</v>
          </cell>
          <cell r="G27">
            <v>1</v>
          </cell>
          <cell r="H27">
            <v>1</v>
          </cell>
          <cell r="I27">
            <v>3</v>
          </cell>
          <cell r="J27">
            <v>0</v>
          </cell>
          <cell r="K27">
            <v>0</v>
          </cell>
          <cell r="L27">
            <v>0</v>
          </cell>
        </row>
        <row r="28">
          <cell r="E28" t="str">
            <v>AEGE</v>
          </cell>
          <cell r="F28">
            <v>3</v>
          </cell>
          <cell r="G28">
            <v>0</v>
          </cell>
          <cell r="H28">
            <v>0</v>
          </cell>
          <cell r="I28">
            <v>3</v>
          </cell>
          <cell r="J28">
            <v>3</v>
          </cell>
          <cell r="K28">
            <v>0</v>
          </cell>
          <cell r="L28">
            <v>0</v>
          </cell>
          <cell r="N28" t="str">
            <v>Médio</v>
          </cell>
          <cell r="O28">
            <v>6</v>
          </cell>
        </row>
        <row r="29">
          <cell r="E29" t="str">
            <v>AESA</v>
          </cell>
          <cell r="F29">
            <v>2</v>
          </cell>
          <cell r="G29">
            <v>0</v>
          </cell>
          <cell r="H29">
            <v>0</v>
          </cell>
          <cell r="I29">
            <v>2</v>
          </cell>
          <cell r="J29">
            <v>2</v>
          </cell>
          <cell r="K29">
            <v>0</v>
          </cell>
          <cell r="L29">
            <v>0</v>
          </cell>
          <cell r="N29" t="str">
            <v>Superior Graduação</v>
          </cell>
          <cell r="O29">
            <v>34</v>
          </cell>
        </row>
        <row r="30">
          <cell r="E30" t="str">
            <v>AEGP</v>
          </cell>
          <cell r="F30">
            <v>2</v>
          </cell>
          <cell r="G30">
            <v>0</v>
          </cell>
          <cell r="H30">
            <v>0</v>
          </cell>
          <cell r="I30">
            <v>2</v>
          </cell>
          <cell r="J30">
            <v>1</v>
          </cell>
          <cell r="K30">
            <v>0</v>
          </cell>
          <cell r="L30">
            <v>0</v>
          </cell>
          <cell r="N30" t="str">
            <v>Superior Pós-Graduação</v>
          </cell>
          <cell r="O30">
            <v>2</v>
          </cell>
        </row>
        <row r="31">
          <cell r="E31" t="str">
            <v>CGRH</v>
          </cell>
          <cell r="F31">
            <v>1</v>
          </cell>
          <cell r="G31">
            <v>0</v>
          </cell>
          <cell r="H31">
            <v>0</v>
          </cell>
          <cell r="I31">
            <v>0</v>
          </cell>
          <cell r="J31">
            <v>0</v>
          </cell>
          <cell r="K31">
            <v>1</v>
          </cell>
          <cell r="L31">
            <v>1</v>
          </cell>
          <cell r="N31" t="str">
            <v>Total</v>
          </cell>
          <cell r="O31">
            <v>42</v>
          </cell>
        </row>
        <row r="32">
          <cell r="E32" t="str">
            <v>CGRL</v>
          </cell>
          <cell r="F32">
            <v>3</v>
          </cell>
          <cell r="G32">
            <v>2</v>
          </cell>
          <cell r="H32">
            <v>2</v>
          </cell>
          <cell r="I32">
            <v>1</v>
          </cell>
          <cell r="J32">
            <v>0</v>
          </cell>
          <cell r="K32">
            <v>0</v>
          </cell>
          <cell r="L32">
            <v>0</v>
          </cell>
          <cell r="N32" t="str">
            <v xml:space="preserve">% de ocupação considerando o limite de 8% </v>
          </cell>
          <cell r="O32">
            <v>0.55147058823529416</v>
          </cell>
        </row>
        <row r="33">
          <cell r="E33" t="str">
            <v>CGTI</v>
          </cell>
          <cell r="F33">
            <v>1</v>
          </cell>
          <cell r="G33">
            <v>0</v>
          </cell>
          <cell r="H33">
            <v>0</v>
          </cell>
          <cell r="I33">
            <v>1</v>
          </cell>
          <cell r="J33">
            <v>1</v>
          </cell>
          <cell r="K33">
            <v>0</v>
          </cell>
          <cell r="L33">
            <v>0</v>
          </cell>
        </row>
        <row r="34">
          <cell r="E34" t="str">
            <v>CGCC</v>
          </cell>
          <cell r="F34">
            <v>1</v>
          </cell>
          <cell r="G34">
            <v>0</v>
          </cell>
          <cell r="H34">
            <v>0</v>
          </cell>
          <cell r="I34">
            <v>1</v>
          </cell>
          <cell r="J34">
            <v>0</v>
          </cell>
          <cell r="K34">
            <v>0</v>
          </cell>
          <cell r="L34">
            <v>0</v>
          </cell>
        </row>
        <row r="35">
          <cell r="E35" t="str">
            <v>SEE</v>
          </cell>
          <cell r="F35">
            <v>12</v>
          </cell>
          <cell r="G35">
            <v>0</v>
          </cell>
          <cell r="H35">
            <v>0</v>
          </cell>
          <cell r="I35">
            <v>8</v>
          </cell>
          <cell r="J35">
            <v>5</v>
          </cell>
          <cell r="K35">
            <v>4</v>
          </cell>
          <cell r="L35">
            <v>1</v>
          </cell>
        </row>
        <row r="36">
          <cell r="E36" t="str">
            <v>SGM</v>
          </cell>
          <cell r="F36">
            <v>10</v>
          </cell>
          <cell r="G36">
            <v>0</v>
          </cell>
          <cell r="H36">
            <v>0</v>
          </cell>
          <cell r="I36">
            <v>6</v>
          </cell>
          <cell r="J36">
            <v>2</v>
          </cell>
          <cell r="K36">
            <v>4</v>
          </cell>
          <cell r="L36">
            <v>0</v>
          </cell>
        </row>
        <row r="37">
          <cell r="E37" t="str">
            <v>SPE</v>
          </cell>
          <cell r="F37">
            <v>12</v>
          </cell>
          <cell r="G37">
            <v>2</v>
          </cell>
          <cell r="H37">
            <v>2</v>
          </cell>
          <cell r="I37">
            <v>8</v>
          </cell>
          <cell r="J37">
            <v>7</v>
          </cell>
          <cell r="K37">
            <v>2</v>
          </cell>
          <cell r="L37">
            <v>0</v>
          </cell>
        </row>
        <row r="38">
          <cell r="E38" t="str">
            <v>SPG</v>
          </cell>
          <cell r="F38">
            <v>12</v>
          </cell>
          <cell r="G38">
            <v>1</v>
          </cell>
          <cell r="H38">
            <v>0</v>
          </cell>
          <cell r="I38">
            <v>10</v>
          </cell>
          <cell r="J38">
            <v>2</v>
          </cell>
          <cell r="K38">
            <v>1</v>
          </cell>
          <cell r="L38">
            <v>0</v>
          </cell>
        </row>
        <row r="39">
          <cell r="E39" t="str">
            <v>Total</v>
          </cell>
          <cell r="F39">
            <v>80</v>
          </cell>
          <cell r="G39">
            <v>8</v>
          </cell>
          <cell r="H39">
            <v>6</v>
          </cell>
          <cell r="I39">
            <v>60</v>
          </cell>
          <cell r="J39">
            <v>34</v>
          </cell>
          <cell r="K39">
            <v>12</v>
          </cell>
          <cell r="L39">
            <v>2</v>
          </cell>
        </row>
      </sheetData>
      <sheetData sheetId="174">
        <row r="8">
          <cell r="B8" t="str">
            <v>Planilha de Acompanhamento do Decreto nº 9.427, de 28/06/2019</v>
          </cell>
        </row>
        <row r="11">
          <cell r="B11" t="str">
            <v>Nível x Cor/Raça</v>
          </cell>
        </row>
        <row r="12">
          <cell r="B12" t="str">
            <v>NÍVEL</v>
          </cell>
          <cell r="C12" t="str">
            <v>PRETA</v>
          </cell>
          <cell r="D12" t="str">
            <v>PARDA</v>
          </cell>
          <cell r="E12" t="str">
            <v>BRANCA</v>
          </cell>
          <cell r="F12" t="str">
            <v>AMARELA</v>
          </cell>
          <cell r="G12" t="str">
            <v>INDÍGENA</v>
          </cell>
          <cell r="H12" t="str">
            <v>TOTAL</v>
          </cell>
        </row>
        <row r="14">
          <cell r="B14" t="str">
            <v>Médio</v>
          </cell>
          <cell r="C14">
            <v>0</v>
          </cell>
          <cell r="D14">
            <v>4</v>
          </cell>
          <cell r="E14">
            <v>2</v>
          </cell>
          <cell r="F14">
            <v>0</v>
          </cell>
          <cell r="G14">
            <v>0</v>
          </cell>
          <cell r="H14">
            <v>6</v>
          </cell>
        </row>
        <row r="15">
          <cell r="B15" t="str">
            <v>Superior Graduação</v>
          </cell>
          <cell r="C15">
            <v>3</v>
          </cell>
          <cell r="D15">
            <v>16</v>
          </cell>
          <cell r="E15">
            <v>15</v>
          </cell>
          <cell r="F15">
            <v>0</v>
          </cell>
          <cell r="G15">
            <v>0</v>
          </cell>
          <cell r="H15">
            <v>34</v>
          </cell>
        </row>
        <row r="16">
          <cell r="B16" t="str">
            <v>Superior Pós-Graduação</v>
          </cell>
          <cell r="C16">
            <v>0</v>
          </cell>
          <cell r="D16">
            <v>1</v>
          </cell>
          <cell r="E16">
            <v>1</v>
          </cell>
          <cell r="F16">
            <v>0</v>
          </cell>
          <cell r="G16">
            <v>0</v>
          </cell>
          <cell r="H16">
            <v>2</v>
          </cell>
        </row>
        <row r="17">
          <cell r="B17" t="str">
            <v>Total</v>
          </cell>
          <cell r="C17">
            <v>3</v>
          </cell>
          <cell r="D17">
            <v>21</v>
          </cell>
          <cell r="E17">
            <v>18</v>
          </cell>
          <cell r="F17">
            <v>0</v>
          </cell>
          <cell r="G17">
            <v>0</v>
          </cell>
          <cell r="H17">
            <v>42</v>
          </cell>
        </row>
        <row r="18">
          <cell r="B18" t="str">
            <v>Total em %</v>
          </cell>
          <cell r="C18">
            <v>7.1428571428571425E-2</v>
          </cell>
          <cell r="D18">
            <v>0.5</v>
          </cell>
          <cell r="E18">
            <v>0.42857142857142855</v>
          </cell>
          <cell r="F18" t="str">
            <v>***</v>
          </cell>
          <cell r="G18" t="str">
            <v>***</v>
          </cell>
          <cell r="H18">
            <v>1</v>
          </cell>
        </row>
        <row r="19">
          <cell r="C19">
            <v>0.9285714285714286</v>
          </cell>
          <cell r="D19">
            <v>0.5</v>
          </cell>
          <cell r="E19">
            <v>0.5714285714285714</v>
          </cell>
          <cell r="F19" t="e">
            <v>#VALUE!</v>
          </cell>
          <cell r="G19" t="e">
            <v>#VALUE!</v>
          </cell>
        </row>
        <row r="20">
          <cell r="B20" t="str">
            <v>% Preta + Parda</v>
          </cell>
          <cell r="C20">
            <v>0.5714285714285714</v>
          </cell>
          <cell r="E20">
            <v>0.4285714285714286</v>
          </cell>
        </row>
      </sheetData>
      <sheetData sheetId="175" refreshError="1"/>
      <sheetData sheetId="176" refreshError="1"/>
      <sheetData sheetId="17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N"/>
      <sheetName val="RELPAINEL"/>
      <sheetName val="PAINEL"/>
      <sheetName val="MEMORIAPERDA"/>
      <sheetName val="PQP"/>
      <sheetName val="PQP (2)"/>
      <sheetName val="PQP (3)"/>
      <sheetName val="PQP (4)"/>
      <sheetName val="CADASTRO"/>
      <sheetName val="CADASTROCONSULTA"/>
      <sheetName val="PORC"/>
      <sheetName val="PVAL"/>
      <sheetName val="PVALGDPGPE"/>
      <sheetName val="PVALGDM"/>
      <sheetName val="PVALGDACE"/>
      <sheetName val="PVALGDAIE"/>
      <sheetName val="PVALMETAS"/>
      <sheetName val="PVALLEG"/>
      <sheetName val="PGRATDESEMPLEG"/>
      <sheetName val="PFUNC"/>
      <sheetName val="PIR"/>
      <sheetName val="PINDIC"/>
      <sheetName val="PINDIC 01"/>
      <sheetName val="PINDIC01DESC"/>
      <sheetName val="PINDIC01EV"/>
      <sheetName val="PINDIC01RES"/>
      <sheetName val="PINDIC01LANC"/>
      <sheetName val="PINDIC 02"/>
      <sheetName val="PINDIC02DESC"/>
      <sheetName val="PINDINC02EV"/>
      <sheetName val="PINDINC02RES"/>
      <sheetName val="PINDIC02LANC"/>
      <sheetName val="PINDIC 03"/>
      <sheetName val="PINDIC03DESC"/>
      <sheetName val="PINDIC03EV"/>
      <sheetName val="PINDICO3RES"/>
      <sheetName val="PINDIC 04"/>
      <sheetName val="PINDIC04DESC"/>
      <sheetName val="PINDIC04EV"/>
      <sheetName val="PINDIC04TAB"/>
      <sheetName val="PINDIC04AVJAN"/>
      <sheetName val="PINDIC04AVMAI"/>
      <sheetName val="PINDIC04AVSET"/>
      <sheetName val="PINDIC inst"/>
      <sheetName val="PINDICINSTDESC"/>
      <sheetName val="PINDICINSTLANC"/>
      <sheetName val="PINDICINSTEV"/>
      <sheetName val="PINDICINSTRES"/>
      <sheetName val="PINDICPERDA"/>
      <sheetName val=" PINDICPERDA (1)"/>
      <sheetName val="PINDICABSENT"/>
      <sheetName val="PINDICABSENTDESC"/>
      <sheetName val="PINDICABSENTLANC"/>
      <sheetName val="PINDICABSENTEVOL"/>
      <sheetName val="PFUNC (2)"/>
      <sheetName val="PFUNC (2.1)"/>
      <sheetName val="PFUNC (3)"/>
      <sheetName val="PFUNC (4)"/>
      <sheetName val="PFUNC (5)"/>
      <sheetName val="LEGGSISP"/>
      <sheetName val="LEGGSISTE"/>
      <sheetName val="RELEXERCICIO"/>
      <sheetName val="RELAÇÃO"/>
      <sheetName val="IDFUNÇÃO"/>
      <sheetName val="RELAÇÃO2GERAL"/>
      <sheetName val="SUSBTITUIÇÃO"/>
      <sheetName val="RELAÇÃOCEDIDO"/>
      <sheetName val="RELAÇÃOPENSIONISTA"/>
      <sheetName val="RELAÇÃOAPOSENTADO"/>
      <sheetName val="BASE"/>
      <sheetName val="BASECONTADORES1"/>
      <sheetName val="BASECONTADORES2"/>
      <sheetName val="RELVACINA"/>
      <sheetName val="RELPERIODICO"/>
      <sheetName val="QUALIFICAÇÃO"/>
      <sheetName val="QUALIFICAÇÃOANISTIADO"/>
      <sheetName val="QUALIFICAÇÃOCEDIDO"/>
      <sheetName val="QUALIFICAÇÃOAPOSENTADO"/>
      <sheetName val="QUALIFICAÇÃOPENSIONISTA"/>
      <sheetName val="IDADE-COR-SALARIO"/>
      <sheetName val="IDADE"/>
      <sheetName val="LISTA"/>
      <sheetName val="ATIVO"/>
      <sheetName val="ATIV-CED-ANIST"/>
      <sheetName val="APOS-PENS"/>
      <sheetName val="REQ-SVINC-EXDESC"/>
      <sheetName val="FINALISTICA-MEIO"/>
      <sheetName val="INSSANISTIA"/>
      <sheetName val="GLOBAL"/>
      <sheetName val="LIMITE"/>
      <sheetName val="EXECUCAO"/>
      <sheetName val="EXECLANC"/>
      <sheetName val="VALOR FUNCAO"/>
      <sheetName val="PESQUISA"/>
      <sheetName val="DINAMICA"/>
      <sheetName val="MINISTRO"/>
      <sheetName val="GM"/>
      <sheetName val="TEMPORÁRIO"/>
      <sheetName val="SE"/>
      <sheetName val="CONJUR"/>
      <sheetName val="ASSEC"/>
      <sheetName val="ASSINT"/>
      <sheetName val="AECI"/>
      <sheetName val="AEPED"/>
      <sheetName val="SPE"/>
      <sheetName val="SEE"/>
      <sheetName val="SPG"/>
      <sheetName val="SGM"/>
      <sheetName val="TABELAS"/>
      <sheetName val="TABELAS SPOA"/>
      <sheetName val="CUSTO RELATIVO"/>
      <sheetName val="CUSTO ABSOLUTO"/>
      <sheetName val="UNITÁRIO"/>
      <sheetName val="FGR"/>
      <sheetName val="FCT"/>
      <sheetName val="FCTLEG"/>
      <sheetName val="tabela fgrct (2)"/>
      <sheetName val="tabela fgr"/>
      <sheetName val="tabela fct"/>
      <sheetName val="gsiste-gsisp"/>
      <sheetName val="tabela gsiste"/>
      <sheetName val="NIVEL"/>
      <sheetName val="NIVEL2"/>
      <sheetName val="NIVEL3"/>
      <sheetName val="NIVEL4"/>
      <sheetName val="perda"/>
      <sheetName val="TABELAS SPOA exercício"/>
      <sheetName val="LISTA2"/>
      <sheetName val="DADOS"/>
      <sheetName val="PIN2"/>
      <sheetName val="PNIVEL"/>
      <sheetName val="PNM"/>
      <sheetName val="NMREL"/>
      <sheetName val="NMFREQ"/>
      <sheetName val="NMBASE"/>
      <sheetName val="PNSG"/>
      <sheetName val="NSGRADREL"/>
      <sheetName val="NSFREQ"/>
      <sheetName val="NSBASE"/>
      <sheetName val="PNSPG"/>
      <sheetName val="NSPOSREL"/>
      <sheetName val="POSFREQ"/>
      <sheetName val="POSBASE"/>
      <sheetName val="PDISTRIBUIÇÃO"/>
      <sheetName val="PCONTEST%"/>
      <sheetName val="PCONTROLE"/>
      <sheetName val="PVALOR"/>
      <sheetName val="PORÇAMENTO"/>
      <sheetName val="PVAGAS"/>
      <sheetName val="PLEG"/>
      <sheetName val="PESTLEGLEI"/>
      <sheetName val="PESTLEGPORT"/>
      <sheetName val="PESTLEGIN"/>
      <sheetName val="PESTLEGREGINT"/>
      <sheetName val="CONTRATO"/>
      <sheetName val="CONTRATOEST"/>
      <sheetName val="PESTLEGDECNEGRO"/>
      <sheetName val="PRELATORIO"/>
      <sheetName val="PLISTA"/>
      <sheetName val="BASEGERAL"/>
      <sheetName val="RELEXERCICIOEST"/>
      <sheetName val="QUALIFICAÇÃOEST"/>
      <sheetName val="RELESTSIMPLES"/>
      <sheetName val="FILTROEST"/>
      <sheetName val="FILTROINSTITUIÇÃO"/>
      <sheetName val="PCONTROLEINF"/>
      <sheetName val="CONTROLEXECUÇÃO"/>
      <sheetName val="CONTRATOS"/>
      <sheetName val="CONTROLE %"/>
      <sheetName val="BASEIRENDA"/>
      <sheetName val="DIRCONTROLE"/>
      <sheetName val="CONTROLEVAGASEST"/>
      <sheetName val="CONTROLE%NEGROS"/>
      <sheetName val="ANISTIADO"/>
      <sheetName val="FOTOS"/>
      <sheetName val="FOTOSEST"/>
    </sheetNames>
    <sheetDataSet>
      <sheetData sheetId="0"/>
      <sheetData sheetId="1"/>
      <sheetData sheetId="2"/>
      <sheetData sheetId="3">
        <row r="12">
          <cell r="I12" t="str">
            <v>Egressos no Exercício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6">
          <cell r="B6" t="str">
            <v>Até 30 anos</v>
          </cell>
        </row>
      </sheetData>
      <sheetData sheetId="80"/>
      <sheetData sheetId="81"/>
      <sheetData sheetId="82">
        <row r="4">
          <cell r="C4" t="str">
            <v>Natureza Especial</v>
          </cell>
        </row>
        <row r="54">
          <cell r="C54">
            <v>0</v>
          </cell>
          <cell r="E54">
            <v>0</v>
          </cell>
          <cell r="G54">
            <v>5</v>
          </cell>
        </row>
        <row r="55">
          <cell r="C55">
            <v>0</v>
          </cell>
          <cell r="E55">
            <v>0</v>
          </cell>
          <cell r="G55">
            <v>3</v>
          </cell>
        </row>
      </sheetData>
      <sheetData sheetId="83">
        <row r="4">
          <cell r="B4" t="str">
            <v>Ativo Permanente</v>
          </cell>
        </row>
      </sheetData>
      <sheetData sheetId="84">
        <row r="4">
          <cell r="B4" t="str">
            <v>APOSENTADO</v>
          </cell>
        </row>
      </sheetData>
      <sheetData sheetId="85">
        <row r="4">
          <cell r="B4" t="str">
            <v>REQUISITADO DE EMPRESA</v>
          </cell>
        </row>
      </sheetData>
      <sheetData sheetId="86">
        <row r="4">
          <cell r="B4" t="str">
            <v>Total MME</v>
          </cell>
        </row>
      </sheetData>
      <sheetData sheetId="87"/>
      <sheetData sheetId="88">
        <row r="6">
          <cell r="A6">
            <v>2009</v>
          </cell>
        </row>
      </sheetData>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ow r="3">
          <cell r="B3" t="str">
            <v>Total de DAS / FCPE na Unidade</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1"/>
    </sheetNames>
    <sheetDataSet>
      <sheetData sheetId="0">
        <row r="3">
          <cell r="A3">
            <v>23</v>
          </cell>
          <cell r="AA3">
            <v>2.0408163265306124E-3</v>
          </cell>
        </row>
        <row r="4">
          <cell r="A4">
            <v>25</v>
          </cell>
          <cell r="Z4">
            <v>1</v>
          </cell>
          <cell r="AA4">
            <v>2.0408163265306124E-3</v>
          </cell>
        </row>
        <row r="5">
          <cell r="A5">
            <v>26</v>
          </cell>
          <cell r="Z5">
            <v>3</v>
          </cell>
          <cell r="AA5">
            <v>6.1224489795918364E-3</v>
          </cell>
        </row>
        <row r="6">
          <cell r="A6">
            <v>28</v>
          </cell>
          <cell r="Z6">
            <v>1</v>
          </cell>
          <cell r="AA6">
            <v>2.0408163265306124E-3</v>
          </cell>
        </row>
        <row r="7">
          <cell r="A7">
            <v>30</v>
          </cell>
          <cell r="Z7">
            <v>4</v>
          </cell>
          <cell r="AA7">
            <v>8.1632653061224497E-3</v>
          </cell>
        </row>
        <row r="8">
          <cell r="A8">
            <v>31</v>
          </cell>
          <cell r="Z8">
            <v>3</v>
          </cell>
          <cell r="AA8">
            <v>6.1224489795918364E-3</v>
          </cell>
        </row>
        <row r="9">
          <cell r="A9">
            <v>32</v>
          </cell>
          <cell r="Z9">
            <v>3</v>
          </cell>
          <cell r="AA9">
            <v>6.1224489795918364E-3</v>
          </cell>
        </row>
        <row r="10">
          <cell r="A10">
            <v>33</v>
          </cell>
          <cell r="Z10">
            <v>2</v>
          </cell>
          <cell r="AA10">
            <v>4.0816326530612249E-3</v>
          </cell>
        </row>
        <row r="11">
          <cell r="A11">
            <v>34</v>
          </cell>
          <cell r="Z11">
            <v>6</v>
          </cell>
          <cell r="AA11">
            <v>1.2244897959183673E-2</v>
          </cell>
        </row>
        <row r="12">
          <cell r="A12">
            <v>35</v>
          </cell>
          <cell r="Z12">
            <v>10</v>
          </cell>
          <cell r="AA12">
            <v>2.0408163265306121E-2</v>
          </cell>
        </row>
        <row r="13">
          <cell r="A13">
            <v>36</v>
          </cell>
          <cell r="Z13">
            <v>15</v>
          </cell>
          <cell r="AA13">
            <v>3.0612244897959183E-2</v>
          </cell>
        </row>
        <row r="14">
          <cell r="A14">
            <v>37</v>
          </cell>
          <cell r="Z14">
            <v>10</v>
          </cell>
          <cell r="AA14">
            <v>2.0408163265306121E-2</v>
          </cell>
        </row>
        <row r="15">
          <cell r="A15">
            <v>38</v>
          </cell>
          <cell r="Z15">
            <v>12</v>
          </cell>
          <cell r="AA15">
            <v>2.4489795918367346E-2</v>
          </cell>
        </row>
        <row r="16">
          <cell r="A16">
            <v>39</v>
          </cell>
          <cell r="Z16">
            <v>15</v>
          </cell>
          <cell r="AA16">
            <v>3.0612244897959183E-2</v>
          </cell>
        </row>
        <row r="17">
          <cell r="A17">
            <v>40</v>
          </cell>
          <cell r="Z17">
            <v>11</v>
          </cell>
          <cell r="AA17">
            <v>2.2448979591836733E-2</v>
          </cell>
        </row>
        <row r="18">
          <cell r="A18">
            <v>41</v>
          </cell>
          <cell r="Z18">
            <v>12</v>
          </cell>
          <cell r="AA18">
            <v>2.4489795918367346E-2</v>
          </cell>
        </row>
        <row r="19">
          <cell r="A19">
            <v>42</v>
          </cell>
          <cell r="Z19">
            <v>12</v>
          </cell>
          <cell r="AA19">
            <v>2.4489795918367346E-2</v>
          </cell>
        </row>
        <row r="20">
          <cell r="A20">
            <v>43</v>
          </cell>
          <cell r="Z20">
            <v>11</v>
          </cell>
          <cell r="AA20">
            <v>2.2448979591836733E-2</v>
          </cell>
        </row>
        <row r="21">
          <cell r="A21">
            <v>44</v>
          </cell>
          <cell r="Z21">
            <v>5</v>
          </cell>
          <cell r="AA21">
            <v>1.020408163265306E-2</v>
          </cell>
        </row>
        <row r="22">
          <cell r="A22">
            <v>45</v>
          </cell>
          <cell r="Z22">
            <v>9</v>
          </cell>
          <cell r="AA22">
            <v>1.8367346938775512E-2</v>
          </cell>
        </row>
        <row r="23">
          <cell r="A23">
            <v>46</v>
          </cell>
          <cell r="Z23">
            <v>11</v>
          </cell>
          <cell r="AA23">
            <v>2.2448979591836733E-2</v>
          </cell>
        </row>
        <row r="24">
          <cell r="A24">
            <v>47</v>
          </cell>
          <cell r="Z24">
            <v>8</v>
          </cell>
          <cell r="AA24">
            <v>1.6326530612244899E-2</v>
          </cell>
        </row>
        <row r="25">
          <cell r="A25">
            <v>48</v>
          </cell>
          <cell r="Z25">
            <v>8</v>
          </cell>
          <cell r="AA25">
            <v>1.6326530612244899E-2</v>
          </cell>
        </row>
        <row r="26">
          <cell r="A26">
            <v>49</v>
          </cell>
          <cell r="Z26">
            <v>10</v>
          </cell>
          <cell r="AA26">
            <v>2.0408163265306121E-2</v>
          </cell>
        </row>
        <row r="27">
          <cell r="A27">
            <v>50</v>
          </cell>
          <cell r="Z27">
            <v>9</v>
          </cell>
          <cell r="AA27">
            <v>1.8367346938775512E-2</v>
          </cell>
        </row>
        <row r="28">
          <cell r="A28">
            <v>51</v>
          </cell>
          <cell r="Z28">
            <v>18</v>
          </cell>
          <cell r="AA28">
            <v>3.6734693877551024E-2</v>
          </cell>
        </row>
        <row r="29">
          <cell r="A29">
            <v>52</v>
          </cell>
          <cell r="Z29">
            <v>7</v>
          </cell>
          <cell r="AA29">
            <v>1.4285714285714285E-2</v>
          </cell>
        </row>
        <row r="30">
          <cell r="A30">
            <v>53</v>
          </cell>
          <cell r="Z30">
            <v>8</v>
          </cell>
          <cell r="AA30">
            <v>1.6326530612244899E-2</v>
          </cell>
        </row>
        <row r="31">
          <cell r="A31">
            <v>54</v>
          </cell>
          <cell r="Z31">
            <v>20</v>
          </cell>
          <cell r="AA31">
            <v>4.0816326530612242E-2</v>
          </cell>
        </row>
        <row r="32">
          <cell r="A32">
            <v>55</v>
          </cell>
          <cell r="Z32">
            <v>19</v>
          </cell>
          <cell r="AA32">
            <v>3.8775510204081633E-2</v>
          </cell>
        </row>
        <row r="33">
          <cell r="A33">
            <v>56</v>
          </cell>
          <cell r="Z33">
            <v>26</v>
          </cell>
          <cell r="AA33">
            <v>5.3061224489795916E-2</v>
          </cell>
        </row>
        <row r="34">
          <cell r="A34">
            <v>57</v>
          </cell>
          <cell r="Z34">
            <v>15</v>
          </cell>
          <cell r="AA34">
            <v>3.0612244897959183E-2</v>
          </cell>
        </row>
        <row r="35">
          <cell r="A35">
            <v>58</v>
          </cell>
          <cell r="Z35">
            <v>14</v>
          </cell>
          <cell r="AA35">
            <v>2.8571428571428571E-2</v>
          </cell>
        </row>
        <row r="36">
          <cell r="A36">
            <v>59</v>
          </cell>
          <cell r="Z36">
            <v>14</v>
          </cell>
          <cell r="AA36">
            <v>2.8571428571428571E-2</v>
          </cell>
        </row>
        <row r="37">
          <cell r="A37">
            <v>60</v>
          </cell>
          <cell r="Z37">
            <v>18</v>
          </cell>
          <cell r="AA37">
            <v>3.6734693877551024E-2</v>
          </cell>
        </row>
        <row r="38">
          <cell r="A38">
            <v>61</v>
          </cell>
          <cell r="Z38">
            <v>12</v>
          </cell>
          <cell r="AA38">
            <v>2.4489795918367346E-2</v>
          </cell>
        </row>
        <row r="39">
          <cell r="A39">
            <v>62</v>
          </cell>
          <cell r="Z39">
            <v>14</v>
          </cell>
          <cell r="AA39">
            <v>2.8571428571428571E-2</v>
          </cell>
        </row>
        <row r="40">
          <cell r="A40">
            <v>63</v>
          </cell>
          <cell r="Z40">
            <v>11</v>
          </cell>
          <cell r="AA40">
            <v>2.2448979591836733E-2</v>
          </cell>
        </row>
        <row r="41">
          <cell r="A41">
            <v>64</v>
          </cell>
          <cell r="Z41">
            <v>10</v>
          </cell>
          <cell r="AA41">
            <v>2.0408163265306121E-2</v>
          </cell>
        </row>
        <row r="42">
          <cell r="A42">
            <v>65</v>
          </cell>
          <cell r="Z42">
            <v>8</v>
          </cell>
          <cell r="AA42">
            <v>1.6326530612244899E-2</v>
          </cell>
        </row>
        <row r="43">
          <cell r="A43">
            <v>66</v>
          </cell>
          <cell r="Z43">
            <v>13</v>
          </cell>
          <cell r="AA43">
            <v>2.6530612244897958E-2</v>
          </cell>
        </row>
        <row r="44">
          <cell r="A44">
            <v>67</v>
          </cell>
          <cell r="Z44">
            <v>14</v>
          </cell>
          <cell r="AA44">
            <v>2.8571428571428571E-2</v>
          </cell>
        </row>
        <row r="45">
          <cell r="A45">
            <v>68</v>
          </cell>
          <cell r="Z45">
            <v>13</v>
          </cell>
          <cell r="AA45">
            <v>2.6530612244897958E-2</v>
          </cell>
        </row>
        <row r="46">
          <cell r="A46">
            <v>69</v>
          </cell>
          <cell r="Z46">
            <v>10</v>
          </cell>
          <cell r="AA46">
            <v>2.0408163265306121E-2</v>
          </cell>
        </row>
        <row r="47">
          <cell r="A47">
            <v>70</v>
          </cell>
          <cell r="Z47">
            <v>5</v>
          </cell>
          <cell r="AA47">
            <v>1.020408163265306E-2</v>
          </cell>
        </row>
        <row r="48">
          <cell r="A48">
            <v>71</v>
          </cell>
          <cell r="Z48">
            <v>7</v>
          </cell>
          <cell r="AA48">
            <v>1.4285714285714285E-2</v>
          </cell>
        </row>
        <row r="49">
          <cell r="A49">
            <v>72</v>
          </cell>
          <cell r="Z49">
            <v>7</v>
          </cell>
          <cell r="AA49">
            <v>1.4285714285714285E-2</v>
          </cell>
        </row>
        <row r="50">
          <cell r="A50">
            <v>74</v>
          </cell>
          <cell r="Z50">
            <v>3</v>
          </cell>
          <cell r="AA50">
            <v>6.1224489795918364E-3</v>
          </cell>
        </row>
        <row r="51">
          <cell r="A51">
            <v>75</v>
          </cell>
          <cell r="Z51">
            <v>2</v>
          </cell>
          <cell r="AA51">
            <v>4.0816326530612249E-3</v>
          </cell>
        </row>
        <row r="52">
          <cell r="A52">
            <v>76</v>
          </cell>
          <cell r="Z52">
            <v>3</v>
          </cell>
          <cell r="AA52">
            <v>6.1224489795918364E-3</v>
          </cell>
        </row>
        <row r="53">
          <cell r="A53">
            <v>78</v>
          </cell>
          <cell r="Z53">
            <v>0</v>
          </cell>
          <cell r="AA53">
            <v>0</v>
          </cell>
        </row>
        <row r="54">
          <cell r="A54">
            <v>79</v>
          </cell>
          <cell r="Z54">
            <v>3</v>
          </cell>
          <cell r="AA54">
            <v>6.1224489795918364E-3</v>
          </cell>
        </row>
        <row r="55">
          <cell r="A55">
            <v>80</v>
          </cell>
          <cell r="Z55">
            <v>1</v>
          </cell>
          <cell r="AA55">
            <v>2.0408163265306124E-3</v>
          </cell>
        </row>
        <row r="56">
          <cell r="A56">
            <v>81</v>
          </cell>
          <cell r="Z56">
            <v>1</v>
          </cell>
          <cell r="AA56">
            <v>2.0408163265306124E-3</v>
          </cell>
        </row>
        <row r="57">
          <cell r="A57">
            <v>82</v>
          </cell>
          <cell r="Z57">
            <v>2</v>
          </cell>
          <cell r="AA57">
            <v>4.0816326530612249E-3</v>
          </cell>
        </row>
        <row r="58">
          <cell r="A58" t="str">
            <v>Total</v>
          </cell>
        </row>
        <row r="61">
          <cell r="Z61">
            <v>157</v>
          </cell>
        </row>
        <row r="68">
          <cell r="AA68">
            <v>0.32040816326530613</v>
          </cell>
        </row>
        <row r="242">
          <cell r="B242" t="str">
            <v>Gabinete do Ministro</v>
          </cell>
          <cell r="C242"/>
          <cell r="D242" t="str">
            <v>Assessoria Econômica</v>
          </cell>
          <cell r="E242"/>
          <cell r="F242" t="str">
            <v>Assessoria Especial de Relações Internacionais</v>
          </cell>
          <cell r="G242"/>
          <cell r="H242" t="str">
            <v>Assessoria Especial de Controle Interno</v>
          </cell>
          <cell r="I242"/>
          <cell r="J242" t="str">
            <v>Assessoria Especial de Acompanhamento de Políticas, Estratégias e Desempenho Setoriais</v>
          </cell>
          <cell r="K242"/>
          <cell r="L242" t="str">
            <v>Consultoria Jurídica</v>
          </cell>
          <cell r="M242"/>
          <cell r="N242" t="str">
            <v>Secretaria Executiva</v>
          </cell>
          <cell r="O242"/>
          <cell r="P242" t="str">
            <v>SPOA</v>
          </cell>
          <cell r="Q242"/>
          <cell r="R242" t="str">
            <v>Secretaria de Geologia, Mineração e Transformação Mineral</v>
          </cell>
          <cell r="S242"/>
          <cell r="T242" t="str">
            <v>Secretaria de Planejamento e Desenvolvimento Energético</v>
          </cell>
          <cell r="U242"/>
          <cell r="V242" t="str">
            <v>Secretaria de Petróleo, Gás Natural e Biocombustíveis</v>
          </cell>
          <cell r="W242"/>
          <cell r="X242" t="str">
            <v>Secretaria de Energia Elétrica</v>
          </cell>
          <cell r="Y242"/>
          <cell r="Z242" t="str">
            <v>Total</v>
          </cell>
          <cell r="AA242"/>
        </row>
        <row r="265">
          <cell r="B265">
            <v>14</v>
          </cell>
          <cell r="C265">
            <v>0.24137931034482762</v>
          </cell>
          <cell r="D265">
            <v>1</v>
          </cell>
          <cell r="E265">
            <v>0.125</v>
          </cell>
          <cell r="F265">
            <v>0</v>
          </cell>
          <cell r="G265">
            <v>0</v>
          </cell>
          <cell r="H265">
            <v>0</v>
          </cell>
          <cell r="I265">
            <v>0</v>
          </cell>
          <cell r="J265">
            <v>3</v>
          </cell>
          <cell r="K265">
            <v>0.60000000000000009</v>
          </cell>
          <cell r="L265">
            <v>0</v>
          </cell>
          <cell r="M265">
            <v>0</v>
          </cell>
          <cell r="N265">
            <v>10</v>
          </cell>
          <cell r="O265">
            <v>0.24999999999999997</v>
          </cell>
          <cell r="P265">
            <v>81</v>
          </cell>
          <cell r="Q265">
            <v>0.45251396648044689</v>
          </cell>
          <cell r="R265">
            <v>13</v>
          </cell>
          <cell r="S265">
            <v>0.33333333333333337</v>
          </cell>
          <cell r="T265">
            <v>14</v>
          </cell>
          <cell r="U265">
            <v>0.30434782608695649</v>
          </cell>
          <cell r="V265">
            <v>3</v>
          </cell>
          <cell r="W265">
            <v>8.5714285714285715E-2</v>
          </cell>
          <cell r="X265">
            <v>18</v>
          </cell>
          <cell r="Y265">
            <v>0.35294117647058815</v>
          </cell>
          <cell r="Z265">
            <v>157</v>
          </cell>
          <cell r="AA265">
            <v>0.32040816326530625</v>
          </cell>
        </row>
        <row r="272">
          <cell r="B272" t="str">
            <v>Gabinete do Ministro</v>
          </cell>
          <cell r="C272"/>
          <cell r="D272" t="str">
            <v>Assessoria Econômica</v>
          </cell>
          <cell r="E272"/>
          <cell r="F272" t="str">
            <v>Assessoria Especial de Relações Internacionais</v>
          </cell>
          <cell r="G272"/>
          <cell r="H272" t="str">
            <v>Assessoria Especial de Controle Interno</v>
          </cell>
          <cell r="I272"/>
          <cell r="J272" t="str">
            <v>Assessoria Especial de Acompanhamento de Políticas, Estratégias e Desempenho Setoriais</v>
          </cell>
          <cell r="K272"/>
          <cell r="L272" t="str">
            <v>Consultoria Jurídica</v>
          </cell>
          <cell r="M272"/>
          <cell r="N272" t="str">
            <v>Secretaria Executiva</v>
          </cell>
          <cell r="O272"/>
          <cell r="P272" t="str">
            <v>SPOA</v>
          </cell>
          <cell r="Q272"/>
          <cell r="R272" t="str">
            <v>Secretaria de Geologia, Mineração e Transformação Mineral</v>
          </cell>
          <cell r="S272"/>
          <cell r="T272" t="str">
            <v>Secretaria de Planejamento e Desenvolvimento Energético</v>
          </cell>
          <cell r="U272"/>
          <cell r="V272" t="str">
            <v>Secretaria de Petróleo, Gás Natural e Biocombustíveis</v>
          </cell>
          <cell r="W272"/>
          <cell r="X272" t="str">
            <v>Secretaria de Energia Elétrica</v>
          </cell>
          <cell r="Y272"/>
        </row>
        <row r="273">
          <cell r="B273">
            <v>0.24137931034482762</v>
          </cell>
          <cell r="C273"/>
          <cell r="D273">
            <v>0.125</v>
          </cell>
          <cell r="E273"/>
          <cell r="F273">
            <v>0</v>
          </cell>
          <cell r="G273"/>
          <cell r="H273">
            <v>0</v>
          </cell>
          <cell r="I273"/>
          <cell r="J273">
            <v>0.60000000000000009</v>
          </cell>
          <cell r="K273"/>
          <cell r="L273">
            <v>0</v>
          </cell>
          <cell r="M273"/>
          <cell r="N273">
            <v>0.24999999999999997</v>
          </cell>
          <cell r="O273"/>
          <cell r="P273">
            <v>0.45251396648044689</v>
          </cell>
          <cell r="Q273"/>
          <cell r="R273">
            <v>0.33333333333333337</v>
          </cell>
          <cell r="S273"/>
          <cell r="T273">
            <v>0.30434782608695649</v>
          </cell>
          <cell r="U273"/>
          <cell r="V273">
            <v>8.5714285714285715E-2</v>
          </cell>
          <cell r="W273"/>
          <cell r="X273">
            <v>0.35294117647058815</v>
          </cell>
          <cell r="Y273"/>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ESCALA%"/>
      <sheetName val="VD-CATEGORIAFUNCIONAL"/>
      <sheetName val="VD-TEMPODESERVIÇO"/>
      <sheetName val="VD-SEXO"/>
      <sheetName val="VD-IDADE"/>
      <sheetName val="VD-ESCOLARIDADE"/>
      <sheetName val="VD-NIVELCARGO"/>
      <sheetName val="VD-LOTAÇÃO"/>
      <sheetName val="VD-DESLIGAMENTO"/>
      <sheetName val="VCO-PLANEJAMENTOESTRATÉGICO"/>
      <sheetName val="VCO-MOTIVAÇAO"/>
      <sheetName val="VCO-LIDERANÇA"/>
      <sheetName val="VCO-EQUIPE"/>
      <sheetName val="VCO-SALÁRIO"/>
      <sheetName val="VCO-RELACIONAMENTO"/>
      <sheetName val="VCO-QUALIDADEVIDA"/>
      <sheetName val="VCO-SOCIOAMBIENTAL"/>
      <sheetName val="VCO-COMUNICAÇÃO"/>
      <sheetName val="VCO-ESTRUTURAFISICA"/>
      <sheetName val="VCO-PANDEMIA"/>
      <sheetName val="INDICECLIMAORGANIZACIONAL"/>
    </sheetNames>
    <sheetDataSet>
      <sheetData sheetId="0"/>
      <sheetData sheetId="1"/>
      <sheetData sheetId="2">
        <row r="3">
          <cell r="A3" t="str">
            <v>CATEGORIA FUNCIONAL</v>
          </cell>
          <cell r="B3">
            <v>2020</v>
          </cell>
          <cell r="C3"/>
          <cell r="D3">
            <v>2017</v>
          </cell>
          <cell r="E3"/>
        </row>
        <row r="4">
          <cell r="B4" t="str">
            <v>TOTAL</v>
          </cell>
          <cell r="C4" t="str">
            <v>%</v>
          </cell>
          <cell r="D4" t="str">
            <v>TOTAL</v>
          </cell>
          <cell r="E4" t="str">
            <v>%</v>
          </cell>
        </row>
        <row r="5">
          <cell r="A5" t="str">
            <v>PGPE</v>
          </cell>
          <cell r="B5">
            <v>43</v>
          </cell>
          <cell r="C5">
            <v>0.22395833333333334</v>
          </cell>
          <cell r="D5">
            <v>52</v>
          </cell>
          <cell r="E5">
            <v>0.27225130890052357</v>
          </cell>
        </row>
        <row r="6">
          <cell r="A6" t="str">
            <v>EXERCÍCIO DESCENTRALIZADO</v>
          </cell>
          <cell r="B6">
            <v>42</v>
          </cell>
          <cell r="C6">
            <v>0.21875</v>
          </cell>
          <cell r="D6">
            <v>46</v>
          </cell>
          <cell r="E6">
            <v>0.24083769633507854</v>
          </cell>
        </row>
        <row r="7">
          <cell r="A7" t="str">
            <v>ANISTIADO</v>
          </cell>
          <cell r="B7">
            <v>25</v>
          </cell>
          <cell r="C7">
            <v>0.13020833333333334</v>
          </cell>
          <cell r="D7">
            <v>24</v>
          </cell>
          <cell r="E7">
            <v>0.1256544502617801</v>
          </cell>
        </row>
        <row r="8">
          <cell r="A8" t="str">
            <v>REQUISITADO OUTROS ÓRGÃOS</v>
          </cell>
          <cell r="B8">
            <v>26</v>
          </cell>
          <cell r="C8">
            <v>0.13541666666666666</v>
          </cell>
          <cell r="D8">
            <v>25</v>
          </cell>
          <cell r="E8">
            <v>0.13089005235602094</v>
          </cell>
        </row>
        <row r="9">
          <cell r="A9" t="str">
            <v>SEM VÍNCULO</v>
          </cell>
          <cell r="B9">
            <v>56</v>
          </cell>
          <cell r="C9">
            <v>0.29166666666666669</v>
          </cell>
          <cell r="D9">
            <v>44</v>
          </cell>
          <cell r="E9">
            <v>0.23036649214659685</v>
          </cell>
        </row>
        <row r="10">
          <cell r="A10" t="str">
            <v>TOTAL</v>
          </cell>
          <cell r="B10">
            <v>192</v>
          </cell>
          <cell r="C10">
            <v>1</v>
          </cell>
          <cell r="D10">
            <v>191</v>
          </cell>
          <cell r="E10">
            <v>1</v>
          </cell>
        </row>
        <row r="12">
          <cell r="A12" t="str">
            <v>TOTAL DE SERVIDORES/EMPREGADOS EM EXERCÍCIO NO MME</v>
          </cell>
          <cell r="B12">
            <v>517</v>
          </cell>
          <cell r="D12">
            <v>546</v>
          </cell>
        </row>
        <row r="13">
          <cell r="A13" t="str">
            <v>% DE PARTICIPAÇÃO DOS SERVIDORES/EMPREGADOS</v>
          </cell>
          <cell r="B13">
            <v>0.37137330754352033</v>
          </cell>
          <cell r="D13">
            <v>0.3498168498168498</v>
          </cell>
        </row>
      </sheetData>
      <sheetData sheetId="3">
        <row r="3">
          <cell r="A3" t="str">
            <v>TEMPO DE SERVIÇO</v>
          </cell>
          <cell r="B3">
            <v>2020</v>
          </cell>
          <cell r="C3"/>
          <cell r="D3">
            <v>2017</v>
          </cell>
          <cell r="E3"/>
        </row>
        <row r="4">
          <cell r="B4" t="str">
            <v>TOTAL</v>
          </cell>
          <cell r="C4" t="str">
            <v>%</v>
          </cell>
          <cell r="D4" t="str">
            <v>TOTAL</v>
          </cell>
          <cell r="E4" t="str">
            <v>%</v>
          </cell>
        </row>
        <row r="5">
          <cell r="A5" t="str">
            <v>menos de 1 ano</v>
          </cell>
          <cell r="B5">
            <v>8</v>
          </cell>
          <cell r="C5">
            <v>4.1666666666666664E-2</v>
          </cell>
          <cell r="D5">
            <v>11</v>
          </cell>
          <cell r="E5">
            <v>5.8201058201058198E-2</v>
          </cell>
        </row>
        <row r="6">
          <cell r="A6" t="str">
            <v>de 1 a 3 anos</v>
          </cell>
          <cell r="B6">
            <v>26</v>
          </cell>
          <cell r="C6">
            <v>0.13541666666666666</v>
          </cell>
          <cell r="D6">
            <v>16</v>
          </cell>
          <cell r="E6">
            <v>8.4656084656084651E-2</v>
          </cell>
        </row>
        <row r="7">
          <cell r="A7" t="str">
            <v>de 4 a 9 anos</v>
          </cell>
          <cell r="B7">
            <v>27</v>
          </cell>
          <cell r="C7">
            <v>0.140625</v>
          </cell>
          <cell r="D7">
            <v>64</v>
          </cell>
          <cell r="E7">
            <v>0.33862433862433861</v>
          </cell>
        </row>
        <row r="8">
          <cell r="A8" t="str">
            <v>de 10 a 19 anos</v>
          </cell>
          <cell r="B8">
            <v>75</v>
          </cell>
          <cell r="C8">
            <v>0.390625</v>
          </cell>
          <cell r="D8">
            <v>39</v>
          </cell>
          <cell r="E8">
            <v>0.20634920634920634</v>
          </cell>
        </row>
        <row r="9">
          <cell r="A9" t="str">
            <v>acima de 20 anos</v>
          </cell>
          <cell r="B9">
            <v>56</v>
          </cell>
          <cell r="C9">
            <v>0.29166666666666669</v>
          </cell>
          <cell r="D9">
            <v>59</v>
          </cell>
          <cell r="E9">
            <v>0.31216931216931215</v>
          </cell>
        </row>
        <row r="10">
          <cell r="A10" t="str">
            <v>TOTAL</v>
          </cell>
          <cell r="B10">
            <v>192</v>
          </cell>
          <cell r="C10">
            <v>1</v>
          </cell>
          <cell r="D10">
            <v>189</v>
          </cell>
          <cell r="E10">
            <v>1</v>
          </cell>
        </row>
      </sheetData>
      <sheetData sheetId="4">
        <row r="3">
          <cell r="A3" t="str">
            <v>SEXO</v>
          </cell>
          <cell r="B3">
            <v>2020</v>
          </cell>
          <cell r="C3"/>
          <cell r="D3">
            <v>2017</v>
          </cell>
          <cell r="E3"/>
        </row>
        <row r="4">
          <cell r="B4" t="str">
            <v>TOTAL</v>
          </cell>
          <cell r="C4" t="str">
            <v>%</v>
          </cell>
          <cell r="D4" t="str">
            <v>TOTAL</v>
          </cell>
          <cell r="E4" t="str">
            <v>%</v>
          </cell>
        </row>
        <row r="5">
          <cell r="A5" t="str">
            <v>Masculino</v>
          </cell>
          <cell r="B5">
            <v>97</v>
          </cell>
          <cell r="C5">
            <v>0.50520833333333337</v>
          </cell>
          <cell r="D5">
            <v>84</v>
          </cell>
          <cell r="E5">
            <v>0.44444444444444442</v>
          </cell>
        </row>
        <row r="6">
          <cell r="A6" t="str">
            <v>Feminino</v>
          </cell>
          <cell r="B6">
            <v>95</v>
          </cell>
          <cell r="C6">
            <v>0.49479166666666669</v>
          </cell>
          <cell r="D6">
            <v>105</v>
          </cell>
          <cell r="E6">
            <v>0.55555555555555558</v>
          </cell>
        </row>
        <row r="7">
          <cell r="A7" t="str">
            <v>TOTAL</v>
          </cell>
          <cell r="B7">
            <v>192</v>
          </cell>
          <cell r="C7">
            <v>1</v>
          </cell>
          <cell r="D7">
            <v>189</v>
          </cell>
          <cell r="E7">
            <v>1</v>
          </cell>
        </row>
      </sheetData>
      <sheetData sheetId="5">
        <row r="3">
          <cell r="A3" t="str">
            <v>IDADE</v>
          </cell>
          <cell r="B3">
            <v>2020</v>
          </cell>
          <cell r="C3"/>
          <cell r="D3">
            <v>2017</v>
          </cell>
          <cell r="E3"/>
        </row>
        <row r="4">
          <cell r="B4" t="str">
            <v>TOTAL</v>
          </cell>
          <cell r="C4" t="str">
            <v>%</v>
          </cell>
          <cell r="D4" t="str">
            <v>TOTAL</v>
          </cell>
          <cell r="E4" t="str">
            <v>%</v>
          </cell>
        </row>
        <row r="5">
          <cell r="A5" t="str">
            <v>20 a 30 anos</v>
          </cell>
          <cell r="B5">
            <v>10</v>
          </cell>
          <cell r="C5">
            <v>5.2083333333333336E-2</v>
          </cell>
          <cell r="D5">
            <v>8</v>
          </cell>
          <cell r="E5">
            <v>4.2328042328042326E-2</v>
          </cell>
        </row>
        <row r="6">
          <cell r="A6" t="str">
            <v>31 a 45 anos</v>
          </cell>
          <cell r="B6">
            <v>60</v>
          </cell>
          <cell r="C6">
            <v>0.3125</v>
          </cell>
          <cell r="D6">
            <v>66</v>
          </cell>
          <cell r="E6">
            <v>0.34920634920634919</v>
          </cell>
        </row>
        <row r="7">
          <cell r="A7" t="str">
            <v>46 a 55 anos</v>
          </cell>
          <cell r="B7">
            <v>54</v>
          </cell>
          <cell r="C7">
            <v>0.28125</v>
          </cell>
          <cell r="D7">
            <v>55</v>
          </cell>
          <cell r="E7">
            <v>0.29100529100529099</v>
          </cell>
        </row>
        <row r="8">
          <cell r="A8" t="str">
            <v>56 a 65 anos</v>
          </cell>
          <cell r="B8">
            <v>48</v>
          </cell>
          <cell r="C8">
            <v>0.25</v>
          </cell>
          <cell r="D8">
            <v>51</v>
          </cell>
          <cell r="E8">
            <v>0.26984126984126983</v>
          </cell>
        </row>
        <row r="9">
          <cell r="A9" t="str">
            <v>acima de 66 anos</v>
          </cell>
          <cell r="B9">
            <v>20</v>
          </cell>
          <cell r="C9">
            <v>0.10416666666666667</v>
          </cell>
          <cell r="D9">
            <v>9</v>
          </cell>
          <cell r="E9">
            <v>4.7619047619047616E-2</v>
          </cell>
        </row>
        <row r="10">
          <cell r="A10" t="str">
            <v>TOTAL</v>
          </cell>
          <cell r="B10">
            <v>192</v>
          </cell>
          <cell r="C10">
            <v>0.99999999999999989</v>
          </cell>
          <cell r="D10">
            <v>189</v>
          </cell>
          <cell r="E10">
            <v>1</v>
          </cell>
        </row>
      </sheetData>
      <sheetData sheetId="6">
        <row r="3">
          <cell r="A3" t="str">
            <v>ESCOLARIDADE</v>
          </cell>
          <cell r="B3">
            <v>2020</v>
          </cell>
          <cell r="C3"/>
          <cell r="D3">
            <v>2017</v>
          </cell>
          <cell r="E3"/>
        </row>
        <row r="4">
          <cell r="B4" t="str">
            <v>TOTAL</v>
          </cell>
          <cell r="C4" t="str">
            <v>%</v>
          </cell>
          <cell r="D4" t="str">
            <v>TOTAL</v>
          </cell>
          <cell r="E4" t="str">
            <v>%</v>
          </cell>
        </row>
        <row r="5">
          <cell r="A5" t="str">
            <v>Nível Médio</v>
          </cell>
          <cell r="B5">
            <v>18</v>
          </cell>
          <cell r="C5">
            <v>9.375E-2</v>
          </cell>
          <cell r="D5">
            <v>24</v>
          </cell>
          <cell r="E5">
            <v>0.12698412698412698</v>
          </cell>
        </row>
        <row r="6">
          <cell r="A6" t="str">
            <v>Superior</v>
          </cell>
          <cell r="B6">
            <v>65</v>
          </cell>
          <cell r="C6">
            <v>0.33854166666666669</v>
          </cell>
          <cell r="D6">
            <v>58</v>
          </cell>
          <cell r="E6">
            <v>0.30687830687830686</v>
          </cell>
        </row>
        <row r="7">
          <cell r="A7" t="str">
            <v>Pós Graduação</v>
          </cell>
          <cell r="B7">
            <v>75</v>
          </cell>
          <cell r="C7">
            <v>0.390625</v>
          </cell>
          <cell r="D7">
            <v>77</v>
          </cell>
          <cell r="E7">
            <v>0.40740740740740738</v>
          </cell>
        </row>
        <row r="8">
          <cell r="A8" t="str">
            <v>Mestrado</v>
          </cell>
          <cell r="B8">
            <v>26</v>
          </cell>
          <cell r="C8">
            <v>0.13541666666666666</v>
          </cell>
          <cell r="D8">
            <v>21</v>
          </cell>
          <cell r="E8">
            <v>0.1111111111111111</v>
          </cell>
        </row>
        <row r="9">
          <cell r="A9" t="str">
            <v>Doutorado</v>
          </cell>
          <cell r="B9">
            <v>8</v>
          </cell>
          <cell r="C9">
            <v>4.1666666666666664E-2</v>
          </cell>
          <cell r="D9">
            <v>9</v>
          </cell>
          <cell r="E9">
            <v>4.7619047619047616E-2</v>
          </cell>
        </row>
        <row r="10">
          <cell r="A10" t="str">
            <v>TOTAL</v>
          </cell>
          <cell r="B10">
            <v>192</v>
          </cell>
          <cell r="C10">
            <v>1</v>
          </cell>
          <cell r="D10">
            <v>189</v>
          </cell>
          <cell r="E10">
            <v>1</v>
          </cell>
        </row>
      </sheetData>
      <sheetData sheetId="7">
        <row r="3">
          <cell r="A3" t="str">
            <v>Nível do cargo que ocupa no MME</v>
          </cell>
          <cell r="B3">
            <v>2020</v>
          </cell>
          <cell r="C3"/>
          <cell r="D3">
            <v>2017</v>
          </cell>
          <cell r="E3"/>
        </row>
        <row r="4">
          <cell r="B4" t="str">
            <v>TOTAL</v>
          </cell>
          <cell r="C4" t="str">
            <v>%</v>
          </cell>
          <cell r="D4" t="str">
            <v>TOTAL</v>
          </cell>
          <cell r="E4" t="str">
            <v>%</v>
          </cell>
        </row>
        <row r="5">
          <cell r="A5" t="str">
            <v>Auxiliar</v>
          </cell>
          <cell r="B5">
            <v>22</v>
          </cell>
          <cell r="C5">
            <v>0.11458333333333333</v>
          </cell>
          <cell r="D5">
            <v>13</v>
          </cell>
          <cell r="E5">
            <v>6.8783068783068779E-2</v>
          </cell>
        </row>
        <row r="6">
          <cell r="A6" t="str">
            <v>Intermediário</v>
          </cell>
          <cell r="B6">
            <v>56</v>
          </cell>
          <cell r="C6">
            <v>0.29166666666666669</v>
          </cell>
          <cell r="D6">
            <v>67</v>
          </cell>
          <cell r="E6">
            <v>0.35449735449735448</v>
          </cell>
        </row>
        <row r="7">
          <cell r="A7" t="str">
            <v>Superior</v>
          </cell>
          <cell r="B7">
            <v>114</v>
          </cell>
          <cell r="C7">
            <v>0.59375</v>
          </cell>
          <cell r="D7">
            <v>109</v>
          </cell>
          <cell r="E7">
            <v>0.57671957671957674</v>
          </cell>
        </row>
        <row r="8">
          <cell r="A8" t="str">
            <v>TOTAL</v>
          </cell>
          <cell r="B8">
            <v>192</v>
          </cell>
          <cell r="C8">
            <v>1</v>
          </cell>
          <cell r="D8">
            <v>189</v>
          </cell>
          <cell r="E8">
            <v>1</v>
          </cell>
        </row>
      </sheetData>
      <sheetData sheetId="8">
        <row r="3">
          <cell r="A3" t="str">
            <v>LOTAÇÃO</v>
          </cell>
          <cell r="B3">
            <v>2020</v>
          </cell>
          <cell r="C3"/>
          <cell r="D3">
            <v>2017</v>
          </cell>
          <cell r="E3"/>
        </row>
        <row r="4">
          <cell r="B4" t="str">
            <v>TOTAL</v>
          </cell>
          <cell r="C4" t="str">
            <v>%</v>
          </cell>
          <cell r="D4" t="str">
            <v>TOTAL</v>
          </cell>
          <cell r="E4" t="str">
            <v>%</v>
          </cell>
        </row>
        <row r="5">
          <cell r="A5" t="str">
            <v xml:space="preserve">Área Finalística </v>
          </cell>
          <cell r="B5">
            <v>71</v>
          </cell>
          <cell r="C5">
            <v>0.36979166666666669</v>
          </cell>
          <cell r="D5">
            <v>86</v>
          </cell>
          <cell r="E5">
            <v>0.45744680851063829</v>
          </cell>
        </row>
        <row r="6">
          <cell r="A6" t="str">
            <v>Área Meio</v>
          </cell>
          <cell r="B6">
            <v>121</v>
          </cell>
          <cell r="C6">
            <v>0.63020833333333337</v>
          </cell>
          <cell r="D6">
            <v>102</v>
          </cell>
          <cell r="E6">
            <v>0.54255319148936165</v>
          </cell>
        </row>
        <row r="7">
          <cell r="A7" t="str">
            <v>TOTAL</v>
          </cell>
          <cell r="B7">
            <v>192</v>
          </cell>
          <cell r="C7">
            <v>1</v>
          </cell>
          <cell r="D7">
            <v>188</v>
          </cell>
          <cell r="E7">
            <v>1</v>
          </cell>
        </row>
      </sheetData>
      <sheetData sheetId="9">
        <row r="3">
          <cell r="A3" t="str">
            <v>EM UM FUTURO PRÓXIMO DESEJO ME DESLIGAR DO MINISTÉRIO</v>
          </cell>
          <cell r="B3">
            <v>2020</v>
          </cell>
          <cell r="C3"/>
          <cell r="D3">
            <v>2017</v>
          </cell>
          <cell r="E3"/>
          <cell r="G3" t="str">
            <v xml:space="preserve">POR MOTIVO DE </v>
          </cell>
          <cell r="H3">
            <v>2020</v>
          </cell>
          <cell r="I3"/>
          <cell r="J3">
            <v>2017</v>
          </cell>
          <cell r="K3"/>
          <cell r="M3" t="str">
            <v>EM QUANTO TEMPO</v>
          </cell>
          <cell r="N3">
            <v>2020</v>
          </cell>
          <cell r="O3"/>
          <cell r="P3">
            <v>2017</v>
          </cell>
          <cell r="Q3"/>
        </row>
        <row r="4">
          <cell r="B4" t="str">
            <v>TOTAL</v>
          </cell>
          <cell r="C4" t="str">
            <v>%</v>
          </cell>
          <cell r="D4" t="str">
            <v>TOTAL</v>
          </cell>
          <cell r="E4" t="str">
            <v>%</v>
          </cell>
          <cell r="H4" t="str">
            <v>TOTAL</v>
          </cell>
          <cell r="I4" t="str">
            <v>%</v>
          </cell>
          <cell r="J4" t="str">
            <v>TOTAL</v>
          </cell>
          <cell r="K4" t="str">
            <v>%</v>
          </cell>
          <cell r="N4" t="str">
            <v>TOTAL</v>
          </cell>
          <cell r="O4" t="str">
            <v>%</v>
          </cell>
          <cell r="P4" t="str">
            <v>TOTAL</v>
          </cell>
          <cell r="Q4" t="str">
            <v>%</v>
          </cell>
        </row>
        <row r="5">
          <cell r="A5" t="str">
            <v xml:space="preserve">Sim </v>
          </cell>
          <cell r="B5">
            <v>55</v>
          </cell>
          <cell r="C5">
            <v>0.28645833333333331</v>
          </cell>
          <cell r="D5">
            <v>60</v>
          </cell>
          <cell r="E5">
            <v>0.31746031746031744</v>
          </cell>
          <cell r="G5" t="str">
            <v>Aposentadoria</v>
          </cell>
          <cell r="H5">
            <v>36</v>
          </cell>
          <cell r="I5">
            <v>0.65454545454545454</v>
          </cell>
          <cell r="J5">
            <v>20</v>
          </cell>
          <cell r="K5">
            <v>0.33333333333333331</v>
          </cell>
          <cell r="M5" t="str">
            <v>menos de 1 ano</v>
          </cell>
          <cell r="N5">
            <v>7</v>
          </cell>
          <cell r="O5">
            <v>0.12727272727272726</v>
          </cell>
          <cell r="P5">
            <v>16</v>
          </cell>
          <cell r="Q5">
            <v>0.26666666666666666</v>
          </cell>
        </row>
        <row r="6">
          <cell r="A6" t="str">
            <v>Não</v>
          </cell>
          <cell r="B6">
            <v>137</v>
          </cell>
          <cell r="C6">
            <v>0.71354166666666663</v>
          </cell>
          <cell r="D6">
            <v>129</v>
          </cell>
          <cell r="E6">
            <v>0.68253968253968256</v>
          </cell>
          <cell r="G6" t="str">
            <v>Atividades em outro órgão</v>
          </cell>
          <cell r="H6">
            <v>6</v>
          </cell>
          <cell r="I6">
            <v>0.10909090909090909</v>
          </cell>
          <cell r="J6">
            <v>16</v>
          </cell>
          <cell r="K6">
            <v>0.26666666666666666</v>
          </cell>
          <cell r="M6" t="str">
            <v>de 1 a 3 anos</v>
          </cell>
          <cell r="N6">
            <v>24</v>
          </cell>
          <cell r="O6">
            <v>0.43636363636363634</v>
          </cell>
          <cell r="P6">
            <v>30</v>
          </cell>
          <cell r="Q6">
            <v>0.5</v>
          </cell>
        </row>
        <row r="7">
          <cell r="A7" t="str">
            <v>TOTAL</v>
          </cell>
          <cell r="B7">
            <v>192</v>
          </cell>
          <cell r="C7">
            <v>1</v>
          </cell>
          <cell r="D7">
            <v>189</v>
          </cell>
          <cell r="E7">
            <v>1</v>
          </cell>
          <cell r="G7" t="str">
            <v>Outros</v>
          </cell>
          <cell r="H7">
            <v>13</v>
          </cell>
          <cell r="I7">
            <v>0.23636363636363636</v>
          </cell>
          <cell r="J7">
            <v>24</v>
          </cell>
          <cell r="K7">
            <v>0.4</v>
          </cell>
          <cell r="M7" t="str">
            <v>de 4 a 5 anos</v>
          </cell>
          <cell r="N7">
            <v>24</v>
          </cell>
          <cell r="O7">
            <v>0.43636363636363634</v>
          </cell>
          <cell r="P7">
            <v>14</v>
          </cell>
          <cell r="Q7">
            <v>0.23333333333333334</v>
          </cell>
        </row>
        <row r="8">
          <cell r="G8" t="str">
            <v>TOTAL</v>
          </cell>
          <cell r="H8">
            <v>55</v>
          </cell>
          <cell r="I8">
            <v>1</v>
          </cell>
          <cell r="J8">
            <v>60</v>
          </cell>
          <cell r="K8">
            <v>1</v>
          </cell>
          <cell r="M8" t="str">
            <v>TOTAL</v>
          </cell>
          <cell r="N8">
            <v>55</v>
          </cell>
          <cell r="O8">
            <v>1</v>
          </cell>
          <cell r="P8">
            <v>60</v>
          </cell>
          <cell r="Q8">
            <v>1</v>
          </cell>
        </row>
      </sheetData>
      <sheetData sheetId="10">
        <row r="3">
          <cell r="A3" t="str">
            <v>TENHO CONHECIMENTO DA MISSÃO, VISÃO E VALORES DO MME?</v>
          </cell>
          <cell r="B3">
            <v>2020</v>
          </cell>
          <cell r="C3"/>
          <cell r="D3"/>
          <cell r="E3">
            <v>2017</v>
          </cell>
          <cell r="F3"/>
          <cell r="G3"/>
          <cell r="J3" t="str">
            <v>TENHO INTERESSE EM CONHECER A MISSÃO, VISÃO E VALORES DO MME?</v>
          </cell>
          <cell r="K3">
            <v>2020</v>
          </cell>
          <cell r="L3"/>
          <cell r="M3"/>
          <cell r="N3">
            <v>2017</v>
          </cell>
          <cell r="O3"/>
          <cell r="P3"/>
        </row>
        <row r="4">
          <cell r="B4" t="str">
            <v>TOTAL</v>
          </cell>
          <cell r="C4" t="str">
            <v>%</v>
          </cell>
          <cell r="D4" t="str">
            <v>RESULTADO</v>
          </cell>
          <cell r="E4" t="str">
            <v>TOTAL</v>
          </cell>
          <cell r="F4" t="str">
            <v>%</v>
          </cell>
          <cell r="G4" t="str">
            <v>RESULTADO</v>
          </cell>
          <cell r="K4" t="str">
            <v>TOTAL</v>
          </cell>
          <cell r="L4" t="str">
            <v>%</v>
          </cell>
          <cell r="M4" t="str">
            <v>RESULTADO</v>
          </cell>
          <cell r="N4" t="str">
            <v>TOTAL</v>
          </cell>
          <cell r="O4" t="str">
            <v>%</v>
          </cell>
          <cell r="P4" t="str">
            <v>RESULTADO</v>
          </cell>
        </row>
        <row r="5">
          <cell r="A5" t="str">
            <v>SIM</v>
          </cell>
          <cell r="B5">
            <v>136</v>
          </cell>
          <cell r="C5">
            <v>0.70833333333333337</v>
          </cell>
          <cell r="D5" t="str">
            <v>SATISFATÓRIO</v>
          </cell>
          <cell r="E5">
            <v>131</v>
          </cell>
          <cell r="F5">
            <v>0.70810810810810809</v>
          </cell>
          <cell r="G5" t="str">
            <v>SATISFATÓRIO</v>
          </cell>
          <cell r="J5" t="str">
            <v>SIM</v>
          </cell>
          <cell r="K5">
            <v>168</v>
          </cell>
          <cell r="L5">
            <v>0.875</v>
          </cell>
          <cell r="M5" t="str">
            <v>DESEJÁVEL</v>
          </cell>
          <cell r="N5">
            <v>144</v>
          </cell>
          <cell r="O5">
            <v>0.77837837837837842</v>
          </cell>
          <cell r="P5" t="str">
            <v>SATISFATÓRIO</v>
          </cell>
        </row>
        <row r="6">
          <cell r="A6" t="str">
            <v>PARCIAL</v>
          </cell>
          <cell r="B6">
            <v>54</v>
          </cell>
          <cell r="C6">
            <v>0.28125</v>
          </cell>
          <cell r="D6" t="str">
            <v>SATISFATÓRIO</v>
          </cell>
          <cell r="E6">
            <v>45</v>
          </cell>
          <cell r="F6">
            <v>0.24324324324324326</v>
          </cell>
          <cell r="G6" t="str">
            <v>SATISFATÓRIO</v>
          </cell>
          <cell r="J6" t="str">
            <v>PARCIAL</v>
          </cell>
          <cell r="K6">
            <v>14</v>
          </cell>
          <cell r="L6">
            <v>7.2916666666666671E-2</v>
          </cell>
          <cell r="M6" t="str">
            <v>SATISFATÓRIO</v>
          </cell>
          <cell r="N6">
            <v>26</v>
          </cell>
          <cell r="O6">
            <v>0.14054054054054055</v>
          </cell>
          <cell r="P6" t="str">
            <v>SATISFATÓRIO</v>
          </cell>
        </row>
        <row r="7">
          <cell r="A7" t="str">
            <v>NÃO</v>
          </cell>
          <cell r="B7">
            <v>2</v>
          </cell>
          <cell r="C7">
            <v>1.0416666666666666E-2</v>
          </cell>
          <cell r="D7" t="str">
            <v>DESEJÁVEL</v>
          </cell>
          <cell r="E7">
            <v>9</v>
          </cell>
          <cell r="F7">
            <v>4.8648648648648651E-2</v>
          </cell>
          <cell r="G7" t="str">
            <v>DESEJÁVEL</v>
          </cell>
          <cell r="J7" t="str">
            <v>NÃO</v>
          </cell>
          <cell r="K7">
            <v>10</v>
          </cell>
          <cell r="L7">
            <v>5.2083333333333336E-2</v>
          </cell>
          <cell r="M7" t="str">
            <v>DESEJÁVEL</v>
          </cell>
          <cell r="N7">
            <v>15</v>
          </cell>
          <cell r="O7">
            <v>8.1081081081081086E-2</v>
          </cell>
          <cell r="P7" t="str">
            <v>SATISFATÓRIO</v>
          </cell>
        </row>
        <row r="8">
          <cell r="A8" t="str">
            <v>TOTAL</v>
          </cell>
          <cell r="B8">
            <v>192</v>
          </cell>
          <cell r="C8">
            <v>1</v>
          </cell>
          <cell r="E8">
            <v>185</v>
          </cell>
          <cell r="F8">
            <v>1</v>
          </cell>
          <cell r="J8" t="str">
            <v>TOTAL</v>
          </cell>
          <cell r="K8">
            <v>192</v>
          </cell>
          <cell r="L8">
            <v>1</v>
          </cell>
          <cell r="N8">
            <v>185</v>
          </cell>
          <cell r="O8">
            <v>1</v>
          </cell>
        </row>
      </sheetData>
      <sheetData sheetId="11">
        <row r="3">
          <cell r="A3" t="str">
            <v>SOU VALORIZADO PROFISSIONALMENTE</v>
          </cell>
          <cell r="B3">
            <v>2020</v>
          </cell>
          <cell r="C3"/>
          <cell r="D3"/>
          <cell r="E3">
            <v>2017</v>
          </cell>
          <cell r="F3"/>
          <cell r="G3"/>
          <cell r="J3" t="str">
            <v>TENHO OPORTUNIDADE DE DESENVOLVIMENTO NO SERVIÇO</v>
          </cell>
          <cell r="K3">
            <v>2020</v>
          </cell>
          <cell r="L3"/>
          <cell r="M3"/>
          <cell r="N3">
            <v>2017</v>
          </cell>
          <cell r="O3"/>
          <cell r="P3"/>
        </row>
        <row r="4">
          <cell r="B4" t="str">
            <v>TOTAL</v>
          </cell>
          <cell r="C4" t="str">
            <v>%</v>
          </cell>
          <cell r="D4" t="str">
            <v>RESULTADO</v>
          </cell>
          <cell r="E4" t="str">
            <v>TOTAL</v>
          </cell>
          <cell r="F4" t="str">
            <v>%</v>
          </cell>
          <cell r="G4" t="str">
            <v>RESULTADO</v>
          </cell>
          <cell r="K4" t="str">
            <v>TOTAL</v>
          </cell>
          <cell r="L4" t="str">
            <v>%</v>
          </cell>
          <cell r="M4" t="str">
            <v>RESULTADO</v>
          </cell>
          <cell r="N4" t="str">
            <v>TOTAL</v>
          </cell>
          <cell r="O4" t="str">
            <v>%</v>
          </cell>
          <cell r="P4" t="str">
            <v>RESULTADO</v>
          </cell>
        </row>
        <row r="5">
          <cell r="A5" t="str">
            <v>SIM</v>
          </cell>
          <cell r="B5">
            <v>133</v>
          </cell>
          <cell r="C5">
            <v>0.69270833333333337</v>
          </cell>
          <cell r="D5" t="str">
            <v>SATISFATÓRIO</v>
          </cell>
          <cell r="E5">
            <v>68</v>
          </cell>
          <cell r="F5">
            <v>0.36956521739130432</v>
          </cell>
          <cell r="G5" t="str">
            <v>INSATISFATÓRIO</v>
          </cell>
          <cell r="J5" t="str">
            <v>SIM</v>
          </cell>
          <cell r="K5">
            <v>127</v>
          </cell>
          <cell r="L5">
            <v>0.66145833333333337</v>
          </cell>
          <cell r="M5" t="str">
            <v>SATISFATÓRIO</v>
          </cell>
          <cell r="N5">
            <v>74</v>
          </cell>
          <cell r="O5">
            <v>0.40217391304347827</v>
          </cell>
          <cell r="P5" t="str">
            <v>INSATISFATÓRIO</v>
          </cell>
        </row>
        <row r="6">
          <cell r="A6" t="str">
            <v>PARCIAL</v>
          </cell>
          <cell r="B6">
            <v>49</v>
          </cell>
          <cell r="C6">
            <v>0.25520833333333331</v>
          </cell>
          <cell r="D6" t="str">
            <v>SATISFATÓRIO</v>
          </cell>
          <cell r="E6">
            <v>81</v>
          </cell>
          <cell r="F6">
            <v>0.44021739130434784</v>
          </cell>
          <cell r="G6" t="str">
            <v>SATISFATÓRIO</v>
          </cell>
          <cell r="J6" t="str">
            <v>PARCIAL</v>
          </cell>
          <cell r="K6">
            <v>51</v>
          </cell>
          <cell r="L6">
            <v>0.265625</v>
          </cell>
          <cell r="M6" t="str">
            <v>SATISFATÓRIO</v>
          </cell>
          <cell r="N6">
            <v>70</v>
          </cell>
          <cell r="O6">
            <v>0.38043478260869568</v>
          </cell>
          <cell r="P6" t="str">
            <v>SATISFATÓRIO</v>
          </cell>
        </row>
        <row r="7">
          <cell r="A7" t="str">
            <v>NÃO</v>
          </cell>
          <cell r="B7">
            <v>10</v>
          </cell>
          <cell r="C7">
            <v>5.2083333333333336E-2</v>
          </cell>
          <cell r="D7" t="str">
            <v>DESEJÁVEL</v>
          </cell>
          <cell r="E7">
            <v>35</v>
          </cell>
          <cell r="F7">
            <v>0.19021739130434784</v>
          </cell>
          <cell r="G7" t="str">
            <v>INSATISFATÓRIO</v>
          </cell>
          <cell r="J7" t="str">
            <v>NÃO</v>
          </cell>
          <cell r="K7">
            <v>14</v>
          </cell>
          <cell r="L7">
            <v>7.2916666666666671E-2</v>
          </cell>
          <cell r="M7" t="str">
            <v>SATISFATÓRIO</v>
          </cell>
          <cell r="N7">
            <v>40</v>
          </cell>
          <cell r="O7">
            <v>0.21739130434782608</v>
          </cell>
          <cell r="P7" t="str">
            <v>INSATISFATÓRIO</v>
          </cell>
        </row>
        <row r="8">
          <cell r="A8" t="str">
            <v>TOTAL</v>
          </cell>
          <cell r="B8">
            <v>192</v>
          </cell>
          <cell r="C8">
            <v>1</v>
          </cell>
          <cell r="E8">
            <v>184</v>
          </cell>
          <cell r="F8">
            <v>1</v>
          </cell>
          <cell r="J8" t="str">
            <v>TOTAL</v>
          </cell>
          <cell r="K8">
            <v>192</v>
          </cell>
          <cell r="L8">
            <v>1</v>
          </cell>
          <cell r="N8">
            <v>184</v>
          </cell>
          <cell r="O8">
            <v>1</v>
          </cell>
        </row>
        <row r="42">
          <cell r="A42" t="str">
            <v>O MME INVESTE NO MEU CRESCIMENTO PROFISSIONAL?</v>
          </cell>
          <cell r="B42">
            <v>2020</v>
          </cell>
          <cell r="C42"/>
          <cell r="D42"/>
          <cell r="E42">
            <v>2017</v>
          </cell>
          <cell r="F42"/>
          <cell r="G42"/>
          <cell r="J42" t="str">
            <v>SINTO ORGULHO DE SER SERVIDOR/EMPREGADO DO MME?</v>
          </cell>
          <cell r="K42">
            <v>2020</v>
          </cell>
          <cell r="L42"/>
          <cell r="M42"/>
          <cell r="N42">
            <v>2017</v>
          </cell>
          <cell r="O42"/>
          <cell r="P42"/>
        </row>
        <row r="43">
          <cell r="B43" t="str">
            <v>TOTAL</v>
          </cell>
          <cell r="C43" t="str">
            <v>%</v>
          </cell>
          <cell r="D43" t="str">
            <v>RESULTADO</v>
          </cell>
          <cell r="E43" t="str">
            <v>TOTAL</v>
          </cell>
          <cell r="F43" t="str">
            <v>%</v>
          </cell>
          <cell r="G43" t="str">
            <v>RESULTADO</v>
          </cell>
          <cell r="K43" t="str">
            <v>TOTAL</v>
          </cell>
          <cell r="L43" t="str">
            <v>%</v>
          </cell>
          <cell r="M43" t="str">
            <v>RESULTADO</v>
          </cell>
          <cell r="N43" t="str">
            <v>TOTAL</v>
          </cell>
          <cell r="O43" t="str">
            <v>%</v>
          </cell>
          <cell r="P43" t="str">
            <v>RESULTADO</v>
          </cell>
        </row>
        <row r="44">
          <cell r="A44" t="str">
            <v>SIM</v>
          </cell>
          <cell r="B44">
            <v>93</v>
          </cell>
          <cell r="C44">
            <v>0.484375</v>
          </cell>
          <cell r="D44" t="str">
            <v>INSATISFATÓRIO</v>
          </cell>
          <cell r="E44">
            <v>46</v>
          </cell>
          <cell r="F44">
            <v>0.2541436464088398</v>
          </cell>
          <cell r="G44" t="str">
            <v>INSATISFATÓRIO</v>
          </cell>
          <cell r="J44" t="str">
            <v>SIM</v>
          </cell>
          <cell r="K44">
            <v>161</v>
          </cell>
          <cell r="L44">
            <v>0.83854166666666663</v>
          </cell>
          <cell r="M44" t="str">
            <v>DESEJÁVEL</v>
          </cell>
          <cell r="N44">
            <v>114</v>
          </cell>
          <cell r="O44">
            <v>0.6333333333333333</v>
          </cell>
          <cell r="P44" t="str">
            <v>SATISFATÓRIO</v>
          </cell>
        </row>
        <row r="45">
          <cell r="A45" t="str">
            <v>PARCIAL</v>
          </cell>
          <cell r="B45">
            <v>75</v>
          </cell>
          <cell r="C45">
            <v>0.390625</v>
          </cell>
          <cell r="D45" t="str">
            <v>SATISFATÓRIO</v>
          </cell>
          <cell r="E45">
            <v>85</v>
          </cell>
          <cell r="F45">
            <v>0.46961325966850831</v>
          </cell>
          <cell r="G45" t="str">
            <v>SATISFATÓRIO</v>
          </cell>
          <cell r="J45" t="str">
            <v>PARCIAL</v>
          </cell>
          <cell r="K45">
            <v>26</v>
          </cell>
          <cell r="L45">
            <v>0.13541666666666666</v>
          </cell>
          <cell r="M45" t="str">
            <v>SATISFATÓRIO</v>
          </cell>
          <cell r="N45">
            <v>46</v>
          </cell>
          <cell r="O45">
            <v>0.25555555555555554</v>
          </cell>
          <cell r="P45" t="str">
            <v>SATISFATÓRIO</v>
          </cell>
        </row>
        <row r="46">
          <cell r="A46" t="str">
            <v>NÃO</v>
          </cell>
          <cell r="B46">
            <v>24</v>
          </cell>
          <cell r="C46">
            <v>0.125</v>
          </cell>
          <cell r="D46" t="str">
            <v>INSATISFATÓRIO</v>
          </cell>
          <cell r="E46">
            <v>50</v>
          </cell>
          <cell r="F46">
            <v>0.27624309392265195</v>
          </cell>
          <cell r="G46" t="str">
            <v>INSATISFATÓRIO</v>
          </cell>
          <cell r="J46" t="str">
            <v>NÃO</v>
          </cell>
          <cell r="K46">
            <v>5</v>
          </cell>
          <cell r="L46">
            <v>2.6041666666666668E-2</v>
          </cell>
          <cell r="M46" t="str">
            <v>DESEJÁVEL</v>
          </cell>
          <cell r="N46">
            <v>20</v>
          </cell>
          <cell r="O46">
            <v>0.1111111111111111</v>
          </cell>
          <cell r="P46" t="str">
            <v>INSATISFATÓRIO</v>
          </cell>
        </row>
        <row r="47">
          <cell r="A47" t="str">
            <v>TOTAL</v>
          </cell>
          <cell r="B47">
            <v>192</v>
          </cell>
          <cell r="C47">
            <v>1</v>
          </cell>
          <cell r="E47">
            <v>181</v>
          </cell>
          <cell r="F47">
            <v>1</v>
          </cell>
          <cell r="J47" t="str">
            <v>TOTAL</v>
          </cell>
          <cell r="K47">
            <v>192</v>
          </cell>
          <cell r="L47">
            <v>0.99999999999999989</v>
          </cell>
          <cell r="N47">
            <v>180</v>
          </cell>
          <cell r="O47">
            <v>1</v>
          </cell>
        </row>
      </sheetData>
      <sheetData sheetId="12">
        <row r="3">
          <cell r="A3" t="str">
            <v>MEU CHEFE TEM O PERFIL INDICADO PARA FUNÇÃO QUE OCUPA?</v>
          </cell>
          <cell r="B3">
            <v>2020</v>
          </cell>
          <cell r="C3"/>
          <cell r="D3"/>
          <cell r="E3">
            <v>2017</v>
          </cell>
          <cell r="F3"/>
          <cell r="G3"/>
          <cell r="J3" t="str">
            <v>MEU CHEFE IMPULSIONA A EQUIPE PARA ALCANÇAR AS METAS</v>
          </cell>
          <cell r="K3">
            <v>2020</v>
          </cell>
          <cell r="L3"/>
          <cell r="M3"/>
          <cell r="N3">
            <v>2017</v>
          </cell>
          <cell r="O3"/>
          <cell r="P3"/>
        </row>
        <row r="4">
          <cell r="B4" t="str">
            <v>TOTAL</v>
          </cell>
          <cell r="C4" t="str">
            <v>%</v>
          </cell>
          <cell r="D4" t="str">
            <v>RESULTADO</v>
          </cell>
          <cell r="E4" t="str">
            <v>TOTAL</v>
          </cell>
          <cell r="F4" t="str">
            <v>%</v>
          </cell>
          <cell r="G4" t="str">
            <v>RESULTADO</v>
          </cell>
          <cell r="K4" t="str">
            <v>TOTAL</v>
          </cell>
          <cell r="L4" t="str">
            <v>%</v>
          </cell>
          <cell r="M4" t="str">
            <v>RESULTADO</v>
          </cell>
          <cell r="N4" t="str">
            <v>TOTAL</v>
          </cell>
          <cell r="O4" t="str">
            <v>%</v>
          </cell>
          <cell r="P4" t="str">
            <v>RESULTADO</v>
          </cell>
        </row>
        <row r="5">
          <cell r="A5" t="str">
            <v>SIM</v>
          </cell>
          <cell r="B5">
            <v>166</v>
          </cell>
          <cell r="C5">
            <v>0.86458333333333337</v>
          </cell>
          <cell r="D5" t="str">
            <v>DESEJÁVEL</v>
          </cell>
          <cell r="E5">
            <v>132</v>
          </cell>
          <cell r="F5">
            <v>0.71739130434782605</v>
          </cell>
          <cell r="G5" t="str">
            <v>SATISFATÓRIO</v>
          </cell>
          <cell r="J5" t="str">
            <v>SIM</v>
          </cell>
          <cell r="K5">
            <v>163</v>
          </cell>
          <cell r="L5">
            <v>0.84895833333333337</v>
          </cell>
          <cell r="M5" t="str">
            <v>DESEJÁVEL</v>
          </cell>
          <cell r="N5">
            <v>112</v>
          </cell>
          <cell r="O5">
            <v>0.60869565217391308</v>
          </cell>
          <cell r="P5" t="str">
            <v>SATISFATÓRIO</v>
          </cell>
        </row>
        <row r="6">
          <cell r="A6" t="str">
            <v>PARCIAL</v>
          </cell>
          <cell r="B6">
            <v>19</v>
          </cell>
          <cell r="C6">
            <v>9.8958333333333329E-2</v>
          </cell>
          <cell r="D6" t="str">
            <v>SATISFATÓRIO</v>
          </cell>
          <cell r="E6">
            <v>39</v>
          </cell>
          <cell r="F6">
            <v>0.21195652173913043</v>
          </cell>
          <cell r="G6" t="str">
            <v>SATISFATÓRIO</v>
          </cell>
          <cell r="J6" t="str">
            <v>PARCIAL</v>
          </cell>
          <cell r="K6">
            <v>23</v>
          </cell>
          <cell r="L6">
            <v>0.11979166666666667</v>
          </cell>
          <cell r="M6" t="str">
            <v>SATISFATÓRIO</v>
          </cell>
          <cell r="N6">
            <v>45</v>
          </cell>
          <cell r="O6">
            <v>0.24456521739130435</v>
          </cell>
          <cell r="P6" t="str">
            <v>SATISFATÓRIO</v>
          </cell>
        </row>
        <row r="7">
          <cell r="A7" t="str">
            <v>NÃO</v>
          </cell>
          <cell r="B7">
            <v>7</v>
          </cell>
          <cell r="C7">
            <v>3.6458333333333336E-2</v>
          </cell>
          <cell r="D7" t="str">
            <v>DESEJÁVEL</v>
          </cell>
          <cell r="E7">
            <v>13</v>
          </cell>
          <cell r="F7">
            <v>7.0652173913043473E-2</v>
          </cell>
          <cell r="G7" t="str">
            <v>SATISFATÓRIO</v>
          </cell>
          <cell r="J7" t="str">
            <v>NÃO</v>
          </cell>
          <cell r="K7">
            <v>6</v>
          </cell>
          <cell r="L7">
            <v>3.125E-2</v>
          </cell>
          <cell r="M7" t="str">
            <v>DESEJÁVEL</v>
          </cell>
          <cell r="N7">
            <v>27</v>
          </cell>
          <cell r="O7">
            <v>0.14673913043478262</v>
          </cell>
          <cell r="P7" t="str">
            <v>INSATISFATÓRIO</v>
          </cell>
        </row>
        <row r="8">
          <cell r="A8" t="str">
            <v>TOTAL</v>
          </cell>
          <cell r="B8">
            <v>192</v>
          </cell>
          <cell r="C8">
            <v>1</v>
          </cell>
          <cell r="E8">
            <v>184</v>
          </cell>
          <cell r="F8">
            <v>1</v>
          </cell>
          <cell r="J8" t="str">
            <v>TOTAL</v>
          </cell>
          <cell r="K8">
            <v>192</v>
          </cell>
          <cell r="L8">
            <v>1</v>
          </cell>
          <cell r="N8">
            <v>184</v>
          </cell>
          <cell r="O8">
            <v>1</v>
          </cell>
        </row>
      </sheetData>
      <sheetData sheetId="13">
        <row r="3">
          <cell r="A3" t="str">
            <v>CONSIDERO A EQUIPE DO MEU SETOR/UNIDADE SUFICIENTE PARA O DESENVOLVIMENTO DAS ATIVIDADES?</v>
          </cell>
          <cell r="B3">
            <v>2020</v>
          </cell>
          <cell r="C3"/>
          <cell r="D3"/>
          <cell r="E3">
            <v>2017</v>
          </cell>
          <cell r="F3"/>
          <cell r="G3"/>
          <cell r="J3" t="str">
            <v>CONSIDERO ADEQUADA A DISTRIBUIÇÃO DAS TAREFAS NO SETOR/UNIDADE EM QUE ATUO?</v>
          </cell>
          <cell r="K3">
            <v>2020</v>
          </cell>
          <cell r="L3"/>
          <cell r="M3"/>
          <cell r="N3">
            <v>2017</v>
          </cell>
          <cell r="O3"/>
          <cell r="P3"/>
        </row>
        <row r="4">
          <cell r="B4" t="str">
            <v>TOTAL</v>
          </cell>
          <cell r="C4" t="str">
            <v>%</v>
          </cell>
          <cell r="D4" t="str">
            <v>RESULTADO</v>
          </cell>
          <cell r="E4" t="str">
            <v>TOTAL</v>
          </cell>
          <cell r="F4" t="str">
            <v>%</v>
          </cell>
          <cell r="G4" t="str">
            <v>RESULTADO</v>
          </cell>
          <cell r="K4" t="str">
            <v>TOTAL</v>
          </cell>
          <cell r="L4" t="str">
            <v>%</v>
          </cell>
          <cell r="M4" t="str">
            <v>RESULTADO</v>
          </cell>
          <cell r="N4" t="str">
            <v>TOTAL</v>
          </cell>
          <cell r="O4" t="str">
            <v>%</v>
          </cell>
          <cell r="P4" t="str">
            <v>RESULTADO</v>
          </cell>
        </row>
        <row r="5">
          <cell r="A5" t="str">
            <v>SIM</v>
          </cell>
          <cell r="B5">
            <v>72</v>
          </cell>
          <cell r="C5">
            <v>0.375</v>
          </cell>
          <cell r="D5" t="str">
            <v>INSATISFATÓRIO</v>
          </cell>
          <cell r="E5">
            <v>68</v>
          </cell>
          <cell r="F5">
            <v>0.37158469945355194</v>
          </cell>
          <cell r="G5" t="str">
            <v>INSATISFATÓRIO</v>
          </cell>
          <cell r="J5" t="str">
            <v>SIM</v>
          </cell>
          <cell r="K5">
            <v>84</v>
          </cell>
          <cell r="L5">
            <v>0.4375</v>
          </cell>
          <cell r="M5" t="str">
            <v>INSATISFATÓRIO</v>
          </cell>
          <cell r="N5">
            <v>65</v>
          </cell>
          <cell r="O5">
            <v>0.3551912568306011</v>
          </cell>
          <cell r="P5" t="str">
            <v>INSATISFATÓRIO</v>
          </cell>
        </row>
        <row r="6">
          <cell r="A6" t="str">
            <v>PARCIAL</v>
          </cell>
          <cell r="B6">
            <v>68</v>
          </cell>
          <cell r="C6">
            <v>0.35416666666666669</v>
          </cell>
          <cell r="D6" t="str">
            <v>SATISFATÓRIO</v>
          </cell>
          <cell r="E6">
            <v>67</v>
          </cell>
          <cell r="F6">
            <v>0.36612021857923499</v>
          </cell>
          <cell r="G6" t="str">
            <v>SATISFATÓRIO</v>
          </cell>
          <cell r="J6" t="str">
            <v>PARCIAL</v>
          </cell>
          <cell r="K6">
            <v>73</v>
          </cell>
          <cell r="L6">
            <v>0.38020833333333331</v>
          </cell>
          <cell r="M6" t="str">
            <v>SATISFATÓRIO</v>
          </cell>
          <cell r="N6">
            <v>65</v>
          </cell>
          <cell r="O6">
            <v>0.3551912568306011</v>
          </cell>
          <cell r="P6" t="str">
            <v>SATISFATÓRIO</v>
          </cell>
        </row>
        <row r="7">
          <cell r="A7" t="str">
            <v>NÃO</v>
          </cell>
          <cell r="B7">
            <v>52</v>
          </cell>
          <cell r="C7">
            <v>0.27083333333333331</v>
          </cell>
          <cell r="D7" t="str">
            <v>INSATISFATÓRIO</v>
          </cell>
          <cell r="E7">
            <v>48</v>
          </cell>
          <cell r="F7">
            <v>0.26229508196721313</v>
          </cell>
          <cell r="G7" t="str">
            <v>INSATISFATÓRIO</v>
          </cell>
          <cell r="J7" t="str">
            <v>NÃO</v>
          </cell>
          <cell r="K7">
            <v>35</v>
          </cell>
          <cell r="L7">
            <v>0.18229166666666666</v>
          </cell>
          <cell r="M7" t="str">
            <v>INSATISFATÓRIO</v>
          </cell>
          <cell r="N7">
            <v>53</v>
          </cell>
          <cell r="O7">
            <v>0.2896174863387978</v>
          </cell>
          <cell r="P7" t="str">
            <v>INSATISFATÓRIO</v>
          </cell>
        </row>
        <row r="8">
          <cell r="A8" t="str">
            <v>TOTAL</v>
          </cell>
          <cell r="B8">
            <v>192</v>
          </cell>
          <cell r="C8">
            <v>1</v>
          </cell>
          <cell r="E8">
            <v>183</v>
          </cell>
          <cell r="F8">
            <v>1</v>
          </cell>
          <cell r="J8" t="str">
            <v>TOTAL</v>
          </cell>
          <cell r="K8">
            <v>192</v>
          </cell>
          <cell r="L8">
            <v>0.99999999999999989</v>
          </cell>
          <cell r="N8">
            <v>183</v>
          </cell>
          <cell r="O8">
            <v>1</v>
          </cell>
        </row>
      </sheetData>
      <sheetData sheetId="14">
        <row r="3">
          <cell r="A3" t="str">
            <v>MEU SALÁRIO É JUSTO E ADEQUADO A MINHA FUNÇÃO?</v>
          </cell>
          <cell r="B3">
            <v>2020</v>
          </cell>
          <cell r="C3"/>
          <cell r="D3"/>
          <cell r="E3">
            <v>2017</v>
          </cell>
          <cell r="F3"/>
          <cell r="G3"/>
          <cell r="J3" t="str">
            <v>MEU SALÁRIO E BENEFÍCIOS ESTÃO NA MÉDIA OU ACIMA DO QUE É OFERECIDO NO MERCADO?</v>
          </cell>
          <cell r="K3">
            <v>2020</v>
          </cell>
          <cell r="L3"/>
          <cell r="M3"/>
          <cell r="N3">
            <v>2017</v>
          </cell>
          <cell r="O3"/>
          <cell r="P3"/>
        </row>
        <row r="4">
          <cell r="B4" t="str">
            <v>TOTAL</v>
          </cell>
          <cell r="C4" t="str">
            <v>%</v>
          </cell>
          <cell r="D4" t="str">
            <v>RESULTADO</v>
          </cell>
          <cell r="E4" t="str">
            <v>TOTAL</v>
          </cell>
          <cell r="F4" t="str">
            <v>%</v>
          </cell>
          <cell r="G4" t="str">
            <v>RESULTADO</v>
          </cell>
          <cell r="K4" t="str">
            <v>TOTAL</v>
          </cell>
          <cell r="L4" t="str">
            <v>%</v>
          </cell>
          <cell r="M4" t="str">
            <v>RESULTADO</v>
          </cell>
          <cell r="N4" t="str">
            <v>TOTAL</v>
          </cell>
          <cell r="O4" t="str">
            <v>%</v>
          </cell>
          <cell r="P4" t="str">
            <v>RESULTADO</v>
          </cell>
        </row>
        <row r="5">
          <cell r="A5" t="str">
            <v>SIM</v>
          </cell>
          <cell r="B5">
            <v>90</v>
          </cell>
          <cell r="C5">
            <v>0.46875</v>
          </cell>
          <cell r="D5" t="str">
            <v>INSATISFATÓRIO</v>
          </cell>
          <cell r="E5">
            <v>61</v>
          </cell>
          <cell r="F5">
            <v>0.33333333333333331</v>
          </cell>
          <cell r="G5" t="str">
            <v>INSATISFATÓRIO</v>
          </cell>
          <cell r="J5" t="str">
            <v>SIM</v>
          </cell>
          <cell r="K5">
            <v>55</v>
          </cell>
          <cell r="L5">
            <v>0.28645833333333331</v>
          </cell>
          <cell r="M5" t="str">
            <v>INSATISFATÓRIO</v>
          </cell>
          <cell r="N5" t="str">
            <v>*</v>
          </cell>
          <cell r="O5" t="str">
            <v>*</v>
          </cell>
          <cell r="P5" t="str">
            <v>*</v>
          </cell>
        </row>
        <row r="6">
          <cell r="A6" t="str">
            <v>PARCIAL</v>
          </cell>
          <cell r="B6">
            <v>69</v>
          </cell>
          <cell r="C6">
            <v>0.359375</v>
          </cell>
          <cell r="D6" t="str">
            <v>SATISFATÓRIO</v>
          </cell>
          <cell r="E6">
            <v>58</v>
          </cell>
          <cell r="F6">
            <v>0.31693989071038253</v>
          </cell>
          <cell r="G6" t="str">
            <v>SATISFATÓRIO</v>
          </cell>
          <cell r="J6" t="str">
            <v>PARCIAL</v>
          </cell>
          <cell r="K6">
            <v>81</v>
          </cell>
          <cell r="L6">
            <v>0.421875</v>
          </cell>
          <cell r="M6" t="str">
            <v>SATISFATÓRIO</v>
          </cell>
          <cell r="N6" t="str">
            <v>*</v>
          </cell>
          <cell r="O6" t="str">
            <v>*</v>
          </cell>
          <cell r="P6" t="str">
            <v>*</v>
          </cell>
        </row>
        <row r="7">
          <cell r="A7" t="str">
            <v>NÃO</v>
          </cell>
          <cell r="B7">
            <v>33</v>
          </cell>
          <cell r="C7">
            <v>0.171875</v>
          </cell>
          <cell r="D7" t="str">
            <v>INSATISFATÓRIO</v>
          </cell>
          <cell r="E7">
            <v>64</v>
          </cell>
          <cell r="F7">
            <v>0.34972677595628415</v>
          </cell>
          <cell r="G7" t="str">
            <v>CRÍTICO</v>
          </cell>
          <cell r="J7" t="str">
            <v>NÃO</v>
          </cell>
          <cell r="K7">
            <v>56</v>
          </cell>
          <cell r="L7">
            <v>0.29166666666666669</v>
          </cell>
          <cell r="M7" t="str">
            <v>INSATISFATÓRIO</v>
          </cell>
          <cell r="N7" t="str">
            <v>*</v>
          </cell>
          <cell r="O7" t="str">
            <v>*</v>
          </cell>
          <cell r="P7" t="str">
            <v>*</v>
          </cell>
        </row>
        <row r="8">
          <cell r="A8" t="str">
            <v>TOTAL</v>
          </cell>
          <cell r="B8">
            <v>192</v>
          </cell>
          <cell r="C8">
            <v>1</v>
          </cell>
          <cell r="E8">
            <v>183</v>
          </cell>
          <cell r="F8">
            <v>1</v>
          </cell>
          <cell r="J8" t="str">
            <v>TOTAL</v>
          </cell>
          <cell r="K8">
            <v>192</v>
          </cell>
          <cell r="L8">
            <v>1</v>
          </cell>
          <cell r="N8" t="str">
            <v>*</v>
          </cell>
          <cell r="O8" t="str">
            <v>*</v>
          </cell>
        </row>
      </sheetData>
      <sheetData sheetId="15">
        <row r="3">
          <cell r="A3" t="str">
            <v>O RELACIONAMENTO COM OS COLEGAS DE TRABALHO FAVORECE A EXECUÇÃO DAS ATIVIDADES NA UNIDADE/SETOR?</v>
          </cell>
          <cell r="B3">
            <v>2020</v>
          </cell>
          <cell r="C3"/>
          <cell r="D3"/>
          <cell r="E3">
            <v>2017</v>
          </cell>
          <cell r="F3"/>
          <cell r="G3"/>
          <cell r="J3" t="str">
            <v>AS ATITUDES DOS MEUS COLEGAS DE TRABALHO SÃO ADEQUADAS E COMPATÍVEIS COM O AMBIENTE DE TRABALHO?</v>
          </cell>
          <cell r="K3">
            <v>2020</v>
          </cell>
          <cell r="L3"/>
          <cell r="M3"/>
          <cell r="N3">
            <v>2017</v>
          </cell>
          <cell r="O3"/>
          <cell r="P3"/>
        </row>
        <row r="4">
          <cell r="B4" t="str">
            <v>TOTAL</v>
          </cell>
          <cell r="C4" t="str">
            <v>%</v>
          </cell>
          <cell r="D4" t="str">
            <v>RESULTADO</v>
          </cell>
          <cell r="E4" t="str">
            <v>TOTAL</v>
          </cell>
          <cell r="F4" t="str">
            <v>%</v>
          </cell>
          <cell r="G4" t="str">
            <v>RESULTADO</v>
          </cell>
          <cell r="K4" t="str">
            <v>TOTAL</v>
          </cell>
          <cell r="L4" t="str">
            <v>%</v>
          </cell>
          <cell r="M4" t="str">
            <v>RESULTADO</v>
          </cell>
          <cell r="N4" t="str">
            <v>TOTAL</v>
          </cell>
          <cell r="O4" t="str">
            <v>%</v>
          </cell>
          <cell r="P4" t="str">
            <v>RESULTADO</v>
          </cell>
        </row>
        <row r="5">
          <cell r="A5" t="str">
            <v>SIM</v>
          </cell>
          <cell r="B5">
            <v>162</v>
          </cell>
          <cell r="C5">
            <v>0.84375</v>
          </cell>
          <cell r="D5" t="str">
            <v>DESEJÁVEL</v>
          </cell>
          <cell r="E5">
            <v>143</v>
          </cell>
          <cell r="F5">
            <v>0.79005524861878451</v>
          </cell>
          <cell r="G5" t="str">
            <v>SATISFATÓRIO</v>
          </cell>
          <cell r="J5" t="str">
            <v>SIM</v>
          </cell>
          <cell r="K5">
            <v>147</v>
          </cell>
          <cell r="L5">
            <v>0.765625</v>
          </cell>
          <cell r="M5" t="str">
            <v>SATISFATÓRIO</v>
          </cell>
          <cell r="N5">
            <v>100</v>
          </cell>
          <cell r="O5">
            <v>0.5524861878453039</v>
          </cell>
          <cell r="P5" t="str">
            <v>SATISFATÓRIO</v>
          </cell>
        </row>
        <row r="6">
          <cell r="A6" t="str">
            <v>PARCIAL</v>
          </cell>
          <cell r="B6">
            <v>29</v>
          </cell>
          <cell r="C6">
            <v>0.15104166666666666</v>
          </cell>
          <cell r="D6" t="str">
            <v>SATISFATÓRIO</v>
          </cell>
          <cell r="E6">
            <v>35</v>
          </cell>
          <cell r="F6">
            <v>0.19337016574585636</v>
          </cell>
          <cell r="G6" t="str">
            <v>SATISFATÓRIO</v>
          </cell>
          <cell r="J6" t="str">
            <v>PARCIAL</v>
          </cell>
          <cell r="K6">
            <v>42</v>
          </cell>
          <cell r="L6">
            <v>0.21875</v>
          </cell>
          <cell r="M6" t="str">
            <v>SATISFATÓRIO</v>
          </cell>
          <cell r="N6">
            <v>72</v>
          </cell>
          <cell r="O6">
            <v>0.39779005524861877</v>
          </cell>
          <cell r="P6" t="str">
            <v>SATISFATÓRIO</v>
          </cell>
        </row>
        <row r="7">
          <cell r="A7" t="str">
            <v>NÃO</v>
          </cell>
          <cell r="B7">
            <v>1</v>
          </cell>
          <cell r="C7">
            <v>5.208333333333333E-3</v>
          </cell>
          <cell r="D7" t="str">
            <v>DESEJÁVEL</v>
          </cell>
          <cell r="E7">
            <v>3</v>
          </cell>
          <cell r="F7">
            <v>1.6574585635359115E-2</v>
          </cell>
          <cell r="G7" t="str">
            <v>DESEJÁVEL</v>
          </cell>
          <cell r="J7" t="str">
            <v>NÃO</v>
          </cell>
          <cell r="K7">
            <v>3</v>
          </cell>
          <cell r="L7">
            <v>1.5625E-2</v>
          </cell>
          <cell r="M7" t="str">
            <v>DESEJÁVEL</v>
          </cell>
          <cell r="N7">
            <v>9</v>
          </cell>
          <cell r="O7">
            <v>4.9723756906077346E-2</v>
          </cell>
          <cell r="P7" t="str">
            <v>DESEJÁVEL</v>
          </cell>
        </row>
        <row r="8">
          <cell r="A8" t="str">
            <v>TOTAL</v>
          </cell>
          <cell r="B8">
            <v>192</v>
          </cell>
          <cell r="C8">
            <v>1</v>
          </cell>
          <cell r="E8">
            <v>181</v>
          </cell>
          <cell r="F8">
            <v>0.99999999999999989</v>
          </cell>
          <cell r="J8" t="str">
            <v>TOTAL</v>
          </cell>
          <cell r="K8">
            <v>192</v>
          </cell>
          <cell r="L8">
            <v>1</v>
          </cell>
          <cell r="N8">
            <v>181</v>
          </cell>
          <cell r="O8">
            <v>1</v>
          </cell>
        </row>
      </sheetData>
      <sheetData sheetId="16">
        <row r="3">
          <cell r="A3" t="str">
            <v>CONSIDERO IMPORTANTE AS CAMPANHAS DE VACINAÇÃO, EXAMES PERIÓDICOS, ATENDIMENTOS MÉDICOS, ENFERMAGEM, PSICOLÓGICAS, ODONTOLÓGICAS MASSAGEM EXPRESSA E EVENTOS COMEMORATIVOS?</v>
          </cell>
          <cell r="B3">
            <v>2020</v>
          </cell>
          <cell r="C3"/>
          <cell r="D3"/>
          <cell r="E3">
            <v>2017</v>
          </cell>
          <cell r="F3"/>
          <cell r="G3"/>
          <cell r="I3" t="str">
            <v>CONSIDERO IMPORTANTE A DISPONIBILIZAÇÃO DOS ESPAÇOS PARA SERVIÇOS DE RESTAURANTE, COSTUREIRA, SALÃO DE BELEZA, ASSOCIAÇÃO DOS SERVIDORES/EMPREGADOS DO MME, ACADEMIA, AULAS DE IOGA NO AMBIENTE DE TRABALHO?</v>
          </cell>
          <cell r="J3">
            <v>2020</v>
          </cell>
          <cell r="K3"/>
          <cell r="L3"/>
          <cell r="M3">
            <v>2017</v>
          </cell>
          <cell r="N3"/>
          <cell r="O3"/>
          <cell r="Q3" t="str">
            <v>CONSIDERO IMPORTANTE ATIVIDADES DE TREINAMENTO NO AMBIENTE DE TRABALHO - CENTRO DE CAPACITAÇÃO DO MME?</v>
          </cell>
          <cell r="R3">
            <v>2020</v>
          </cell>
          <cell r="S3"/>
          <cell r="T3"/>
          <cell r="U3">
            <v>2017</v>
          </cell>
          <cell r="V3"/>
          <cell r="W3"/>
        </row>
        <row r="4">
          <cell r="B4" t="str">
            <v>TOTAL</v>
          </cell>
          <cell r="C4" t="str">
            <v>%</v>
          </cell>
          <cell r="D4" t="str">
            <v>RESULTADO</v>
          </cell>
          <cell r="E4" t="str">
            <v>TOTAL</v>
          </cell>
          <cell r="F4" t="str">
            <v>%</v>
          </cell>
          <cell r="G4" t="str">
            <v>RESULTADO</v>
          </cell>
          <cell r="J4" t="str">
            <v>TOTAL</v>
          </cell>
          <cell r="K4" t="str">
            <v>%</v>
          </cell>
          <cell r="L4" t="str">
            <v>RESULTADO</v>
          </cell>
          <cell r="M4" t="str">
            <v>TOTAL</v>
          </cell>
          <cell r="N4" t="str">
            <v>%</v>
          </cell>
          <cell r="O4" t="str">
            <v>RESULTADO</v>
          </cell>
          <cell r="R4" t="str">
            <v>TOTAL</v>
          </cell>
          <cell r="S4" t="str">
            <v>%</v>
          </cell>
          <cell r="T4" t="str">
            <v>RESULTADO</v>
          </cell>
          <cell r="U4" t="str">
            <v>TOTAL</v>
          </cell>
          <cell r="V4" t="str">
            <v>%</v>
          </cell>
          <cell r="W4" t="str">
            <v>RESULTADO</v>
          </cell>
        </row>
        <row r="5">
          <cell r="A5" t="str">
            <v>SIM</v>
          </cell>
          <cell r="B5">
            <v>185</v>
          </cell>
          <cell r="C5">
            <v>0.96354166666666663</v>
          </cell>
          <cell r="D5" t="str">
            <v>DESEJÁVEL</v>
          </cell>
          <cell r="E5">
            <v>169</v>
          </cell>
          <cell r="F5">
            <v>0.93888888888888888</v>
          </cell>
          <cell r="G5" t="str">
            <v>DESEJÁVEL</v>
          </cell>
          <cell r="I5" t="str">
            <v>SIM</v>
          </cell>
          <cell r="J5">
            <v>173</v>
          </cell>
          <cell r="K5">
            <v>0.90104166666666663</v>
          </cell>
          <cell r="L5" t="str">
            <v>DESEJÁVEL</v>
          </cell>
          <cell r="M5">
            <v>153</v>
          </cell>
          <cell r="N5">
            <v>0.85</v>
          </cell>
          <cell r="O5" t="str">
            <v>DESEJÁVEL</v>
          </cell>
          <cell r="Q5" t="str">
            <v>SIM</v>
          </cell>
          <cell r="R5">
            <v>185</v>
          </cell>
          <cell r="S5">
            <v>0.96354166666666663</v>
          </cell>
          <cell r="T5" t="str">
            <v>DESEJÁVEL</v>
          </cell>
          <cell r="U5">
            <v>163</v>
          </cell>
          <cell r="V5">
            <v>0.90555555555555556</v>
          </cell>
          <cell r="W5" t="str">
            <v>DESEJÁVEL</v>
          </cell>
        </row>
        <row r="6">
          <cell r="A6" t="str">
            <v>PARCIAL</v>
          </cell>
          <cell r="B6">
            <v>5</v>
          </cell>
          <cell r="C6">
            <v>2.6041666666666668E-2</v>
          </cell>
          <cell r="D6" t="str">
            <v>SATISFATÓRIO</v>
          </cell>
          <cell r="E6">
            <v>10</v>
          </cell>
          <cell r="F6">
            <v>5.5555555555555552E-2</v>
          </cell>
          <cell r="G6" t="str">
            <v>SATISFATÓRIO</v>
          </cell>
          <cell r="I6" t="str">
            <v>PARCIAL</v>
          </cell>
          <cell r="J6">
            <v>16</v>
          </cell>
          <cell r="K6">
            <v>8.3333333333333329E-2</v>
          </cell>
          <cell r="L6" t="str">
            <v>SATISFATÓRIO</v>
          </cell>
          <cell r="M6">
            <v>25</v>
          </cell>
          <cell r="N6">
            <v>0.1388888888888889</v>
          </cell>
          <cell r="O6" t="str">
            <v>SATISFATÓRIO</v>
          </cell>
          <cell r="Q6" t="str">
            <v>PARCIAL</v>
          </cell>
          <cell r="R6">
            <v>7</v>
          </cell>
          <cell r="S6">
            <v>3.6458333333333336E-2</v>
          </cell>
          <cell r="T6" t="str">
            <v>SATISFATÓRIO</v>
          </cell>
          <cell r="U6">
            <v>14</v>
          </cell>
          <cell r="V6">
            <v>7.7777777777777779E-2</v>
          </cell>
          <cell r="W6" t="str">
            <v>SATISFATÓRIO</v>
          </cell>
        </row>
        <row r="7">
          <cell r="A7" t="str">
            <v>NÃO</v>
          </cell>
          <cell r="B7">
            <v>2</v>
          </cell>
          <cell r="C7">
            <v>1.0416666666666666E-2</v>
          </cell>
          <cell r="D7" t="str">
            <v>DESEJÁVEL</v>
          </cell>
          <cell r="E7">
            <v>1</v>
          </cell>
          <cell r="F7">
            <v>5.5555555555555558E-3</v>
          </cell>
          <cell r="G7" t="str">
            <v>DESEJÁVEL</v>
          </cell>
          <cell r="I7" t="str">
            <v>NÃO</v>
          </cell>
          <cell r="J7">
            <v>3</v>
          </cell>
          <cell r="K7">
            <v>1.5625E-2</v>
          </cell>
          <cell r="L7" t="str">
            <v>DESEJÁVEL</v>
          </cell>
          <cell r="M7">
            <v>2</v>
          </cell>
          <cell r="N7">
            <v>1.1111111111111112E-2</v>
          </cell>
          <cell r="O7" t="str">
            <v>DESEJÁVEL</v>
          </cell>
          <cell r="Q7" t="str">
            <v>NÃO</v>
          </cell>
          <cell r="R7">
            <v>0</v>
          </cell>
          <cell r="S7">
            <v>0</v>
          </cell>
          <cell r="T7" t="str">
            <v>DESEJÁVEL</v>
          </cell>
          <cell r="U7">
            <v>3</v>
          </cell>
          <cell r="V7">
            <v>1.6666666666666666E-2</v>
          </cell>
          <cell r="W7" t="str">
            <v>DESEJÁVEL</v>
          </cell>
        </row>
        <row r="8">
          <cell r="A8" t="str">
            <v>TOTAL</v>
          </cell>
          <cell r="B8">
            <v>192</v>
          </cell>
          <cell r="C8">
            <v>0.99999999999999989</v>
          </cell>
          <cell r="E8">
            <v>180</v>
          </cell>
          <cell r="F8">
            <v>1</v>
          </cell>
          <cell r="I8" t="str">
            <v>TOTAL</v>
          </cell>
          <cell r="J8">
            <v>192</v>
          </cell>
          <cell r="K8">
            <v>1</v>
          </cell>
          <cell r="M8">
            <v>180</v>
          </cell>
          <cell r="N8">
            <v>1</v>
          </cell>
          <cell r="Q8" t="str">
            <v>TOTAL</v>
          </cell>
          <cell r="R8">
            <v>192</v>
          </cell>
          <cell r="S8">
            <v>1</v>
          </cell>
          <cell r="U8">
            <v>180</v>
          </cell>
          <cell r="V8">
            <v>1</v>
          </cell>
        </row>
      </sheetData>
      <sheetData sheetId="17">
        <row r="3">
          <cell r="A3" t="str">
            <v>VOCÊ CONTRIBUI PARA REDUZIR A IMPRESSÃO OU CÓPIA DE DOCUMENTOS?</v>
          </cell>
          <cell r="B3">
            <v>2020</v>
          </cell>
          <cell r="C3"/>
          <cell r="D3"/>
          <cell r="E3">
            <v>2017</v>
          </cell>
          <cell r="F3"/>
          <cell r="G3"/>
          <cell r="I3" t="str">
            <v>VOCÊ CONTRIBUI PARA A ECONCOMIA E REAPROVEITAMENTO DO CONSUMO DE ÁGUA E ENERGIA?</v>
          </cell>
          <cell r="J3">
            <v>2020</v>
          </cell>
          <cell r="K3"/>
          <cell r="L3"/>
          <cell r="M3">
            <v>2017</v>
          </cell>
          <cell r="N3"/>
          <cell r="O3"/>
          <cell r="Q3" t="str">
            <v>VOCÊ CONTRIBUI PARA A COLETA SELETIVA DO LIXO?</v>
          </cell>
          <cell r="R3">
            <v>2020</v>
          </cell>
          <cell r="S3"/>
          <cell r="T3"/>
          <cell r="U3">
            <v>2017</v>
          </cell>
          <cell r="V3"/>
          <cell r="W3"/>
        </row>
        <row r="4">
          <cell r="B4" t="str">
            <v>TOTAL</v>
          </cell>
          <cell r="C4" t="str">
            <v>%</v>
          </cell>
          <cell r="D4" t="str">
            <v>RESULTADO</v>
          </cell>
          <cell r="E4" t="str">
            <v>TOTAL</v>
          </cell>
          <cell r="F4" t="str">
            <v>%</v>
          </cell>
          <cell r="G4" t="str">
            <v>RESULTADO</v>
          </cell>
          <cell r="J4" t="str">
            <v>TOTAL</v>
          </cell>
          <cell r="K4" t="str">
            <v>%</v>
          </cell>
          <cell r="L4" t="str">
            <v>RESULTADO</v>
          </cell>
          <cell r="M4" t="str">
            <v>TOTAL</v>
          </cell>
          <cell r="N4" t="str">
            <v>%</v>
          </cell>
          <cell r="O4" t="str">
            <v>RESULTADO</v>
          </cell>
          <cell r="R4" t="str">
            <v>TOTAL</v>
          </cell>
          <cell r="S4" t="str">
            <v>%</v>
          </cell>
          <cell r="T4" t="str">
            <v>RESULTADO</v>
          </cell>
          <cell r="U4" t="str">
            <v>TOTAL</v>
          </cell>
          <cell r="V4" t="str">
            <v>%</v>
          </cell>
          <cell r="W4" t="str">
            <v>RESULTADO</v>
          </cell>
        </row>
        <row r="5">
          <cell r="A5" t="str">
            <v>SIM</v>
          </cell>
          <cell r="B5">
            <v>181</v>
          </cell>
          <cell r="C5">
            <v>0.94270833333333337</v>
          </cell>
          <cell r="D5" t="str">
            <v>DESEJÁVEL</v>
          </cell>
          <cell r="E5">
            <v>157</v>
          </cell>
          <cell r="F5">
            <v>0.87222222222222223</v>
          </cell>
          <cell r="G5" t="str">
            <v>DESEJÁVEL</v>
          </cell>
          <cell r="I5" t="str">
            <v>SIM</v>
          </cell>
          <cell r="J5">
            <v>184</v>
          </cell>
          <cell r="K5">
            <v>0.95833333333333337</v>
          </cell>
          <cell r="L5" t="str">
            <v>DESEJÁVEL</v>
          </cell>
          <cell r="M5">
            <v>160</v>
          </cell>
          <cell r="N5">
            <v>0.88888888888888884</v>
          </cell>
          <cell r="O5" t="str">
            <v>DESEJÁVEL</v>
          </cell>
          <cell r="Q5" t="str">
            <v>SIM</v>
          </cell>
          <cell r="R5">
            <v>171</v>
          </cell>
          <cell r="S5">
            <v>0.890625</v>
          </cell>
          <cell r="T5" t="str">
            <v>DESEJÁVEL</v>
          </cell>
          <cell r="U5">
            <v>139</v>
          </cell>
          <cell r="V5">
            <v>0.77222222222222225</v>
          </cell>
          <cell r="W5" t="str">
            <v>SATISFATÓRIO</v>
          </cell>
        </row>
        <row r="6">
          <cell r="A6" t="str">
            <v>PARCIAL</v>
          </cell>
          <cell r="B6">
            <v>10</v>
          </cell>
          <cell r="C6">
            <v>5.2083333333333336E-2</v>
          </cell>
          <cell r="D6" t="str">
            <v>SATISFATÓRIO</v>
          </cell>
          <cell r="E6">
            <v>21</v>
          </cell>
          <cell r="F6">
            <v>0.11666666666666667</v>
          </cell>
          <cell r="G6" t="str">
            <v>SATISFATÓRIO</v>
          </cell>
          <cell r="I6" t="str">
            <v>PARCIAL</v>
          </cell>
          <cell r="J6">
            <v>8</v>
          </cell>
          <cell r="K6">
            <v>4.1666666666666664E-2</v>
          </cell>
          <cell r="L6" t="str">
            <v>SATISFATÓRIO</v>
          </cell>
          <cell r="M6">
            <v>16</v>
          </cell>
          <cell r="N6">
            <v>8.8888888888888892E-2</v>
          </cell>
          <cell r="O6" t="str">
            <v>SATISFATÓRIO</v>
          </cell>
          <cell r="Q6" t="str">
            <v>PARCIAL</v>
          </cell>
          <cell r="R6">
            <v>21</v>
          </cell>
          <cell r="S6">
            <v>0.109375</v>
          </cell>
          <cell r="T6" t="str">
            <v>SATISFATÓRIO</v>
          </cell>
          <cell r="U6">
            <v>34</v>
          </cell>
          <cell r="V6">
            <v>0.18888888888888888</v>
          </cell>
          <cell r="W6" t="str">
            <v>SATISFATÓRIO</v>
          </cell>
        </row>
        <row r="7">
          <cell r="A7" t="str">
            <v>NÃO</v>
          </cell>
          <cell r="B7">
            <v>1</v>
          </cell>
          <cell r="C7">
            <v>5.208333333333333E-3</v>
          </cell>
          <cell r="D7" t="str">
            <v>DESEJÁVEL</v>
          </cell>
          <cell r="E7">
            <v>2</v>
          </cell>
          <cell r="F7">
            <v>1.1111111111111112E-2</v>
          </cell>
          <cell r="G7" t="str">
            <v>DESEJÁVEL</v>
          </cell>
          <cell r="I7" t="str">
            <v>NÃO</v>
          </cell>
          <cell r="J7">
            <v>0</v>
          </cell>
          <cell r="K7">
            <v>0</v>
          </cell>
          <cell r="L7" t="str">
            <v>DESEJÁVEL</v>
          </cell>
          <cell r="M7">
            <v>4</v>
          </cell>
          <cell r="N7">
            <v>2.2222222222222223E-2</v>
          </cell>
          <cell r="O7" t="str">
            <v>DESEJÁVEL</v>
          </cell>
          <cell r="Q7" t="str">
            <v>NÃO</v>
          </cell>
          <cell r="R7">
            <v>0</v>
          </cell>
          <cell r="S7">
            <v>0</v>
          </cell>
          <cell r="T7" t="str">
            <v>DESEJÁVEL</v>
          </cell>
          <cell r="U7">
            <v>7</v>
          </cell>
          <cell r="V7">
            <v>3.888888888888889E-2</v>
          </cell>
          <cell r="W7" t="str">
            <v>DESEJÁVEL</v>
          </cell>
        </row>
        <row r="8">
          <cell r="A8" t="str">
            <v>TOTAL</v>
          </cell>
          <cell r="B8">
            <v>192</v>
          </cell>
          <cell r="C8">
            <v>1</v>
          </cell>
          <cell r="E8">
            <v>180</v>
          </cell>
          <cell r="F8">
            <v>1</v>
          </cell>
          <cell r="I8" t="str">
            <v>TOTAL</v>
          </cell>
          <cell r="J8">
            <v>192</v>
          </cell>
          <cell r="K8">
            <v>1</v>
          </cell>
          <cell r="M8">
            <v>180</v>
          </cell>
          <cell r="N8">
            <v>1</v>
          </cell>
          <cell r="Q8" t="str">
            <v>TOTAL</v>
          </cell>
          <cell r="R8">
            <v>192</v>
          </cell>
          <cell r="S8">
            <v>1</v>
          </cell>
          <cell r="U8">
            <v>180</v>
          </cell>
          <cell r="V8">
            <v>1</v>
          </cell>
        </row>
      </sheetData>
      <sheetData sheetId="18">
        <row r="3">
          <cell r="A3" t="str">
            <v>AS INFORMAÇÕES SÃO BEM DIVULGADAS NO ÂMBITO DO MME?</v>
          </cell>
          <cell r="B3">
            <v>2020</v>
          </cell>
          <cell r="C3"/>
          <cell r="D3"/>
          <cell r="E3">
            <v>2017</v>
          </cell>
          <cell r="F3"/>
          <cell r="G3"/>
          <cell r="I3" t="str">
            <v>A COMUNICAÇÃO ENTRE AS UNIDADES DO MME FACILITA O DESENVOLVIMENTO DO TRABALHO?</v>
          </cell>
          <cell r="J3">
            <v>2020</v>
          </cell>
          <cell r="K3"/>
          <cell r="L3"/>
          <cell r="M3">
            <v>2017</v>
          </cell>
          <cell r="N3"/>
          <cell r="O3"/>
          <cell r="Q3" t="str">
            <v>AS NORMAS E DIRETRIZES ADOTADAS PELO MME FACILITAM A EXECUÇÃO DAS MINHAS ATIVIDADES?</v>
          </cell>
          <cell r="R3">
            <v>2020</v>
          </cell>
          <cell r="S3"/>
          <cell r="T3"/>
          <cell r="U3">
            <v>2017</v>
          </cell>
          <cell r="V3"/>
          <cell r="W3"/>
        </row>
        <row r="4">
          <cell r="B4" t="str">
            <v>TOTAL</v>
          </cell>
          <cell r="C4" t="str">
            <v>%</v>
          </cell>
          <cell r="D4" t="str">
            <v>RESULTADO</v>
          </cell>
          <cell r="E4" t="str">
            <v>TOTAL</v>
          </cell>
          <cell r="F4" t="str">
            <v>%</v>
          </cell>
          <cell r="G4" t="str">
            <v>RESULTADO</v>
          </cell>
          <cell r="J4" t="str">
            <v>TOTAL</v>
          </cell>
          <cell r="K4" t="str">
            <v>%</v>
          </cell>
          <cell r="L4" t="str">
            <v>RESULTADO</v>
          </cell>
          <cell r="M4" t="str">
            <v>TOTAL</v>
          </cell>
          <cell r="N4" t="str">
            <v>%</v>
          </cell>
          <cell r="O4" t="str">
            <v>RESULTADO</v>
          </cell>
          <cell r="R4" t="str">
            <v>TOTAL</v>
          </cell>
          <cell r="S4" t="str">
            <v>%</v>
          </cell>
          <cell r="T4" t="str">
            <v>RESULTADO</v>
          </cell>
          <cell r="U4" t="str">
            <v>TOTAL</v>
          </cell>
          <cell r="V4" t="str">
            <v>%</v>
          </cell>
          <cell r="W4" t="str">
            <v>RESULTADO</v>
          </cell>
        </row>
        <row r="5">
          <cell r="A5" t="str">
            <v>SIM</v>
          </cell>
          <cell r="B5">
            <v>103</v>
          </cell>
          <cell r="C5">
            <v>0.53645833333333337</v>
          </cell>
          <cell r="D5" t="str">
            <v>SATISFATÓRIO</v>
          </cell>
          <cell r="E5">
            <v>63</v>
          </cell>
          <cell r="F5">
            <v>0.35</v>
          </cell>
          <cell r="G5" t="str">
            <v>INSATISFATÓRIO</v>
          </cell>
          <cell r="I5" t="str">
            <v>SIM</v>
          </cell>
          <cell r="J5">
            <v>111</v>
          </cell>
          <cell r="K5">
            <v>0.578125</v>
          </cell>
          <cell r="L5" t="str">
            <v>SATISFATÓRIO</v>
          </cell>
          <cell r="M5">
            <v>64</v>
          </cell>
          <cell r="N5">
            <v>0.35555555555555557</v>
          </cell>
          <cell r="O5" t="str">
            <v>INSATISFATÓRIO</v>
          </cell>
          <cell r="Q5" t="str">
            <v>SIM</v>
          </cell>
          <cell r="R5">
            <v>121</v>
          </cell>
          <cell r="S5">
            <v>0.63020833333333337</v>
          </cell>
          <cell r="T5" t="str">
            <v>SATISFATÓRIO</v>
          </cell>
          <cell r="U5">
            <v>84</v>
          </cell>
          <cell r="V5">
            <v>0.46408839779005523</v>
          </cell>
          <cell r="W5" t="str">
            <v>INSATISFATÓRIO</v>
          </cell>
        </row>
        <row r="6">
          <cell r="A6" t="str">
            <v>PARCIAL</v>
          </cell>
          <cell r="B6">
            <v>73</v>
          </cell>
          <cell r="C6">
            <v>0.38020833333333331</v>
          </cell>
          <cell r="D6" t="str">
            <v>SATISFATÓRIO</v>
          </cell>
          <cell r="E6">
            <v>82</v>
          </cell>
          <cell r="F6">
            <v>0.45555555555555555</v>
          </cell>
          <cell r="G6" t="str">
            <v>SATISFATÓRIO</v>
          </cell>
          <cell r="I6" t="str">
            <v>PARCIAL</v>
          </cell>
          <cell r="J6">
            <v>63</v>
          </cell>
          <cell r="K6">
            <v>0.328125</v>
          </cell>
          <cell r="L6" t="str">
            <v>SATISFATÓRIO</v>
          </cell>
          <cell r="M6">
            <v>70</v>
          </cell>
          <cell r="N6">
            <v>0.3888888888888889</v>
          </cell>
          <cell r="O6" t="str">
            <v>SATISFATÓRIO</v>
          </cell>
          <cell r="Q6" t="str">
            <v>PARCIAL</v>
          </cell>
          <cell r="R6">
            <v>62</v>
          </cell>
          <cell r="S6">
            <v>0.32291666666666669</v>
          </cell>
          <cell r="T6" t="str">
            <v>SATISFATÓRIO</v>
          </cell>
          <cell r="U6">
            <v>67</v>
          </cell>
          <cell r="V6">
            <v>0.37016574585635359</v>
          </cell>
          <cell r="W6" t="str">
            <v>SATISFATÓRIO</v>
          </cell>
        </row>
        <row r="7">
          <cell r="A7" t="str">
            <v>NÃO</v>
          </cell>
          <cell r="B7">
            <v>16</v>
          </cell>
          <cell r="C7">
            <v>8.3333333333333329E-2</v>
          </cell>
          <cell r="D7" t="str">
            <v>SATISFATÓRIO</v>
          </cell>
          <cell r="E7">
            <v>35</v>
          </cell>
          <cell r="F7">
            <v>0.19444444444444445</v>
          </cell>
          <cell r="G7" t="str">
            <v>INSATISFATÓRIO</v>
          </cell>
          <cell r="I7" t="str">
            <v>NÃO</v>
          </cell>
          <cell r="J7">
            <v>18</v>
          </cell>
          <cell r="K7">
            <v>9.375E-2</v>
          </cell>
          <cell r="L7" t="str">
            <v>SATISFATÓRIO</v>
          </cell>
          <cell r="M7">
            <v>46</v>
          </cell>
          <cell r="N7">
            <v>0.25555555555555554</v>
          </cell>
          <cell r="O7" t="str">
            <v>INSATISFATÓRIO</v>
          </cell>
          <cell r="Q7" t="str">
            <v>NÃO</v>
          </cell>
          <cell r="R7">
            <v>9</v>
          </cell>
          <cell r="S7">
            <v>4.6875E-2</v>
          </cell>
          <cell r="T7" t="str">
            <v>DESEJÁVEL</v>
          </cell>
          <cell r="U7">
            <v>30</v>
          </cell>
          <cell r="V7">
            <v>0.16574585635359115</v>
          </cell>
          <cell r="W7" t="str">
            <v>INSATISFATÓRIO</v>
          </cell>
        </row>
        <row r="8">
          <cell r="A8" t="str">
            <v>TOTAL</v>
          </cell>
          <cell r="B8">
            <v>192</v>
          </cell>
          <cell r="C8">
            <v>1</v>
          </cell>
          <cell r="E8">
            <v>180</v>
          </cell>
          <cell r="F8">
            <v>1</v>
          </cell>
          <cell r="I8" t="str">
            <v>TOTAL</v>
          </cell>
          <cell r="J8">
            <v>192</v>
          </cell>
          <cell r="K8">
            <v>1</v>
          </cell>
          <cell r="M8">
            <v>180</v>
          </cell>
          <cell r="N8">
            <v>1</v>
          </cell>
          <cell r="Q8" t="str">
            <v>TOTAL</v>
          </cell>
          <cell r="R8">
            <v>192</v>
          </cell>
          <cell r="S8">
            <v>1</v>
          </cell>
          <cell r="U8">
            <v>181</v>
          </cell>
          <cell r="V8">
            <v>1</v>
          </cell>
        </row>
      </sheetData>
      <sheetData sheetId="19">
        <row r="3">
          <cell r="A3" t="str">
            <v>CONSIDERO ADEQUADA A LIMPEZA REALIZADA NO MEU AMBIENTE DE TRABALHO?</v>
          </cell>
          <cell r="B3">
            <v>2020</v>
          </cell>
          <cell r="C3"/>
          <cell r="D3"/>
          <cell r="E3">
            <v>2017</v>
          </cell>
          <cell r="F3"/>
          <cell r="G3"/>
          <cell r="I3" t="str">
            <v>CONSIDERO ADEQUADA A VENTILAÇÃO NO MEU AMBIENTE DE TRABALHO?</v>
          </cell>
          <cell r="J3">
            <v>2020</v>
          </cell>
          <cell r="K3"/>
          <cell r="L3"/>
          <cell r="M3">
            <v>2017</v>
          </cell>
          <cell r="N3"/>
          <cell r="O3"/>
        </row>
        <row r="4">
          <cell r="B4" t="str">
            <v>TOTAL</v>
          </cell>
          <cell r="C4" t="str">
            <v>%</v>
          </cell>
          <cell r="D4" t="str">
            <v>RESULTADO</v>
          </cell>
          <cell r="E4" t="str">
            <v>TOTAL</v>
          </cell>
          <cell r="F4" t="str">
            <v>%</v>
          </cell>
          <cell r="G4" t="str">
            <v>RESULTADO</v>
          </cell>
          <cell r="J4" t="str">
            <v>TOTAL</v>
          </cell>
          <cell r="K4" t="str">
            <v>%</v>
          </cell>
          <cell r="L4" t="str">
            <v>RESULTADO</v>
          </cell>
          <cell r="M4" t="str">
            <v>TOTAL</v>
          </cell>
          <cell r="N4" t="str">
            <v>%</v>
          </cell>
          <cell r="O4" t="str">
            <v>RESULTADO</v>
          </cell>
        </row>
        <row r="5">
          <cell r="A5" t="str">
            <v>SIM</v>
          </cell>
          <cell r="B5">
            <v>176</v>
          </cell>
          <cell r="C5">
            <v>0.91666666666666663</v>
          </cell>
          <cell r="D5" t="str">
            <v>DESEJÁVEL</v>
          </cell>
          <cell r="E5">
            <v>140</v>
          </cell>
          <cell r="F5">
            <v>0.78212290502793291</v>
          </cell>
          <cell r="G5" t="str">
            <v>SATISFATÓRIO</v>
          </cell>
          <cell r="I5" t="str">
            <v>SIM</v>
          </cell>
          <cell r="J5">
            <v>132</v>
          </cell>
          <cell r="K5">
            <v>0.6875</v>
          </cell>
          <cell r="L5" t="str">
            <v>SATISFATÓRIO</v>
          </cell>
          <cell r="M5">
            <v>122</v>
          </cell>
          <cell r="N5">
            <v>0.68156424581005581</v>
          </cell>
          <cell r="O5" t="str">
            <v>SATISFATÓRIO</v>
          </cell>
        </row>
        <row r="6">
          <cell r="A6" t="str">
            <v>PARCIAL</v>
          </cell>
          <cell r="B6">
            <v>16</v>
          </cell>
          <cell r="C6">
            <v>8.3333333333333329E-2</v>
          </cell>
          <cell r="D6" t="str">
            <v>SATISFATÓRIO</v>
          </cell>
          <cell r="E6">
            <v>35</v>
          </cell>
          <cell r="F6">
            <v>0.19553072625698323</v>
          </cell>
          <cell r="G6" t="str">
            <v>SATISFATÓRIO</v>
          </cell>
          <cell r="I6" t="str">
            <v>PARCIAL</v>
          </cell>
          <cell r="J6">
            <v>54</v>
          </cell>
          <cell r="K6">
            <v>0.28125</v>
          </cell>
          <cell r="L6" t="str">
            <v>SATISFATÓRIO</v>
          </cell>
          <cell r="M6">
            <v>47</v>
          </cell>
          <cell r="N6">
            <v>0.26256983240223464</v>
          </cell>
          <cell r="O6" t="str">
            <v>SATISFATÓRIO</v>
          </cell>
        </row>
        <row r="7">
          <cell r="A7" t="str">
            <v>NÃO</v>
          </cell>
          <cell r="B7">
            <v>0</v>
          </cell>
          <cell r="C7">
            <v>0</v>
          </cell>
          <cell r="D7" t="str">
            <v>DESEJÁVEL</v>
          </cell>
          <cell r="E7">
            <v>4</v>
          </cell>
          <cell r="F7">
            <v>2.23463687150838E-2</v>
          </cell>
          <cell r="G7" t="str">
            <v>DESEJÁVEL</v>
          </cell>
          <cell r="I7" t="str">
            <v>NÃO</v>
          </cell>
          <cell r="J7">
            <v>6</v>
          </cell>
          <cell r="K7">
            <v>3.125E-2</v>
          </cell>
          <cell r="L7" t="str">
            <v>DESEJÁVEL</v>
          </cell>
          <cell r="M7">
            <v>10</v>
          </cell>
          <cell r="N7">
            <v>5.5865921787709494E-2</v>
          </cell>
          <cell r="O7" t="str">
            <v>DESEJÁVEL</v>
          </cell>
        </row>
        <row r="8">
          <cell r="A8" t="str">
            <v>TOTAL</v>
          </cell>
          <cell r="B8">
            <v>192</v>
          </cell>
          <cell r="C8">
            <v>1</v>
          </cell>
          <cell r="E8">
            <v>179</v>
          </cell>
          <cell r="F8">
            <v>0.99999999999999989</v>
          </cell>
          <cell r="I8" t="str">
            <v>TOTAL</v>
          </cell>
          <cell r="J8">
            <v>192</v>
          </cell>
          <cell r="K8">
            <v>1</v>
          </cell>
          <cell r="M8">
            <v>179</v>
          </cell>
          <cell r="N8">
            <v>1</v>
          </cell>
        </row>
        <row r="43">
          <cell r="A43" t="str">
            <v>CONSIDERO ADEQUADA A ILUMINAÇÃO NO MEU AMBIENTE DE TRABALHO?</v>
          </cell>
          <cell r="B43">
            <v>2020</v>
          </cell>
          <cell r="C43"/>
          <cell r="D43"/>
          <cell r="E43">
            <v>2018</v>
          </cell>
          <cell r="F43"/>
          <cell r="G43"/>
          <cell r="I43" t="str">
            <v>CONSIDERO ADEQUADA A SEGURANÇA NO MEU AMBIENTE DE TRABALHO?</v>
          </cell>
          <cell r="J43">
            <v>2020</v>
          </cell>
          <cell r="K43"/>
          <cell r="L43"/>
          <cell r="M43">
            <v>2018</v>
          </cell>
          <cell r="N43"/>
          <cell r="O43"/>
        </row>
        <row r="44">
          <cell r="B44" t="str">
            <v>TOTAL</v>
          </cell>
          <cell r="C44" t="str">
            <v>%</v>
          </cell>
          <cell r="D44" t="str">
            <v>RESULTADO</v>
          </cell>
          <cell r="E44" t="str">
            <v>TOTAL</v>
          </cell>
          <cell r="F44" t="str">
            <v>%</v>
          </cell>
          <cell r="G44" t="str">
            <v>RESULTADO</v>
          </cell>
          <cell r="J44" t="str">
            <v>TOTAL</v>
          </cell>
          <cell r="K44" t="str">
            <v>%</v>
          </cell>
          <cell r="L44" t="str">
            <v>RESULTADO</v>
          </cell>
          <cell r="M44" t="str">
            <v>TOTAL</v>
          </cell>
          <cell r="N44" t="str">
            <v>%</v>
          </cell>
          <cell r="O44" t="str">
            <v>RESULTADO</v>
          </cell>
        </row>
        <row r="45">
          <cell r="A45" t="str">
            <v>SIM</v>
          </cell>
          <cell r="B45">
            <v>154</v>
          </cell>
          <cell r="C45">
            <v>0.80208333333333337</v>
          </cell>
          <cell r="D45" t="str">
            <v>DESEJÁVEL</v>
          </cell>
          <cell r="E45">
            <v>154</v>
          </cell>
          <cell r="F45">
            <v>0.86033519553072624</v>
          </cell>
          <cell r="G45" t="str">
            <v>DESEJÁVEL</v>
          </cell>
          <cell r="I45" t="str">
            <v>SIM</v>
          </cell>
          <cell r="J45">
            <v>171</v>
          </cell>
          <cell r="K45">
            <v>0.890625</v>
          </cell>
          <cell r="L45" t="str">
            <v>DESEJÁVEL</v>
          </cell>
          <cell r="M45">
            <v>147</v>
          </cell>
          <cell r="N45">
            <v>0.82122905027932958</v>
          </cell>
          <cell r="O45" t="str">
            <v>DESEJÁVEL</v>
          </cell>
        </row>
        <row r="46">
          <cell r="A46" t="str">
            <v>PARCIAL</v>
          </cell>
          <cell r="B46">
            <v>34</v>
          </cell>
          <cell r="C46">
            <v>0.17708333333333334</v>
          </cell>
          <cell r="D46" t="str">
            <v>SATISFATÓRIO</v>
          </cell>
          <cell r="E46">
            <v>20</v>
          </cell>
          <cell r="F46">
            <v>0.11173184357541899</v>
          </cell>
          <cell r="G46" t="str">
            <v>SATISFATÓRIO</v>
          </cell>
          <cell r="I46" t="str">
            <v>PARCIAL</v>
          </cell>
          <cell r="J46">
            <v>20</v>
          </cell>
          <cell r="K46">
            <v>0.10416666666666667</v>
          </cell>
          <cell r="L46" t="str">
            <v>SATISFATÓRIO</v>
          </cell>
          <cell r="M46">
            <v>30</v>
          </cell>
          <cell r="N46">
            <v>0.16759776536312848</v>
          </cell>
          <cell r="O46" t="str">
            <v>SATISFATÓRIO</v>
          </cell>
        </row>
        <row r="47">
          <cell r="A47" t="str">
            <v>NÃO</v>
          </cell>
          <cell r="B47">
            <v>4</v>
          </cell>
          <cell r="C47">
            <v>2.0833333333333332E-2</v>
          </cell>
          <cell r="D47" t="str">
            <v>DESEJÁVEL</v>
          </cell>
          <cell r="E47">
            <v>5</v>
          </cell>
          <cell r="F47">
            <v>2.7932960893854747E-2</v>
          </cell>
          <cell r="G47" t="str">
            <v>DESEJÁVEL</v>
          </cell>
          <cell r="I47" t="str">
            <v>NÃO</v>
          </cell>
          <cell r="J47">
            <v>1</v>
          </cell>
          <cell r="K47">
            <v>5.208333333333333E-3</v>
          </cell>
          <cell r="L47" t="str">
            <v>DESEJÁVEL</v>
          </cell>
          <cell r="M47">
            <v>2</v>
          </cell>
          <cell r="N47">
            <v>1.11731843575419E-2</v>
          </cell>
          <cell r="O47" t="str">
            <v>DESEJÁVEL</v>
          </cell>
        </row>
        <row r="48">
          <cell r="A48" t="str">
            <v>TOTAL</v>
          </cell>
          <cell r="B48">
            <v>192</v>
          </cell>
          <cell r="C48">
            <v>1</v>
          </cell>
          <cell r="E48">
            <v>179</v>
          </cell>
          <cell r="F48">
            <v>1</v>
          </cell>
          <cell r="I48" t="str">
            <v>TOTAL</v>
          </cell>
          <cell r="J48">
            <v>192</v>
          </cell>
          <cell r="K48">
            <v>1</v>
          </cell>
          <cell r="M48">
            <v>179</v>
          </cell>
          <cell r="N48">
            <v>0.99999999999999989</v>
          </cell>
        </row>
        <row r="83">
          <cell r="A83" t="str">
            <v>CONSIDERO ADEQUADA A DISTRIBUIÇÃO DO ESPAÇO FÍSICO NO MEU AMBIENTE DE TRABALHO?</v>
          </cell>
          <cell r="B83">
            <v>2020</v>
          </cell>
          <cell r="C83"/>
          <cell r="D83"/>
          <cell r="E83">
            <v>2018</v>
          </cell>
          <cell r="F83"/>
          <cell r="G83"/>
          <cell r="I83" t="str">
            <v>OS MÓVEIS SÃO ERGONÔMICOS?</v>
          </cell>
          <cell r="J83">
            <v>2020</v>
          </cell>
          <cell r="K83"/>
          <cell r="L83"/>
          <cell r="M83">
            <v>2018</v>
          </cell>
          <cell r="N83"/>
          <cell r="O83"/>
        </row>
        <row r="84">
          <cell r="B84" t="str">
            <v>TOTAL</v>
          </cell>
          <cell r="C84" t="str">
            <v>%</v>
          </cell>
          <cell r="D84" t="str">
            <v>RESULTADO</v>
          </cell>
          <cell r="E84" t="str">
            <v>TOTAL</v>
          </cell>
          <cell r="F84" t="str">
            <v>%</v>
          </cell>
          <cell r="G84" t="str">
            <v>RESULTADO</v>
          </cell>
          <cell r="J84" t="str">
            <v>TOTAL</v>
          </cell>
          <cell r="K84" t="str">
            <v>%</v>
          </cell>
          <cell r="L84" t="str">
            <v>RESULTADO</v>
          </cell>
          <cell r="M84" t="str">
            <v>TOTAL</v>
          </cell>
          <cell r="N84" t="str">
            <v>%</v>
          </cell>
          <cell r="O84" t="str">
            <v>RESULTADO</v>
          </cell>
        </row>
        <row r="85">
          <cell r="A85" t="str">
            <v>SIM</v>
          </cell>
          <cell r="B85">
            <v>153</v>
          </cell>
          <cell r="C85">
            <v>0.796875</v>
          </cell>
          <cell r="D85" t="str">
            <v>SATISFATÓRIO</v>
          </cell>
          <cell r="E85">
            <v>134</v>
          </cell>
          <cell r="F85">
            <v>0.74860335195530725</v>
          </cell>
          <cell r="G85" t="str">
            <v>SATISFATÓRIO</v>
          </cell>
          <cell r="I85" t="str">
            <v>SIM</v>
          </cell>
          <cell r="J85">
            <v>122</v>
          </cell>
          <cell r="K85">
            <v>0.63541666666666663</v>
          </cell>
          <cell r="L85" t="str">
            <v>SATISFATÓRIO</v>
          </cell>
          <cell r="M85" t="str">
            <v>*</v>
          </cell>
          <cell r="N85" t="str">
            <v>*</v>
          </cell>
          <cell r="O85" t="str">
            <v>*</v>
          </cell>
        </row>
        <row r="86">
          <cell r="A86" t="str">
            <v>PARCIAL</v>
          </cell>
          <cell r="B86">
            <v>31</v>
          </cell>
          <cell r="C86">
            <v>0.16145833333333334</v>
          </cell>
          <cell r="D86" t="str">
            <v>SATISFATÓRIO</v>
          </cell>
          <cell r="E86">
            <v>35</v>
          </cell>
          <cell r="F86">
            <v>0.19553072625698323</v>
          </cell>
          <cell r="G86" t="str">
            <v>SATISFATÓRIO</v>
          </cell>
          <cell r="I86" t="str">
            <v>PARCIAL</v>
          </cell>
          <cell r="J86">
            <v>55</v>
          </cell>
          <cell r="K86">
            <v>0.28645833333333331</v>
          </cell>
          <cell r="L86" t="str">
            <v>SATISFATÓRIO</v>
          </cell>
          <cell r="M86" t="str">
            <v>*</v>
          </cell>
          <cell r="N86" t="str">
            <v>*</v>
          </cell>
          <cell r="O86" t="str">
            <v>*</v>
          </cell>
        </row>
        <row r="87">
          <cell r="A87" t="str">
            <v>NÃO</v>
          </cell>
          <cell r="B87">
            <v>8</v>
          </cell>
          <cell r="C87">
            <v>4.1666666666666664E-2</v>
          </cell>
          <cell r="D87" t="str">
            <v>DESEJÁVEL</v>
          </cell>
          <cell r="E87">
            <v>10</v>
          </cell>
          <cell r="F87">
            <v>5.5865921787709494E-2</v>
          </cell>
          <cell r="G87" t="str">
            <v>DESEJÁVEL</v>
          </cell>
          <cell r="I87" t="str">
            <v>NÃO</v>
          </cell>
          <cell r="J87">
            <v>15</v>
          </cell>
          <cell r="K87">
            <v>7.8125E-2</v>
          </cell>
          <cell r="L87" t="str">
            <v>SATISFATÓRIO</v>
          </cell>
          <cell r="M87" t="str">
            <v>*</v>
          </cell>
          <cell r="N87" t="str">
            <v>*</v>
          </cell>
          <cell r="O87" t="str">
            <v>*</v>
          </cell>
        </row>
        <row r="88">
          <cell r="A88" t="str">
            <v>TOTAL</v>
          </cell>
          <cell r="B88">
            <v>192</v>
          </cell>
          <cell r="C88">
            <v>1</v>
          </cell>
          <cell r="E88">
            <v>179</v>
          </cell>
          <cell r="F88">
            <v>1</v>
          </cell>
          <cell r="I88" t="str">
            <v>TOTAL</v>
          </cell>
          <cell r="J88">
            <v>192</v>
          </cell>
          <cell r="K88">
            <v>1</v>
          </cell>
          <cell r="M88" t="str">
            <v>*</v>
          </cell>
          <cell r="N88" t="str">
            <v>*</v>
          </cell>
        </row>
        <row r="122">
          <cell r="A122" t="str">
            <v>CONSIDERO ADEQUADO OS EQUIPAMENTOS DE INFORMÁTICA?</v>
          </cell>
          <cell r="B122">
            <v>2020</v>
          </cell>
          <cell r="C122"/>
          <cell r="D122"/>
          <cell r="E122">
            <v>2018</v>
          </cell>
          <cell r="F122"/>
          <cell r="G122"/>
          <cell r="I122" t="str">
            <v>CONSIDERO ADEQUADO OS MATERIAIS DE CONSUMO?</v>
          </cell>
          <cell r="J122">
            <v>2020</v>
          </cell>
          <cell r="K122"/>
          <cell r="L122"/>
          <cell r="M122">
            <v>2018</v>
          </cell>
          <cell r="N122"/>
          <cell r="O122"/>
        </row>
        <row r="123">
          <cell r="B123" t="str">
            <v>TOTAL</v>
          </cell>
          <cell r="C123" t="str">
            <v>%</v>
          </cell>
          <cell r="D123" t="str">
            <v>RESULTADO</v>
          </cell>
          <cell r="E123" t="str">
            <v>TOTAL</v>
          </cell>
          <cell r="F123" t="str">
            <v>%</v>
          </cell>
          <cell r="G123" t="str">
            <v>RESULTADO</v>
          </cell>
          <cell r="J123" t="str">
            <v>TOTAL</v>
          </cell>
          <cell r="K123" t="str">
            <v>%</v>
          </cell>
          <cell r="L123" t="str">
            <v>RESULTADO</v>
          </cell>
          <cell r="M123" t="str">
            <v>TOTAL</v>
          </cell>
          <cell r="N123" t="str">
            <v>%</v>
          </cell>
          <cell r="O123" t="str">
            <v>RESULTADO</v>
          </cell>
        </row>
        <row r="124">
          <cell r="A124" t="str">
            <v>SIM</v>
          </cell>
          <cell r="B124">
            <v>152</v>
          </cell>
          <cell r="C124">
            <v>0.79166666666666663</v>
          </cell>
          <cell r="D124" t="str">
            <v>SATISFATÓRIO</v>
          </cell>
          <cell r="E124">
            <v>153</v>
          </cell>
          <cell r="F124">
            <v>0.85474860335195535</v>
          </cell>
          <cell r="G124" t="str">
            <v>DESEJÁVEL</v>
          </cell>
          <cell r="I124" t="str">
            <v>SIM</v>
          </cell>
          <cell r="J124">
            <v>140</v>
          </cell>
          <cell r="K124">
            <v>0.72916666666666663</v>
          </cell>
          <cell r="L124" t="str">
            <v>SATISFATÓRIO</v>
          </cell>
          <cell r="M124">
            <v>124</v>
          </cell>
          <cell r="N124">
            <v>0.69273743016759781</v>
          </cell>
          <cell r="O124" t="str">
            <v>SATISFATÓRIO</v>
          </cell>
        </row>
        <row r="125">
          <cell r="A125" t="str">
            <v>PARCIAL</v>
          </cell>
          <cell r="B125">
            <v>38</v>
          </cell>
          <cell r="C125">
            <v>0.19791666666666666</v>
          </cell>
          <cell r="D125" t="str">
            <v>SATISFATÓRIO</v>
          </cell>
          <cell r="E125">
            <v>22</v>
          </cell>
          <cell r="F125">
            <v>0.12290502793296089</v>
          </cell>
          <cell r="G125" t="str">
            <v>SATISFATÓRIO</v>
          </cell>
          <cell r="I125" t="str">
            <v>PARCIAL</v>
          </cell>
          <cell r="J125">
            <v>49</v>
          </cell>
          <cell r="K125">
            <v>0.25520833333333331</v>
          </cell>
          <cell r="L125" t="str">
            <v>SATISFATÓRIO</v>
          </cell>
          <cell r="M125">
            <v>49</v>
          </cell>
          <cell r="N125">
            <v>0.27374301675977653</v>
          </cell>
          <cell r="O125" t="str">
            <v>SATISFATÓRIO</v>
          </cell>
        </row>
        <row r="126">
          <cell r="A126" t="str">
            <v>NÃO</v>
          </cell>
          <cell r="B126">
            <v>2</v>
          </cell>
          <cell r="C126">
            <v>1.0416666666666666E-2</v>
          </cell>
          <cell r="D126" t="str">
            <v>DESEJÁVEL</v>
          </cell>
          <cell r="E126">
            <v>4</v>
          </cell>
          <cell r="F126">
            <v>2.23463687150838E-2</v>
          </cell>
          <cell r="G126" t="str">
            <v>DESEJÁVEL</v>
          </cell>
          <cell r="I126" t="str">
            <v>NÃO</v>
          </cell>
          <cell r="J126">
            <v>3</v>
          </cell>
          <cell r="K126">
            <v>1.5625E-2</v>
          </cell>
          <cell r="L126" t="str">
            <v>DESEJÁVEL</v>
          </cell>
          <cell r="M126">
            <v>6</v>
          </cell>
          <cell r="N126">
            <v>3.3519553072625698E-2</v>
          </cell>
          <cell r="O126" t="str">
            <v>DESEJÁVEL</v>
          </cell>
        </row>
        <row r="127">
          <cell r="A127" t="str">
            <v>TOTAL</v>
          </cell>
          <cell r="B127">
            <v>192</v>
          </cell>
          <cell r="C127">
            <v>0.99999999999999989</v>
          </cell>
          <cell r="E127">
            <v>179</v>
          </cell>
          <cell r="F127">
            <v>1</v>
          </cell>
          <cell r="I127" t="str">
            <v>TOTAL</v>
          </cell>
          <cell r="J127">
            <v>192</v>
          </cell>
          <cell r="K127">
            <v>1</v>
          </cell>
          <cell r="M127">
            <v>179</v>
          </cell>
          <cell r="N127">
            <v>1</v>
          </cell>
        </row>
        <row r="162">
          <cell r="A162" t="str">
            <v>CONSIDERO ADEQUADA A LOCALIZAÇÃO DO MEU TRABALHO?</v>
          </cell>
          <cell r="B162">
            <v>2020</v>
          </cell>
          <cell r="C162"/>
          <cell r="D162"/>
          <cell r="E162">
            <v>2018</v>
          </cell>
          <cell r="F162"/>
          <cell r="G162"/>
          <cell r="I162" t="str">
            <v>CONSIDERO ADEQUADA A ACESSIBILIDADE NO MME?</v>
          </cell>
          <cell r="J162">
            <v>2020</v>
          </cell>
          <cell r="K162"/>
          <cell r="L162"/>
          <cell r="M162">
            <v>2018</v>
          </cell>
          <cell r="N162"/>
          <cell r="O162"/>
        </row>
        <row r="163">
          <cell r="B163" t="str">
            <v>TOTAL</v>
          </cell>
          <cell r="C163" t="str">
            <v>%</v>
          </cell>
          <cell r="D163" t="str">
            <v>RESULTADO</v>
          </cell>
          <cell r="E163" t="str">
            <v>TOTAL</v>
          </cell>
          <cell r="F163" t="str">
            <v>%</v>
          </cell>
          <cell r="G163" t="str">
            <v>RESULTADO</v>
          </cell>
          <cell r="J163" t="str">
            <v>TOTAL</v>
          </cell>
          <cell r="K163" t="str">
            <v>%</v>
          </cell>
          <cell r="L163" t="str">
            <v>RESULTADO</v>
          </cell>
          <cell r="M163" t="str">
            <v>TOTAL</v>
          </cell>
          <cell r="N163" t="str">
            <v>%</v>
          </cell>
          <cell r="O163" t="str">
            <v>RESULTADO</v>
          </cell>
        </row>
        <row r="164">
          <cell r="A164" t="str">
            <v>SIM</v>
          </cell>
          <cell r="B164">
            <v>172</v>
          </cell>
          <cell r="C164">
            <v>0.89583333333333337</v>
          </cell>
          <cell r="D164" t="str">
            <v>DESEJÁVEL</v>
          </cell>
          <cell r="E164" t="str">
            <v>*</v>
          </cell>
          <cell r="F164" t="str">
            <v>*</v>
          </cell>
          <cell r="G164" t="str">
            <v>*</v>
          </cell>
          <cell r="I164" t="str">
            <v>SIM</v>
          </cell>
          <cell r="J164">
            <v>177</v>
          </cell>
          <cell r="K164">
            <v>0.921875</v>
          </cell>
          <cell r="L164" t="str">
            <v>DESEJÁVEL</v>
          </cell>
          <cell r="M164">
            <v>138</v>
          </cell>
          <cell r="N164">
            <v>0.77094972067039103</v>
          </cell>
          <cell r="O164" t="str">
            <v>SATISFATÓRIO</v>
          </cell>
        </row>
        <row r="165">
          <cell r="A165" t="str">
            <v>PARCIAL</v>
          </cell>
          <cell r="B165">
            <v>18</v>
          </cell>
          <cell r="C165">
            <v>9.375E-2</v>
          </cell>
          <cell r="D165" t="str">
            <v>SATISFATÓRIO</v>
          </cell>
          <cell r="E165" t="str">
            <v>*</v>
          </cell>
          <cell r="F165" t="str">
            <v>*</v>
          </cell>
          <cell r="G165" t="str">
            <v>*</v>
          </cell>
          <cell r="I165" t="str">
            <v>PARCIAL</v>
          </cell>
          <cell r="J165">
            <v>15</v>
          </cell>
          <cell r="K165">
            <v>7.8125E-2</v>
          </cell>
          <cell r="L165" t="str">
            <v>SATISFATÓRIO</v>
          </cell>
          <cell r="M165">
            <v>35</v>
          </cell>
          <cell r="N165">
            <v>0.19553072625698323</v>
          </cell>
          <cell r="O165" t="str">
            <v>SATISFATÓRIO</v>
          </cell>
        </row>
        <row r="166">
          <cell r="A166" t="str">
            <v>NÃO</v>
          </cell>
          <cell r="B166">
            <v>2</v>
          </cell>
          <cell r="C166">
            <v>1.0416666666666666E-2</v>
          </cell>
          <cell r="D166" t="str">
            <v>DESEJÁVEL</v>
          </cell>
          <cell r="E166" t="str">
            <v>*</v>
          </cell>
          <cell r="F166" t="str">
            <v>*</v>
          </cell>
          <cell r="G166" t="str">
            <v>*</v>
          </cell>
          <cell r="I166" t="str">
            <v>NÃO</v>
          </cell>
          <cell r="J166">
            <v>0</v>
          </cell>
          <cell r="K166">
            <v>0</v>
          </cell>
          <cell r="L166" t="str">
            <v>DESEJÁVEL</v>
          </cell>
          <cell r="M166">
            <v>6</v>
          </cell>
          <cell r="N166">
            <v>3.3519553072625698E-2</v>
          </cell>
          <cell r="O166" t="str">
            <v>DESEJÁVEL</v>
          </cell>
        </row>
        <row r="167">
          <cell r="A167" t="str">
            <v>TOTAL</v>
          </cell>
          <cell r="B167">
            <v>192</v>
          </cell>
          <cell r="C167">
            <v>1</v>
          </cell>
          <cell r="E167" t="str">
            <v>*</v>
          </cell>
          <cell r="F167" t="str">
            <v>*</v>
          </cell>
          <cell r="I167" t="str">
            <v>TOTAL</v>
          </cell>
          <cell r="J167">
            <v>192</v>
          </cell>
          <cell r="K167">
            <v>1</v>
          </cell>
          <cell r="M167">
            <v>179</v>
          </cell>
          <cell r="N167">
            <v>0.99999999999999989</v>
          </cell>
        </row>
      </sheetData>
      <sheetData sheetId="20">
        <row r="3">
          <cell r="A3" t="str">
            <v>DURANTE O PERÍODO DA PANDEMIA, NO TELETRABALHO, OS SISTEMAS REMOTOS DISPONIBILIZADOS FUNCIONARAM A CONTENTO?</v>
          </cell>
          <cell r="B3">
            <v>2020</v>
          </cell>
          <cell r="E3">
            <v>2017</v>
          </cell>
          <cell r="I3" t="str">
            <v>DURANTE O PERÍODO DE PANDEMIA, NO TRABALHO PRESENCIAL, AS INSTALAÇÕES DO MME ENCONTRARAM -SE APTAS AO EXERCÍCIO SEGURO DAS ATIVIDADES?</v>
          </cell>
          <cell r="J3">
            <v>2020</v>
          </cell>
          <cell r="M3">
            <v>2017</v>
          </cell>
        </row>
        <row r="4">
          <cell r="B4" t="str">
            <v>TOTAL</v>
          </cell>
          <cell r="C4" t="str">
            <v>%</v>
          </cell>
          <cell r="D4" t="str">
            <v>RESULTADO</v>
          </cell>
          <cell r="E4" t="str">
            <v>TOTAL</v>
          </cell>
          <cell r="F4" t="str">
            <v>%</v>
          </cell>
          <cell r="G4" t="str">
            <v>RESULTADO</v>
          </cell>
          <cell r="J4" t="str">
            <v>TOTAL</v>
          </cell>
          <cell r="K4" t="str">
            <v>%</v>
          </cell>
          <cell r="L4" t="str">
            <v>RESULTADO</v>
          </cell>
          <cell r="M4" t="str">
            <v>TOTAL</v>
          </cell>
          <cell r="N4" t="str">
            <v>%</v>
          </cell>
          <cell r="O4" t="str">
            <v>RESULTADO</v>
          </cell>
        </row>
        <row r="5">
          <cell r="A5" t="str">
            <v>SIM</v>
          </cell>
          <cell r="B5">
            <v>126</v>
          </cell>
          <cell r="C5">
            <v>0.65625</v>
          </cell>
          <cell r="D5" t="str">
            <v>SATISFATÓRIO</v>
          </cell>
          <cell r="E5" t="str">
            <v>*</v>
          </cell>
          <cell r="F5" t="str">
            <v>*</v>
          </cell>
          <cell r="G5" t="str">
            <v>*</v>
          </cell>
          <cell r="I5" t="str">
            <v>SIM</v>
          </cell>
          <cell r="J5">
            <v>140</v>
          </cell>
          <cell r="K5">
            <v>0.72916666666666663</v>
          </cell>
          <cell r="L5" t="str">
            <v>SATISFATÓRIO</v>
          </cell>
          <cell r="M5" t="str">
            <v>*</v>
          </cell>
          <cell r="N5" t="str">
            <v>*</v>
          </cell>
          <cell r="O5" t="str">
            <v>*</v>
          </cell>
        </row>
        <row r="6">
          <cell r="A6" t="str">
            <v>PARCIAL</v>
          </cell>
          <cell r="B6">
            <v>62</v>
          </cell>
          <cell r="C6">
            <v>0.32291666666666669</v>
          </cell>
          <cell r="D6" t="str">
            <v>SATISFATÓRIO</v>
          </cell>
          <cell r="E6" t="str">
            <v>*</v>
          </cell>
          <cell r="F6" t="str">
            <v>*</v>
          </cell>
          <cell r="G6" t="str">
            <v>*</v>
          </cell>
          <cell r="I6" t="str">
            <v>PARCIAL</v>
          </cell>
          <cell r="J6">
            <v>40</v>
          </cell>
          <cell r="K6">
            <v>0.20833333333333334</v>
          </cell>
          <cell r="L6" t="str">
            <v>SATISFATÓRIO</v>
          </cell>
          <cell r="M6" t="str">
            <v>*</v>
          </cell>
          <cell r="N6" t="str">
            <v>*</v>
          </cell>
          <cell r="O6" t="str">
            <v>*</v>
          </cell>
        </row>
        <row r="7">
          <cell r="A7" t="str">
            <v>NÃO</v>
          </cell>
          <cell r="B7">
            <v>4</v>
          </cell>
          <cell r="C7">
            <v>2.0833333333333332E-2</v>
          </cell>
          <cell r="D7" t="str">
            <v>DESEJÁVEL</v>
          </cell>
          <cell r="E7" t="str">
            <v>*</v>
          </cell>
          <cell r="F7" t="str">
            <v>*</v>
          </cell>
          <cell r="G7" t="str">
            <v>*</v>
          </cell>
          <cell r="I7" t="str">
            <v>NÃO</v>
          </cell>
          <cell r="J7">
            <v>12</v>
          </cell>
          <cell r="K7">
            <v>6.25E-2</v>
          </cell>
          <cell r="L7" t="str">
            <v>SATISFATÓRIO</v>
          </cell>
          <cell r="M7" t="str">
            <v>*</v>
          </cell>
          <cell r="N7" t="str">
            <v>*</v>
          </cell>
          <cell r="O7" t="str">
            <v>*</v>
          </cell>
        </row>
        <row r="8">
          <cell r="A8" t="str">
            <v>TOTAL</v>
          </cell>
          <cell r="B8">
            <v>192</v>
          </cell>
          <cell r="C8">
            <v>1</v>
          </cell>
          <cell r="E8" t="str">
            <v>*</v>
          </cell>
          <cell r="F8" t="str">
            <v>*</v>
          </cell>
          <cell r="I8" t="str">
            <v>TOTAL</v>
          </cell>
          <cell r="J8">
            <v>192</v>
          </cell>
          <cell r="K8">
            <v>1</v>
          </cell>
          <cell r="M8" t="str">
            <v>*</v>
          </cell>
          <cell r="N8" t="str">
            <v>*</v>
          </cell>
        </row>
        <row r="27">
          <cell r="A27" t="str">
            <v>DURANTE O PERÍODO DE PANDEMIA, NO TELETRABALHO, CONTRIBUÍ PARA O DESENVOLVIMENTO DAS ATIVIDADES NECESSÁRIAS?</v>
          </cell>
          <cell r="B27">
            <v>2020</v>
          </cell>
          <cell r="E27">
            <v>2017</v>
          </cell>
          <cell r="I27" t="str">
            <v>DURANTE O PERÍODO DA PANDEMIA, NO TRABALHO PRESENCIAL, CONTRIBUÍ PARA O DESENVOLVIMENTO DAS NECESSÁRIAS?</v>
          </cell>
          <cell r="J27">
            <v>2020</v>
          </cell>
          <cell r="M27">
            <v>2017</v>
          </cell>
        </row>
        <row r="28">
          <cell r="B28" t="str">
            <v>TOTAL</v>
          </cell>
          <cell r="C28" t="str">
            <v>%</v>
          </cell>
          <cell r="D28" t="str">
            <v>RESULTADO</v>
          </cell>
          <cell r="E28" t="str">
            <v>TOTAL</v>
          </cell>
          <cell r="F28" t="str">
            <v>%</v>
          </cell>
          <cell r="G28" t="str">
            <v>RESULTADO</v>
          </cell>
          <cell r="J28" t="str">
            <v>TOTAL</v>
          </cell>
          <cell r="K28" t="str">
            <v>%</v>
          </cell>
          <cell r="L28" t="str">
            <v>RESULTADO</v>
          </cell>
          <cell r="M28" t="str">
            <v>TOTAL</v>
          </cell>
          <cell r="N28" t="str">
            <v>%</v>
          </cell>
          <cell r="O28" t="str">
            <v>RESULTADO</v>
          </cell>
        </row>
        <row r="29">
          <cell r="A29" t="str">
            <v>SIM</v>
          </cell>
          <cell r="B29">
            <v>173</v>
          </cell>
          <cell r="C29">
            <v>0.90104166666666663</v>
          </cell>
          <cell r="D29" t="str">
            <v>DESEJÁVEL</v>
          </cell>
          <cell r="E29" t="str">
            <v>*</v>
          </cell>
          <cell r="F29" t="str">
            <v>*</v>
          </cell>
          <cell r="G29" t="str">
            <v>*</v>
          </cell>
          <cell r="I29" t="str">
            <v>SIM</v>
          </cell>
          <cell r="J29">
            <v>151</v>
          </cell>
          <cell r="K29">
            <v>0.78645833333333337</v>
          </cell>
          <cell r="L29" t="str">
            <v>SATISFATÓRIO</v>
          </cell>
          <cell r="M29" t="str">
            <v>*</v>
          </cell>
          <cell r="N29" t="str">
            <v>*</v>
          </cell>
          <cell r="O29" t="str">
            <v>*</v>
          </cell>
        </row>
        <row r="30">
          <cell r="A30" t="str">
            <v>PARCIAL</v>
          </cell>
          <cell r="B30">
            <v>17</v>
          </cell>
          <cell r="C30">
            <v>8.8541666666666671E-2</v>
          </cell>
          <cell r="D30" t="str">
            <v>SATISFATÓRIO</v>
          </cell>
          <cell r="E30" t="str">
            <v>*</v>
          </cell>
          <cell r="F30" t="str">
            <v>*</v>
          </cell>
          <cell r="G30" t="str">
            <v>*</v>
          </cell>
          <cell r="I30" t="str">
            <v>PARCIAL</v>
          </cell>
          <cell r="J30">
            <v>27</v>
          </cell>
          <cell r="K30">
            <v>0.140625</v>
          </cell>
          <cell r="L30" t="str">
            <v>SATISFATÓRIO</v>
          </cell>
          <cell r="M30" t="str">
            <v>*</v>
          </cell>
          <cell r="N30" t="str">
            <v>*</v>
          </cell>
          <cell r="O30" t="str">
            <v>*</v>
          </cell>
        </row>
        <row r="31">
          <cell r="A31" t="str">
            <v>NÃO</v>
          </cell>
          <cell r="B31">
            <v>2</v>
          </cell>
          <cell r="C31">
            <v>1.0416666666666666E-2</v>
          </cell>
          <cell r="D31" t="str">
            <v>DESEJÁVEL</v>
          </cell>
          <cell r="E31" t="str">
            <v>*</v>
          </cell>
          <cell r="F31" t="str">
            <v>*</v>
          </cell>
          <cell r="G31" t="str">
            <v>*</v>
          </cell>
          <cell r="I31" t="str">
            <v>NÃO</v>
          </cell>
          <cell r="J31">
            <v>14</v>
          </cell>
          <cell r="K31">
            <v>7.2916666666666671E-2</v>
          </cell>
          <cell r="L31" t="str">
            <v>SATISFATÓRIO</v>
          </cell>
          <cell r="M31" t="str">
            <v>*</v>
          </cell>
          <cell r="N31" t="str">
            <v>*</v>
          </cell>
          <cell r="O31" t="str">
            <v>*</v>
          </cell>
        </row>
        <row r="32">
          <cell r="A32" t="str">
            <v>TOTAL</v>
          </cell>
          <cell r="B32">
            <v>192</v>
          </cell>
          <cell r="C32">
            <v>0.99999999999999989</v>
          </cell>
          <cell r="E32" t="str">
            <v>*</v>
          </cell>
          <cell r="F32" t="str">
            <v>*</v>
          </cell>
          <cell r="I32" t="str">
            <v>TOTAL</v>
          </cell>
          <cell r="J32">
            <v>192</v>
          </cell>
          <cell r="K32">
            <v>1</v>
          </cell>
          <cell r="M32" t="str">
            <v>*</v>
          </cell>
          <cell r="N32" t="str">
            <v>*</v>
          </cell>
        </row>
      </sheetData>
      <sheetData sheetId="21">
        <row r="1">
          <cell r="C1" t="str">
            <v>ÍNDICE DE CLIMA ORGANIZACIONAL   2020                                       (nº itens avaliados positivamente/nº total de itens)*100</v>
          </cell>
          <cell r="G1">
            <v>0.88888888888888884</v>
          </cell>
          <cell r="I1" t="str">
            <v>ÍNDICE DE CLIMA ORGANIZACIONAL  2018                                        (nº itens avaliados positivamente/nº total de itens)*100</v>
          </cell>
          <cell r="M1">
            <v>0.6875</v>
          </cell>
        </row>
        <row r="5">
          <cell r="A5" t="str">
            <v>TENHO CONHECIMENTO DA MISSÃO, VISÃO E VALORES DO MME?</v>
          </cell>
          <cell r="C5" t="str">
            <v>ITEM 01</v>
          </cell>
          <cell r="D5">
            <v>2020</v>
          </cell>
          <cell r="I5" t="str">
            <v>ITEM 01</v>
          </cell>
          <cell r="J5">
            <v>2017</v>
          </cell>
        </row>
        <row r="6">
          <cell r="D6" t="str">
            <v>TOTAL</v>
          </cell>
          <cell r="E6" t="str">
            <v>%</v>
          </cell>
          <cell r="F6" t="str">
            <v>RESULTADO</v>
          </cell>
          <cell r="G6" t="str">
            <v>ITEM AVALIADO POSITIVAMENTE?             (1 - SIM / 0 - NÃO)</v>
          </cell>
          <cell r="J6" t="str">
            <v>TOTAL</v>
          </cell>
          <cell r="K6" t="str">
            <v>%</v>
          </cell>
          <cell r="L6" t="str">
            <v>RESULTADO</v>
          </cell>
          <cell r="M6" t="str">
            <v>ITEM AVALIADO POSITIVAMENTE?             (1 - SIM / 0 - NÃO)</v>
          </cell>
        </row>
        <row r="7">
          <cell r="A7" t="str">
            <v>SIM</v>
          </cell>
          <cell r="D7">
            <v>136</v>
          </cell>
          <cell r="E7">
            <v>0.70833333333333337</v>
          </cell>
          <cell r="F7" t="str">
            <v>SATISFATÓRIO</v>
          </cell>
          <cell r="G7">
            <v>1</v>
          </cell>
          <cell r="J7">
            <v>131</v>
          </cell>
          <cell r="K7">
            <v>0.70810810810810809</v>
          </cell>
          <cell r="L7" t="str">
            <v>SATISFATÓRIO</v>
          </cell>
          <cell r="M7">
            <v>1</v>
          </cell>
        </row>
        <row r="8">
          <cell r="A8" t="str">
            <v>PARCIAL</v>
          </cell>
          <cell r="D8">
            <v>54</v>
          </cell>
          <cell r="E8">
            <v>0.28125</v>
          </cell>
          <cell r="F8" t="str">
            <v>SATISFATÓRIO</v>
          </cell>
          <cell r="J8">
            <v>45</v>
          </cell>
          <cell r="K8">
            <v>0.24324324324324326</v>
          </cell>
          <cell r="L8" t="str">
            <v>SATISFATÓRIO</v>
          </cell>
        </row>
        <row r="9">
          <cell r="A9" t="str">
            <v>NÃO</v>
          </cell>
          <cell r="D9">
            <v>2</v>
          </cell>
          <cell r="E9">
            <v>1.0416666666666666E-2</v>
          </cell>
          <cell r="F9" t="str">
            <v>DESEJÁVEL</v>
          </cell>
          <cell r="J9">
            <v>9</v>
          </cell>
          <cell r="K9">
            <v>4.8648648648648651E-2</v>
          </cell>
          <cell r="L9" t="str">
            <v>DESEJÁVEL</v>
          </cell>
        </row>
        <row r="10">
          <cell r="A10" t="str">
            <v>TOTAL</v>
          </cell>
          <cell r="D10">
            <v>192</v>
          </cell>
          <cell r="E10">
            <v>1</v>
          </cell>
          <cell r="J10">
            <v>185</v>
          </cell>
          <cell r="K10">
            <v>1</v>
          </cell>
        </row>
        <row r="12">
          <cell r="A12" t="str">
            <v>TENHO INTERESSE EM CONHECER A MISSÃO, VISÃO E VALORES DO MME?</v>
          </cell>
          <cell r="C12" t="str">
            <v>ITEM 02</v>
          </cell>
          <cell r="D12">
            <v>2020</v>
          </cell>
          <cell r="I12" t="str">
            <v>ITEM 02</v>
          </cell>
          <cell r="J12">
            <v>2017</v>
          </cell>
        </row>
        <row r="13">
          <cell r="D13" t="str">
            <v>TOTAL</v>
          </cell>
          <cell r="E13" t="str">
            <v>%</v>
          </cell>
          <cell r="F13" t="str">
            <v>RESULTADO</v>
          </cell>
          <cell r="G13" t="str">
            <v>ITEM AVALIADO POSITIVAMENTE?             (1 - SIM / 0 - NÃO)</v>
          </cell>
          <cell r="J13" t="str">
            <v>TOTAL</v>
          </cell>
          <cell r="K13" t="str">
            <v>%</v>
          </cell>
          <cell r="L13" t="str">
            <v>RESULTADO</v>
          </cell>
          <cell r="M13" t="str">
            <v>ITEM AVALIADO POSITIVAMENTE?             (1 - SIM / 0 - NÃO)</v>
          </cell>
        </row>
        <row r="14">
          <cell r="A14" t="str">
            <v>SIM</v>
          </cell>
          <cell r="D14">
            <v>168</v>
          </cell>
          <cell r="E14">
            <v>0.875</v>
          </cell>
          <cell r="F14" t="str">
            <v>DESEJÁVEL</v>
          </cell>
          <cell r="G14">
            <v>1</v>
          </cell>
          <cell r="J14">
            <v>144</v>
          </cell>
          <cell r="K14">
            <v>0.77837837837837842</v>
          </cell>
          <cell r="L14" t="str">
            <v>SATISFATÓRIO</v>
          </cell>
          <cell r="M14">
            <v>1</v>
          </cell>
        </row>
        <row r="15">
          <cell r="A15" t="str">
            <v>PARCIAL</v>
          </cell>
          <cell r="D15">
            <v>14</v>
          </cell>
          <cell r="E15">
            <v>7.2916666666666671E-2</v>
          </cell>
          <cell r="F15" t="str">
            <v>SATISFATÓRIO</v>
          </cell>
          <cell r="J15">
            <v>26</v>
          </cell>
          <cell r="K15">
            <v>0.14054054054054055</v>
          </cell>
          <cell r="L15" t="str">
            <v>SATISFATÓRIO</v>
          </cell>
        </row>
        <row r="16">
          <cell r="A16" t="str">
            <v>NÃO</v>
          </cell>
          <cell r="D16">
            <v>10</v>
          </cell>
          <cell r="E16">
            <v>5.2083333333333336E-2</v>
          </cell>
          <cell r="F16" t="str">
            <v>DESEJÁVEL</v>
          </cell>
          <cell r="J16">
            <v>15</v>
          </cell>
          <cell r="K16">
            <v>8.1081081081081086E-2</v>
          </cell>
          <cell r="L16" t="str">
            <v>SATISFATÓRIO</v>
          </cell>
        </row>
        <row r="17">
          <cell r="A17" t="str">
            <v>TOTAL</v>
          </cell>
          <cell r="D17">
            <v>192</v>
          </cell>
          <cell r="E17">
            <v>1</v>
          </cell>
          <cell r="J17">
            <v>185</v>
          </cell>
          <cell r="K17">
            <v>1</v>
          </cell>
        </row>
        <row r="19">
          <cell r="A19" t="str">
            <v>SOU VALORIZADO PROFISSIONALMENTE</v>
          </cell>
          <cell r="C19" t="str">
            <v>ITEM 03</v>
          </cell>
          <cell r="D19">
            <v>2020</v>
          </cell>
          <cell r="I19" t="str">
            <v>ITEM 03</v>
          </cell>
          <cell r="J19">
            <v>2017</v>
          </cell>
        </row>
        <row r="20">
          <cell r="D20" t="str">
            <v>TOTAL</v>
          </cell>
          <cell r="E20" t="str">
            <v>%</v>
          </cell>
          <cell r="F20" t="str">
            <v>RESULTADO</v>
          </cell>
          <cell r="G20" t="str">
            <v>ITEM AVALIADO POSITIVAMENTE?             (1 - SIM / 0 - NÃO)</v>
          </cell>
          <cell r="J20" t="str">
            <v>TOTAL</v>
          </cell>
          <cell r="K20" t="str">
            <v>%</v>
          </cell>
          <cell r="L20" t="str">
            <v>RESULTADO</v>
          </cell>
          <cell r="M20" t="str">
            <v>ITEM AVALIADO POSITIVAMENTE?             (1 - SIM / 0 - NÃO)</v>
          </cell>
        </row>
        <row r="21">
          <cell r="A21" t="str">
            <v>SIM</v>
          </cell>
          <cell r="D21">
            <v>133</v>
          </cell>
          <cell r="E21">
            <v>0.69270833333333337</v>
          </cell>
          <cell r="F21" t="str">
            <v>SATISFATÓRIO</v>
          </cell>
          <cell r="G21">
            <v>1</v>
          </cell>
          <cell r="J21">
            <v>68</v>
          </cell>
          <cell r="K21">
            <v>0.36956521739130432</v>
          </cell>
          <cell r="L21" t="str">
            <v>INSATISFATÓRIO</v>
          </cell>
          <cell r="M21">
            <v>0</v>
          </cell>
        </row>
        <row r="22">
          <cell r="A22" t="str">
            <v>PARCIAL</v>
          </cell>
          <cell r="D22">
            <v>49</v>
          </cell>
          <cell r="E22">
            <v>0.25520833333333331</v>
          </cell>
          <cell r="F22" t="str">
            <v>SATISFATÓRIO</v>
          </cell>
          <cell r="J22">
            <v>81</v>
          </cell>
          <cell r="K22">
            <v>0.44021739130434784</v>
          </cell>
          <cell r="L22" t="str">
            <v>SATISFATÓRIO</v>
          </cell>
        </row>
        <row r="23">
          <cell r="A23" t="str">
            <v>NÃO</v>
          </cell>
          <cell r="D23">
            <v>10</v>
          </cell>
          <cell r="E23">
            <v>5.2083333333333336E-2</v>
          </cell>
          <cell r="F23" t="str">
            <v>DESEJÁVEL</v>
          </cell>
          <cell r="J23">
            <v>35</v>
          </cell>
          <cell r="K23">
            <v>0.19021739130434784</v>
          </cell>
          <cell r="L23" t="str">
            <v>INSATISFATÓRIO</v>
          </cell>
        </row>
        <row r="24">
          <cell r="A24" t="str">
            <v>TOTAL</v>
          </cell>
          <cell r="D24">
            <v>192</v>
          </cell>
          <cell r="E24">
            <v>1</v>
          </cell>
          <cell r="J24">
            <v>184</v>
          </cell>
          <cell r="K24">
            <v>1</v>
          </cell>
        </row>
        <row r="26">
          <cell r="A26" t="str">
            <v>SOU VALORIZADO PELO TRABALHO QUE EXECUTO</v>
          </cell>
          <cell r="C26" t="str">
            <v>ITEM **</v>
          </cell>
          <cell r="D26">
            <v>2020</v>
          </cell>
          <cell r="I26" t="str">
            <v>ITEM 04</v>
          </cell>
          <cell r="J26">
            <v>2017</v>
          </cell>
        </row>
        <row r="27">
          <cell r="D27" t="str">
            <v>TOTAL</v>
          </cell>
          <cell r="E27" t="str">
            <v>%</v>
          </cell>
          <cell r="F27" t="str">
            <v>RESULTADO</v>
          </cell>
          <cell r="G27" t="str">
            <v>ITEM AVALIADO POSITIVAMENTE?             (1 - SIM / 0 - NÃO)</v>
          </cell>
          <cell r="J27" t="str">
            <v>TOTAL</v>
          </cell>
          <cell r="K27" t="str">
            <v>%</v>
          </cell>
          <cell r="L27" t="str">
            <v>RESULTADO</v>
          </cell>
          <cell r="M27" t="str">
            <v>ITEM AVALIADO POSITIVAMENTE?             (1 - SIM / 0 - NÃO)</v>
          </cell>
        </row>
        <row r="28">
          <cell r="A28" t="str">
            <v>SIM</v>
          </cell>
          <cell r="D28" t="str">
            <v>*</v>
          </cell>
          <cell r="E28" t="str">
            <v>*</v>
          </cell>
          <cell r="F28" t="str">
            <v>*</v>
          </cell>
          <cell r="G28" t="str">
            <v>**</v>
          </cell>
          <cell r="J28">
            <v>73</v>
          </cell>
          <cell r="K28">
            <v>0.39673913043478259</v>
          </cell>
          <cell r="L28" t="str">
            <v>INSATISFATÓRIO</v>
          </cell>
          <cell r="M28">
            <v>0</v>
          </cell>
        </row>
        <row r="29">
          <cell r="A29" t="str">
            <v>PARCIAL</v>
          </cell>
          <cell r="D29" t="str">
            <v>*</v>
          </cell>
          <cell r="E29" t="str">
            <v>*</v>
          </cell>
          <cell r="F29" t="str">
            <v>*</v>
          </cell>
          <cell r="J29">
            <v>71</v>
          </cell>
          <cell r="K29">
            <v>0.3858695652173913</v>
          </cell>
          <cell r="L29" t="str">
            <v>SATISFATÓRIO</v>
          </cell>
        </row>
        <row r="30">
          <cell r="A30" t="str">
            <v>NÃO</v>
          </cell>
          <cell r="D30" t="str">
            <v>*</v>
          </cell>
          <cell r="E30" t="str">
            <v>*</v>
          </cell>
          <cell r="F30" t="str">
            <v>*</v>
          </cell>
          <cell r="J30">
            <v>36</v>
          </cell>
          <cell r="K30">
            <v>0.19565217391304349</v>
          </cell>
          <cell r="L30" t="str">
            <v>INSATISFATÓRIO</v>
          </cell>
        </row>
        <row r="31">
          <cell r="A31" t="str">
            <v>TOTAL</v>
          </cell>
          <cell r="D31" t="str">
            <v>*</v>
          </cell>
          <cell r="E31" t="str">
            <v>*</v>
          </cell>
          <cell r="J31">
            <v>180</v>
          </cell>
          <cell r="K31">
            <v>0.97826086956521729</v>
          </cell>
        </row>
        <row r="33">
          <cell r="A33" t="str">
            <v>TENHO OPORTUNIDADE DE DESENVOLVIMENTO NO SERVIÇO</v>
          </cell>
          <cell r="C33" t="str">
            <v>ITEM 04</v>
          </cell>
          <cell r="D33">
            <v>2020</v>
          </cell>
          <cell r="I33" t="str">
            <v>ITEM 05</v>
          </cell>
          <cell r="J33">
            <v>2017</v>
          </cell>
        </row>
        <row r="34">
          <cell r="D34" t="str">
            <v>TOTAL</v>
          </cell>
          <cell r="E34" t="str">
            <v>%</v>
          </cell>
          <cell r="F34" t="str">
            <v>RESULTADO</v>
          </cell>
          <cell r="G34" t="str">
            <v>ITEM AVALIADO POSITIVAMENTE?             (1 - SIM / 0 - NÃO)</v>
          </cell>
          <cell r="J34" t="str">
            <v>TOTAL</v>
          </cell>
          <cell r="K34" t="str">
            <v>%</v>
          </cell>
          <cell r="L34" t="str">
            <v>RESULTADO</v>
          </cell>
          <cell r="M34" t="str">
            <v>ITEM AVALIADO POSITIVAMENTE?             (1 - SIM / 0 - NÃO)</v>
          </cell>
        </row>
        <row r="35">
          <cell r="A35" t="str">
            <v>SIM</v>
          </cell>
          <cell r="D35">
            <v>127</v>
          </cell>
          <cell r="E35">
            <v>0.66145833333333337</v>
          </cell>
          <cell r="F35" t="str">
            <v>SATISFATÓRIO</v>
          </cell>
          <cell r="G35">
            <v>1</v>
          </cell>
          <cell r="J35">
            <v>74</v>
          </cell>
          <cell r="K35">
            <v>0.40217391304347827</v>
          </cell>
          <cell r="L35" t="str">
            <v>INSATISFATÓRIO</v>
          </cell>
          <cell r="M35">
            <v>0</v>
          </cell>
        </row>
        <row r="36">
          <cell r="A36" t="str">
            <v>PARCIAL</v>
          </cell>
          <cell r="D36">
            <v>51</v>
          </cell>
          <cell r="E36">
            <v>0.265625</v>
          </cell>
          <cell r="F36" t="str">
            <v>SATISFATÓRIO</v>
          </cell>
          <cell r="J36">
            <v>70</v>
          </cell>
          <cell r="K36">
            <v>0.38043478260869568</v>
          </cell>
          <cell r="L36" t="str">
            <v>SATISFATÓRIO</v>
          </cell>
        </row>
        <row r="37">
          <cell r="A37" t="str">
            <v>NÃO</v>
          </cell>
          <cell r="D37">
            <v>14</v>
          </cell>
          <cell r="E37">
            <v>7.2916666666666671E-2</v>
          </cell>
          <cell r="F37" t="str">
            <v>SATISFATÓRIO</v>
          </cell>
          <cell r="J37">
            <v>40</v>
          </cell>
          <cell r="K37">
            <v>0.21739130434782608</v>
          </cell>
          <cell r="L37" t="str">
            <v>INSATISFATÓRIO</v>
          </cell>
        </row>
        <row r="38">
          <cell r="A38" t="str">
            <v>TOTAL</v>
          </cell>
          <cell r="D38">
            <v>192</v>
          </cell>
          <cell r="E38">
            <v>1</v>
          </cell>
          <cell r="J38">
            <v>184</v>
          </cell>
          <cell r="K38">
            <v>1</v>
          </cell>
        </row>
        <row r="40">
          <cell r="A40" t="str">
            <v>O MME INVESTE NO MEU CRESCIMENTO PROFISSIONAL?</v>
          </cell>
          <cell r="C40" t="str">
            <v>ITEM 05</v>
          </cell>
          <cell r="D40">
            <v>2020</v>
          </cell>
          <cell r="I40" t="str">
            <v>ITEM 06</v>
          </cell>
          <cell r="J40">
            <v>2017</v>
          </cell>
        </row>
        <row r="41">
          <cell r="D41" t="str">
            <v>TOTAL</v>
          </cell>
          <cell r="E41" t="str">
            <v>%</v>
          </cell>
          <cell r="F41" t="str">
            <v>RESULTADO</v>
          </cell>
          <cell r="G41" t="str">
            <v>ITEM AVALIADO POSITIVAMENTE?             (1 - SIM / 0 - NÃO)</v>
          </cell>
          <cell r="J41" t="str">
            <v>TOTAL</v>
          </cell>
          <cell r="K41" t="str">
            <v>%</v>
          </cell>
          <cell r="L41" t="str">
            <v>RESULTADO</v>
          </cell>
          <cell r="M41" t="str">
            <v>ITEM AVALIADO POSITIVAMENTE?             (1 - SIM / 0 - NÃO)</v>
          </cell>
        </row>
        <row r="42">
          <cell r="A42" t="str">
            <v>SIM</v>
          </cell>
          <cell r="D42">
            <v>93</v>
          </cell>
          <cell r="E42">
            <v>0.484375</v>
          </cell>
          <cell r="F42" t="str">
            <v>INSATISFATÓRIO</v>
          </cell>
          <cell r="G42">
            <v>0</v>
          </cell>
          <cell r="J42">
            <v>46</v>
          </cell>
          <cell r="K42">
            <v>0.2541436464088398</v>
          </cell>
          <cell r="L42" t="str">
            <v>INSATISFATÓRIO</v>
          </cell>
          <cell r="M42">
            <v>0</v>
          </cell>
        </row>
        <row r="43">
          <cell r="A43" t="str">
            <v>PARCIAL</v>
          </cell>
          <cell r="D43">
            <v>75</v>
          </cell>
          <cell r="E43">
            <v>0.390625</v>
          </cell>
          <cell r="F43" t="str">
            <v>SATISFATÓRIO</v>
          </cell>
          <cell r="J43">
            <v>85</v>
          </cell>
          <cell r="K43">
            <v>0.46961325966850831</v>
          </cell>
          <cell r="L43" t="str">
            <v>SATISFATÓRIO</v>
          </cell>
        </row>
        <row r="44">
          <cell r="A44" t="str">
            <v>NÃO</v>
          </cell>
          <cell r="D44">
            <v>24</v>
          </cell>
          <cell r="E44">
            <v>0.125</v>
          </cell>
          <cell r="F44" t="str">
            <v>INSATISFATÓRIO</v>
          </cell>
          <cell r="J44">
            <v>50</v>
          </cell>
          <cell r="K44">
            <v>0.27624309392265195</v>
          </cell>
          <cell r="L44" t="str">
            <v>INSATISFATÓRIO</v>
          </cell>
        </row>
        <row r="45">
          <cell r="A45" t="str">
            <v>TOTAL</v>
          </cell>
          <cell r="D45">
            <v>192</v>
          </cell>
          <cell r="E45">
            <v>1</v>
          </cell>
          <cell r="J45">
            <v>181</v>
          </cell>
          <cell r="K45">
            <v>1</v>
          </cell>
        </row>
        <row r="47">
          <cell r="A47" t="str">
            <v>SINTO ORGULHO DE SER SERVIDOR/EMPREGADO DO MME?</v>
          </cell>
          <cell r="C47" t="str">
            <v>ITEM 06</v>
          </cell>
          <cell r="D47">
            <v>2020</v>
          </cell>
          <cell r="I47" t="str">
            <v>ITEM 07</v>
          </cell>
          <cell r="J47">
            <v>2017</v>
          </cell>
        </row>
        <row r="48">
          <cell r="D48" t="str">
            <v>TOTAL</v>
          </cell>
          <cell r="E48" t="str">
            <v>%</v>
          </cell>
          <cell r="F48" t="str">
            <v>RESULTADO</v>
          </cell>
          <cell r="G48" t="str">
            <v>ITEM AVALIADO POSITIVAMENTE?             (1 - SIM / 0 - NÃO)</v>
          </cell>
          <cell r="J48" t="str">
            <v>TOTAL</v>
          </cell>
          <cell r="K48" t="str">
            <v>%</v>
          </cell>
          <cell r="L48" t="str">
            <v>RESULTADO</v>
          </cell>
          <cell r="M48" t="str">
            <v>ITEM AVALIADO POSITIVAMENTE?             (1 - SIM / 0 - NÃO)</v>
          </cell>
        </row>
        <row r="49">
          <cell r="A49" t="str">
            <v>SIM</v>
          </cell>
          <cell r="D49">
            <v>161</v>
          </cell>
          <cell r="E49">
            <v>0.83854166666666663</v>
          </cell>
          <cell r="F49" t="str">
            <v>DESEJÁVEL</v>
          </cell>
          <cell r="G49">
            <v>1</v>
          </cell>
          <cell r="J49">
            <v>114</v>
          </cell>
          <cell r="K49">
            <v>0.6333333333333333</v>
          </cell>
          <cell r="L49" t="str">
            <v>SATISFATÓRIO</v>
          </cell>
          <cell r="M49">
            <v>1</v>
          </cell>
        </row>
        <row r="50">
          <cell r="A50" t="str">
            <v>PARCIAL</v>
          </cell>
          <cell r="D50">
            <v>26</v>
          </cell>
          <cell r="E50">
            <v>0.13541666666666666</v>
          </cell>
          <cell r="F50" t="str">
            <v>SATISFATÓRIO</v>
          </cell>
          <cell r="J50">
            <v>46</v>
          </cell>
          <cell r="K50">
            <v>0.25555555555555554</v>
          </cell>
          <cell r="L50" t="str">
            <v>SATISFATÓRIO</v>
          </cell>
        </row>
        <row r="51">
          <cell r="A51" t="str">
            <v>NÃO</v>
          </cell>
          <cell r="D51">
            <v>5</v>
          </cell>
          <cell r="E51">
            <v>2.6041666666666668E-2</v>
          </cell>
          <cell r="F51" t="str">
            <v>DESEJÁVEL</v>
          </cell>
          <cell r="J51">
            <v>20</v>
          </cell>
          <cell r="K51">
            <v>0.1111111111111111</v>
          </cell>
          <cell r="L51" t="str">
            <v>INSATISFATÓRIO</v>
          </cell>
        </row>
        <row r="52">
          <cell r="A52" t="str">
            <v>TOTAL</v>
          </cell>
          <cell r="D52">
            <v>192</v>
          </cell>
          <cell r="E52">
            <v>0.99999999999999989</v>
          </cell>
          <cell r="J52">
            <v>180</v>
          </cell>
          <cell r="K52">
            <v>1</v>
          </cell>
        </row>
        <row r="54">
          <cell r="A54" t="str">
            <v>CONFIO PLENAMENTE NA MINHA CHEFIA</v>
          </cell>
          <cell r="C54" t="str">
            <v>ITEM **</v>
          </cell>
          <cell r="D54">
            <v>2020</v>
          </cell>
          <cell r="I54" t="str">
            <v>ITEM 08</v>
          </cell>
          <cell r="J54">
            <v>2017</v>
          </cell>
        </row>
        <row r="55">
          <cell r="D55" t="str">
            <v>TOTAL</v>
          </cell>
          <cell r="E55" t="str">
            <v>%</v>
          </cell>
          <cell r="F55" t="str">
            <v>RESULTADO</v>
          </cell>
          <cell r="G55" t="str">
            <v>ITEM AVALIADO POSITIVAMENTE?             (1 - SIM / 0 - NÃO)</v>
          </cell>
          <cell r="J55" t="str">
            <v>TOTAL</v>
          </cell>
          <cell r="K55" t="str">
            <v>%</v>
          </cell>
          <cell r="L55" t="str">
            <v>RESULTADO</v>
          </cell>
          <cell r="M55" t="str">
            <v>ITEM AVALIADO POSITIVAMENTE?             (1 - SIM / 0 - NÃO)</v>
          </cell>
        </row>
        <row r="56">
          <cell r="A56" t="str">
            <v>SIM</v>
          </cell>
          <cell r="D56" t="str">
            <v>*</v>
          </cell>
          <cell r="E56" t="str">
            <v>*</v>
          </cell>
          <cell r="F56" t="str">
            <v>*</v>
          </cell>
          <cell r="G56" t="str">
            <v>**</v>
          </cell>
          <cell r="J56">
            <v>113</v>
          </cell>
          <cell r="K56">
            <v>0.61413043478260865</v>
          </cell>
          <cell r="L56" t="str">
            <v>SATISFATÓRIO</v>
          </cell>
          <cell r="M56">
            <v>1</v>
          </cell>
        </row>
        <row r="57">
          <cell r="A57" t="str">
            <v>PARCIAL</v>
          </cell>
          <cell r="D57" t="str">
            <v>*</v>
          </cell>
          <cell r="E57" t="str">
            <v>*</v>
          </cell>
          <cell r="F57" t="str">
            <v>*</v>
          </cell>
          <cell r="J57">
            <v>48</v>
          </cell>
          <cell r="K57">
            <v>0.2608695652173913</v>
          </cell>
          <cell r="L57" t="str">
            <v>SATISFATÓRIO</v>
          </cell>
        </row>
        <row r="58">
          <cell r="A58" t="str">
            <v>NÃO</v>
          </cell>
          <cell r="D58" t="str">
            <v>*</v>
          </cell>
          <cell r="E58" t="str">
            <v>*</v>
          </cell>
          <cell r="F58" t="str">
            <v>*</v>
          </cell>
          <cell r="J58">
            <v>23</v>
          </cell>
          <cell r="K58">
            <v>0.125</v>
          </cell>
          <cell r="L58" t="str">
            <v>INSATISFATÓRIO</v>
          </cell>
        </row>
        <row r="59">
          <cell r="A59" t="str">
            <v>TOTAL</v>
          </cell>
          <cell r="D59" t="str">
            <v>*</v>
          </cell>
          <cell r="E59" t="str">
            <v>*</v>
          </cell>
          <cell r="J59">
            <v>184</v>
          </cell>
          <cell r="K59">
            <v>1</v>
          </cell>
        </row>
        <row r="61">
          <cell r="A61" t="str">
            <v>MEU CHEFE TEM O PERFIL INDICADO PARA FUNÇÃO QUE OCUPA?</v>
          </cell>
          <cell r="C61" t="str">
            <v>ITEM 07</v>
          </cell>
          <cell r="D61">
            <v>2020</v>
          </cell>
          <cell r="I61" t="str">
            <v>ITEM 09</v>
          </cell>
          <cell r="J61">
            <v>2017</v>
          </cell>
        </row>
        <row r="62">
          <cell r="D62" t="str">
            <v>TOTAL</v>
          </cell>
          <cell r="E62" t="str">
            <v>%</v>
          </cell>
          <cell r="F62" t="str">
            <v>RESULTADO</v>
          </cell>
          <cell r="G62" t="str">
            <v>ITEM AVALIADO POSITIVAMENTE?             (1 - SIM / 0 - NÃO)</v>
          </cell>
          <cell r="J62" t="str">
            <v>TOTAL</v>
          </cell>
          <cell r="K62" t="str">
            <v>%</v>
          </cell>
          <cell r="L62" t="str">
            <v>RESULTADO</v>
          </cell>
          <cell r="M62" t="str">
            <v>ITEM AVALIADO POSITIVAMENTE?             (1 - SIM / 0 - NÃO)</v>
          </cell>
        </row>
        <row r="63">
          <cell r="A63" t="str">
            <v>SIM</v>
          </cell>
          <cell r="D63">
            <v>166</v>
          </cell>
          <cell r="E63">
            <v>0.86458333333333337</v>
          </cell>
          <cell r="F63" t="str">
            <v>DESEJÁVEL</v>
          </cell>
          <cell r="G63">
            <v>1</v>
          </cell>
          <cell r="J63">
            <v>132</v>
          </cell>
          <cell r="K63">
            <v>0.71739130434782605</v>
          </cell>
          <cell r="L63" t="str">
            <v>SATISFATÓRIO</v>
          </cell>
          <cell r="M63">
            <v>1</v>
          </cell>
        </row>
        <row r="64">
          <cell r="A64" t="str">
            <v>PARCIAL</v>
          </cell>
          <cell r="D64">
            <v>19</v>
          </cell>
          <cell r="E64">
            <v>9.8958333333333329E-2</v>
          </cell>
          <cell r="F64" t="str">
            <v>SATISFATÓRIO</v>
          </cell>
          <cell r="J64">
            <v>39</v>
          </cell>
          <cell r="K64">
            <v>0.21195652173913043</v>
          </cell>
          <cell r="L64" t="str">
            <v>SATISFATÓRIO</v>
          </cell>
        </row>
        <row r="65">
          <cell r="A65" t="str">
            <v>NÃO</v>
          </cell>
          <cell r="D65">
            <v>7</v>
          </cell>
          <cell r="E65">
            <v>3.6458333333333336E-2</v>
          </cell>
          <cell r="F65" t="str">
            <v>DESEJÁVEL</v>
          </cell>
          <cell r="J65">
            <v>13</v>
          </cell>
          <cell r="K65">
            <v>7.0652173913043473E-2</v>
          </cell>
          <cell r="L65" t="str">
            <v>SATISFATÓRIO</v>
          </cell>
        </row>
        <row r="66">
          <cell r="A66" t="str">
            <v>TOTAL</v>
          </cell>
          <cell r="D66">
            <v>192</v>
          </cell>
          <cell r="E66">
            <v>1</v>
          </cell>
          <cell r="J66">
            <v>184</v>
          </cell>
          <cell r="K66">
            <v>1</v>
          </cell>
        </row>
        <row r="68">
          <cell r="A68" t="str">
            <v>MEU CHEFE IMPULSIONA A EQUIPE PARA ALCANÇAR AS METAS</v>
          </cell>
          <cell r="C68" t="str">
            <v>ITEM 08</v>
          </cell>
          <cell r="D68">
            <v>2020</v>
          </cell>
          <cell r="I68" t="str">
            <v>ITEM 10</v>
          </cell>
          <cell r="J68">
            <v>2017</v>
          </cell>
        </row>
        <row r="69">
          <cell r="D69" t="str">
            <v>TOTAL</v>
          </cell>
          <cell r="E69" t="str">
            <v>%</v>
          </cell>
          <cell r="F69" t="str">
            <v>RESULTADO</v>
          </cell>
          <cell r="G69" t="str">
            <v>ITEM AVALIADO POSITIVAMENTE?             (1 - SIM / 0 - NÃO)</v>
          </cell>
          <cell r="J69" t="str">
            <v>TOTAL</v>
          </cell>
          <cell r="K69" t="str">
            <v>%</v>
          </cell>
          <cell r="L69" t="str">
            <v>RESULTADO</v>
          </cell>
          <cell r="M69" t="str">
            <v>ITEM AVALIADO POSITIVAMENTE?             (1 - SIM / 0 - NÃO)</v>
          </cell>
        </row>
        <row r="70">
          <cell r="A70" t="str">
            <v>SIM</v>
          </cell>
          <cell r="D70">
            <v>163</v>
          </cell>
          <cell r="E70">
            <v>0.84895833333333337</v>
          </cell>
          <cell r="F70" t="str">
            <v>DESEJÁVEL</v>
          </cell>
          <cell r="G70">
            <v>1</v>
          </cell>
          <cell r="J70">
            <v>112</v>
          </cell>
          <cell r="K70">
            <v>0.60869565217391308</v>
          </cell>
          <cell r="L70" t="str">
            <v>SATISFATÓRIO</v>
          </cell>
          <cell r="M70">
            <v>1</v>
          </cell>
        </row>
        <row r="71">
          <cell r="A71" t="str">
            <v>PARCIAL</v>
          </cell>
          <cell r="D71">
            <v>23</v>
          </cell>
          <cell r="E71">
            <v>0.11979166666666667</v>
          </cell>
          <cell r="F71" t="str">
            <v>SATISFATÓRIO</v>
          </cell>
          <cell r="J71">
            <v>45</v>
          </cell>
          <cell r="K71">
            <v>0.24456521739130435</v>
          </cell>
          <cell r="L71" t="str">
            <v>SATISFATÓRIO</v>
          </cell>
        </row>
        <row r="72">
          <cell r="A72" t="str">
            <v>NÃO</v>
          </cell>
          <cell r="D72">
            <v>6</v>
          </cell>
          <cell r="E72">
            <v>3.125E-2</v>
          </cell>
          <cell r="F72" t="str">
            <v>DESEJÁVEL</v>
          </cell>
          <cell r="J72">
            <v>27</v>
          </cell>
          <cell r="K72">
            <v>0.14673913043478262</v>
          </cell>
          <cell r="L72" t="str">
            <v>INSATISFATÓRIO</v>
          </cell>
        </row>
        <row r="73">
          <cell r="A73" t="str">
            <v>TOTAL</v>
          </cell>
          <cell r="D73">
            <v>192</v>
          </cell>
          <cell r="E73">
            <v>1</v>
          </cell>
          <cell r="J73">
            <v>184</v>
          </cell>
          <cell r="K73">
            <v>1</v>
          </cell>
        </row>
        <row r="75">
          <cell r="A75" t="str">
            <v>CONSIDERO A EQUIPE DO MEU SETOR/UNIDADE SUFICIENTE PARA O DESENVOLVIMENTO DAS ATIVIDADES?</v>
          </cell>
          <cell r="C75" t="str">
            <v>ITEM 09</v>
          </cell>
          <cell r="D75">
            <v>2020</v>
          </cell>
          <cell r="I75" t="str">
            <v>ITEM 11</v>
          </cell>
          <cell r="J75">
            <v>2017</v>
          </cell>
        </row>
        <row r="76">
          <cell r="D76" t="str">
            <v>TOTAL</v>
          </cell>
          <cell r="E76" t="str">
            <v>%</v>
          </cell>
          <cell r="F76" t="str">
            <v>RESULTADO</v>
          </cell>
          <cell r="G76" t="str">
            <v>ITEM AVALIADO POSITIVAMENTE?             (1 - SIM / 0 - NÃO)</v>
          </cell>
          <cell r="J76" t="str">
            <v>TOTAL</v>
          </cell>
          <cell r="K76" t="str">
            <v>%</v>
          </cell>
          <cell r="L76" t="str">
            <v>RESULTADO</v>
          </cell>
          <cell r="M76" t="str">
            <v>ITEM AVALIADO POSITIVAMENTE?             (1 - SIM / 0 - NÃO)</v>
          </cell>
        </row>
        <row r="77">
          <cell r="A77" t="str">
            <v>SIM</v>
          </cell>
          <cell r="D77">
            <v>72</v>
          </cell>
          <cell r="E77">
            <v>0.375</v>
          </cell>
          <cell r="F77" t="str">
            <v>INSATISFATÓRIO</v>
          </cell>
          <cell r="G77">
            <v>0</v>
          </cell>
          <cell r="J77">
            <v>68</v>
          </cell>
          <cell r="K77">
            <v>0.37158469945355194</v>
          </cell>
          <cell r="L77" t="str">
            <v>INSATISFATÓRIO</v>
          </cell>
          <cell r="M77">
            <v>0</v>
          </cell>
        </row>
        <row r="78">
          <cell r="A78" t="str">
            <v>PARCIAL</v>
          </cell>
          <cell r="D78">
            <v>68</v>
          </cell>
          <cell r="E78">
            <v>0.35416666666666669</v>
          </cell>
          <cell r="F78" t="str">
            <v>SATISFATÓRIO</v>
          </cell>
          <cell r="J78">
            <v>67</v>
          </cell>
          <cell r="K78">
            <v>0.36612021857923499</v>
          </cell>
          <cell r="L78" t="str">
            <v>SATISFATÓRIO</v>
          </cell>
        </row>
        <row r="79">
          <cell r="A79" t="str">
            <v>NÃO</v>
          </cell>
          <cell r="D79">
            <v>52</v>
          </cell>
          <cell r="E79">
            <v>0.27083333333333331</v>
          </cell>
          <cell r="F79" t="str">
            <v>INSATISFATÓRIO</v>
          </cell>
          <cell r="J79">
            <v>48</v>
          </cell>
          <cell r="K79">
            <v>0.26229508196721313</v>
          </cell>
          <cell r="L79" t="str">
            <v>INSATISFATÓRIO</v>
          </cell>
        </row>
        <row r="80">
          <cell r="A80" t="str">
            <v>TOTAL</v>
          </cell>
          <cell r="D80">
            <v>192</v>
          </cell>
          <cell r="E80">
            <v>1</v>
          </cell>
          <cell r="J80">
            <v>183</v>
          </cell>
          <cell r="K80">
            <v>1</v>
          </cell>
        </row>
        <row r="82">
          <cell r="A82" t="str">
            <v>CONSIDERO ADEQUADA A DISTRIBUIÇÃO DAS TAREFAS NO SETOR/UNIDADE EM QUE ATUO?</v>
          </cell>
          <cell r="C82" t="str">
            <v>ITEM 10</v>
          </cell>
          <cell r="D82">
            <v>2020</v>
          </cell>
          <cell r="I82" t="str">
            <v>ITEM 12</v>
          </cell>
          <cell r="J82">
            <v>2017</v>
          </cell>
        </row>
        <row r="83">
          <cell r="D83" t="str">
            <v>TOTAL</v>
          </cell>
          <cell r="E83" t="str">
            <v>%</v>
          </cell>
          <cell r="F83" t="str">
            <v>RESULTADO</v>
          </cell>
          <cell r="G83" t="str">
            <v>ITEM AVALIADO POSITIVAMENTE?             (1 - SIM / 0 - NÃO)</v>
          </cell>
          <cell r="J83" t="str">
            <v>TOTAL</v>
          </cell>
          <cell r="K83" t="str">
            <v>%</v>
          </cell>
          <cell r="L83" t="str">
            <v>RESULTADO</v>
          </cell>
          <cell r="M83" t="str">
            <v>ITEM AVALIADO POSITIVAMENTE?             (1 - SIM / 0 - NÃO)</v>
          </cell>
        </row>
        <row r="84">
          <cell r="A84" t="str">
            <v>SIM</v>
          </cell>
          <cell r="D84">
            <v>84</v>
          </cell>
          <cell r="E84">
            <v>0.4375</v>
          </cell>
          <cell r="F84" t="str">
            <v>INSATISFATÓRIO</v>
          </cell>
          <cell r="G84">
            <v>0</v>
          </cell>
          <cell r="J84">
            <v>65</v>
          </cell>
          <cell r="K84">
            <v>0.3551912568306011</v>
          </cell>
          <cell r="L84" t="str">
            <v>INSATISFATÓRIO</v>
          </cell>
          <cell r="M84">
            <v>0</v>
          </cell>
        </row>
        <row r="85">
          <cell r="A85" t="str">
            <v>PARCIAL</v>
          </cell>
          <cell r="D85">
            <v>73</v>
          </cell>
          <cell r="E85">
            <v>0.38020833333333331</v>
          </cell>
          <cell r="F85" t="str">
            <v>SATISFATÓRIO</v>
          </cell>
          <cell r="J85">
            <v>65</v>
          </cell>
          <cell r="K85">
            <v>0.3551912568306011</v>
          </cell>
          <cell r="L85" t="str">
            <v>SATISFATÓRIO</v>
          </cell>
        </row>
        <row r="86">
          <cell r="A86" t="str">
            <v>NÃO</v>
          </cell>
          <cell r="D86">
            <v>35</v>
          </cell>
          <cell r="E86">
            <v>0.18229166666666666</v>
          </cell>
          <cell r="F86" t="str">
            <v>INSATISFATÓRIO</v>
          </cell>
          <cell r="J86">
            <v>53</v>
          </cell>
          <cell r="K86">
            <v>0.2896174863387978</v>
          </cell>
          <cell r="L86" t="str">
            <v>INSATISFATÓRIO</v>
          </cell>
        </row>
        <row r="87">
          <cell r="A87" t="str">
            <v>TOTAL</v>
          </cell>
          <cell r="D87">
            <v>192</v>
          </cell>
          <cell r="E87">
            <v>0.99999999999999989</v>
          </cell>
          <cell r="J87">
            <v>183</v>
          </cell>
          <cell r="K87">
            <v>1</v>
          </cell>
        </row>
        <row r="89">
          <cell r="A89" t="str">
            <v>MEU SALÁRIO É JUSTO E ADEQUADO A MINHA FUNÇÃO?</v>
          </cell>
          <cell r="C89" t="str">
            <v>ITEM 11</v>
          </cell>
          <cell r="D89">
            <v>2020</v>
          </cell>
          <cell r="I89" t="str">
            <v>ITEM 13</v>
          </cell>
          <cell r="J89">
            <v>2017</v>
          </cell>
        </row>
        <row r="90">
          <cell r="D90" t="str">
            <v>TOTAL</v>
          </cell>
          <cell r="E90" t="str">
            <v>%</v>
          </cell>
          <cell r="F90" t="str">
            <v>RESULTADO</v>
          </cell>
          <cell r="G90" t="str">
            <v>ITEM AVALIADO POSITIVAMENTE?             (1 - SIM / 0 - NÃO)</v>
          </cell>
          <cell r="J90" t="str">
            <v>TOTAL</v>
          </cell>
          <cell r="K90" t="str">
            <v>%</v>
          </cell>
          <cell r="L90" t="str">
            <v>RESULTADO</v>
          </cell>
          <cell r="M90" t="str">
            <v>ITEM AVALIADO POSITIVAMENTE?             (1 - SIM / 0 - NÃO)</v>
          </cell>
        </row>
        <row r="91">
          <cell r="A91" t="str">
            <v>SIM</v>
          </cell>
          <cell r="D91">
            <v>90</v>
          </cell>
          <cell r="E91">
            <v>0.46875</v>
          </cell>
          <cell r="F91" t="str">
            <v>INSATISFATÓRIO</v>
          </cell>
          <cell r="G91">
            <v>0</v>
          </cell>
          <cell r="J91">
            <v>61</v>
          </cell>
          <cell r="K91">
            <v>0.33333333333333331</v>
          </cell>
          <cell r="L91" t="str">
            <v>INSATISFATÓRIO</v>
          </cell>
          <cell r="M91">
            <v>0</v>
          </cell>
        </row>
        <row r="92">
          <cell r="A92" t="str">
            <v>PARCIAL</v>
          </cell>
          <cell r="D92">
            <v>69</v>
          </cell>
          <cell r="E92">
            <v>0.359375</v>
          </cell>
          <cell r="F92" t="str">
            <v>SATISFATÓRIO</v>
          </cell>
          <cell r="J92">
            <v>58</v>
          </cell>
          <cell r="K92">
            <v>0.31693989071038253</v>
          </cell>
          <cell r="L92" t="str">
            <v>SATISFATÓRIO</v>
          </cell>
        </row>
        <row r="93">
          <cell r="A93" t="str">
            <v>NÃO</v>
          </cell>
          <cell r="D93">
            <v>33</v>
          </cell>
          <cell r="E93">
            <v>0.171875</v>
          </cell>
          <cell r="F93" t="str">
            <v>INSATISFATÓRIO</v>
          </cell>
          <cell r="J93">
            <v>64</v>
          </cell>
          <cell r="K93">
            <v>0.34972677595628415</v>
          </cell>
          <cell r="L93" t="str">
            <v>CRÍTICO</v>
          </cell>
        </row>
        <row r="94">
          <cell r="A94" t="str">
            <v>TOTAL</v>
          </cell>
          <cell r="D94">
            <v>192</v>
          </cell>
          <cell r="E94">
            <v>1</v>
          </cell>
          <cell r="J94">
            <v>183</v>
          </cell>
          <cell r="K94">
            <v>1</v>
          </cell>
        </row>
        <row r="96">
          <cell r="A96" t="str">
            <v>MEU SALÁRIO E BENEFÍCIOS ESTÃO NA MÉDIA OU ACIMA DO QUE É OFERECIDO NO MERCADO?</v>
          </cell>
          <cell r="C96" t="str">
            <v>ITEM 12</v>
          </cell>
          <cell r="D96">
            <v>2020</v>
          </cell>
          <cell r="I96" t="str">
            <v>ITEM **</v>
          </cell>
          <cell r="J96">
            <v>2017</v>
          </cell>
        </row>
        <row r="97">
          <cell r="D97" t="str">
            <v>TOTAL</v>
          </cell>
          <cell r="E97" t="str">
            <v>%</v>
          </cell>
          <cell r="F97" t="str">
            <v>RESULTADO</v>
          </cell>
          <cell r="G97" t="str">
            <v>ITEM AVALIADO POSITIVAMENTE?             (1 - SIM / 0 - NÃO)</v>
          </cell>
          <cell r="J97" t="str">
            <v>TOTAL</v>
          </cell>
          <cell r="K97" t="str">
            <v>%</v>
          </cell>
          <cell r="L97" t="str">
            <v>RESULTADO</v>
          </cell>
          <cell r="M97" t="str">
            <v>ITEM AVALIADO POSITIVAMENTE?             (1 - SIM / 0 - NÃO)</v>
          </cell>
        </row>
        <row r="98">
          <cell r="A98" t="str">
            <v>SIM</v>
          </cell>
          <cell r="D98">
            <v>55</v>
          </cell>
          <cell r="E98">
            <v>0.28645833333333331</v>
          </cell>
          <cell r="F98" t="str">
            <v>INSATISFATÓRIO</v>
          </cell>
          <cell r="G98">
            <v>0</v>
          </cell>
          <cell r="J98" t="str">
            <v>*</v>
          </cell>
          <cell r="K98" t="str">
            <v>*</v>
          </cell>
          <cell r="L98" t="str">
            <v>*</v>
          </cell>
          <cell r="M98" t="str">
            <v>**</v>
          </cell>
        </row>
        <row r="99">
          <cell r="A99" t="str">
            <v>PARCIAL</v>
          </cell>
          <cell r="D99">
            <v>81</v>
          </cell>
          <cell r="E99">
            <v>0.421875</v>
          </cell>
          <cell r="F99" t="str">
            <v>SATISFATÓRIO</v>
          </cell>
          <cell r="J99" t="str">
            <v>*</v>
          </cell>
          <cell r="K99" t="str">
            <v>*</v>
          </cell>
          <cell r="L99" t="str">
            <v>*</v>
          </cell>
        </row>
        <row r="100">
          <cell r="A100" t="str">
            <v>NÃO</v>
          </cell>
          <cell r="D100">
            <v>56</v>
          </cell>
          <cell r="E100">
            <v>0.29166666666666669</v>
          </cell>
          <cell r="F100" t="str">
            <v>INSATISFATÓRIO</v>
          </cell>
          <cell r="J100" t="str">
            <v>*</v>
          </cell>
          <cell r="K100" t="str">
            <v>*</v>
          </cell>
          <cell r="L100" t="str">
            <v>*</v>
          </cell>
        </row>
        <row r="101">
          <cell r="A101" t="str">
            <v>TOTAL</v>
          </cell>
          <cell r="D101">
            <v>192</v>
          </cell>
          <cell r="E101">
            <v>1</v>
          </cell>
          <cell r="J101" t="str">
            <v>*</v>
          </cell>
          <cell r="K101" t="str">
            <v>*</v>
          </cell>
        </row>
        <row r="102">
          <cell r="I102"/>
        </row>
        <row r="103">
          <cell r="A103" t="str">
            <v>O RELACIONAMENTO COM OS COLEGAS DE TRABALHO FAVORECE A EXECUÇÃO DAS ATIVIDADES NA UNIDADE/SETOR?</v>
          </cell>
          <cell r="C103" t="str">
            <v>ITEM 13</v>
          </cell>
          <cell r="D103">
            <v>2020</v>
          </cell>
          <cell r="I103" t="str">
            <v>ITEM 14</v>
          </cell>
          <cell r="J103">
            <v>2017</v>
          </cell>
        </row>
        <row r="104">
          <cell r="D104" t="str">
            <v>TOTAL</v>
          </cell>
          <cell r="E104" t="str">
            <v>%</v>
          </cell>
          <cell r="F104" t="str">
            <v>RESULTADO</v>
          </cell>
          <cell r="G104" t="str">
            <v>ITEM AVALIADO POSITIVAMENTE?             (1 - SIM / 0 - NÃO)</v>
          </cell>
          <cell r="J104" t="str">
            <v>TOTAL</v>
          </cell>
          <cell r="K104" t="str">
            <v>%</v>
          </cell>
          <cell r="L104" t="str">
            <v>RESULTADO</v>
          </cell>
          <cell r="M104" t="str">
            <v>ITEM AVALIADO POSITIVAMENTE?             (1 - SIM / 0 - NÃO)</v>
          </cell>
        </row>
        <row r="105">
          <cell r="A105" t="str">
            <v>SIM</v>
          </cell>
          <cell r="D105">
            <v>162</v>
          </cell>
          <cell r="E105">
            <v>0.84375</v>
          </cell>
          <cell r="F105" t="str">
            <v>DESEJÁVEL</v>
          </cell>
          <cell r="G105">
            <v>1</v>
          </cell>
          <cell r="J105">
            <v>143</v>
          </cell>
          <cell r="K105">
            <v>0.79005524861878451</v>
          </cell>
          <cell r="L105" t="str">
            <v>SATISFATÓRIO</v>
          </cell>
          <cell r="M105">
            <v>1</v>
          </cell>
        </row>
        <row r="106">
          <cell r="A106" t="str">
            <v>PARCIAL</v>
          </cell>
          <cell r="D106">
            <v>29</v>
          </cell>
          <cell r="E106">
            <v>0.15104166666666666</v>
          </cell>
          <cell r="F106" t="str">
            <v>SATISFATÓRIO</v>
          </cell>
          <cell r="J106">
            <v>35</v>
          </cell>
          <cell r="K106">
            <v>0.19337016574585636</v>
          </cell>
          <cell r="L106" t="str">
            <v>SATISFATÓRIO</v>
          </cell>
        </row>
        <row r="107">
          <cell r="A107" t="str">
            <v>NÃO</v>
          </cell>
          <cell r="D107">
            <v>1</v>
          </cell>
          <cell r="E107">
            <v>5.208333333333333E-3</v>
          </cell>
          <cell r="F107" t="str">
            <v>DESEJÁVEL</v>
          </cell>
          <cell r="J107">
            <v>3</v>
          </cell>
          <cell r="K107">
            <v>1.6574585635359115E-2</v>
          </cell>
          <cell r="L107" t="str">
            <v>DESEJÁVEL</v>
          </cell>
        </row>
        <row r="108">
          <cell r="A108" t="str">
            <v>TOTAL</v>
          </cell>
          <cell r="D108">
            <v>192</v>
          </cell>
          <cell r="E108">
            <v>1</v>
          </cell>
          <cell r="J108">
            <v>181</v>
          </cell>
          <cell r="K108">
            <v>0.99999999999999989</v>
          </cell>
        </row>
        <row r="110">
          <cell r="A110" t="str">
            <v>AS ATITUDES DOS MEUS COLEGAS DE TRABALHO SÃO ADEQUADAS E COMPATÍVEIS COM O AMBIENTE DE TRABALHO?</v>
          </cell>
          <cell r="C110" t="str">
            <v>ITEM 01</v>
          </cell>
          <cell r="D110">
            <v>2020</v>
          </cell>
          <cell r="I110" t="str">
            <v>ITEM 15</v>
          </cell>
          <cell r="J110">
            <v>2017</v>
          </cell>
        </row>
        <row r="111">
          <cell r="D111" t="str">
            <v>TOTAL</v>
          </cell>
          <cell r="E111" t="str">
            <v>%</v>
          </cell>
          <cell r="F111" t="str">
            <v>RESULTADO</v>
          </cell>
          <cell r="G111" t="str">
            <v>ITEM AVALIADO POSITIVAMENTE?             (1 - SIM / 0 - NÃO)</v>
          </cell>
          <cell r="J111" t="str">
            <v>TOTAL</v>
          </cell>
          <cell r="K111" t="str">
            <v>%</v>
          </cell>
          <cell r="L111" t="str">
            <v>RESULTADO</v>
          </cell>
          <cell r="M111" t="str">
            <v>ITEM AVALIADO POSITIVAMENTE?             (1 - SIM / 0 - NÃO)</v>
          </cell>
        </row>
        <row r="112">
          <cell r="A112" t="str">
            <v>SIM</v>
          </cell>
          <cell r="D112">
            <v>147</v>
          </cell>
          <cell r="E112">
            <v>0.765625</v>
          </cell>
          <cell r="F112" t="str">
            <v>SATISFATÓRIO</v>
          </cell>
          <cell r="G112">
            <v>1</v>
          </cell>
          <cell r="J112">
            <v>100</v>
          </cell>
          <cell r="K112">
            <v>0.5524861878453039</v>
          </cell>
          <cell r="L112" t="str">
            <v>SATISFATÓRIO</v>
          </cell>
          <cell r="M112">
            <v>1</v>
          </cell>
        </row>
        <row r="113">
          <cell r="A113" t="str">
            <v>PARCIAL</v>
          </cell>
          <cell r="D113">
            <v>42</v>
          </cell>
          <cell r="E113">
            <v>0.21875</v>
          </cell>
          <cell r="F113" t="str">
            <v>SATISFATÓRIO</v>
          </cell>
          <cell r="J113">
            <v>72</v>
          </cell>
          <cell r="K113">
            <v>0.39779005524861877</v>
          </cell>
          <cell r="L113" t="str">
            <v>SATISFATÓRIO</v>
          </cell>
        </row>
        <row r="114">
          <cell r="A114" t="str">
            <v>NÃO</v>
          </cell>
          <cell r="D114">
            <v>3</v>
          </cell>
          <cell r="E114">
            <v>1.5625E-2</v>
          </cell>
          <cell r="F114" t="str">
            <v>DESEJÁVEL</v>
          </cell>
          <cell r="J114">
            <v>9</v>
          </cell>
          <cell r="K114">
            <v>4.9723756906077346E-2</v>
          </cell>
          <cell r="L114" t="str">
            <v>DESEJÁVEL</v>
          </cell>
        </row>
        <row r="115">
          <cell r="A115" t="str">
            <v>TOTAL</v>
          </cell>
          <cell r="D115">
            <v>192</v>
          </cell>
          <cell r="E115">
            <v>1</v>
          </cell>
          <cell r="J115">
            <v>181</v>
          </cell>
          <cell r="K115">
            <v>1</v>
          </cell>
        </row>
        <row r="117">
          <cell r="A117" t="str">
            <v>CONSIDERO IMPORTANTE AS CAMPANHAS DE VACINAÇÃO, EXAMES PERIÓDICOS, ATENDIMENTOS MÉDICOS, ENFERMAGEM, PSICOLÓGICAS, ODONTOLÓGICAS MASSAGEM EXPRESSA E EVENTOS COMEMORATIVOS?</v>
          </cell>
          <cell r="C117" t="str">
            <v>ITEM 14</v>
          </cell>
          <cell r="D117">
            <v>2020</v>
          </cell>
          <cell r="I117" t="str">
            <v>ITEM 16</v>
          </cell>
          <cell r="J117">
            <v>2017</v>
          </cell>
        </row>
        <row r="118">
          <cell r="D118" t="str">
            <v>TOTAL</v>
          </cell>
          <cell r="E118" t="str">
            <v>%</v>
          </cell>
          <cell r="F118" t="str">
            <v>RESULTADO</v>
          </cell>
          <cell r="G118" t="str">
            <v>ITEM AVALIADO POSITIVAMENTE?             (1 - SIM / 0 - NÃO)</v>
          </cell>
          <cell r="J118" t="str">
            <v>TOTAL</v>
          </cell>
          <cell r="K118" t="str">
            <v>%</v>
          </cell>
          <cell r="L118" t="str">
            <v>RESULTADO</v>
          </cell>
          <cell r="M118" t="str">
            <v>ITEM AVALIADO POSITIVAMENTE?             (1 - SIM / 0 - NÃO)</v>
          </cell>
        </row>
        <row r="119">
          <cell r="A119" t="str">
            <v>SIM</v>
          </cell>
          <cell r="D119">
            <v>185</v>
          </cell>
          <cell r="E119">
            <v>0.96354166666666663</v>
          </cell>
          <cell r="F119" t="str">
            <v>DESEJÁVEL</v>
          </cell>
          <cell r="G119">
            <v>1</v>
          </cell>
          <cell r="J119">
            <v>169</v>
          </cell>
          <cell r="K119">
            <v>0.93888888888888888</v>
          </cell>
          <cell r="L119" t="str">
            <v>DESEJÁVEL</v>
          </cell>
          <cell r="M119">
            <v>1</v>
          </cell>
        </row>
        <row r="120">
          <cell r="A120" t="str">
            <v>PARCIAL</v>
          </cell>
          <cell r="D120">
            <v>5</v>
          </cell>
          <cell r="E120">
            <v>2.6041666666666668E-2</v>
          </cell>
          <cell r="F120" t="str">
            <v>SATISFATÓRIO</v>
          </cell>
          <cell r="J120">
            <v>10</v>
          </cell>
          <cell r="K120">
            <v>5.5555555555555552E-2</v>
          </cell>
          <cell r="L120" t="str">
            <v>SATISFATÓRIO</v>
          </cell>
        </row>
        <row r="121">
          <cell r="A121" t="str">
            <v>NÃO</v>
          </cell>
          <cell r="D121">
            <v>2</v>
          </cell>
          <cell r="E121">
            <v>1.0416666666666666E-2</v>
          </cell>
          <cell r="F121" t="str">
            <v>DESEJÁVEL</v>
          </cell>
          <cell r="J121">
            <v>1</v>
          </cell>
          <cell r="K121">
            <v>5.5555555555555558E-3</v>
          </cell>
          <cell r="L121" t="str">
            <v>DESEJÁVEL</v>
          </cell>
        </row>
        <row r="122">
          <cell r="A122" t="str">
            <v>TOTAL</v>
          </cell>
          <cell r="D122">
            <v>192</v>
          </cell>
          <cell r="E122">
            <v>0.99999999999999989</v>
          </cell>
          <cell r="J122">
            <v>180</v>
          </cell>
          <cell r="K122">
            <v>1</v>
          </cell>
        </row>
        <row r="124">
          <cell r="A124" t="str">
            <v>CONSIDERO IMPORTANTE A DISPONIBILIZAÇÃO DOS ESPAÇOS PARA SERVIÇOS DE RESTAURANTE, COSTUREIRA, SALÃO DE BELEZA, ASSOCIAÇÃO DOS SERVIDORES/EMPREGADOS DO MME, ACADEMIA, AULAS DE IOGA NO AMBIENTE DE TRABALHO?</v>
          </cell>
          <cell r="C124" t="str">
            <v>ITEM 15</v>
          </cell>
          <cell r="D124">
            <v>2020</v>
          </cell>
          <cell r="I124" t="str">
            <v>ITEM 17</v>
          </cell>
          <cell r="J124">
            <v>2017</v>
          </cell>
        </row>
        <row r="125">
          <cell r="D125" t="str">
            <v>TOTAL</v>
          </cell>
          <cell r="E125" t="str">
            <v>%</v>
          </cell>
          <cell r="F125" t="str">
            <v>RESULTADO</v>
          </cell>
          <cell r="G125" t="str">
            <v>ITEM AVALIADO POSITIVAMENTE?             (1 - SIM / 0 - NÃO)</v>
          </cell>
          <cell r="J125" t="str">
            <v>TOTAL</v>
          </cell>
          <cell r="K125" t="str">
            <v>%</v>
          </cell>
          <cell r="L125" t="str">
            <v>RESULTADO</v>
          </cell>
          <cell r="M125" t="str">
            <v>ITEM AVALIADO POSITIVAMENTE?             (1 - SIM / 0 - NÃO)</v>
          </cell>
        </row>
        <row r="126">
          <cell r="A126" t="str">
            <v>SIM</v>
          </cell>
          <cell r="D126">
            <v>173</v>
          </cell>
          <cell r="E126">
            <v>0.90104166666666663</v>
          </cell>
          <cell r="F126" t="str">
            <v>DESEJÁVEL</v>
          </cell>
          <cell r="G126">
            <v>1</v>
          </cell>
          <cell r="J126">
            <v>153</v>
          </cell>
          <cell r="K126">
            <v>0.85</v>
          </cell>
          <cell r="L126" t="str">
            <v>DESEJÁVEL</v>
          </cell>
          <cell r="M126">
            <v>1</v>
          </cell>
        </row>
        <row r="127">
          <cell r="A127" t="str">
            <v>PARCIAL</v>
          </cell>
          <cell r="D127">
            <v>16</v>
          </cell>
          <cell r="E127">
            <v>8.3333333333333329E-2</v>
          </cell>
          <cell r="F127" t="str">
            <v>SATISFATÓRIO</v>
          </cell>
          <cell r="J127">
            <v>25</v>
          </cell>
          <cell r="K127">
            <v>0.1388888888888889</v>
          </cell>
          <cell r="L127" t="str">
            <v>SATISFATÓRIO</v>
          </cell>
        </row>
        <row r="128">
          <cell r="A128" t="str">
            <v>NÃO</v>
          </cell>
          <cell r="D128">
            <v>3</v>
          </cell>
          <cell r="E128">
            <v>1.5625E-2</v>
          </cell>
          <cell r="F128" t="str">
            <v>DESEJÁVEL</v>
          </cell>
          <cell r="J128">
            <v>2</v>
          </cell>
          <cell r="K128">
            <v>1.1111111111111112E-2</v>
          </cell>
          <cell r="L128" t="str">
            <v>DESEJÁVEL</v>
          </cell>
        </row>
        <row r="129">
          <cell r="A129" t="str">
            <v>TOTAL</v>
          </cell>
          <cell r="D129">
            <v>192</v>
          </cell>
          <cell r="E129">
            <v>1</v>
          </cell>
          <cell r="J129">
            <v>180</v>
          </cell>
          <cell r="K129">
            <v>1</v>
          </cell>
        </row>
        <row r="131">
          <cell r="A131" t="str">
            <v>CONSIDERO IMPORTANTE ATIVIDADES DE TREINAMENTO NO AMBIENTE DE TRABALHO - CENTRO DE CAPACITAÇÃO DO MME?</v>
          </cell>
          <cell r="C131" t="str">
            <v>ITEM 16</v>
          </cell>
          <cell r="D131">
            <v>2020</v>
          </cell>
          <cell r="I131" t="str">
            <v>ITEM 18</v>
          </cell>
          <cell r="J131">
            <v>2017</v>
          </cell>
        </row>
        <row r="132">
          <cell r="D132" t="str">
            <v>TOTAL</v>
          </cell>
          <cell r="E132" t="str">
            <v>%</v>
          </cell>
          <cell r="F132" t="str">
            <v>RESULTADO</v>
          </cell>
          <cell r="G132" t="str">
            <v>ITEM AVALIADO POSITIVAMENTE?             (1 - SIM / 0 - NÃO)</v>
          </cell>
          <cell r="J132" t="str">
            <v>TOTAL</v>
          </cell>
          <cell r="K132" t="str">
            <v>%</v>
          </cell>
          <cell r="L132" t="str">
            <v>RESULTADO</v>
          </cell>
          <cell r="M132" t="str">
            <v>ITEM AVALIADO POSITIVAMENTE?             (1 - SIM / 0 - NÃO)</v>
          </cell>
        </row>
        <row r="133">
          <cell r="A133" t="str">
            <v>SIM</v>
          </cell>
          <cell r="D133">
            <v>185</v>
          </cell>
          <cell r="E133">
            <v>0.96354166666666663</v>
          </cell>
          <cell r="F133" t="str">
            <v>DESEJÁVEL</v>
          </cell>
          <cell r="G133">
            <v>1</v>
          </cell>
          <cell r="J133">
            <v>163</v>
          </cell>
          <cell r="K133">
            <v>0.90555555555555556</v>
          </cell>
          <cell r="L133" t="str">
            <v>DESEJÁVEL</v>
          </cell>
          <cell r="M133">
            <v>1</v>
          </cell>
        </row>
        <row r="134">
          <cell r="A134" t="str">
            <v>PARCIAL</v>
          </cell>
          <cell r="D134">
            <v>7</v>
          </cell>
          <cell r="E134">
            <v>3.6458333333333336E-2</v>
          </cell>
          <cell r="F134" t="str">
            <v>SATISFATÓRIO</v>
          </cell>
          <cell r="J134">
            <v>14</v>
          </cell>
          <cell r="K134">
            <v>7.7777777777777779E-2</v>
          </cell>
          <cell r="L134" t="str">
            <v>SATISFATÓRIO</v>
          </cell>
        </row>
        <row r="135">
          <cell r="A135" t="str">
            <v>NÃO</v>
          </cell>
          <cell r="D135">
            <v>0</v>
          </cell>
          <cell r="E135">
            <v>0</v>
          </cell>
          <cell r="F135" t="str">
            <v>DESEJÁVEL</v>
          </cell>
          <cell r="J135">
            <v>3</v>
          </cell>
          <cell r="K135">
            <v>1.6666666666666666E-2</v>
          </cell>
          <cell r="L135" t="str">
            <v>DESEJÁVEL</v>
          </cell>
        </row>
        <row r="136">
          <cell r="A136" t="str">
            <v>TOTAL</v>
          </cell>
          <cell r="D136">
            <v>192</v>
          </cell>
          <cell r="E136">
            <v>1</v>
          </cell>
          <cell r="F136"/>
          <cell r="G136"/>
          <cell r="J136">
            <v>180</v>
          </cell>
          <cell r="K136">
            <v>1</v>
          </cell>
          <cell r="L136"/>
          <cell r="M136"/>
        </row>
        <row r="137">
          <cell r="I137"/>
        </row>
        <row r="138">
          <cell r="A138" t="str">
            <v>VOCÊ CONTRIBUI PARA REDUZIR A IMPRESSÃO OU CÓPIA DE DOCUMENTOS?</v>
          </cell>
          <cell r="C138" t="str">
            <v>ITEM 17</v>
          </cell>
          <cell r="D138">
            <v>2020</v>
          </cell>
          <cell r="I138" t="str">
            <v>ITEM 19</v>
          </cell>
          <cell r="J138">
            <v>2017</v>
          </cell>
        </row>
        <row r="139">
          <cell r="D139" t="str">
            <v>TOTAL</v>
          </cell>
          <cell r="E139" t="str">
            <v>%</v>
          </cell>
          <cell r="F139" t="str">
            <v>RESULTADO</v>
          </cell>
          <cell r="G139" t="str">
            <v>ITEM AVALIADO POSITIVAMENTE?             (1 - SIM / 0 - NÃO)</v>
          </cell>
          <cell r="J139" t="str">
            <v>TOTAL</v>
          </cell>
          <cell r="K139" t="str">
            <v>%</v>
          </cell>
          <cell r="L139" t="str">
            <v>RESULTADO</v>
          </cell>
          <cell r="M139" t="str">
            <v>ITEM AVALIADO POSITIVAMENTE?             (1 - SIM / 0 - NÃO)</v>
          </cell>
        </row>
        <row r="140">
          <cell r="A140" t="str">
            <v>SIM</v>
          </cell>
          <cell r="D140">
            <v>181</v>
          </cell>
          <cell r="E140">
            <v>0.94270833333333337</v>
          </cell>
          <cell r="F140" t="str">
            <v>DESEJÁVEL</v>
          </cell>
          <cell r="G140">
            <v>1</v>
          </cell>
          <cell r="J140">
            <v>157</v>
          </cell>
          <cell r="K140">
            <v>0.87222222222222223</v>
          </cell>
          <cell r="L140" t="str">
            <v>DESEJÁVEL</v>
          </cell>
          <cell r="M140">
            <v>1</v>
          </cell>
        </row>
        <row r="141">
          <cell r="A141" t="str">
            <v>PARCIAL</v>
          </cell>
          <cell r="D141">
            <v>10</v>
          </cell>
          <cell r="E141">
            <v>5.2083333333333336E-2</v>
          </cell>
          <cell r="F141" t="str">
            <v>SATISFATÓRIO</v>
          </cell>
          <cell r="J141">
            <v>21</v>
          </cell>
          <cell r="K141">
            <v>0.11666666666666667</v>
          </cell>
          <cell r="L141" t="str">
            <v>SATISFATÓRIO</v>
          </cell>
        </row>
        <row r="142">
          <cell r="A142" t="str">
            <v>NÃO</v>
          </cell>
          <cell r="D142">
            <v>1</v>
          </cell>
          <cell r="E142">
            <v>5.208333333333333E-3</v>
          </cell>
          <cell r="F142" t="str">
            <v>DESEJÁVEL</v>
          </cell>
          <cell r="J142">
            <v>2</v>
          </cell>
          <cell r="K142">
            <v>1.1111111111111112E-2</v>
          </cell>
          <cell r="L142" t="str">
            <v>DESEJÁVEL</v>
          </cell>
        </row>
        <row r="143">
          <cell r="A143" t="str">
            <v>TOTAL</v>
          </cell>
          <cell r="D143">
            <v>192</v>
          </cell>
          <cell r="E143">
            <v>1</v>
          </cell>
          <cell r="J143">
            <v>180</v>
          </cell>
          <cell r="K143">
            <v>1</v>
          </cell>
        </row>
        <row r="145">
          <cell r="A145" t="str">
            <v>VOCÊ CONTRIBUI PARA A ECONCOMIA E REAPROVEITAMENTO DO CONSUMO DE ÁGUA E ENERGIA?</v>
          </cell>
          <cell r="C145" t="str">
            <v>ITEM 18</v>
          </cell>
          <cell r="D145">
            <v>2020</v>
          </cell>
          <cell r="I145" t="str">
            <v>ITEM 20</v>
          </cell>
          <cell r="J145">
            <v>2017</v>
          </cell>
        </row>
        <row r="146">
          <cell r="D146" t="str">
            <v>TOTAL</v>
          </cell>
          <cell r="E146" t="str">
            <v>%</v>
          </cell>
          <cell r="F146" t="str">
            <v>RESULTADO</v>
          </cell>
          <cell r="G146" t="str">
            <v>ITEM AVALIADO POSITIVAMENTE?             (1 - SIM / 0 - NÃO)</v>
          </cell>
          <cell r="J146" t="str">
            <v>TOTAL</v>
          </cell>
          <cell r="K146" t="str">
            <v>%</v>
          </cell>
          <cell r="L146" t="str">
            <v>RESULTADO</v>
          </cell>
          <cell r="M146" t="str">
            <v>ITEM AVALIADO POSITIVAMENTE?             (1 - SIM / 0 - NÃO)</v>
          </cell>
        </row>
        <row r="147">
          <cell r="A147" t="str">
            <v>SIM</v>
          </cell>
          <cell r="D147">
            <v>184</v>
          </cell>
          <cell r="E147">
            <v>0.95833333333333337</v>
          </cell>
          <cell r="F147" t="str">
            <v>DESEJÁVEL</v>
          </cell>
          <cell r="G147">
            <v>1</v>
          </cell>
          <cell r="J147">
            <v>160</v>
          </cell>
          <cell r="K147">
            <v>0.88888888888888884</v>
          </cell>
          <cell r="L147" t="str">
            <v>DESEJÁVEL</v>
          </cell>
          <cell r="M147">
            <v>1</v>
          </cell>
        </row>
        <row r="148">
          <cell r="A148" t="str">
            <v>PARCIAL</v>
          </cell>
          <cell r="D148">
            <v>8</v>
          </cell>
          <cell r="E148">
            <v>4.1666666666666664E-2</v>
          </cell>
          <cell r="F148" t="str">
            <v>SATISFATÓRIO</v>
          </cell>
          <cell r="J148">
            <v>16</v>
          </cell>
          <cell r="K148">
            <v>8.8888888888888892E-2</v>
          </cell>
          <cell r="L148" t="str">
            <v>SATISFATÓRIO</v>
          </cell>
        </row>
        <row r="149">
          <cell r="A149" t="str">
            <v>NÃO</v>
          </cell>
          <cell r="D149">
            <v>0</v>
          </cell>
          <cell r="E149">
            <v>0</v>
          </cell>
          <cell r="F149" t="str">
            <v>DESEJÁVEL</v>
          </cell>
          <cell r="J149">
            <v>4</v>
          </cell>
          <cell r="K149">
            <v>2.2222222222222223E-2</v>
          </cell>
          <cell r="L149" t="str">
            <v>DESEJÁVEL</v>
          </cell>
        </row>
        <row r="150">
          <cell r="A150" t="str">
            <v>TOTAL</v>
          </cell>
          <cell r="D150">
            <v>192</v>
          </cell>
          <cell r="E150">
            <v>1</v>
          </cell>
          <cell r="J150">
            <v>180</v>
          </cell>
          <cell r="K150">
            <v>1</v>
          </cell>
        </row>
        <row r="152">
          <cell r="A152" t="str">
            <v>VOCÊ CONTRIBUI PARA A COLETA SELETIVA DO LIXO?</v>
          </cell>
          <cell r="C152" t="str">
            <v>ITEM 19</v>
          </cell>
          <cell r="D152">
            <v>2020</v>
          </cell>
          <cell r="I152" t="str">
            <v>ITEM 21</v>
          </cell>
          <cell r="J152">
            <v>2017</v>
          </cell>
        </row>
        <row r="153">
          <cell r="D153" t="str">
            <v>TOTAL</v>
          </cell>
          <cell r="E153" t="str">
            <v>%</v>
          </cell>
          <cell r="F153" t="str">
            <v>RESULTADO</v>
          </cell>
          <cell r="G153" t="str">
            <v>ITEM AVALIADO POSITIVAMENTE?             (1 - SIM / 0 - NÃO)</v>
          </cell>
          <cell r="J153" t="str">
            <v>TOTAL</v>
          </cell>
          <cell r="K153" t="str">
            <v>%</v>
          </cell>
          <cell r="L153" t="str">
            <v>RESULTADO</v>
          </cell>
          <cell r="M153" t="str">
            <v>ITEM AVALIADO POSITIVAMENTE?             (1 - SIM / 0 - NÃO)</v>
          </cell>
        </row>
        <row r="154">
          <cell r="A154" t="str">
            <v>SIM</v>
          </cell>
          <cell r="D154">
            <v>171</v>
          </cell>
          <cell r="E154">
            <v>0.890625</v>
          </cell>
          <cell r="F154" t="str">
            <v>DESEJÁVEL</v>
          </cell>
          <cell r="G154">
            <v>1</v>
          </cell>
          <cell r="J154">
            <v>139</v>
          </cell>
          <cell r="K154">
            <v>0.77222222222222225</v>
          </cell>
          <cell r="L154" t="str">
            <v>SATISFATÓRIO</v>
          </cell>
          <cell r="M154">
            <v>1</v>
          </cell>
        </row>
        <row r="155">
          <cell r="A155" t="str">
            <v>PARCIAL</v>
          </cell>
          <cell r="D155">
            <v>21</v>
          </cell>
          <cell r="E155">
            <v>0.109375</v>
          </cell>
          <cell r="F155" t="str">
            <v>SATISFATÓRIO</v>
          </cell>
          <cell r="J155">
            <v>34</v>
          </cell>
          <cell r="K155">
            <v>0.18888888888888888</v>
          </cell>
          <cell r="L155" t="str">
            <v>SATISFATÓRIO</v>
          </cell>
        </row>
        <row r="156">
          <cell r="A156" t="str">
            <v>NÃO</v>
          </cell>
          <cell r="D156">
            <v>0</v>
          </cell>
          <cell r="E156">
            <v>0</v>
          </cell>
          <cell r="F156" t="str">
            <v>DESEJÁVEL</v>
          </cell>
          <cell r="J156">
            <v>7</v>
          </cell>
          <cell r="K156">
            <v>3.888888888888889E-2</v>
          </cell>
          <cell r="L156" t="str">
            <v>DESEJÁVEL</v>
          </cell>
        </row>
        <row r="157">
          <cell r="A157" t="str">
            <v>TOTAL</v>
          </cell>
          <cell r="D157">
            <v>192</v>
          </cell>
          <cell r="E157">
            <v>1</v>
          </cell>
          <cell r="J157">
            <v>180</v>
          </cell>
          <cell r="K157">
            <v>1</v>
          </cell>
        </row>
        <row r="159">
          <cell r="A159" t="str">
            <v>AS INFORMAÇÕES SÃO BEM DIVULGADAS NO ÂMBITO DO MME?</v>
          </cell>
          <cell r="C159" t="str">
            <v>ITEM 20</v>
          </cell>
          <cell r="D159">
            <v>2020</v>
          </cell>
          <cell r="I159" t="str">
            <v>ITEM 22</v>
          </cell>
          <cell r="J159">
            <v>2017</v>
          </cell>
        </row>
        <row r="160">
          <cell r="D160" t="str">
            <v>TOTAL</v>
          </cell>
          <cell r="E160" t="str">
            <v>%</v>
          </cell>
          <cell r="F160" t="str">
            <v>RESULTADO</v>
          </cell>
          <cell r="G160" t="str">
            <v>ITEM AVALIADO POSITIVAMENTE?             (1 - SIM / 0 - NÃO)</v>
          </cell>
          <cell r="J160" t="str">
            <v>TOTAL</v>
          </cell>
          <cell r="K160" t="str">
            <v>%</v>
          </cell>
          <cell r="L160" t="str">
            <v>RESULTADO</v>
          </cell>
          <cell r="M160" t="str">
            <v>ITEM AVALIADO POSITIVAMENTE?             (1 - SIM / 0 - NÃO)</v>
          </cell>
        </row>
        <row r="161">
          <cell r="A161" t="str">
            <v>SIM</v>
          </cell>
          <cell r="D161">
            <v>103</v>
          </cell>
          <cell r="E161">
            <v>0.53645833333333337</v>
          </cell>
          <cell r="F161" t="str">
            <v>SATISFATÓRIO</v>
          </cell>
          <cell r="G161">
            <v>1</v>
          </cell>
          <cell r="J161">
            <v>63</v>
          </cell>
          <cell r="K161">
            <v>0.35</v>
          </cell>
          <cell r="L161" t="str">
            <v>INSATISFATÓRIO</v>
          </cell>
          <cell r="M161">
            <v>0</v>
          </cell>
        </row>
        <row r="162">
          <cell r="A162" t="str">
            <v>PARCIAL</v>
          </cell>
          <cell r="D162">
            <v>73</v>
          </cell>
          <cell r="E162">
            <v>0.38020833333333331</v>
          </cell>
          <cell r="F162" t="str">
            <v>SATISFATÓRIO</v>
          </cell>
          <cell r="J162">
            <v>82</v>
          </cell>
          <cell r="K162">
            <v>0.45555555555555555</v>
          </cell>
          <cell r="L162" t="str">
            <v>SATISFATÓRIO</v>
          </cell>
        </row>
        <row r="163">
          <cell r="A163" t="str">
            <v>NÃO</v>
          </cell>
          <cell r="D163">
            <v>16</v>
          </cell>
          <cell r="E163">
            <v>8.3333333333333329E-2</v>
          </cell>
          <cell r="F163" t="str">
            <v>SATISFATÓRIO</v>
          </cell>
          <cell r="J163">
            <v>35</v>
          </cell>
          <cell r="K163">
            <v>0.19444444444444445</v>
          </cell>
          <cell r="L163" t="str">
            <v>INSATISFATÓRIO</v>
          </cell>
        </row>
        <row r="164">
          <cell r="A164" t="str">
            <v>TOTAL</v>
          </cell>
          <cell r="D164">
            <v>192</v>
          </cell>
          <cell r="E164">
            <v>1</v>
          </cell>
          <cell r="J164">
            <v>180</v>
          </cell>
          <cell r="K164">
            <v>1</v>
          </cell>
        </row>
        <row r="166">
          <cell r="A166" t="str">
            <v>A COMUNICAÇÃO ENTRE AS UNIDADES DO MME FACILITA O DESENVOLVIMENTO DO TRABALHO?</v>
          </cell>
          <cell r="C166" t="str">
            <v>ITEM 21</v>
          </cell>
          <cell r="D166">
            <v>2020</v>
          </cell>
          <cell r="I166" t="str">
            <v>ITEM 23</v>
          </cell>
          <cell r="J166">
            <v>2017</v>
          </cell>
        </row>
        <row r="167">
          <cell r="D167" t="str">
            <v>TOTAL</v>
          </cell>
          <cell r="E167" t="str">
            <v>%</v>
          </cell>
          <cell r="F167" t="str">
            <v>RESULTADO</v>
          </cell>
          <cell r="G167" t="str">
            <v>ITEM AVALIADO POSITIVAMENTE?             (1 - SIM / 0 - NÃO)</v>
          </cell>
          <cell r="J167" t="str">
            <v>TOTAL</v>
          </cell>
          <cell r="K167" t="str">
            <v>%</v>
          </cell>
          <cell r="L167" t="str">
            <v>RESULTADO</v>
          </cell>
          <cell r="M167" t="str">
            <v>ITEM AVALIADO POSITIVAMENTE?             (1 - SIM / 0 - NÃO)</v>
          </cell>
        </row>
        <row r="168">
          <cell r="A168" t="str">
            <v>SIM</v>
          </cell>
          <cell r="D168">
            <v>111</v>
          </cell>
          <cell r="E168">
            <v>0.578125</v>
          </cell>
          <cell r="F168" t="str">
            <v>SATISFATÓRIO</v>
          </cell>
          <cell r="G168">
            <v>1</v>
          </cell>
          <cell r="J168">
            <v>64</v>
          </cell>
          <cell r="K168">
            <v>0.35555555555555557</v>
          </cell>
          <cell r="L168" t="str">
            <v>INSATISFATÓRIO</v>
          </cell>
          <cell r="M168">
            <v>0</v>
          </cell>
        </row>
        <row r="169">
          <cell r="A169" t="str">
            <v>PARCIAL</v>
          </cell>
          <cell r="D169">
            <v>63</v>
          </cell>
          <cell r="E169">
            <v>0.328125</v>
          </cell>
          <cell r="F169" t="str">
            <v>SATISFATÓRIO</v>
          </cell>
          <cell r="J169">
            <v>70</v>
          </cell>
          <cell r="K169">
            <v>0.3888888888888889</v>
          </cell>
          <cell r="L169" t="str">
            <v>SATISFATÓRIO</v>
          </cell>
        </row>
        <row r="170">
          <cell r="A170" t="str">
            <v>NÃO</v>
          </cell>
          <cell r="D170">
            <v>18</v>
          </cell>
          <cell r="E170">
            <v>9.375E-2</v>
          </cell>
          <cell r="F170" t="str">
            <v>SATISFATÓRIO</v>
          </cell>
          <cell r="J170">
            <v>46</v>
          </cell>
          <cell r="K170">
            <v>0.25555555555555554</v>
          </cell>
          <cell r="L170" t="str">
            <v>INSATISFATÓRIO</v>
          </cell>
        </row>
        <row r="171">
          <cell r="A171" t="str">
            <v>TOTAL</v>
          </cell>
          <cell r="D171">
            <v>192</v>
          </cell>
          <cell r="E171">
            <v>1</v>
          </cell>
          <cell r="J171">
            <v>180</v>
          </cell>
          <cell r="K171">
            <v>1</v>
          </cell>
        </row>
        <row r="173">
          <cell r="A173" t="str">
            <v>AS NORMAS E DIRETRIZES ADOTADAS PELO MME FACILITAM A EXECUÇÃO DAS MINHAS ATIVIDADES?</v>
          </cell>
          <cell r="C173" t="str">
            <v>ITEM 22</v>
          </cell>
          <cell r="D173">
            <v>2020</v>
          </cell>
          <cell r="I173" t="str">
            <v>ITEM 24</v>
          </cell>
          <cell r="J173">
            <v>2017</v>
          </cell>
        </row>
        <row r="174">
          <cell r="D174" t="str">
            <v>TOTAL</v>
          </cell>
          <cell r="E174" t="str">
            <v>%</v>
          </cell>
          <cell r="F174" t="str">
            <v>RESULTADO</v>
          </cell>
          <cell r="G174" t="str">
            <v>ITEM AVALIADO POSITIVAMENTE?             (1 - SIM / 0 - NÃO)</v>
          </cell>
          <cell r="J174" t="str">
            <v>TOTAL</v>
          </cell>
          <cell r="K174" t="str">
            <v>%</v>
          </cell>
          <cell r="L174" t="str">
            <v>RESULTADO</v>
          </cell>
          <cell r="M174" t="str">
            <v>ITEM AVALIADO POSITIVAMENTE?             (1 - SIM / 0 - NÃO)</v>
          </cell>
        </row>
        <row r="175">
          <cell r="A175" t="str">
            <v>SIM</v>
          </cell>
          <cell r="D175">
            <v>121</v>
          </cell>
          <cell r="E175">
            <v>0.63020833333333337</v>
          </cell>
          <cell r="F175" t="str">
            <v>SATISFATÓRIO</v>
          </cell>
          <cell r="G175">
            <v>1</v>
          </cell>
          <cell r="J175">
            <v>84</v>
          </cell>
          <cell r="K175">
            <v>0.46408839779005523</v>
          </cell>
          <cell r="L175" t="str">
            <v>INSATISFATÓRIO</v>
          </cell>
          <cell r="M175">
            <v>0</v>
          </cell>
        </row>
        <row r="176">
          <cell r="A176" t="str">
            <v>PARCIAL</v>
          </cell>
          <cell r="D176">
            <v>62</v>
          </cell>
          <cell r="E176">
            <v>0.32291666666666669</v>
          </cell>
          <cell r="F176" t="str">
            <v>SATISFATÓRIO</v>
          </cell>
          <cell r="J176">
            <v>67</v>
          </cell>
          <cell r="K176">
            <v>0.37016574585635359</v>
          </cell>
          <cell r="L176" t="str">
            <v>SATISFATÓRIO</v>
          </cell>
        </row>
        <row r="177">
          <cell r="A177" t="str">
            <v>NÃO</v>
          </cell>
          <cell r="D177">
            <v>9</v>
          </cell>
          <cell r="E177">
            <v>4.6875E-2</v>
          </cell>
          <cell r="F177" t="str">
            <v>DESEJÁVEL</v>
          </cell>
          <cell r="J177">
            <v>30</v>
          </cell>
          <cell r="K177">
            <v>0.16574585635359115</v>
          </cell>
          <cell r="L177" t="str">
            <v>INSATISFATÓRIO</v>
          </cell>
        </row>
        <row r="178">
          <cell r="A178" t="str">
            <v>TOTAL</v>
          </cell>
          <cell r="D178">
            <v>192</v>
          </cell>
          <cell r="E178">
            <v>1</v>
          </cell>
          <cell r="J178">
            <v>181</v>
          </cell>
          <cell r="K178">
            <v>1</v>
          </cell>
        </row>
        <row r="180">
          <cell r="A180" t="str">
            <v>CONSIDERO ADEQUADA A LIMPEZA REALIZADA NO MEU AMBIENTE DE TRABALHO?</v>
          </cell>
          <cell r="C180" t="str">
            <v>ITEM 23</v>
          </cell>
          <cell r="D180">
            <v>2020</v>
          </cell>
          <cell r="I180" t="str">
            <v>ITEM 25</v>
          </cell>
          <cell r="J180">
            <v>2017</v>
          </cell>
        </row>
        <row r="181">
          <cell r="D181" t="str">
            <v>TOTAL</v>
          </cell>
          <cell r="E181" t="str">
            <v>%</v>
          </cell>
          <cell r="F181" t="str">
            <v>RESULTADO</v>
          </cell>
          <cell r="G181" t="str">
            <v>ITEM AVALIADO POSITIVAMENTE?             (1 - SIM / 0 - NÃO)</v>
          </cell>
          <cell r="J181" t="str">
            <v>TOTAL</v>
          </cell>
          <cell r="K181" t="str">
            <v>%</v>
          </cell>
          <cell r="L181" t="str">
            <v>RESULTADO</v>
          </cell>
          <cell r="M181" t="str">
            <v>ITEM AVALIADO POSITIVAMENTE?             (1 - SIM / 0 - NÃO)</v>
          </cell>
        </row>
        <row r="182">
          <cell r="A182" t="str">
            <v>SIM</v>
          </cell>
          <cell r="D182">
            <v>176</v>
          </cell>
          <cell r="E182">
            <v>0.91666666666666663</v>
          </cell>
          <cell r="F182" t="str">
            <v>DESEJÁVEL</v>
          </cell>
          <cell r="G182">
            <v>1</v>
          </cell>
          <cell r="J182">
            <v>140</v>
          </cell>
          <cell r="K182">
            <v>0.78212290502793291</v>
          </cell>
          <cell r="L182" t="str">
            <v>SATISFATÓRIO</v>
          </cell>
          <cell r="M182">
            <v>1</v>
          </cell>
        </row>
        <row r="183">
          <cell r="A183" t="str">
            <v>PARCIAL</v>
          </cell>
          <cell r="D183">
            <v>16</v>
          </cell>
          <cell r="E183">
            <v>8.3333333333333329E-2</v>
          </cell>
          <cell r="F183" t="str">
            <v>SATISFATÓRIO</v>
          </cell>
          <cell r="J183">
            <v>35</v>
          </cell>
          <cell r="K183">
            <v>0.19553072625698323</v>
          </cell>
          <cell r="L183" t="str">
            <v>SATISFATÓRIO</v>
          </cell>
        </row>
        <row r="184">
          <cell r="A184" t="str">
            <v>NÃO</v>
          </cell>
          <cell r="D184">
            <v>0</v>
          </cell>
          <cell r="E184">
            <v>0</v>
          </cell>
          <cell r="F184" t="str">
            <v>DESEJÁVEL</v>
          </cell>
          <cell r="J184">
            <v>4</v>
          </cell>
          <cell r="K184">
            <v>2.23463687150838E-2</v>
          </cell>
          <cell r="L184" t="str">
            <v>DESEJÁVEL</v>
          </cell>
        </row>
        <row r="185">
          <cell r="A185" t="str">
            <v>TOTAL</v>
          </cell>
          <cell r="D185">
            <v>192</v>
          </cell>
          <cell r="E185">
            <v>1</v>
          </cell>
          <cell r="J185">
            <v>179</v>
          </cell>
          <cell r="K185">
            <v>0.99999999999999989</v>
          </cell>
        </row>
        <row r="187">
          <cell r="A187" t="str">
            <v>CONSIDERO ADEQUADA A VENTILAÇÃO NO MEU AMBIENTE DE TRABALHO?</v>
          </cell>
          <cell r="C187" t="str">
            <v>ITEM 24</v>
          </cell>
          <cell r="D187">
            <v>2020</v>
          </cell>
          <cell r="I187" t="str">
            <v>ITEM 26</v>
          </cell>
          <cell r="J187">
            <v>2017</v>
          </cell>
        </row>
        <row r="188">
          <cell r="D188" t="str">
            <v>TOTAL</v>
          </cell>
          <cell r="E188" t="str">
            <v>%</v>
          </cell>
          <cell r="F188" t="str">
            <v>RESULTADO</v>
          </cell>
          <cell r="G188" t="str">
            <v>ITEM AVALIADO POSITIVAMENTE?             (1 - SIM / 0 - NÃO)</v>
          </cell>
          <cell r="J188" t="str">
            <v>TOTAL</v>
          </cell>
          <cell r="K188" t="str">
            <v>%</v>
          </cell>
          <cell r="L188" t="str">
            <v>RESULTADO</v>
          </cell>
          <cell r="M188" t="str">
            <v>ITEM AVALIADO POSITIVAMENTE?             (1 - SIM / 0 - NÃO)</v>
          </cell>
        </row>
        <row r="189">
          <cell r="A189" t="str">
            <v>SIM</v>
          </cell>
          <cell r="D189">
            <v>132</v>
          </cell>
          <cell r="E189">
            <v>0.6875</v>
          </cell>
          <cell r="F189" t="str">
            <v>SATISFATÓRIO</v>
          </cell>
          <cell r="G189">
            <v>1</v>
          </cell>
          <cell r="J189">
            <v>122</v>
          </cell>
          <cell r="K189">
            <v>0.68156424581005581</v>
          </cell>
          <cell r="L189" t="str">
            <v>SATISFATÓRIO</v>
          </cell>
          <cell r="M189">
            <v>1</v>
          </cell>
        </row>
        <row r="190">
          <cell r="A190" t="str">
            <v>PARCIAL</v>
          </cell>
          <cell r="D190">
            <v>54</v>
          </cell>
          <cell r="E190">
            <v>0.28125</v>
          </cell>
          <cell r="F190" t="str">
            <v>SATISFATÓRIO</v>
          </cell>
          <cell r="J190">
            <v>47</v>
          </cell>
          <cell r="K190">
            <v>0.26256983240223464</v>
          </cell>
          <cell r="L190" t="str">
            <v>SATISFATÓRIO</v>
          </cell>
        </row>
        <row r="191">
          <cell r="A191" t="str">
            <v>NÃO</v>
          </cell>
          <cell r="D191">
            <v>6</v>
          </cell>
          <cell r="E191">
            <v>3.125E-2</v>
          </cell>
          <cell r="F191" t="str">
            <v>DESEJÁVEL</v>
          </cell>
          <cell r="J191">
            <v>10</v>
          </cell>
          <cell r="K191">
            <v>5.5865921787709494E-2</v>
          </cell>
          <cell r="L191" t="str">
            <v>DESEJÁVEL</v>
          </cell>
        </row>
        <row r="192">
          <cell r="A192" t="str">
            <v>TOTAL</v>
          </cell>
          <cell r="D192">
            <v>192</v>
          </cell>
          <cell r="E192">
            <v>1</v>
          </cell>
          <cell r="J192">
            <v>179</v>
          </cell>
          <cell r="K192">
            <v>1</v>
          </cell>
        </row>
        <row r="194">
          <cell r="A194" t="str">
            <v>CONSIDERO ADEQUADA A ILUMINAÇÃO NO MEU AMBIENTE DE TRABALHO?</v>
          </cell>
          <cell r="C194" t="str">
            <v>ITEM 25</v>
          </cell>
          <cell r="D194">
            <v>2020</v>
          </cell>
          <cell r="I194" t="str">
            <v>ITEM 27</v>
          </cell>
          <cell r="J194">
            <v>2017</v>
          </cell>
        </row>
        <row r="195">
          <cell r="D195" t="str">
            <v>TOTAL</v>
          </cell>
          <cell r="E195" t="str">
            <v>%</v>
          </cell>
          <cell r="F195" t="str">
            <v>RESULTADO</v>
          </cell>
          <cell r="G195" t="str">
            <v>ITEM AVALIADO POSITIVAMENTE?             (1 - SIM / 0 - NÃO)</v>
          </cell>
          <cell r="J195" t="str">
            <v>TOTAL</v>
          </cell>
          <cell r="K195" t="str">
            <v>%</v>
          </cell>
          <cell r="L195" t="str">
            <v>RESULTADO</v>
          </cell>
          <cell r="M195" t="str">
            <v>ITEM AVALIADO POSITIVAMENTE?             (1 - SIM / 0 - NÃO)</v>
          </cell>
        </row>
        <row r="196">
          <cell r="A196" t="str">
            <v>SIM</v>
          </cell>
          <cell r="D196">
            <v>154</v>
          </cell>
          <cell r="E196">
            <v>0.80208333333333337</v>
          </cell>
          <cell r="F196" t="str">
            <v>DESEJÁVEL</v>
          </cell>
          <cell r="G196">
            <v>1</v>
          </cell>
          <cell r="J196">
            <v>154</v>
          </cell>
          <cell r="K196">
            <v>0.86033519553072624</v>
          </cell>
          <cell r="L196" t="str">
            <v>DESEJÁVEL</v>
          </cell>
          <cell r="M196">
            <v>1</v>
          </cell>
        </row>
        <row r="197">
          <cell r="A197" t="str">
            <v>PARCIAL</v>
          </cell>
          <cell r="D197">
            <v>34</v>
          </cell>
          <cell r="E197">
            <v>0.17708333333333334</v>
          </cell>
          <cell r="F197" t="str">
            <v>SATISFATÓRIO</v>
          </cell>
          <cell r="J197">
            <v>20</v>
          </cell>
          <cell r="K197">
            <v>0.11173184357541899</v>
          </cell>
          <cell r="L197" t="str">
            <v>SATISFATÓRIO</v>
          </cell>
        </row>
        <row r="198">
          <cell r="A198" t="str">
            <v>NÃO</v>
          </cell>
          <cell r="D198">
            <v>4</v>
          </cell>
          <cell r="E198">
            <v>2.0833333333333332E-2</v>
          </cell>
          <cell r="F198" t="str">
            <v>DESEJÁVEL</v>
          </cell>
          <cell r="J198">
            <v>5</v>
          </cell>
          <cell r="K198">
            <v>2.7932960893854747E-2</v>
          </cell>
          <cell r="L198" t="str">
            <v>DESEJÁVEL</v>
          </cell>
        </row>
        <row r="199">
          <cell r="A199" t="str">
            <v>TOTAL</v>
          </cell>
          <cell r="D199">
            <v>192</v>
          </cell>
          <cell r="E199">
            <v>1</v>
          </cell>
          <cell r="J199">
            <v>179</v>
          </cell>
          <cell r="K199">
            <v>1</v>
          </cell>
        </row>
        <row r="201">
          <cell r="A201" t="str">
            <v>CONSIDERO ADEQUADA A SEGURANÇA NO MEU AMBIENTE DE TRABALHO?</v>
          </cell>
          <cell r="C201" t="str">
            <v>ITEM 26</v>
          </cell>
          <cell r="D201">
            <v>2020</v>
          </cell>
          <cell r="I201" t="str">
            <v>ITEM 28</v>
          </cell>
          <cell r="J201">
            <v>2017</v>
          </cell>
        </row>
        <row r="202">
          <cell r="D202" t="str">
            <v>TOTAL</v>
          </cell>
          <cell r="E202" t="str">
            <v>%</v>
          </cell>
          <cell r="F202" t="str">
            <v>RESULTADO</v>
          </cell>
          <cell r="G202" t="str">
            <v>ITEM AVALIADO POSITIVAMENTE?             (1 - SIM / 0 - NÃO)</v>
          </cell>
          <cell r="J202" t="str">
            <v>TOTAL</v>
          </cell>
          <cell r="K202" t="str">
            <v>%</v>
          </cell>
          <cell r="L202" t="str">
            <v>RESULTADO</v>
          </cell>
          <cell r="M202" t="str">
            <v>ITEM AVALIADO POSITIVAMENTE?             (1 - SIM / 0 - NÃO)</v>
          </cell>
        </row>
        <row r="203">
          <cell r="A203" t="str">
            <v>SIM</v>
          </cell>
          <cell r="D203">
            <v>171</v>
          </cell>
          <cell r="E203">
            <v>0.890625</v>
          </cell>
          <cell r="F203" t="str">
            <v>DESEJÁVEL</v>
          </cell>
          <cell r="G203">
            <v>1</v>
          </cell>
          <cell r="J203">
            <v>147</v>
          </cell>
          <cell r="K203">
            <v>0.82122905027932958</v>
          </cell>
          <cell r="L203" t="str">
            <v>DESEJÁVEL</v>
          </cell>
          <cell r="M203">
            <v>1</v>
          </cell>
        </row>
        <row r="204">
          <cell r="A204" t="str">
            <v>PARCIAL</v>
          </cell>
          <cell r="D204">
            <v>20</v>
          </cell>
          <cell r="E204">
            <v>0.10416666666666667</v>
          </cell>
          <cell r="F204" t="str">
            <v>SATISFATÓRIO</v>
          </cell>
          <cell r="J204">
            <v>30</v>
          </cell>
          <cell r="K204">
            <v>0.16759776536312848</v>
          </cell>
          <cell r="L204" t="str">
            <v>SATISFATÓRIO</v>
          </cell>
        </row>
        <row r="205">
          <cell r="A205" t="str">
            <v>NÃO</v>
          </cell>
          <cell r="D205">
            <v>1</v>
          </cell>
          <cell r="E205">
            <v>5.208333333333333E-3</v>
          </cell>
          <cell r="F205" t="str">
            <v>DESEJÁVEL</v>
          </cell>
          <cell r="J205">
            <v>2</v>
          </cell>
          <cell r="K205">
            <v>1.11731843575419E-2</v>
          </cell>
          <cell r="L205" t="str">
            <v>DESEJÁVEL</v>
          </cell>
        </row>
        <row r="206">
          <cell r="A206" t="str">
            <v>TOTAL</v>
          </cell>
          <cell r="D206">
            <v>192</v>
          </cell>
          <cell r="E206">
            <v>1</v>
          </cell>
          <cell r="J206">
            <v>179</v>
          </cell>
          <cell r="K206">
            <v>0.99999999999999989</v>
          </cell>
        </row>
        <row r="208">
          <cell r="A208" t="str">
            <v>CONSIDERO ADEQUADA A DISTRIBUIÇÃO DO ESPAÇO FÍSICO NO MEU AMBIENTE DE TRABALHO?</v>
          </cell>
          <cell r="C208" t="str">
            <v>ITEM 27</v>
          </cell>
          <cell r="D208">
            <v>2020</v>
          </cell>
          <cell r="I208" t="str">
            <v>ITEM 29</v>
          </cell>
          <cell r="J208">
            <v>2017</v>
          </cell>
        </row>
        <row r="209">
          <cell r="D209" t="str">
            <v>TOTAL</v>
          </cell>
          <cell r="E209" t="str">
            <v>%</v>
          </cell>
          <cell r="F209" t="str">
            <v>RESULTADO</v>
          </cell>
          <cell r="G209" t="str">
            <v>ITEM AVALIADO POSITIVAMENTE?             (1 - SIM / 0 - NÃO)</v>
          </cell>
          <cell r="J209" t="str">
            <v>TOTAL</v>
          </cell>
          <cell r="K209" t="str">
            <v>%</v>
          </cell>
          <cell r="L209" t="str">
            <v>RESULTADO</v>
          </cell>
          <cell r="M209" t="str">
            <v>ITEM AVALIADO POSITIVAMENTE?             (1 - SIM / 0 - NÃO)</v>
          </cell>
        </row>
        <row r="210">
          <cell r="A210" t="str">
            <v>SIM</v>
          </cell>
          <cell r="D210">
            <v>153</v>
          </cell>
          <cell r="E210">
            <v>0.796875</v>
          </cell>
          <cell r="F210" t="str">
            <v>SATISFATÓRIO</v>
          </cell>
          <cell r="G210">
            <v>1</v>
          </cell>
          <cell r="J210">
            <v>134</v>
          </cell>
          <cell r="K210">
            <v>0.74860335195530725</v>
          </cell>
          <cell r="L210" t="str">
            <v>SATISFATÓRIO</v>
          </cell>
          <cell r="M210">
            <v>1</v>
          </cell>
        </row>
        <row r="211">
          <cell r="A211" t="str">
            <v>PARCIAL</v>
          </cell>
          <cell r="D211">
            <v>31</v>
          </cell>
          <cell r="E211">
            <v>0.16145833333333334</v>
          </cell>
          <cell r="F211" t="str">
            <v>SATISFATÓRIO</v>
          </cell>
          <cell r="J211">
            <v>35</v>
          </cell>
          <cell r="K211">
            <v>0.19553072625698323</v>
          </cell>
          <cell r="L211" t="str">
            <v>SATISFATÓRIO</v>
          </cell>
        </row>
        <row r="212">
          <cell r="A212" t="str">
            <v>NÃO</v>
          </cell>
          <cell r="D212">
            <v>8</v>
          </cell>
          <cell r="E212">
            <v>4.1666666666666664E-2</v>
          </cell>
          <cell r="F212" t="str">
            <v>DESEJÁVEL</v>
          </cell>
          <cell r="J212">
            <v>10</v>
          </cell>
          <cell r="K212">
            <v>5.5865921787709494E-2</v>
          </cell>
          <cell r="L212" t="str">
            <v>DESEJÁVEL</v>
          </cell>
        </row>
        <row r="213">
          <cell r="A213" t="str">
            <v>TOTAL</v>
          </cell>
          <cell r="D213">
            <v>192</v>
          </cell>
          <cell r="E213">
            <v>1</v>
          </cell>
          <cell r="J213">
            <v>179</v>
          </cell>
          <cell r="K213">
            <v>1</v>
          </cell>
        </row>
        <row r="215">
          <cell r="A215" t="str">
            <v>OS MÓVEIS SÃO ERGONÔMICOS?</v>
          </cell>
          <cell r="C215" t="str">
            <v>ITEM 28</v>
          </cell>
          <cell r="D215">
            <v>2020</v>
          </cell>
          <cell r="I215" t="str">
            <v>ITEM **</v>
          </cell>
          <cell r="J215">
            <v>2017</v>
          </cell>
        </row>
        <row r="216">
          <cell r="D216" t="str">
            <v>TOTAL</v>
          </cell>
          <cell r="E216" t="str">
            <v>%</v>
          </cell>
          <cell r="F216" t="str">
            <v>RESULTADO</v>
          </cell>
          <cell r="G216" t="str">
            <v>ITEM AVALIADO POSITIVAMENTE?             (1 - SIM / 0 - NÃO)</v>
          </cell>
          <cell r="J216" t="str">
            <v>TOTAL</v>
          </cell>
          <cell r="K216" t="str">
            <v>%</v>
          </cell>
          <cell r="L216" t="str">
            <v>RESULTADO</v>
          </cell>
          <cell r="M216" t="str">
            <v>ITEM AVALIADO POSITIVAMENTE?             (1 - SIM / 0 - NÃO)</v>
          </cell>
        </row>
        <row r="217">
          <cell r="A217" t="str">
            <v>SIM</v>
          </cell>
          <cell r="D217">
            <v>122</v>
          </cell>
          <cell r="E217">
            <v>0.63541666666666663</v>
          </cell>
          <cell r="F217" t="str">
            <v>SATISFATÓRIO</v>
          </cell>
          <cell r="G217">
            <v>1</v>
          </cell>
          <cell r="J217" t="str">
            <v>*</v>
          </cell>
          <cell r="K217" t="str">
            <v>*</v>
          </cell>
          <cell r="L217" t="str">
            <v>*</v>
          </cell>
          <cell r="M217" t="str">
            <v>**</v>
          </cell>
        </row>
        <row r="218">
          <cell r="A218" t="str">
            <v>PARCIAL</v>
          </cell>
          <cell r="D218">
            <v>55</v>
          </cell>
          <cell r="E218">
            <v>0.28645833333333331</v>
          </cell>
          <cell r="F218" t="str">
            <v>SATISFATÓRIO</v>
          </cell>
          <cell r="J218" t="str">
            <v>*</v>
          </cell>
          <cell r="K218" t="str">
            <v>*</v>
          </cell>
          <cell r="L218" t="str">
            <v>*</v>
          </cell>
        </row>
        <row r="219">
          <cell r="A219" t="str">
            <v>NÃO</v>
          </cell>
          <cell r="D219">
            <v>15</v>
          </cell>
          <cell r="E219">
            <v>7.8125E-2</v>
          </cell>
          <cell r="F219" t="str">
            <v>SATISFATÓRIO</v>
          </cell>
          <cell r="J219" t="str">
            <v>*</v>
          </cell>
          <cell r="K219" t="str">
            <v>*</v>
          </cell>
          <cell r="L219" t="str">
            <v>*</v>
          </cell>
        </row>
        <row r="220">
          <cell r="A220" t="str">
            <v>TOTAL</v>
          </cell>
          <cell r="D220">
            <v>192</v>
          </cell>
          <cell r="E220">
            <v>1</v>
          </cell>
          <cell r="J220" t="str">
            <v>*</v>
          </cell>
          <cell r="K220" t="str">
            <v>*</v>
          </cell>
        </row>
        <row r="222">
          <cell r="A222" t="str">
            <v>CONSIDERO ADEQUADO OS EQUIPAMENTOS DE INFORMÁTICA?</v>
          </cell>
          <cell r="C222" t="str">
            <v>ITEM 29</v>
          </cell>
          <cell r="D222">
            <v>2020</v>
          </cell>
          <cell r="I222" t="str">
            <v>ITEM 30</v>
          </cell>
          <cell r="J222">
            <v>2017</v>
          </cell>
        </row>
        <row r="223">
          <cell r="D223" t="str">
            <v>TOTAL</v>
          </cell>
          <cell r="E223" t="str">
            <v>%</v>
          </cell>
          <cell r="F223" t="str">
            <v>RESULTADO</v>
          </cell>
          <cell r="G223" t="str">
            <v>ITEM AVALIADO POSITIVAMENTE?             (1 - SIM / 0 - NÃO)</v>
          </cell>
          <cell r="J223" t="str">
            <v>TOTAL</v>
          </cell>
          <cell r="K223" t="str">
            <v>%</v>
          </cell>
          <cell r="L223" t="str">
            <v>RESULTADO</v>
          </cell>
          <cell r="M223" t="str">
            <v>ITEM AVALIADO POSITIVAMENTE?             (1 - SIM / 0 - NÃO)</v>
          </cell>
        </row>
        <row r="224">
          <cell r="A224" t="str">
            <v>SIM</v>
          </cell>
          <cell r="D224">
            <v>152</v>
          </cell>
          <cell r="E224">
            <v>0.79166666666666663</v>
          </cell>
          <cell r="F224" t="str">
            <v>SATISFATÓRIO</v>
          </cell>
          <cell r="G224">
            <v>1</v>
          </cell>
          <cell r="J224">
            <v>153</v>
          </cell>
          <cell r="K224">
            <v>0.85474860335195535</v>
          </cell>
          <cell r="L224" t="str">
            <v>DESEJÁVEL</v>
          </cell>
          <cell r="M224">
            <v>1</v>
          </cell>
        </row>
        <row r="225">
          <cell r="A225" t="str">
            <v>PARCIAL</v>
          </cell>
          <cell r="D225">
            <v>38</v>
          </cell>
          <cell r="E225">
            <v>0.19791666666666666</v>
          </cell>
          <cell r="F225" t="str">
            <v>SATISFATÓRIO</v>
          </cell>
          <cell r="J225">
            <v>22</v>
          </cell>
          <cell r="K225">
            <v>0.12290502793296089</v>
          </cell>
          <cell r="L225" t="str">
            <v>SATISFATÓRIO</v>
          </cell>
        </row>
        <row r="226">
          <cell r="A226" t="str">
            <v>NÃO</v>
          </cell>
          <cell r="D226">
            <v>2</v>
          </cell>
          <cell r="E226">
            <v>1.0416666666666666E-2</v>
          </cell>
          <cell r="F226" t="str">
            <v>DESEJÁVEL</v>
          </cell>
          <cell r="J226">
            <v>4</v>
          </cell>
          <cell r="K226">
            <v>2.23463687150838E-2</v>
          </cell>
          <cell r="L226" t="str">
            <v>DESEJÁVEL</v>
          </cell>
        </row>
        <row r="227">
          <cell r="A227" t="str">
            <v>TOTAL</v>
          </cell>
          <cell r="D227">
            <v>192</v>
          </cell>
          <cell r="E227">
            <v>0.99999999999999989</v>
          </cell>
          <cell r="J227">
            <v>179</v>
          </cell>
          <cell r="K227">
            <v>1</v>
          </cell>
        </row>
        <row r="229">
          <cell r="A229" t="str">
            <v>CONSIDERO ADEQUADO OS MATERIAIS DE CONSUMO?</v>
          </cell>
          <cell r="C229" t="str">
            <v>ITEM 30</v>
          </cell>
          <cell r="D229">
            <v>2020</v>
          </cell>
          <cell r="I229" t="str">
            <v>ITEM 31</v>
          </cell>
          <cell r="J229">
            <v>2017</v>
          </cell>
        </row>
        <row r="230">
          <cell r="D230" t="str">
            <v>TOTAL</v>
          </cell>
          <cell r="E230" t="str">
            <v>%</v>
          </cell>
          <cell r="F230" t="str">
            <v>RESULTADO</v>
          </cell>
          <cell r="G230" t="str">
            <v>ITEM AVALIADO POSITIVAMENTE?             (1 - SIM / 0 - NÃO)</v>
          </cell>
          <cell r="J230" t="str">
            <v>TOTAL</v>
          </cell>
          <cell r="K230" t="str">
            <v>%</v>
          </cell>
          <cell r="L230" t="str">
            <v>RESULTADO</v>
          </cell>
          <cell r="M230" t="str">
            <v>ITEM AVALIADO POSITIVAMENTE?             (1 - SIM / 0 - NÃO)</v>
          </cell>
        </row>
        <row r="231">
          <cell r="A231" t="str">
            <v>SIM</v>
          </cell>
          <cell r="D231">
            <v>140</v>
          </cell>
          <cell r="E231">
            <v>0.72916666666666663</v>
          </cell>
          <cell r="F231" t="str">
            <v>SATISFATÓRIO</v>
          </cell>
          <cell r="G231">
            <v>1</v>
          </cell>
          <cell r="J231">
            <v>124</v>
          </cell>
          <cell r="K231">
            <v>0.69273743016759781</v>
          </cell>
          <cell r="L231" t="str">
            <v>SATISFATÓRIO</v>
          </cell>
          <cell r="M231">
            <v>1</v>
          </cell>
        </row>
        <row r="232">
          <cell r="A232" t="str">
            <v>PARCIAL</v>
          </cell>
          <cell r="D232">
            <v>49</v>
          </cell>
          <cell r="E232">
            <v>0.25520833333333331</v>
          </cell>
          <cell r="F232" t="str">
            <v>SATISFATÓRIO</v>
          </cell>
          <cell r="J232">
            <v>49</v>
          </cell>
          <cell r="K232">
            <v>0.27374301675977653</v>
          </cell>
          <cell r="L232" t="str">
            <v>SATISFATÓRIO</v>
          </cell>
        </row>
        <row r="233">
          <cell r="A233" t="str">
            <v>NÃO</v>
          </cell>
          <cell r="D233">
            <v>3</v>
          </cell>
          <cell r="E233">
            <v>1.5625E-2</v>
          </cell>
          <cell r="F233" t="str">
            <v>DESEJÁVEL</v>
          </cell>
          <cell r="J233">
            <v>6</v>
          </cell>
          <cell r="K233">
            <v>3.3519553072625698E-2</v>
          </cell>
          <cell r="L233" t="str">
            <v>DESEJÁVEL</v>
          </cell>
        </row>
        <row r="234">
          <cell r="A234" t="str">
            <v>TOTAL</v>
          </cell>
          <cell r="D234">
            <v>192</v>
          </cell>
          <cell r="E234">
            <v>1</v>
          </cell>
          <cell r="J234">
            <v>179</v>
          </cell>
          <cell r="K234">
            <v>1</v>
          </cell>
        </row>
        <row r="236">
          <cell r="A236" t="str">
            <v>CONSIDERO ADEQUADA A LOCALIZAÇÃO DO MEU TRABALHO?</v>
          </cell>
          <cell r="C236" t="str">
            <v>ITEM 31</v>
          </cell>
          <cell r="D236">
            <v>2020</v>
          </cell>
          <cell r="I236" t="str">
            <v>ITEM **</v>
          </cell>
          <cell r="J236">
            <v>2017</v>
          </cell>
        </row>
        <row r="237">
          <cell r="D237" t="str">
            <v>TOTAL</v>
          </cell>
          <cell r="E237" t="str">
            <v>%</v>
          </cell>
          <cell r="F237" t="str">
            <v>RESULTADO</v>
          </cell>
          <cell r="G237" t="str">
            <v>ITEM AVALIADO POSITIVAMENTE?             (1 - SIM / 0 - NÃO)</v>
          </cell>
          <cell r="J237" t="str">
            <v>TOTAL</v>
          </cell>
          <cell r="K237" t="str">
            <v>%</v>
          </cell>
          <cell r="L237" t="str">
            <v>RESULTADO</v>
          </cell>
          <cell r="M237" t="str">
            <v>ITEM AVALIADO POSITIVAMENTE?             (1 - SIM / 0 - NÃO)</v>
          </cell>
        </row>
        <row r="238">
          <cell r="A238" t="str">
            <v>SIM</v>
          </cell>
          <cell r="D238">
            <v>172</v>
          </cell>
          <cell r="E238">
            <v>0.89583333333333337</v>
          </cell>
          <cell r="F238" t="str">
            <v>DESEJÁVEL</v>
          </cell>
          <cell r="G238">
            <v>1</v>
          </cell>
          <cell r="J238" t="str">
            <v>*</v>
          </cell>
          <cell r="K238" t="str">
            <v>*</v>
          </cell>
          <cell r="L238" t="str">
            <v>*</v>
          </cell>
          <cell r="M238" t="str">
            <v>**</v>
          </cell>
        </row>
        <row r="239">
          <cell r="A239" t="str">
            <v>PARCIAL</v>
          </cell>
          <cell r="D239">
            <v>18</v>
          </cell>
          <cell r="E239">
            <v>9.375E-2</v>
          </cell>
          <cell r="F239" t="str">
            <v>SATISFATÓRIO</v>
          </cell>
          <cell r="J239" t="str">
            <v>*</v>
          </cell>
          <cell r="K239" t="str">
            <v>*</v>
          </cell>
          <cell r="L239" t="str">
            <v>*</v>
          </cell>
        </row>
        <row r="240">
          <cell r="A240" t="str">
            <v>NÃO</v>
          </cell>
          <cell r="D240">
            <v>2</v>
          </cell>
          <cell r="E240">
            <v>1.0416666666666666E-2</v>
          </cell>
          <cell r="F240" t="str">
            <v>DESEJÁVEL</v>
          </cell>
          <cell r="J240" t="str">
            <v>*</v>
          </cell>
          <cell r="K240" t="str">
            <v>*</v>
          </cell>
          <cell r="L240" t="str">
            <v>*</v>
          </cell>
        </row>
        <row r="241">
          <cell r="A241" t="str">
            <v>TOTAL</v>
          </cell>
          <cell r="D241">
            <v>192</v>
          </cell>
          <cell r="E241">
            <v>1</v>
          </cell>
          <cell r="J241" t="str">
            <v>*</v>
          </cell>
          <cell r="K241" t="str">
            <v>*</v>
          </cell>
        </row>
        <row r="243">
          <cell r="A243" t="str">
            <v>CONSIDERO ADEQUADA A ACESSIBILIDADE NO MME?</v>
          </cell>
          <cell r="C243" t="str">
            <v>ITEM 32</v>
          </cell>
          <cell r="D243">
            <v>2020</v>
          </cell>
          <cell r="I243" t="str">
            <v>ITEM 32</v>
          </cell>
          <cell r="J243">
            <v>2017</v>
          </cell>
        </row>
        <row r="244">
          <cell r="D244" t="str">
            <v>TOTAL</v>
          </cell>
          <cell r="E244" t="str">
            <v>%</v>
          </cell>
          <cell r="F244" t="str">
            <v>RESULTADO</v>
          </cell>
          <cell r="G244" t="str">
            <v>ITEM AVALIADO POSITIVAMENTE?             (1 - SIM / 0 - NÃO)</v>
          </cell>
          <cell r="J244" t="str">
            <v>TOTAL</v>
          </cell>
          <cell r="K244" t="str">
            <v>%</v>
          </cell>
          <cell r="L244" t="str">
            <v>RESULTADO</v>
          </cell>
          <cell r="M244" t="str">
            <v>ITEM AVALIADO POSITIVAMENTE?             (1 - SIM / 0 - NÃO)</v>
          </cell>
        </row>
        <row r="245">
          <cell r="A245" t="str">
            <v>SIM</v>
          </cell>
          <cell r="D245">
            <v>177</v>
          </cell>
          <cell r="E245">
            <v>0.921875</v>
          </cell>
          <cell r="F245" t="str">
            <v>DESEJÁVEL</v>
          </cell>
          <cell r="G245">
            <v>1</v>
          </cell>
          <cell r="J245">
            <v>138</v>
          </cell>
          <cell r="K245">
            <v>0.77094972067039103</v>
          </cell>
          <cell r="L245" t="str">
            <v>SATISFATÓRIO</v>
          </cell>
          <cell r="M245">
            <v>1</v>
          </cell>
        </row>
        <row r="246">
          <cell r="A246" t="str">
            <v>PARCIAL</v>
          </cell>
          <cell r="D246">
            <v>15</v>
          </cell>
          <cell r="E246">
            <v>7.8125E-2</v>
          </cell>
          <cell r="F246" t="str">
            <v>SATISFATÓRIO</v>
          </cell>
          <cell r="J246">
            <v>35</v>
          </cell>
          <cell r="K246">
            <v>0.19553072625698323</v>
          </cell>
          <cell r="L246" t="str">
            <v>SATISFATÓRIO</v>
          </cell>
        </row>
        <row r="247">
          <cell r="A247" t="str">
            <v>NÃO</v>
          </cell>
          <cell r="D247">
            <v>0</v>
          </cell>
          <cell r="E247">
            <v>0</v>
          </cell>
          <cell r="F247" t="str">
            <v>DESEJÁVEL</v>
          </cell>
          <cell r="J247">
            <v>6</v>
          </cell>
          <cell r="K247">
            <v>3.3519553072625698E-2</v>
          </cell>
          <cell r="L247" t="str">
            <v>DESEJÁVEL</v>
          </cell>
        </row>
        <row r="248">
          <cell r="A248" t="str">
            <v>TOTAL</v>
          </cell>
          <cell r="D248">
            <v>192</v>
          </cell>
          <cell r="E248">
            <v>1</v>
          </cell>
          <cell r="J248">
            <v>179</v>
          </cell>
          <cell r="K248">
            <v>0.99999999999999989</v>
          </cell>
        </row>
        <row r="250">
          <cell r="A250" t="str">
            <v>DURANTE O PERÍODO DA PANDEMIA, NO TELETRABALHO, OS SISTEMAS REMOTOS DISPONIBILIZADOS FUNCIONARAM A CONTENTO?</v>
          </cell>
          <cell r="C250" t="str">
            <v>ITEM 33</v>
          </cell>
          <cell r="D250">
            <v>2020</v>
          </cell>
          <cell r="I250" t="str">
            <v>ITEM **</v>
          </cell>
          <cell r="J250">
            <v>2017</v>
          </cell>
        </row>
        <row r="251">
          <cell r="D251" t="str">
            <v>TOTAL</v>
          </cell>
          <cell r="E251" t="str">
            <v>%</v>
          </cell>
          <cell r="F251" t="str">
            <v>RESULTADO</v>
          </cell>
          <cell r="G251" t="str">
            <v>ITEM AVALIADO POSITIVAMENTE?             (1 - SIM / 0 - NÃO)</v>
          </cell>
          <cell r="J251" t="str">
            <v>TOTAL</v>
          </cell>
          <cell r="K251" t="str">
            <v>%</v>
          </cell>
          <cell r="L251" t="str">
            <v>RESULTADO</v>
          </cell>
          <cell r="M251" t="str">
            <v>ITEM AVALIADO POSITIVAMENTE?             (1 - SIM / 0 - NÃO)</v>
          </cell>
        </row>
        <row r="252">
          <cell r="A252" t="str">
            <v>SIM</v>
          </cell>
          <cell r="D252">
            <v>126</v>
          </cell>
          <cell r="E252">
            <v>0.65625</v>
          </cell>
          <cell r="F252" t="str">
            <v>SATISFATÓRIO</v>
          </cell>
          <cell r="G252">
            <v>1</v>
          </cell>
          <cell r="J252" t="str">
            <v>*</v>
          </cell>
          <cell r="K252" t="str">
            <v>*</v>
          </cell>
          <cell r="L252" t="str">
            <v>*</v>
          </cell>
          <cell r="M252" t="str">
            <v>**</v>
          </cell>
        </row>
        <row r="253">
          <cell r="A253" t="str">
            <v>PARCIAL</v>
          </cell>
          <cell r="D253">
            <v>62</v>
          </cell>
          <cell r="E253">
            <v>0.32291666666666669</v>
          </cell>
          <cell r="F253" t="str">
            <v>SATISFATÓRIO</v>
          </cell>
          <cell r="J253" t="str">
            <v>*</v>
          </cell>
          <cell r="K253" t="str">
            <v>*</v>
          </cell>
          <cell r="L253" t="str">
            <v>*</v>
          </cell>
        </row>
        <row r="254">
          <cell r="A254" t="str">
            <v>NÃO</v>
          </cell>
          <cell r="D254">
            <v>4</v>
          </cell>
          <cell r="E254">
            <v>2.0833333333333332E-2</v>
          </cell>
          <cell r="F254" t="str">
            <v>DESEJÁVEL</v>
          </cell>
          <cell r="J254" t="str">
            <v>*</v>
          </cell>
          <cell r="K254" t="str">
            <v>*</v>
          </cell>
          <cell r="L254" t="str">
            <v>*</v>
          </cell>
        </row>
        <row r="255">
          <cell r="A255" t="str">
            <v>TOTAL</v>
          </cell>
          <cell r="D255">
            <v>192</v>
          </cell>
          <cell r="E255">
            <v>1</v>
          </cell>
          <cell r="J255" t="str">
            <v>*</v>
          </cell>
          <cell r="K255" t="str">
            <v>*</v>
          </cell>
        </row>
        <row r="257">
          <cell r="A257" t="str">
            <v>DURANTE O PERÍODO DE PANDEMIA, NO TRABALHO PRESENCIAL, AS INSTALAÇÕES DO MME ENCONTRARAM -SE APTAS AO EXERCÍCIO SEGURO DAS ATIVIDADES?</v>
          </cell>
          <cell r="C257" t="str">
            <v>ITEM 34</v>
          </cell>
          <cell r="D257">
            <v>2020</v>
          </cell>
          <cell r="I257" t="str">
            <v>ITEM **</v>
          </cell>
          <cell r="J257">
            <v>2017</v>
          </cell>
        </row>
        <row r="258">
          <cell r="D258" t="str">
            <v>TOTAL</v>
          </cell>
          <cell r="E258" t="str">
            <v>%</v>
          </cell>
          <cell r="F258" t="str">
            <v>RESULTADO</v>
          </cell>
          <cell r="G258" t="str">
            <v>ITEM AVALIADO POSITIVAMENTE?             (1 - SIM / 0 - NÃO)</v>
          </cell>
          <cell r="J258" t="str">
            <v>TOTAL</v>
          </cell>
          <cell r="K258" t="str">
            <v>%</v>
          </cell>
          <cell r="L258" t="str">
            <v>RESULTADO</v>
          </cell>
          <cell r="M258" t="str">
            <v>ITEM AVALIADO POSITIVAMENTE?             (1 - SIM / 0 - NÃO)</v>
          </cell>
        </row>
        <row r="259">
          <cell r="A259" t="str">
            <v>SIM</v>
          </cell>
          <cell r="D259">
            <v>140</v>
          </cell>
          <cell r="E259">
            <v>0.72916666666666663</v>
          </cell>
          <cell r="F259" t="str">
            <v>SATISFATÓRIO</v>
          </cell>
          <cell r="G259">
            <v>1</v>
          </cell>
          <cell r="J259" t="str">
            <v>*</v>
          </cell>
          <cell r="K259" t="str">
            <v>*</v>
          </cell>
          <cell r="L259" t="str">
            <v>*</v>
          </cell>
          <cell r="M259" t="str">
            <v>**</v>
          </cell>
        </row>
        <row r="260">
          <cell r="A260" t="str">
            <v>PARCIAL</v>
          </cell>
          <cell r="D260">
            <v>40</v>
          </cell>
          <cell r="E260">
            <v>0.20833333333333334</v>
          </cell>
          <cell r="F260" t="str">
            <v>SATISFATÓRIO</v>
          </cell>
          <cell r="J260" t="str">
            <v>*</v>
          </cell>
          <cell r="K260" t="str">
            <v>*</v>
          </cell>
          <cell r="L260" t="str">
            <v>*</v>
          </cell>
        </row>
        <row r="261">
          <cell r="A261" t="str">
            <v>NÃO</v>
          </cell>
          <cell r="D261">
            <v>12</v>
          </cell>
          <cell r="E261">
            <v>6.25E-2</v>
          </cell>
          <cell r="F261" t="str">
            <v>SATISFATÓRIO</v>
          </cell>
          <cell r="J261" t="str">
            <v>*</v>
          </cell>
          <cell r="K261" t="str">
            <v>*</v>
          </cell>
          <cell r="L261" t="str">
            <v>*</v>
          </cell>
        </row>
        <row r="262">
          <cell r="A262" t="str">
            <v>TOTAL</v>
          </cell>
          <cell r="D262">
            <v>192</v>
          </cell>
          <cell r="E262">
            <v>1</v>
          </cell>
          <cell r="J262" t="str">
            <v>*</v>
          </cell>
          <cell r="K262" t="str">
            <v>*</v>
          </cell>
        </row>
        <row r="264">
          <cell r="A264" t="str">
            <v>DURANTE O PERÍODO DE PANDEMIA, NO TELETRABALHO, CONTRIBUÍ PARA O DESENVOLVIMENTO DAS ATIVIDADES NECESSÁRIAS?</v>
          </cell>
          <cell r="C264" t="str">
            <v>ITEM 35</v>
          </cell>
          <cell r="D264">
            <v>2020</v>
          </cell>
          <cell r="I264" t="str">
            <v>ITEM **</v>
          </cell>
          <cell r="J264">
            <v>2017</v>
          </cell>
        </row>
        <row r="265">
          <cell r="D265" t="str">
            <v>TOTAL</v>
          </cell>
          <cell r="E265" t="str">
            <v>%</v>
          </cell>
          <cell r="F265" t="str">
            <v>RESULTADO</v>
          </cell>
          <cell r="G265" t="str">
            <v>ITEM AVALIADO POSITIVAMENTE?             (1 - SIM / 0 - NÃO)</v>
          </cell>
          <cell r="J265" t="str">
            <v>TOTAL</v>
          </cell>
          <cell r="K265" t="str">
            <v>%</v>
          </cell>
          <cell r="L265" t="str">
            <v>RESULTADO</v>
          </cell>
          <cell r="M265" t="str">
            <v>ITEM AVALIADO POSITIVAMENTE?             (1 - SIM / 0 - NÃO)</v>
          </cell>
        </row>
        <row r="266">
          <cell r="A266" t="str">
            <v>SIM</v>
          </cell>
          <cell r="D266">
            <v>173</v>
          </cell>
          <cell r="E266">
            <v>0.90104166666666663</v>
          </cell>
          <cell r="F266" t="str">
            <v>DESEJÁVEL</v>
          </cell>
          <cell r="G266">
            <v>1</v>
          </cell>
          <cell r="J266" t="str">
            <v>*</v>
          </cell>
          <cell r="K266" t="str">
            <v>*</v>
          </cell>
          <cell r="L266" t="str">
            <v>*</v>
          </cell>
          <cell r="M266" t="str">
            <v>**</v>
          </cell>
        </row>
        <row r="267">
          <cell r="A267" t="str">
            <v>PARCIAL</v>
          </cell>
          <cell r="D267">
            <v>17</v>
          </cell>
          <cell r="E267">
            <v>8.8541666666666671E-2</v>
          </cell>
          <cell r="F267" t="str">
            <v>SATISFATÓRIO</v>
          </cell>
          <cell r="J267" t="str">
            <v>*</v>
          </cell>
          <cell r="K267" t="str">
            <v>*</v>
          </cell>
          <cell r="L267" t="str">
            <v>*</v>
          </cell>
        </row>
        <row r="268">
          <cell r="A268" t="str">
            <v>NÃO</v>
          </cell>
          <cell r="D268">
            <v>2</v>
          </cell>
          <cell r="E268">
            <v>1.0416666666666666E-2</v>
          </cell>
          <cell r="F268" t="str">
            <v>DESEJÁVEL</v>
          </cell>
          <cell r="J268" t="str">
            <v>*</v>
          </cell>
          <cell r="K268" t="str">
            <v>*</v>
          </cell>
          <cell r="L268" t="str">
            <v>*</v>
          </cell>
        </row>
        <row r="269">
          <cell r="A269" t="str">
            <v>TOTAL</v>
          </cell>
          <cell r="D269">
            <v>192</v>
          </cell>
          <cell r="E269">
            <v>0.99999999999999989</v>
          </cell>
          <cell r="J269" t="str">
            <v>*</v>
          </cell>
          <cell r="K269" t="str">
            <v>*</v>
          </cell>
        </row>
        <row r="271">
          <cell r="A271" t="str">
            <v>DURANTE O PERÍODO DA PANDEMIA, NO TRABALHO PRESENCIAL, CONTRIBUÍ PARA O DESENVOLVIMENTO DAS NECESSÁRIAS?</v>
          </cell>
          <cell r="C271" t="str">
            <v>ITEM 36</v>
          </cell>
          <cell r="D271">
            <v>2020</v>
          </cell>
          <cell r="I271" t="str">
            <v>ITEM **</v>
          </cell>
          <cell r="J271">
            <v>2017</v>
          </cell>
        </row>
        <row r="272">
          <cell r="D272" t="str">
            <v>TOTAL</v>
          </cell>
          <cell r="E272" t="str">
            <v>%</v>
          </cell>
          <cell r="F272" t="str">
            <v>RESULTADO</v>
          </cell>
          <cell r="G272" t="str">
            <v>ITEM AVALIADO POSITIVAMENTE?             (1 - SIM / 0 - NÃO)</v>
          </cell>
          <cell r="J272" t="str">
            <v>TOTAL</v>
          </cell>
          <cell r="K272" t="str">
            <v>%</v>
          </cell>
          <cell r="L272" t="str">
            <v>RESULTADO</v>
          </cell>
          <cell r="M272" t="str">
            <v>ITEM AVALIADO POSITIVAMENTE?             (1 - SIM / 0 - NÃO)</v>
          </cell>
        </row>
        <row r="273">
          <cell r="A273" t="str">
            <v>SIM</v>
          </cell>
          <cell r="D273">
            <v>151</v>
          </cell>
          <cell r="E273">
            <v>0.78645833333333337</v>
          </cell>
          <cell r="F273" t="str">
            <v>SATISFATÓRIO</v>
          </cell>
          <cell r="G273">
            <v>1</v>
          </cell>
          <cell r="J273" t="str">
            <v>*</v>
          </cell>
          <cell r="K273" t="str">
            <v>*</v>
          </cell>
          <cell r="L273" t="str">
            <v>*</v>
          </cell>
          <cell r="M273" t="str">
            <v>**</v>
          </cell>
        </row>
        <row r="274">
          <cell r="A274" t="str">
            <v>PARCIAL</v>
          </cell>
          <cell r="D274">
            <v>27</v>
          </cell>
          <cell r="E274">
            <v>0.140625</v>
          </cell>
          <cell r="F274" t="str">
            <v>SATISFATÓRIO</v>
          </cell>
          <cell r="J274" t="str">
            <v>*</v>
          </cell>
          <cell r="K274" t="str">
            <v>*</v>
          </cell>
          <cell r="L274" t="str">
            <v>*</v>
          </cell>
        </row>
        <row r="275">
          <cell r="A275" t="str">
            <v>NÃO</v>
          </cell>
          <cell r="D275">
            <v>14</v>
          </cell>
          <cell r="E275">
            <v>7.2916666666666671E-2</v>
          </cell>
          <cell r="F275" t="str">
            <v>SATISFATÓRIO</v>
          </cell>
          <cell r="J275" t="str">
            <v>*</v>
          </cell>
          <cell r="K275" t="str">
            <v>*</v>
          </cell>
          <cell r="L275" t="str">
            <v>*</v>
          </cell>
        </row>
        <row r="276">
          <cell r="A276" t="str">
            <v>TOTAL</v>
          </cell>
          <cell r="D276">
            <v>192</v>
          </cell>
          <cell r="E276">
            <v>1</v>
          </cell>
          <cell r="J276" t="str">
            <v>*</v>
          </cell>
          <cell r="K276" t="str">
            <v>*</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1:AC48"/>
  <sheetViews>
    <sheetView showGridLines="0" showRowColHeaders="0" tabSelected="1" zoomScale="130" zoomScaleNormal="130" workbookViewId="0"/>
  </sheetViews>
  <sheetFormatPr defaultColWidth="0" defaultRowHeight="15" zeroHeight="1" x14ac:dyDescent="0.25"/>
  <cols>
    <col min="1" max="23" width="9.140625" customWidth="1"/>
    <col min="24" max="25" width="9.140625" hidden="1" customWidth="1"/>
    <col min="26" max="29" width="0" hidden="1" customWidth="1"/>
    <col min="30" max="16384" width="9.140625" hidden="1"/>
  </cols>
  <sheetData>
    <row r="1" spans="9:13" s="1" customFormat="1" x14ac:dyDescent="0.25"/>
    <row r="2" spans="9:13" s="1" customFormat="1" x14ac:dyDescent="0.25"/>
    <row r="3" spans="9:13" s="1" customFormat="1" x14ac:dyDescent="0.25"/>
    <row r="4" spans="9:13" s="1" customFormat="1" x14ac:dyDescent="0.25"/>
    <row r="5" spans="9:13" s="1" customFormat="1" x14ac:dyDescent="0.25"/>
    <row r="6" spans="9:13" s="1" customFormat="1" x14ac:dyDescent="0.25"/>
    <row r="7" spans="9:13" s="1" customFormat="1" x14ac:dyDescent="0.25"/>
    <row r="8" spans="9:13" s="1" customFormat="1" x14ac:dyDescent="0.25"/>
    <row r="9" spans="9:13" s="1" customFormat="1" x14ac:dyDescent="0.25"/>
    <row r="10" spans="9:13" s="1" customFormat="1" x14ac:dyDescent="0.25"/>
    <row r="11" spans="9:13" s="1" customFormat="1" x14ac:dyDescent="0.25"/>
    <row r="12" spans="9:13" s="1" customFormat="1" x14ac:dyDescent="0.25">
      <c r="I12" s="455"/>
      <c r="J12" s="455"/>
    </row>
    <row r="13" spans="9:13" s="1" customFormat="1" x14ac:dyDescent="0.25">
      <c r="I13" s="455"/>
      <c r="J13" s="455"/>
    </row>
    <row r="14" spans="9:13" s="1" customFormat="1" x14ac:dyDescent="0.25">
      <c r="I14" s="455"/>
      <c r="J14" s="455"/>
      <c r="K14" s="457"/>
      <c r="L14" s="457"/>
      <c r="M14" s="457"/>
    </row>
    <row r="15" spans="9:13" s="1" customFormat="1" x14ac:dyDescent="0.25">
      <c r="I15" s="455"/>
      <c r="J15" s="455"/>
      <c r="K15" s="457"/>
      <c r="L15" s="457"/>
      <c r="M15" s="457"/>
    </row>
    <row r="16" spans="9:13" s="1" customFormat="1" x14ac:dyDescent="0.25">
      <c r="I16" s="455"/>
      <c r="J16" s="455"/>
      <c r="K16" s="457"/>
      <c r="L16" s="457"/>
      <c r="M16" s="457"/>
    </row>
    <row r="17" spans="6:14" s="1" customFormat="1" x14ac:dyDescent="0.25"/>
    <row r="18" spans="6:14" s="1" customFormat="1" x14ac:dyDescent="0.25"/>
    <row r="19" spans="6:14" s="1" customFormat="1" x14ac:dyDescent="0.25"/>
    <row r="20" spans="6:14" s="1" customFormat="1" x14ac:dyDescent="0.25"/>
    <row r="21" spans="6:14" s="1" customFormat="1" x14ac:dyDescent="0.25">
      <c r="J21" s="263" t="s">
        <v>165</v>
      </c>
    </row>
    <row r="22" spans="6:14" s="1" customFormat="1" x14ac:dyDescent="0.25"/>
    <row r="23" spans="6:14" s="1" customFormat="1" x14ac:dyDescent="0.25"/>
    <row r="24" spans="6:14" s="1" customFormat="1" x14ac:dyDescent="0.25"/>
    <row r="25" spans="6:14" s="1" customFormat="1" x14ac:dyDescent="0.25"/>
    <row r="26" spans="6:14" s="1" customFormat="1" x14ac:dyDescent="0.25"/>
    <row r="27" spans="6:14" s="1" customFormat="1" x14ac:dyDescent="0.25"/>
    <row r="28" spans="6:14" s="1" customFormat="1" x14ac:dyDescent="0.25"/>
    <row r="29" spans="6:14" s="1" customFormat="1" ht="3" customHeight="1" x14ac:dyDescent="0.25"/>
    <row r="30" spans="6:14" s="1" customFormat="1" ht="18" customHeight="1" x14ac:dyDescent="0.25">
      <c r="F30" s="453"/>
      <c r="G30" s="453"/>
      <c r="H30" s="453"/>
      <c r="I30" s="453"/>
      <c r="J30" s="453"/>
      <c r="K30" s="454"/>
      <c r="L30" s="454"/>
      <c r="M30" s="454"/>
      <c r="N30" s="3"/>
    </row>
    <row r="31" spans="6:14" s="1" customFormat="1" hidden="1" x14ac:dyDescent="0.25">
      <c r="F31" s="453"/>
      <c r="G31" s="453"/>
      <c r="H31" s="453"/>
      <c r="I31" s="453"/>
      <c r="J31" s="453"/>
      <c r="K31" s="454"/>
      <c r="L31" s="454"/>
      <c r="M31" s="454"/>
      <c r="N31" s="3"/>
    </row>
    <row r="32" spans="6:14" s="1" customFormat="1" ht="4.5" hidden="1" customHeight="1" x14ac:dyDescent="0.25">
      <c r="F32" s="3"/>
      <c r="G32" s="3"/>
      <c r="H32" s="3"/>
      <c r="I32" s="3"/>
      <c r="J32" s="3"/>
      <c r="K32" s="3"/>
      <c r="L32" s="3"/>
      <c r="M32" s="3"/>
      <c r="N32" s="3"/>
    </row>
    <row r="33" spans="6:14" s="1" customFormat="1" hidden="1" x14ac:dyDescent="0.25">
      <c r="F33" s="3"/>
      <c r="G33" s="3"/>
      <c r="H33" s="4"/>
      <c r="I33" s="3"/>
      <c r="J33" s="3"/>
      <c r="K33" s="3"/>
      <c r="L33" s="3"/>
      <c r="M33" s="3"/>
      <c r="N33" s="3"/>
    </row>
    <row r="34" spans="6:14" s="1" customFormat="1" ht="5.25" hidden="1" customHeight="1" x14ac:dyDescent="0.25">
      <c r="F34" s="3"/>
      <c r="G34" s="3"/>
      <c r="H34" s="3"/>
      <c r="I34" s="3"/>
      <c r="J34" s="3"/>
      <c r="K34" s="3"/>
      <c r="L34" s="3"/>
      <c r="M34" s="3"/>
      <c r="N34" s="3"/>
    </row>
    <row r="35" spans="6:14" s="1" customFormat="1" hidden="1" x14ac:dyDescent="0.25">
      <c r="F35" s="453"/>
      <c r="G35" s="453"/>
      <c r="H35" s="453"/>
      <c r="I35" s="453"/>
      <c r="J35" s="453"/>
      <c r="K35" s="454"/>
      <c r="L35" s="454"/>
      <c r="M35" s="454"/>
      <c r="N35" s="3"/>
    </row>
    <row r="36" spans="6:14" s="1" customFormat="1" hidden="1" x14ac:dyDescent="0.25">
      <c r="F36" s="453"/>
      <c r="G36" s="453"/>
      <c r="H36" s="453"/>
      <c r="I36" s="453"/>
      <c r="J36" s="453"/>
      <c r="K36" s="454"/>
      <c r="L36" s="454"/>
      <c r="M36" s="454"/>
      <c r="N36" s="3"/>
    </row>
    <row r="37" spans="6:14" s="1" customFormat="1" ht="5.25" hidden="1" customHeight="1" x14ac:dyDescent="0.25">
      <c r="F37" s="3"/>
      <c r="G37" s="3"/>
      <c r="H37" s="3"/>
      <c r="I37" s="3"/>
      <c r="J37" s="3"/>
      <c r="K37" s="3"/>
      <c r="L37" s="3"/>
      <c r="M37" s="3"/>
      <c r="N37" s="3"/>
    </row>
    <row r="38" spans="6:14" s="1" customFormat="1" ht="15.75" hidden="1" customHeight="1" x14ac:dyDescent="0.25">
      <c r="F38" s="3"/>
      <c r="G38" s="3"/>
      <c r="H38" s="4"/>
      <c r="I38" s="3"/>
      <c r="J38" s="3"/>
      <c r="K38" s="3"/>
      <c r="L38" s="3"/>
      <c r="M38" s="3"/>
      <c r="N38" s="3"/>
    </row>
    <row r="39" spans="6:14" s="1" customFormat="1" ht="5.25" hidden="1" customHeight="1" x14ac:dyDescent="0.25">
      <c r="F39" s="3"/>
      <c r="G39" s="3"/>
      <c r="H39" s="3"/>
      <c r="I39" s="3"/>
      <c r="J39" s="3"/>
      <c r="K39" s="3"/>
      <c r="L39" s="3"/>
      <c r="M39" s="3"/>
      <c r="N39" s="3"/>
    </row>
    <row r="40" spans="6:14" s="1" customFormat="1" ht="15" hidden="1" customHeight="1" x14ac:dyDescent="0.25">
      <c r="F40" s="456"/>
      <c r="G40" s="456"/>
      <c r="H40" s="456"/>
      <c r="I40" s="456"/>
      <c r="J40" s="456"/>
      <c r="K40" s="456"/>
      <c r="L40" s="456"/>
      <c r="M40" s="456"/>
      <c r="N40" s="3"/>
    </row>
    <row r="41" spans="6:14" s="1" customFormat="1" hidden="1" x14ac:dyDescent="0.25">
      <c r="F41" s="456"/>
      <c r="G41" s="456"/>
      <c r="H41" s="456"/>
      <c r="I41" s="456"/>
      <c r="J41" s="456"/>
      <c r="K41" s="456"/>
      <c r="L41" s="456"/>
      <c r="M41" s="456"/>
      <c r="N41" s="3"/>
    </row>
    <row r="42" spans="6:14" s="1" customFormat="1" hidden="1" x14ac:dyDescent="0.25">
      <c r="F42" s="3"/>
      <c r="G42" s="3"/>
      <c r="H42" s="3"/>
      <c r="I42" s="3"/>
      <c r="J42" s="3"/>
      <c r="K42" s="3"/>
      <c r="L42" s="3"/>
      <c r="M42" s="3"/>
      <c r="N42" s="3"/>
    </row>
    <row r="43" spans="6:14" s="1" customFormat="1" hidden="1" x14ac:dyDescent="0.25">
      <c r="F43" s="3"/>
      <c r="G43" s="3"/>
      <c r="H43" s="3"/>
      <c r="I43" s="3"/>
      <c r="J43" s="3"/>
      <c r="K43" s="3"/>
      <c r="L43" s="3"/>
      <c r="M43" s="3"/>
      <c r="N43" s="3"/>
    </row>
    <row r="44" spans="6:14" s="1" customFormat="1" hidden="1" x14ac:dyDescent="0.25">
      <c r="F44" s="453"/>
      <c r="G44" s="453"/>
      <c r="H44" s="453"/>
      <c r="I44" s="453"/>
      <c r="J44" s="453"/>
      <c r="K44" s="454"/>
      <c r="L44" s="454"/>
      <c r="M44" s="454"/>
      <c r="N44" s="3"/>
    </row>
    <row r="45" spans="6:14" s="1" customFormat="1" hidden="1" x14ac:dyDescent="0.25">
      <c r="F45" s="453"/>
      <c r="G45" s="453"/>
      <c r="H45" s="453"/>
      <c r="I45" s="453"/>
      <c r="J45" s="453"/>
      <c r="K45" s="454"/>
      <c r="L45" s="454"/>
      <c r="M45" s="454"/>
      <c r="N45" s="3"/>
    </row>
    <row r="46" spans="6:14" s="1" customFormat="1" hidden="1" x14ac:dyDescent="0.25"/>
    <row r="47" spans="6:14" s="1" customFormat="1" hidden="1" x14ac:dyDescent="0.25"/>
    <row r="48" spans="6:14" s="1" customFormat="1" hidden="1" x14ac:dyDescent="0.25"/>
  </sheetData>
  <mergeCells count="9">
    <mergeCell ref="F44:J45"/>
    <mergeCell ref="K44:M45"/>
    <mergeCell ref="I12:J16"/>
    <mergeCell ref="F30:J31"/>
    <mergeCell ref="K30:M31"/>
    <mergeCell ref="F35:J36"/>
    <mergeCell ref="K35:M36"/>
    <mergeCell ref="F40:M41"/>
    <mergeCell ref="K14:M16"/>
  </mergeCells>
  <pageMargins left="0.511811024" right="0.511811024" top="0.78740157499999996" bottom="0.78740157499999996" header="0.31496062000000002" footer="0.3149606200000000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T17"/>
  <sheetViews>
    <sheetView showGridLines="0" zoomScale="91" zoomScaleNormal="91" workbookViewId="0">
      <selection sqref="A1:S1"/>
    </sheetView>
  </sheetViews>
  <sheetFormatPr defaultColWidth="0" defaultRowHeight="15" zeroHeight="1" x14ac:dyDescent="0.25"/>
  <cols>
    <col min="1" max="1" width="9.140625" customWidth="1"/>
    <col min="2" max="2" width="20.5703125" customWidth="1"/>
    <col min="3" max="3" width="12.42578125" customWidth="1"/>
    <col min="4" max="4" width="10.7109375" customWidth="1"/>
    <col min="5" max="5" width="20.7109375" customWidth="1"/>
    <col min="6" max="6" width="10.7109375" customWidth="1"/>
    <col min="7" max="7" width="20.7109375" customWidth="1"/>
    <col min="8" max="8" width="10.7109375" customWidth="1"/>
    <col min="9" max="9" width="20.7109375" customWidth="1"/>
    <col min="10" max="10" width="10.7109375" customWidth="1"/>
    <col min="11" max="11" width="20.7109375" customWidth="1"/>
    <col min="12" max="12" width="10.7109375" customWidth="1"/>
    <col min="13" max="13" width="20.7109375" customWidth="1"/>
    <col min="14" max="14" width="10.7109375" customWidth="1"/>
    <col min="15" max="15" width="20.7109375" customWidth="1"/>
    <col min="16" max="16" width="10.7109375" customWidth="1"/>
    <col min="17" max="17" width="20.7109375" customWidth="1"/>
    <col min="18" max="18" width="10.5703125" customWidth="1"/>
    <col min="19" max="19" width="20.7109375" customWidth="1"/>
    <col min="20" max="20" width="1.7109375" customWidth="1"/>
    <col min="21" max="16384" width="9.140625" hidden="1"/>
  </cols>
  <sheetData>
    <row r="1" spans="1:19" ht="55.5" customHeight="1" x14ac:dyDescent="0.25">
      <c r="A1" s="519" t="s">
        <v>12</v>
      </c>
      <c r="B1" s="519"/>
      <c r="C1" s="519"/>
      <c r="D1" s="519"/>
      <c r="E1" s="519"/>
      <c r="F1" s="519"/>
      <c r="G1" s="519"/>
      <c r="H1" s="519"/>
      <c r="I1" s="519"/>
      <c r="J1" s="519"/>
      <c r="K1" s="519"/>
      <c r="L1" s="519"/>
      <c r="M1" s="519"/>
      <c r="N1" s="519"/>
      <c r="O1" s="519"/>
      <c r="P1" s="519"/>
      <c r="Q1" s="519"/>
      <c r="R1" s="519"/>
      <c r="S1" s="519"/>
    </row>
    <row r="2" spans="1:19" x14ac:dyDescent="0.25"/>
    <row r="3" spans="1:19" ht="36.75" customHeight="1" x14ac:dyDescent="0.25">
      <c r="A3" s="520" t="str">
        <f>[1]GLOBAL!A4</f>
        <v>Ano</v>
      </c>
      <c r="B3" s="520" t="str">
        <f>[1]GLOBAL!B4</f>
        <v>Quantitativo Geral de Servidores/Empregados Ativos</v>
      </c>
      <c r="C3" s="520" t="str">
        <f>[1]GLOBAL!C4</f>
        <v>% de aumento ou redução Quantitativo Geral</v>
      </c>
      <c r="D3" s="521" t="str">
        <f>[1]GLOBAL!D4</f>
        <v>Ativo Permanente</v>
      </c>
      <c r="E3" s="521"/>
      <c r="F3" s="521" t="str">
        <f>[1]GLOBAL!F4</f>
        <v>Cedidos</v>
      </c>
      <c r="G3" s="521"/>
      <c r="H3" s="521" t="str">
        <f>[1]GLOBAL!H4</f>
        <v>Anistiado</v>
      </c>
      <c r="I3" s="521"/>
      <c r="J3" s="521" t="str">
        <f>[1]GLOBAL!J4</f>
        <v>Requisitado de Empresa</v>
      </c>
      <c r="K3" s="521"/>
      <c r="L3" s="521" t="str">
        <f>[1]GLOBAL!L4</f>
        <v>Requisitado Órgãos</v>
      </c>
      <c r="M3" s="521"/>
      <c r="N3" s="521" t="str">
        <f>[1]GLOBAL!N4</f>
        <v>Sem Vínculo</v>
      </c>
      <c r="O3" s="521"/>
      <c r="P3" s="521" t="str">
        <f>[1]GLOBAL!P4</f>
        <v>Exercício Descentralizado</v>
      </c>
      <c r="Q3" s="521"/>
      <c r="R3" s="521" t="str">
        <f>[1]GLOBAL!R4</f>
        <v>Contrato Temporário</v>
      </c>
      <c r="S3" s="521"/>
    </row>
    <row r="4" spans="1:19" ht="56.25" customHeight="1" x14ac:dyDescent="0.25">
      <c r="A4" s="520"/>
      <c r="B4" s="520"/>
      <c r="C4" s="520"/>
      <c r="D4" s="44" t="str">
        <f>[1]GLOBAL!D5</f>
        <v>Qtd</v>
      </c>
      <c r="E4" s="45" t="str">
        <f>[1]GLOBAL!E5</f>
        <v>% de aumento ou redução Ativo Permanente</v>
      </c>
      <c r="F4" s="44" t="str">
        <f>[1]GLOBAL!F5</f>
        <v>Qtd</v>
      </c>
      <c r="G4" s="45" t="str">
        <f>[1]GLOBAL!G5</f>
        <v>% de aumento ou redução Cedidos</v>
      </c>
      <c r="H4" s="44" t="str">
        <f>[1]GLOBAL!H5</f>
        <v>Qtd</v>
      </c>
      <c r="I4" s="45" t="str">
        <f>[1]GLOBAL!I5</f>
        <v>% de aumento ou redução Anistiado</v>
      </c>
      <c r="J4" s="44" t="str">
        <f>[1]GLOBAL!J5</f>
        <v>Qtd</v>
      </c>
      <c r="K4" s="45" t="str">
        <f>[1]GLOBAL!K5</f>
        <v>% de aumento ou redução Requisitado de Empresa</v>
      </c>
      <c r="L4" s="44" t="str">
        <f>[1]GLOBAL!L5</f>
        <v>Qtd</v>
      </c>
      <c r="M4" s="45" t="str">
        <f>[1]GLOBAL!M5</f>
        <v>% de aumento ou redução Requisitado Órgãos</v>
      </c>
      <c r="N4" s="44" t="str">
        <f>[1]GLOBAL!N5</f>
        <v>Qtd</v>
      </c>
      <c r="O4" s="45" t="str">
        <f>[1]GLOBAL!O5</f>
        <v>% de aumento ou redução Sem Vínculo</v>
      </c>
      <c r="P4" s="44" t="str">
        <f>[1]GLOBAL!P5</f>
        <v>Qtd</v>
      </c>
      <c r="Q4" s="45" t="str">
        <f>[1]GLOBAL!Q5</f>
        <v>% de aumento ou redução Exercício Descentralizado</v>
      </c>
      <c r="R4" s="44" t="str">
        <f>[1]GLOBAL!R5</f>
        <v>Qtd</v>
      </c>
      <c r="S4" s="45" t="str">
        <f>[1]GLOBAL!S5</f>
        <v>% de aumento ou redução Contrato Temporário</v>
      </c>
    </row>
    <row r="5" spans="1:19" x14ac:dyDescent="0.25">
      <c r="A5" s="46">
        <f>[1]GLOBAL!A6</f>
        <v>2009</v>
      </c>
      <c r="B5" s="47">
        <f>[1]GLOBAL!B6</f>
        <v>1105</v>
      </c>
      <c r="C5" s="48" t="str">
        <f>[1]GLOBAL!C6</f>
        <v>**</v>
      </c>
      <c r="D5" s="49">
        <f>[1]GLOBAL!D6</f>
        <v>307</v>
      </c>
      <c r="E5" s="48" t="str">
        <f>[1]GLOBAL!E6</f>
        <v>**</v>
      </c>
      <c r="F5" s="50">
        <f>[1]GLOBAL!F6</f>
        <v>100</v>
      </c>
      <c r="G5" s="48" t="str">
        <f>[1]GLOBAL!G6</f>
        <v>**</v>
      </c>
      <c r="H5" s="50">
        <f>[1]GLOBAL!H6</f>
        <v>419</v>
      </c>
      <c r="I5" s="48" t="str">
        <f>[1]GLOBAL!I6</f>
        <v>**</v>
      </c>
      <c r="J5" s="49">
        <f>[1]GLOBAL!J6</f>
        <v>47</v>
      </c>
      <c r="K5" s="48" t="str">
        <f>[1]GLOBAL!K6</f>
        <v>**</v>
      </c>
      <c r="L5" s="49">
        <f>[1]GLOBAL!L6</f>
        <v>34</v>
      </c>
      <c r="M5" s="48" t="str">
        <f>[1]GLOBAL!M6</f>
        <v>**</v>
      </c>
      <c r="N5" s="51">
        <f>[1]GLOBAL!N6</f>
        <v>161</v>
      </c>
      <c r="O5" s="48" t="str">
        <f>[1]GLOBAL!O6</f>
        <v>**</v>
      </c>
      <c r="P5" s="50">
        <f>[1]GLOBAL!P6</f>
        <v>37</v>
      </c>
      <c r="Q5" s="48" t="str">
        <f>[1]GLOBAL!Q6</f>
        <v>**</v>
      </c>
      <c r="R5" s="50">
        <f>[1]GLOBAL!R6</f>
        <v>0</v>
      </c>
      <c r="S5" s="48" t="str">
        <f>[1]GLOBAL!S6</f>
        <v>**</v>
      </c>
    </row>
    <row r="6" spans="1:19" x14ac:dyDescent="0.25">
      <c r="A6" s="46">
        <f>[1]GLOBAL!A7</f>
        <v>2010</v>
      </c>
      <c r="B6" s="47">
        <f>[1]GLOBAL!B7</f>
        <v>1160</v>
      </c>
      <c r="C6" s="52">
        <f>[1]GLOBAL!C7</f>
        <v>4.9773755656108563</v>
      </c>
      <c r="D6" s="49">
        <f>[1]GLOBAL!D7</f>
        <v>305</v>
      </c>
      <c r="E6" s="52">
        <f>[1]GLOBAL!E7</f>
        <v>-0.65146579804560645</v>
      </c>
      <c r="F6" s="50">
        <f>[1]GLOBAL!F7</f>
        <v>100</v>
      </c>
      <c r="G6" s="52">
        <f>[1]GLOBAL!G7</f>
        <v>0</v>
      </c>
      <c r="H6" s="50">
        <f>[1]GLOBAL!H7</f>
        <v>437</v>
      </c>
      <c r="I6" s="52">
        <f>[1]GLOBAL!I7</f>
        <v>4.2959427207637191</v>
      </c>
      <c r="J6" s="49">
        <f>[1]GLOBAL!J7</f>
        <v>45</v>
      </c>
      <c r="K6" s="52">
        <f>[1]GLOBAL!K7</f>
        <v>-4.2553191489361666</v>
      </c>
      <c r="L6" s="53">
        <f>[1]GLOBAL!L7</f>
        <v>30</v>
      </c>
      <c r="M6" s="52">
        <f>[1]GLOBAL!M7</f>
        <v>-11.764705882352942</v>
      </c>
      <c r="N6" s="53">
        <f>[1]GLOBAL!N7</f>
        <v>158</v>
      </c>
      <c r="O6" s="52">
        <f>[1]GLOBAL!O7</f>
        <v>-1.8633540372670865</v>
      </c>
      <c r="P6" s="50">
        <f>[1]GLOBAL!P7</f>
        <v>85</v>
      </c>
      <c r="Q6" s="52">
        <f>[1]GLOBAL!Q7</f>
        <v>129.72972972972974</v>
      </c>
      <c r="R6" s="50">
        <f>[1]GLOBAL!R7</f>
        <v>0</v>
      </c>
      <c r="S6" s="48" t="str">
        <f>[1]GLOBAL!S7</f>
        <v>**</v>
      </c>
    </row>
    <row r="7" spans="1:19" x14ac:dyDescent="0.25">
      <c r="A7" s="46">
        <f>[1]GLOBAL!A8</f>
        <v>2011</v>
      </c>
      <c r="B7" s="47">
        <f>[1]GLOBAL!B8</f>
        <v>1122</v>
      </c>
      <c r="C7" s="52">
        <f>[1]GLOBAL!C8</f>
        <v>-3.2758620689655231</v>
      </c>
      <c r="D7" s="49">
        <f>[1]GLOBAL!D8</f>
        <v>295</v>
      </c>
      <c r="E7" s="52">
        <f>[1]GLOBAL!E8</f>
        <v>-3.2786885245901658</v>
      </c>
      <c r="F7" s="50">
        <f>[1]GLOBAL!F8</f>
        <v>94</v>
      </c>
      <c r="G7" s="52">
        <f>[1]GLOBAL!G8</f>
        <v>-6</v>
      </c>
      <c r="H7" s="50">
        <f>[1]GLOBAL!H8</f>
        <v>438</v>
      </c>
      <c r="I7" s="52">
        <f>[1]GLOBAL!I8</f>
        <v>0.2288329519450798</v>
      </c>
      <c r="J7" s="49">
        <f>[1]GLOBAL!J8</f>
        <v>49</v>
      </c>
      <c r="K7" s="52">
        <f>[1]GLOBAL!K8</f>
        <v>8.8888888888888857</v>
      </c>
      <c r="L7" s="53">
        <f>[1]GLOBAL!L8</f>
        <v>32</v>
      </c>
      <c r="M7" s="52">
        <f>[1]GLOBAL!M8</f>
        <v>6.6666666666666714</v>
      </c>
      <c r="N7" s="53">
        <f>[1]GLOBAL!N8</f>
        <v>148</v>
      </c>
      <c r="O7" s="52">
        <f>[1]GLOBAL!O8</f>
        <v>-6.3291139240506311</v>
      </c>
      <c r="P7" s="50">
        <f>[1]GLOBAL!P8</f>
        <v>66</v>
      </c>
      <c r="Q7" s="52">
        <f>[1]GLOBAL!Q8</f>
        <v>-22.352941176470594</v>
      </c>
      <c r="R7" s="50">
        <f>[1]GLOBAL!R8</f>
        <v>0</v>
      </c>
      <c r="S7" s="48" t="str">
        <f>[1]GLOBAL!S8</f>
        <v>**</v>
      </c>
    </row>
    <row r="8" spans="1:19" x14ac:dyDescent="0.25">
      <c r="A8" s="46">
        <f>[1]GLOBAL!A9</f>
        <v>2012</v>
      </c>
      <c r="B8" s="47">
        <f>[1]GLOBAL!B9</f>
        <v>1204</v>
      </c>
      <c r="C8" s="52">
        <f>[1]GLOBAL!C9</f>
        <v>7.3083778966131945</v>
      </c>
      <c r="D8" s="49">
        <f>[1]GLOBAL!D9</f>
        <v>218</v>
      </c>
      <c r="E8" s="52">
        <f>[1]GLOBAL!E9</f>
        <v>-26.101694915254242</v>
      </c>
      <c r="F8" s="50">
        <f>[1]GLOBAL!F9</f>
        <v>97</v>
      </c>
      <c r="G8" s="52">
        <f>[1]GLOBAL!G9</f>
        <v>3.1914893617021249</v>
      </c>
      <c r="H8" s="50">
        <f>[1]GLOBAL!H9</f>
        <v>519</v>
      </c>
      <c r="I8" s="52">
        <f>[1]GLOBAL!I9</f>
        <v>18.493150684931507</v>
      </c>
      <c r="J8" s="49">
        <f>[1]GLOBAL!J9</f>
        <v>52</v>
      </c>
      <c r="K8" s="52">
        <f>[1]GLOBAL!K9</f>
        <v>6.1224489795918373</v>
      </c>
      <c r="L8" s="53">
        <f>[1]GLOBAL!L9</f>
        <v>30</v>
      </c>
      <c r="M8" s="52">
        <f>[1]GLOBAL!M9</f>
        <v>-6.25</v>
      </c>
      <c r="N8" s="53">
        <f>[1]GLOBAL!N9</f>
        <v>150</v>
      </c>
      <c r="O8" s="52">
        <f>[1]GLOBAL!O9</f>
        <v>1.3513513513513544</v>
      </c>
      <c r="P8" s="50">
        <f>[1]GLOBAL!P9</f>
        <v>138</v>
      </c>
      <c r="Q8" s="52">
        <f>[1]GLOBAL!Q9</f>
        <v>109.09090909090909</v>
      </c>
      <c r="R8" s="50">
        <f>[1]GLOBAL!R9</f>
        <v>0</v>
      </c>
      <c r="S8" s="48" t="str">
        <f>[1]GLOBAL!S9</f>
        <v>**</v>
      </c>
    </row>
    <row r="9" spans="1:19" x14ac:dyDescent="0.25">
      <c r="A9" s="46">
        <f>[1]GLOBAL!A10</f>
        <v>2013</v>
      </c>
      <c r="B9" s="47">
        <f>[1]GLOBAL!B10</f>
        <v>1203</v>
      </c>
      <c r="C9" s="52">
        <f>[1]GLOBAL!C10</f>
        <v>-8.3056478405310941E-2</v>
      </c>
      <c r="D9" s="49">
        <f>[1]GLOBAL!D10</f>
        <v>203</v>
      </c>
      <c r="E9" s="52">
        <f>[1]GLOBAL!E10</f>
        <v>-6.8807339449541303</v>
      </c>
      <c r="F9" s="50">
        <f>[1]GLOBAL!F10</f>
        <v>95</v>
      </c>
      <c r="G9" s="52">
        <f>[1]GLOBAL!G10</f>
        <v>-2.0618556701030997</v>
      </c>
      <c r="H9" s="50">
        <f>[1]GLOBAL!H10</f>
        <v>538</v>
      </c>
      <c r="I9" s="52">
        <f>[1]GLOBAL!I10</f>
        <v>3.6608863198458579</v>
      </c>
      <c r="J9" s="49">
        <f>[1]GLOBAL!J10</f>
        <v>48</v>
      </c>
      <c r="K9" s="52">
        <f>[1]GLOBAL!K10</f>
        <v>-7.6923076923076934</v>
      </c>
      <c r="L9" s="53">
        <f>[1]GLOBAL!L10</f>
        <v>32</v>
      </c>
      <c r="M9" s="52">
        <f>[1]GLOBAL!M10</f>
        <v>6.6666666666666714</v>
      </c>
      <c r="N9" s="53">
        <f>[1]GLOBAL!N10</f>
        <v>150</v>
      </c>
      <c r="O9" s="52">
        <f>[1]GLOBAL!O10</f>
        <v>0</v>
      </c>
      <c r="P9" s="50">
        <f>[1]GLOBAL!P10</f>
        <v>133</v>
      </c>
      <c r="Q9" s="52">
        <f>[1]GLOBAL!Q10</f>
        <v>-3.6231884057970944</v>
      </c>
      <c r="R9" s="50">
        <f>[1]GLOBAL!R10</f>
        <v>4</v>
      </c>
      <c r="S9" s="52" t="str">
        <f>[1]GLOBAL!S10</f>
        <v>**</v>
      </c>
    </row>
    <row r="10" spans="1:19" x14ac:dyDescent="0.25">
      <c r="A10" s="46">
        <f>[1]GLOBAL!A11</f>
        <v>2014</v>
      </c>
      <c r="B10" s="47">
        <f>[1]GLOBAL!B11</f>
        <v>1190</v>
      </c>
      <c r="C10" s="52">
        <f>[1]GLOBAL!C11</f>
        <v>-1.0806317539484667</v>
      </c>
      <c r="D10" s="49">
        <f>[1]GLOBAL!D11</f>
        <v>199</v>
      </c>
      <c r="E10" s="52">
        <f>[1]GLOBAL!E11</f>
        <v>-1.970443349753694</v>
      </c>
      <c r="F10" s="50">
        <f>[1]GLOBAL!F11</f>
        <v>86</v>
      </c>
      <c r="G10" s="52">
        <f>[1]GLOBAL!G11</f>
        <v>-9.473684210526315</v>
      </c>
      <c r="H10" s="50">
        <f>[1]GLOBAL!H11</f>
        <v>546</v>
      </c>
      <c r="I10" s="52">
        <f>[1]GLOBAL!I11</f>
        <v>1.4869888475836461</v>
      </c>
      <c r="J10" s="49">
        <f>[1]GLOBAL!J11</f>
        <v>43</v>
      </c>
      <c r="K10" s="52">
        <f>[1]GLOBAL!K11</f>
        <v>-10.416666666666671</v>
      </c>
      <c r="L10" s="53">
        <f>[1]GLOBAL!L11</f>
        <v>37</v>
      </c>
      <c r="M10" s="52">
        <f>[1]GLOBAL!M11</f>
        <v>15.625</v>
      </c>
      <c r="N10" s="53">
        <f>[1]GLOBAL!N11</f>
        <v>154</v>
      </c>
      <c r="O10" s="52">
        <f>[1]GLOBAL!O11</f>
        <v>2.6666666666666714</v>
      </c>
      <c r="P10" s="50">
        <f>[1]GLOBAL!P11</f>
        <v>118</v>
      </c>
      <c r="Q10" s="52">
        <f>[1]GLOBAL!Q11</f>
        <v>-11.278195488721806</v>
      </c>
      <c r="R10" s="50">
        <f>[1]GLOBAL!R11</f>
        <v>7</v>
      </c>
      <c r="S10" s="52">
        <f>[1]GLOBAL!S11</f>
        <v>75</v>
      </c>
    </row>
    <row r="11" spans="1:19" x14ac:dyDescent="0.25">
      <c r="A11" s="46">
        <f>[1]GLOBAL!A12</f>
        <v>2015</v>
      </c>
      <c r="B11" s="47">
        <f>[1]GLOBAL!B12</f>
        <v>1167</v>
      </c>
      <c r="C11" s="52">
        <f>[1]GLOBAL!C12</f>
        <v>-1.9327731092436977</v>
      </c>
      <c r="D11" s="49">
        <f>[1]GLOBAL!D12</f>
        <v>194</v>
      </c>
      <c r="E11" s="52">
        <f>[1]GLOBAL!E12</f>
        <v>-2.5125628140703498</v>
      </c>
      <c r="F11" s="50">
        <f>[1]GLOBAL!F12</f>
        <v>76</v>
      </c>
      <c r="G11" s="52">
        <f>[1]GLOBAL!G12</f>
        <v>-11.627906976744185</v>
      </c>
      <c r="H11" s="50">
        <f>[1]GLOBAL!H12</f>
        <v>556</v>
      </c>
      <c r="I11" s="52">
        <f>[1]GLOBAL!I12</f>
        <v>1.831501831501825</v>
      </c>
      <c r="J11" s="49">
        <f>[1]GLOBAL!J12</f>
        <v>41</v>
      </c>
      <c r="K11" s="52">
        <f>[1]GLOBAL!K12</f>
        <v>-4.6511627906976685</v>
      </c>
      <c r="L11" s="53">
        <f>[1]GLOBAL!L12</f>
        <v>32</v>
      </c>
      <c r="M11" s="52">
        <f>[1]GLOBAL!M12</f>
        <v>-13.513513513513516</v>
      </c>
      <c r="N11" s="53">
        <f>[1]GLOBAL!N12</f>
        <v>152</v>
      </c>
      <c r="O11" s="52">
        <f>[1]GLOBAL!O12</f>
        <v>-1.2987012987013031</v>
      </c>
      <c r="P11" s="50">
        <f>[1]GLOBAL!P12</f>
        <v>109</v>
      </c>
      <c r="Q11" s="52">
        <f>[1]GLOBAL!Q12</f>
        <v>-7.6271186440677923</v>
      </c>
      <c r="R11" s="50">
        <f>[1]GLOBAL!R12</f>
        <v>7</v>
      </c>
      <c r="S11" s="52">
        <f>[1]GLOBAL!S12</f>
        <v>0</v>
      </c>
    </row>
    <row r="12" spans="1:19" x14ac:dyDescent="0.25">
      <c r="A12" s="46">
        <f>[1]GLOBAL!A13</f>
        <v>2016</v>
      </c>
      <c r="B12" s="47">
        <f>[1]GLOBAL!B13</f>
        <v>1116</v>
      </c>
      <c r="C12" s="52">
        <f>[1]GLOBAL!C13</f>
        <v>-4.370179948586113</v>
      </c>
      <c r="D12" s="49">
        <f>[1]GLOBAL!D13</f>
        <v>193</v>
      </c>
      <c r="E12" s="52">
        <f>[1]GLOBAL!E13</f>
        <v>-0.51546391752577847</v>
      </c>
      <c r="F12" s="50">
        <f>[1]GLOBAL!F13</f>
        <v>67</v>
      </c>
      <c r="G12" s="52">
        <f>[1]GLOBAL!G13</f>
        <v>-11.84210526315789</v>
      </c>
      <c r="H12" s="50">
        <f>[1]GLOBAL!H13</f>
        <v>561</v>
      </c>
      <c r="I12" s="52">
        <f>[1]GLOBAL!I13</f>
        <v>0.89928057553956364</v>
      </c>
      <c r="J12" s="49">
        <f>[1]GLOBAL!J13</f>
        <v>26</v>
      </c>
      <c r="K12" s="52">
        <f>[1]GLOBAL!K13</f>
        <v>-36.585365853658537</v>
      </c>
      <c r="L12" s="53">
        <f>[1]GLOBAL!L13</f>
        <v>28</v>
      </c>
      <c r="M12" s="52">
        <f>[1]GLOBAL!M13</f>
        <v>-12.5</v>
      </c>
      <c r="N12" s="53">
        <f>[1]GLOBAL!N13</f>
        <v>129</v>
      </c>
      <c r="O12" s="52">
        <f>[1]GLOBAL!O13</f>
        <v>-15.131578947368425</v>
      </c>
      <c r="P12" s="50">
        <f>[1]GLOBAL!P13</f>
        <v>105</v>
      </c>
      <c r="Q12" s="52">
        <f>[1]GLOBAL!Q13</f>
        <v>-3.6697247706422047</v>
      </c>
      <c r="R12" s="50">
        <f>[1]GLOBAL!R13</f>
        <v>7</v>
      </c>
      <c r="S12" s="52">
        <f>[1]GLOBAL!S13</f>
        <v>0</v>
      </c>
    </row>
    <row r="13" spans="1:19" x14ac:dyDescent="0.25">
      <c r="A13" s="46">
        <f>[1]GLOBAL!A14</f>
        <v>2017</v>
      </c>
      <c r="B13" s="47">
        <f>[1]GLOBAL!B14</f>
        <v>1091</v>
      </c>
      <c r="C13" s="52">
        <f>[1]GLOBAL!C14</f>
        <v>-2.2401433691756267</v>
      </c>
      <c r="D13" s="49">
        <f>[1]GLOBAL!D14</f>
        <v>174</v>
      </c>
      <c r="E13" s="52">
        <f>[1]GLOBAL!E14</f>
        <v>-9.8445595854922345</v>
      </c>
      <c r="F13" s="50">
        <f>[1]GLOBAL!F14</f>
        <v>62</v>
      </c>
      <c r="G13" s="52">
        <f>[1]GLOBAL!G14</f>
        <v>-7.4626865671641838</v>
      </c>
      <c r="H13" s="50">
        <f>[1]GLOBAL!H14</f>
        <v>548</v>
      </c>
      <c r="I13" s="52">
        <f>[1]GLOBAL!I14</f>
        <v>-2.3172905525846659</v>
      </c>
      <c r="J13" s="49">
        <f>[1]GLOBAL!J14</f>
        <v>20</v>
      </c>
      <c r="K13" s="52">
        <f>[1]GLOBAL!K14</f>
        <v>-23.07692307692308</v>
      </c>
      <c r="L13" s="53">
        <f>[1]GLOBAL!L14</f>
        <v>37</v>
      </c>
      <c r="M13" s="52">
        <f>[1]GLOBAL!M14</f>
        <v>32.142857142857139</v>
      </c>
      <c r="N13" s="53">
        <f>[1]GLOBAL!N14</f>
        <v>137</v>
      </c>
      <c r="O13" s="52">
        <f>[1]GLOBAL!O14</f>
        <v>6.201550387596896</v>
      </c>
      <c r="P13" s="50">
        <f>[1]GLOBAL!P14</f>
        <v>104</v>
      </c>
      <c r="Q13" s="52">
        <f>[1]GLOBAL!Q14</f>
        <v>-0.952380952380949</v>
      </c>
      <c r="R13" s="50">
        <f>[1]GLOBAL!R14</f>
        <v>9</v>
      </c>
      <c r="S13" s="52">
        <f>[1]GLOBAL!S14</f>
        <v>28.571428571428584</v>
      </c>
    </row>
    <row r="14" spans="1:19" x14ac:dyDescent="0.25">
      <c r="A14" s="46">
        <f>[1]GLOBAL!A15</f>
        <v>2018</v>
      </c>
      <c r="B14" s="47">
        <f>[1]GLOBAL!B15</f>
        <v>1046</v>
      </c>
      <c r="C14" s="52">
        <f>[1]GLOBAL!C15</f>
        <v>-4.1246562786434424</v>
      </c>
      <c r="D14" s="49">
        <f>[1]GLOBAL!D15</f>
        <v>162</v>
      </c>
      <c r="E14" s="52">
        <f>[1]GLOBAL!E15</f>
        <v>-6.8965517241379359</v>
      </c>
      <c r="F14" s="50">
        <f>[1]GLOBAL!F15</f>
        <v>58</v>
      </c>
      <c r="G14" s="52">
        <f>[1]GLOBAL!G15</f>
        <v>-6.4516129032258078</v>
      </c>
      <c r="H14" s="50">
        <f>[1]GLOBAL!H15</f>
        <v>529</v>
      </c>
      <c r="I14" s="52">
        <f>[1]GLOBAL!I15</f>
        <v>-3.4671532846715394</v>
      </c>
      <c r="J14" s="49">
        <f>[1]GLOBAL!J15</f>
        <v>12</v>
      </c>
      <c r="K14" s="52">
        <f>[1]GLOBAL!K15</f>
        <v>-40</v>
      </c>
      <c r="L14" s="53">
        <f>[1]GLOBAL!L15</f>
        <v>40</v>
      </c>
      <c r="M14" s="52">
        <f>[1]GLOBAL!M15</f>
        <v>8.1081081081081123</v>
      </c>
      <c r="N14" s="53">
        <f>[1]GLOBAL!N15</f>
        <v>138</v>
      </c>
      <c r="O14" s="52">
        <f>[1]GLOBAL!O15</f>
        <v>0.72992700729926696</v>
      </c>
      <c r="P14" s="50">
        <f>[1]GLOBAL!P15</f>
        <v>102</v>
      </c>
      <c r="Q14" s="52">
        <f>[1]GLOBAL!Q15</f>
        <v>-1.9230769230769198</v>
      </c>
      <c r="R14" s="50">
        <f>[1]GLOBAL!R15</f>
        <v>5</v>
      </c>
      <c r="S14" s="52">
        <f>[1]GLOBAL!S15</f>
        <v>-44.444444444444443</v>
      </c>
    </row>
    <row r="15" spans="1:19" x14ac:dyDescent="0.25">
      <c r="A15" s="46">
        <f>[1]GLOBAL!A16</f>
        <v>2019</v>
      </c>
      <c r="B15" s="47">
        <f>[1]GLOBAL!B16</f>
        <v>1000</v>
      </c>
      <c r="C15" s="52">
        <f>[1]GLOBAL!C16</f>
        <v>-4.3977055449330749</v>
      </c>
      <c r="D15" s="49">
        <f>[1]GLOBAL!D16</f>
        <v>145</v>
      </c>
      <c r="E15" s="52">
        <f>[1]GLOBAL!E16</f>
        <v>-10.493827160493822</v>
      </c>
      <c r="F15" s="50">
        <f>[1]GLOBAL!F16</f>
        <v>47</v>
      </c>
      <c r="G15" s="52">
        <f>[1]GLOBAL!G16</f>
        <v>-18.965517241379317</v>
      </c>
      <c r="H15" s="50">
        <f>[1]GLOBAL!H16</f>
        <v>513</v>
      </c>
      <c r="I15" s="52">
        <f>[1]GLOBAL!I16</f>
        <v>-3.024574669187146</v>
      </c>
      <c r="J15" s="49">
        <f>[1]GLOBAL!J16</f>
        <v>9</v>
      </c>
      <c r="K15" s="52">
        <f>[1]GLOBAL!K16</f>
        <v>-25</v>
      </c>
      <c r="L15" s="53">
        <f>[1]GLOBAL!L16</f>
        <v>62</v>
      </c>
      <c r="M15" s="52">
        <f>[1]GLOBAL!M16</f>
        <v>55</v>
      </c>
      <c r="N15" s="53">
        <f>[1]GLOBAL!N16</f>
        <v>125</v>
      </c>
      <c r="O15" s="52">
        <f>[1]GLOBAL!O16</f>
        <v>-9.4202898550724683</v>
      </c>
      <c r="P15" s="50">
        <f>[1]GLOBAL!P16</f>
        <v>95</v>
      </c>
      <c r="Q15" s="52">
        <f>[1]GLOBAL!Q16</f>
        <v>-6.8627450980392126</v>
      </c>
      <c r="R15" s="50">
        <f>[1]GLOBAL!R16</f>
        <v>4</v>
      </c>
      <c r="S15" s="52">
        <f>[1]GLOBAL!S16</f>
        <v>-20</v>
      </c>
    </row>
    <row r="16" spans="1:19" x14ac:dyDescent="0.25">
      <c r="A16" s="46">
        <f>[1]GLOBAL!A17</f>
        <v>2020</v>
      </c>
      <c r="B16" s="47">
        <f>[1]GLOBAL!B17</f>
        <v>954</v>
      </c>
      <c r="C16" s="52">
        <f>[1]GLOBAL!C17</f>
        <v>-4.5999999999999943</v>
      </c>
      <c r="D16" s="50">
        <f>[1]GLOBAL!D17</f>
        <v>137</v>
      </c>
      <c r="E16" s="52">
        <f>[1]GLOBAL!E17</f>
        <v>-5.5172413793103487</v>
      </c>
      <c r="F16" s="50">
        <f>[1]GLOBAL!F17</f>
        <v>32</v>
      </c>
      <c r="G16" s="52">
        <f>[1]GLOBAL!G17</f>
        <v>-31.914893617021278</v>
      </c>
      <c r="H16" s="50">
        <f>[1]GLOBAL!H17</f>
        <v>499</v>
      </c>
      <c r="I16" s="52">
        <f>[1]GLOBAL!I17</f>
        <v>-2.7290448343079987</v>
      </c>
      <c r="J16" s="50">
        <f>[1]GLOBAL!J17</f>
        <v>5</v>
      </c>
      <c r="K16" s="52">
        <f>[1]GLOBAL!K17</f>
        <v>-44.444444444444443</v>
      </c>
      <c r="L16" s="50">
        <f>[1]GLOBAL!L17</f>
        <v>71</v>
      </c>
      <c r="M16" s="52">
        <f>[1]GLOBAL!M17</f>
        <v>14.516129032258064</v>
      </c>
      <c r="N16" s="50">
        <f>[1]GLOBAL!N17</f>
        <v>119</v>
      </c>
      <c r="O16" s="52">
        <f>[1]GLOBAL!O17</f>
        <v>-4.7999999999999972</v>
      </c>
      <c r="P16" s="50">
        <f>[1]GLOBAL!P17</f>
        <v>88</v>
      </c>
      <c r="Q16" s="52">
        <f>[1]GLOBAL!Q17</f>
        <v>-13.725490196078425</v>
      </c>
      <c r="R16" s="50">
        <f>[1]GLOBAL!R17</f>
        <v>3</v>
      </c>
      <c r="S16" s="52">
        <f>[1]GLOBAL!S17</f>
        <v>-25</v>
      </c>
    </row>
    <row r="17" x14ac:dyDescent="0.25"/>
  </sheetData>
  <sheetProtection sheet="1" objects="1" scenarios="1"/>
  <mergeCells count="12">
    <mergeCell ref="A1:S1"/>
    <mergeCell ref="A3:A4"/>
    <mergeCell ref="B3:B4"/>
    <mergeCell ref="C3:C4"/>
    <mergeCell ref="D3:E3"/>
    <mergeCell ref="F3:G3"/>
    <mergeCell ref="H3:I3"/>
    <mergeCell ref="J3:K3"/>
    <mergeCell ref="L3:M3"/>
    <mergeCell ref="N3:O3"/>
    <mergeCell ref="P3:Q3"/>
    <mergeCell ref="R3:S3"/>
  </mergeCells>
  <conditionalFormatting sqref="S10:S16">
    <cfRule type="cellIs" dxfId="789" priority="1" operator="lessThan">
      <formula>0</formula>
    </cfRule>
    <cfRule type="cellIs" dxfId="788" priority="2" operator="greaterThan">
      <formula>0</formula>
    </cfRule>
  </conditionalFormatting>
  <conditionalFormatting sqref="E6:E16">
    <cfRule type="cellIs" dxfId="787" priority="15" operator="lessThan">
      <formula>0</formula>
    </cfRule>
    <cfRule type="cellIs" dxfId="786" priority="16" operator="greaterThan">
      <formula>0</formula>
    </cfRule>
  </conditionalFormatting>
  <conditionalFormatting sqref="G6:G16">
    <cfRule type="cellIs" dxfId="785" priority="13" operator="lessThan">
      <formula>0</formula>
    </cfRule>
    <cfRule type="cellIs" dxfId="784" priority="14" operator="greaterThan">
      <formula>0</formula>
    </cfRule>
  </conditionalFormatting>
  <conditionalFormatting sqref="I6:I16">
    <cfRule type="cellIs" dxfId="783" priority="11" operator="lessThan">
      <formula>0</formula>
    </cfRule>
    <cfRule type="cellIs" dxfId="782" priority="12" operator="greaterThan">
      <formula>0</formula>
    </cfRule>
  </conditionalFormatting>
  <conditionalFormatting sqref="K6:K16">
    <cfRule type="cellIs" dxfId="781" priority="9" operator="lessThan">
      <formula>0</formula>
    </cfRule>
    <cfRule type="cellIs" dxfId="780" priority="10" operator="greaterThan">
      <formula>0</formula>
    </cfRule>
  </conditionalFormatting>
  <conditionalFormatting sqref="M6:M16">
    <cfRule type="cellIs" dxfId="779" priority="7" operator="lessThan">
      <formula>0</formula>
    </cfRule>
    <cfRule type="cellIs" dxfId="778" priority="8" operator="greaterThan">
      <formula>0</formula>
    </cfRule>
  </conditionalFormatting>
  <conditionalFormatting sqref="O6:O16">
    <cfRule type="cellIs" dxfId="777" priority="5" operator="lessThan">
      <formula>0</formula>
    </cfRule>
    <cfRule type="cellIs" dxfId="776" priority="6" operator="greaterThan">
      <formula>0</formula>
    </cfRule>
  </conditionalFormatting>
  <conditionalFormatting sqref="Q6:Q16">
    <cfRule type="cellIs" dxfId="775" priority="3" operator="lessThan">
      <formula>0</formula>
    </cfRule>
    <cfRule type="cellIs" dxfId="774" priority="4" operator="greaterThan">
      <formula>0</formula>
    </cfRule>
  </conditionalFormatting>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X52"/>
  <sheetViews>
    <sheetView showGridLines="0" zoomScale="87" zoomScaleNormal="87" workbookViewId="0">
      <selection sqref="A1:X1"/>
    </sheetView>
  </sheetViews>
  <sheetFormatPr defaultRowHeight="15" zeroHeight="1" x14ac:dyDescent="0.25"/>
  <cols>
    <col min="1" max="1" width="11.28515625" customWidth="1"/>
    <col min="2" max="24" width="12.7109375" customWidth="1"/>
    <col min="25" max="25" width="5.42578125" customWidth="1"/>
  </cols>
  <sheetData>
    <row r="1" spans="1:24" ht="64.5" customHeight="1" x14ac:dyDescent="0.25">
      <c r="A1" s="525" t="s">
        <v>13</v>
      </c>
      <c r="B1" s="525"/>
      <c r="C1" s="525"/>
      <c r="D1" s="525"/>
      <c r="E1" s="525"/>
      <c r="F1" s="525"/>
      <c r="G1" s="525"/>
      <c r="H1" s="525"/>
      <c r="I1" s="525"/>
      <c r="J1" s="525"/>
      <c r="K1" s="525"/>
      <c r="L1" s="525"/>
      <c r="M1" s="525"/>
      <c r="N1" s="525"/>
      <c r="O1" s="525"/>
      <c r="P1" s="525"/>
      <c r="Q1" s="525"/>
      <c r="R1" s="525"/>
      <c r="S1" s="525"/>
      <c r="T1" s="525"/>
      <c r="U1" s="525"/>
      <c r="V1" s="525"/>
      <c r="W1" s="525"/>
      <c r="X1" s="525"/>
    </row>
    <row r="2" spans="1:24" x14ac:dyDescent="0.25"/>
    <row r="3" spans="1:24" x14ac:dyDescent="0.25"/>
    <row r="4" spans="1:24" ht="25.5" customHeight="1" x14ac:dyDescent="0.25">
      <c r="A4" s="520" t="str">
        <f>'[1]ATIV-CED-ANIST'!A4</f>
        <v>ANO</v>
      </c>
      <c r="B4" s="521" t="str">
        <f>'[1]ATIV-CED-ANIST'!B4</f>
        <v>Ativo Permanente</v>
      </c>
      <c r="C4" s="521"/>
      <c r="D4" s="521"/>
      <c r="E4" s="498" t="str">
        <f>'[1]ATIV-CED-ANIST'!E4</f>
        <v>Cedido</v>
      </c>
      <c r="F4" s="522"/>
      <c r="G4" s="499"/>
      <c r="H4" s="498" t="str">
        <f>'[1]ATIV-CED-ANIST'!H4</f>
        <v>Anistiado</v>
      </c>
      <c r="I4" s="522"/>
      <c r="J4" s="499"/>
      <c r="M4" s="520" t="str">
        <f>'[1]FINALISTICA-MEIO'!A4</f>
        <v>ANO</v>
      </c>
      <c r="N4" s="523" t="str">
        <f>'[1]FINALISTICA-MEIO'!B4</f>
        <v>Total MME</v>
      </c>
      <c r="O4" s="521" t="str">
        <f>'[1]FINALISTICA-MEIO'!C4</f>
        <v>ÁREA FINALISTICA</v>
      </c>
      <c r="P4" s="521"/>
      <c r="Q4" s="498" t="str">
        <f>'[1]FINALISTICA-MEIO'!E4</f>
        <v>ÁREA MEIO</v>
      </c>
      <c r="R4" s="499"/>
      <c r="S4" s="523" t="str">
        <f>'[1]FINALISTICA-MEIO'!H4</f>
        <v>Direferença de aumento ou redução Total MME</v>
      </c>
      <c r="T4" s="523" t="str">
        <f>'[1]FINALISTICA-MEIO'!I4</f>
        <v>Direferença de aumento ou redução Área Finalistica</v>
      </c>
      <c r="U4" s="520" t="str">
        <f>'[1]FINALISTICA-MEIO'!J4</f>
        <v>Direferença de aumento ou redução Área Meio</v>
      </c>
    </row>
    <row r="5" spans="1:24" ht="57.75" customHeight="1" x14ac:dyDescent="0.25">
      <c r="A5" s="520"/>
      <c r="B5" s="44" t="str">
        <f>'[1]ATIV-CED-ANIST'!B5</f>
        <v>Quantitativo</v>
      </c>
      <c r="C5" s="44" t="str">
        <f>'[1]ATIV-CED-ANIST'!C5</f>
        <v>Diferença de aumento ou redução</v>
      </c>
      <c r="D5" s="44" t="str">
        <f>'[1]ATIV-CED-ANIST'!D5</f>
        <v>% de aumento ou redução</v>
      </c>
      <c r="E5" s="44" t="str">
        <f>'[1]ATIV-CED-ANIST'!E5</f>
        <v>Quantitativo</v>
      </c>
      <c r="F5" s="44" t="str">
        <f>'[1]ATIV-CED-ANIST'!F5</f>
        <v>Diferença de aumento ou redução</v>
      </c>
      <c r="G5" s="44" t="str">
        <f>'[1]ATIV-CED-ANIST'!G5</f>
        <v>% de aumento ou redução</v>
      </c>
      <c r="H5" s="44" t="str">
        <f>'[1]ATIV-CED-ANIST'!H5</f>
        <v>Quantitativo</v>
      </c>
      <c r="I5" s="44" t="str">
        <f>'[1]ATIV-CED-ANIST'!I5</f>
        <v>Diferença de aumento ou redução</v>
      </c>
      <c r="J5" s="44" t="str">
        <f>'[1]ATIV-CED-ANIST'!J5</f>
        <v>% de aumento ou redução</v>
      </c>
      <c r="M5" s="520"/>
      <c r="N5" s="524"/>
      <c r="O5" s="44" t="str">
        <f>'[1]FINALISTICA-MEIO'!C5</f>
        <v>Quantitativo</v>
      </c>
      <c r="P5" s="44" t="str">
        <f>'[1]FINALISTICA-MEIO'!D5</f>
        <v>% de aumento ou redução</v>
      </c>
      <c r="Q5" s="44" t="str">
        <f>'[1]FINALISTICA-MEIO'!E5</f>
        <v>Quantitativo</v>
      </c>
      <c r="R5" s="44" t="str">
        <f>'[1]FINALISTICA-MEIO'!F5</f>
        <v>% de aumento ou redução</v>
      </c>
      <c r="S5" s="524"/>
      <c r="T5" s="524"/>
      <c r="U5" s="520"/>
    </row>
    <row r="6" spans="1:24" x14ac:dyDescent="0.25">
      <c r="A6" s="46">
        <f>'[1]ATIV-CED-ANIST'!A6</f>
        <v>2009</v>
      </c>
      <c r="B6" s="49">
        <f>'[1]ATIV-CED-ANIST'!B6</f>
        <v>307</v>
      </c>
      <c r="C6" s="49" t="str">
        <f>'[1]ATIV-CED-ANIST'!C6</f>
        <v>**</v>
      </c>
      <c r="D6" s="49" t="str">
        <f>'[1]ATIV-CED-ANIST'!D6</f>
        <v>**</v>
      </c>
      <c r="E6" s="50">
        <f>'[1]ATIV-CED-ANIST'!E6</f>
        <v>100</v>
      </c>
      <c r="F6" s="50" t="str">
        <f>'[1]ATIV-CED-ANIST'!F6</f>
        <v>**</v>
      </c>
      <c r="G6" s="55" t="str">
        <f>'[1]ATIV-CED-ANIST'!G6</f>
        <v>**</v>
      </c>
      <c r="H6" s="50">
        <f>'[1]ATIV-CED-ANIST'!H6</f>
        <v>419</v>
      </c>
      <c r="I6" s="50" t="str">
        <f>'[1]ATIV-CED-ANIST'!I6</f>
        <v>**</v>
      </c>
      <c r="J6" s="55" t="str">
        <f>'[1]ATIV-CED-ANIST'!J6</f>
        <v>**</v>
      </c>
      <c r="M6" s="46">
        <f>'[1]FINALISTICA-MEIO'!A6</f>
        <v>2011</v>
      </c>
      <c r="N6" s="48">
        <f>'[1]FINALISTICA-MEIO'!B6</f>
        <v>695</v>
      </c>
      <c r="O6" s="49">
        <f>'[1]FINALISTICA-MEIO'!C6</f>
        <v>245</v>
      </c>
      <c r="P6" s="49" t="str">
        <f>'[1]FINALISTICA-MEIO'!D6</f>
        <v>**</v>
      </c>
      <c r="Q6" s="49">
        <f>'[1]FINALISTICA-MEIO'!E6</f>
        <v>450</v>
      </c>
      <c r="R6" s="55" t="str">
        <f>'[1]FINALISTICA-MEIO'!F6</f>
        <v>**</v>
      </c>
      <c r="S6" s="59" t="str">
        <f>'[1]FINALISTICA-MEIO'!H6</f>
        <v>**</v>
      </c>
      <c r="T6" s="59" t="str">
        <f>'[1]FINALISTICA-MEIO'!I6</f>
        <v>**</v>
      </c>
      <c r="U6" s="59" t="str">
        <f>'[1]FINALISTICA-MEIO'!J6</f>
        <v>**</v>
      </c>
    </row>
    <row r="7" spans="1:24" x14ac:dyDescent="0.25">
      <c r="A7" s="46">
        <f>'[1]ATIV-CED-ANIST'!A7</f>
        <v>2010</v>
      </c>
      <c r="B7" s="49">
        <f>'[1]ATIV-CED-ANIST'!B7</f>
        <v>305</v>
      </c>
      <c r="C7" s="49">
        <f>'[1]ATIV-CED-ANIST'!C7</f>
        <v>-2</v>
      </c>
      <c r="D7" s="52">
        <f>'[1]ATIV-CED-ANIST'!D7</f>
        <v>-0.65146579804560645</v>
      </c>
      <c r="E7" s="50">
        <f>'[1]ATIV-CED-ANIST'!E7</f>
        <v>100</v>
      </c>
      <c r="F7" s="49">
        <f>'[1]ATIV-CED-ANIST'!F7</f>
        <v>0</v>
      </c>
      <c r="G7" s="52">
        <f>'[1]ATIV-CED-ANIST'!G7</f>
        <v>0</v>
      </c>
      <c r="H7" s="50">
        <f>'[1]ATIV-CED-ANIST'!H7</f>
        <v>437</v>
      </c>
      <c r="I7" s="49">
        <f>'[1]ATIV-CED-ANIST'!I7</f>
        <v>18</v>
      </c>
      <c r="J7" s="52">
        <f>'[1]ATIV-CED-ANIST'!J7</f>
        <v>4.2959427207637191</v>
      </c>
      <c r="M7" s="46">
        <f>'[1]FINALISTICA-MEIO'!A7</f>
        <v>2012</v>
      </c>
      <c r="N7" s="48">
        <f>'[1]FINALISTICA-MEIO'!B7</f>
        <v>634</v>
      </c>
      <c r="O7" s="49">
        <f>'[1]FINALISTICA-MEIO'!C7</f>
        <v>239</v>
      </c>
      <c r="P7" s="52">
        <f>'[1]FINALISTICA-MEIO'!D7</f>
        <v>-2.4489795918367321</v>
      </c>
      <c r="Q7" s="53">
        <f>'[1]FINALISTICA-MEIO'!E7</f>
        <v>395</v>
      </c>
      <c r="R7" s="52">
        <f>'[1]FINALISTICA-MEIO'!F7</f>
        <v>-12.222222222222229</v>
      </c>
      <c r="S7" s="59">
        <f>'[1]FINALISTICA-MEIO'!H7</f>
        <v>-61</v>
      </c>
      <c r="T7" s="59">
        <f>'[1]FINALISTICA-MEIO'!I7</f>
        <v>-6</v>
      </c>
      <c r="U7" s="60">
        <f>'[1]FINALISTICA-MEIO'!J7</f>
        <v>-55</v>
      </c>
    </row>
    <row r="8" spans="1:24" x14ac:dyDescent="0.25">
      <c r="A8" s="46">
        <f>'[1]ATIV-CED-ANIST'!A8</f>
        <v>2011</v>
      </c>
      <c r="B8" s="49">
        <f>'[1]ATIV-CED-ANIST'!B8</f>
        <v>295</v>
      </c>
      <c r="C8" s="49">
        <f>'[1]ATIV-CED-ANIST'!C8</f>
        <v>-10</v>
      </c>
      <c r="D8" s="52">
        <f>'[1]ATIV-CED-ANIST'!D8</f>
        <v>-3.2786885245901658</v>
      </c>
      <c r="E8" s="50">
        <f>'[1]ATIV-CED-ANIST'!E8</f>
        <v>94</v>
      </c>
      <c r="F8" s="49">
        <f>'[1]ATIV-CED-ANIST'!F8</f>
        <v>-6</v>
      </c>
      <c r="G8" s="52">
        <f>'[1]ATIV-CED-ANIST'!G8</f>
        <v>-6</v>
      </c>
      <c r="H8" s="50">
        <f>'[1]ATIV-CED-ANIST'!H8</f>
        <v>438</v>
      </c>
      <c r="I8" s="49">
        <f>'[1]ATIV-CED-ANIST'!I8</f>
        <v>1</v>
      </c>
      <c r="J8" s="52">
        <f>'[1]ATIV-CED-ANIST'!J8</f>
        <v>0.2288329519450798</v>
      </c>
      <c r="M8" s="46">
        <f>'[1]FINALISTICA-MEIO'!A8</f>
        <v>2013</v>
      </c>
      <c r="N8" s="48">
        <f>'[1]FINALISTICA-MEIO'!B8</f>
        <v>646</v>
      </c>
      <c r="O8" s="49">
        <f>'[1]FINALISTICA-MEIO'!C8</f>
        <v>252</v>
      </c>
      <c r="P8" s="52">
        <f>'[1]FINALISTICA-MEIO'!D8</f>
        <v>5.4393305439330533</v>
      </c>
      <c r="Q8" s="53">
        <f>'[1]FINALISTICA-MEIO'!E8</f>
        <v>394</v>
      </c>
      <c r="R8" s="52">
        <f>'[1]FINALISTICA-MEIO'!F8</f>
        <v>-0.25316455696201956</v>
      </c>
      <c r="S8" s="59">
        <f>'[1]FINALISTICA-MEIO'!H8</f>
        <v>12</v>
      </c>
      <c r="T8" s="59">
        <f>'[1]FINALISTICA-MEIO'!I8</f>
        <v>13</v>
      </c>
      <c r="U8" s="60">
        <f>'[1]FINALISTICA-MEIO'!J8</f>
        <v>-1</v>
      </c>
    </row>
    <row r="9" spans="1:24" x14ac:dyDescent="0.25">
      <c r="A9" s="46">
        <f>'[1]ATIV-CED-ANIST'!A9</f>
        <v>2012</v>
      </c>
      <c r="B9" s="49">
        <f>'[1]ATIV-CED-ANIST'!B9</f>
        <v>218</v>
      </c>
      <c r="C9" s="49">
        <f>'[1]ATIV-CED-ANIST'!C9</f>
        <v>-77</v>
      </c>
      <c r="D9" s="52">
        <f>'[1]ATIV-CED-ANIST'!D9</f>
        <v>-26.101694915254242</v>
      </c>
      <c r="E9" s="50">
        <f>'[1]ATIV-CED-ANIST'!E9</f>
        <v>97</v>
      </c>
      <c r="F9" s="49">
        <f>'[1]ATIV-CED-ANIST'!F9</f>
        <v>3</v>
      </c>
      <c r="G9" s="52">
        <f>'[1]ATIV-CED-ANIST'!G9</f>
        <v>3.1914893617021249</v>
      </c>
      <c r="H9" s="50">
        <f>'[1]ATIV-CED-ANIST'!H9</f>
        <v>519</v>
      </c>
      <c r="I9" s="49">
        <f>'[1]ATIV-CED-ANIST'!I9</f>
        <v>81</v>
      </c>
      <c r="J9" s="52">
        <f>'[1]ATIV-CED-ANIST'!J9</f>
        <v>18.493150684931507</v>
      </c>
      <c r="M9" s="46">
        <f>'[1]FINALISTICA-MEIO'!A9</f>
        <v>2014</v>
      </c>
      <c r="N9" s="48">
        <f>'[1]FINALISTICA-MEIO'!B9</f>
        <v>634</v>
      </c>
      <c r="O9" s="49">
        <f>'[1]FINALISTICA-MEIO'!C9</f>
        <v>239</v>
      </c>
      <c r="P9" s="52">
        <f>'[1]FINALISTICA-MEIO'!D9</f>
        <v>-5.1587301587301653</v>
      </c>
      <c r="Q9" s="53">
        <f>'[1]FINALISTICA-MEIO'!E9</f>
        <v>395</v>
      </c>
      <c r="R9" s="52">
        <f>'[1]FINALISTICA-MEIO'!F9</f>
        <v>0.25380710659898398</v>
      </c>
      <c r="S9" s="59">
        <f>'[1]FINALISTICA-MEIO'!H9</f>
        <v>-12</v>
      </c>
      <c r="T9" s="59">
        <f>'[1]FINALISTICA-MEIO'!I9</f>
        <v>-13</v>
      </c>
      <c r="U9" s="60">
        <f>'[1]FINALISTICA-MEIO'!J9</f>
        <v>1</v>
      </c>
    </row>
    <row r="10" spans="1:24" x14ac:dyDescent="0.25">
      <c r="A10" s="46">
        <f>'[1]ATIV-CED-ANIST'!A10</f>
        <v>2013</v>
      </c>
      <c r="B10" s="49">
        <f>'[1]ATIV-CED-ANIST'!B10</f>
        <v>203</v>
      </c>
      <c r="C10" s="49">
        <f>'[1]ATIV-CED-ANIST'!C10</f>
        <v>-15</v>
      </c>
      <c r="D10" s="52">
        <f>'[1]ATIV-CED-ANIST'!D10</f>
        <v>-6.8807339449541303</v>
      </c>
      <c r="E10" s="50">
        <f>'[1]ATIV-CED-ANIST'!E10</f>
        <v>95</v>
      </c>
      <c r="F10" s="49">
        <f>'[1]ATIV-CED-ANIST'!F10</f>
        <v>-2</v>
      </c>
      <c r="G10" s="52">
        <f>'[1]ATIV-CED-ANIST'!G10</f>
        <v>-2.0618556701030997</v>
      </c>
      <c r="H10" s="50">
        <f>'[1]ATIV-CED-ANIST'!H10</f>
        <v>538</v>
      </c>
      <c r="I10" s="49">
        <f>'[1]ATIV-CED-ANIST'!I10</f>
        <v>19</v>
      </c>
      <c r="J10" s="52">
        <f>'[1]ATIV-CED-ANIST'!J10</f>
        <v>3.6608863198458579</v>
      </c>
      <c r="M10" s="46">
        <f>'[1]FINALISTICA-MEIO'!A10</f>
        <v>2015</v>
      </c>
      <c r="N10" s="48">
        <f>'[1]FINALISTICA-MEIO'!B10</f>
        <v>606</v>
      </c>
      <c r="O10" s="49">
        <f>'[1]FINALISTICA-MEIO'!C10</f>
        <v>223</v>
      </c>
      <c r="P10" s="52">
        <f>'[1]FINALISTICA-MEIO'!D10</f>
        <v>-6.6945606694560666</v>
      </c>
      <c r="Q10" s="53">
        <f>'[1]FINALISTICA-MEIO'!E10</f>
        <v>383</v>
      </c>
      <c r="R10" s="52">
        <f>'[1]FINALISTICA-MEIO'!F10</f>
        <v>-3.0379746835443058</v>
      </c>
      <c r="S10" s="59">
        <f>'[1]FINALISTICA-MEIO'!H10</f>
        <v>-28</v>
      </c>
      <c r="T10" s="59">
        <f>'[1]FINALISTICA-MEIO'!I10</f>
        <v>-16</v>
      </c>
      <c r="U10" s="60">
        <f>'[1]FINALISTICA-MEIO'!J10</f>
        <v>-12</v>
      </c>
    </row>
    <row r="11" spans="1:24" x14ac:dyDescent="0.25">
      <c r="A11" s="46">
        <f>'[1]ATIV-CED-ANIST'!A11</f>
        <v>2014</v>
      </c>
      <c r="B11" s="49">
        <f>'[1]ATIV-CED-ANIST'!B11</f>
        <v>199</v>
      </c>
      <c r="C11" s="49">
        <f>'[1]ATIV-CED-ANIST'!C11</f>
        <v>-4</v>
      </c>
      <c r="D11" s="52">
        <f>'[1]ATIV-CED-ANIST'!D11</f>
        <v>-1.970443349753694</v>
      </c>
      <c r="E11" s="50">
        <f>'[1]ATIV-CED-ANIST'!E11</f>
        <v>86</v>
      </c>
      <c r="F11" s="49">
        <f>'[1]ATIV-CED-ANIST'!F11</f>
        <v>-9</v>
      </c>
      <c r="G11" s="52">
        <f>'[1]ATIV-CED-ANIST'!G11</f>
        <v>-9.473684210526315</v>
      </c>
      <c r="H11" s="50">
        <f>'[1]ATIV-CED-ANIST'!H11</f>
        <v>546</v>
      </c>
      <c r="I11" s="49">
        <f>'[1]ATIV-CED-ANIST'!I11</f>
        <v>8</v>
      </c>
      <c r="J11" s="52">
        <f>'[1]ATIV-CED-ANIST'!J11</f>
        <v>1.4869888475836461</v>
      </c>
      <c r="M11" s="46">
        <f>'[1]FINALISTICA-MEIO'!A11</f>
        <v>2016</v>
      </c>
      <c r="N11" s="48">
        <f>'[1]FINALISTICA-MEIO'!B11</f>
        <v>565</v>
      </c>
      <c r="O11" s="49">
        <f>'[1]FINALISTICA-MEIO'!C11</f>
        <v>206</v>
      </c>
      <c r="P11" s="52">
        <f>'[1]FINALISTICA-MEIO'!D11</f>
        <v>-7.6233183856502222</v>
      </c>
      <c r="Q11" s="53">
        <f>'[1]FINALISTICA-MEIO'!E11</f>
        <v>359</v>
      </c>
      <c r="R11" s="52">
        <f>'[1]FINALISTICA-MEIO'!F11</f>
        <v>-6.2663185378590072</v>
      </c>
      <c r="S11" s="59">
        <f>'[1]FINALISTICA-MEIO'!H11</f>
        <v>-41</v>
      </c>
      <c r="T11" s="59">
        <f>'[1]FINALISTICA-MEIO'!I11</f>
        <v>-17</v>
      </c>
      <c r="U11" s="60">
        <f>'[1]FINALISTICA-MEIO'!J11</f>
        <v>-24</v>
      </c>
    </row>
    <row r="12" spans="1:24" x14ac:dyDescent="0.25">
      <c r="A12" s="46">
        <f>'[1]ATIV-CED-ANIST'!A12</f>
        <v>2015</v>
      </c>
      <c r="B12" s="49">
        <f>'[1]ATIV-CED-ANIST'!B12</f>
        <v>194</v>
      </c>
      <c r="C12" s="49">
        <f>'[1]ATIV-CED-ANIST'!C12</f>
        <v>-5</v>
      </c>
      <c r="D12" s="52">
        <f>'[1]ATIV-CED-ANIST'!D12</f>
        <v>-2.5125628140703498</v>
      </c>
      <c r="E12" s="50">
        <f>'[1]ATIV-CED-ANIST'!E12</f>
        <v>76</v>
      </c>
      <c r="F12" s="49">
        <f>'[1]ATIV-CED-ANIST'!F12</f>
        <v>-10</v>
      </c>
      <c r="G12" s="52">
        <f>'[1]ATIV-CED-ANIST'!G12</f>
        <v>-11.627906976744185</v>
      </c>
      <c r="H12" s="50">
        <f>'[1]ATIV-CED-ANIST'!H12</f>
        <v>556</v>
      </c>
      <c r="I12" s="49">
        <f>'[1]ATIV-CED-ANIST'!I12</f>
        <v>10</v>
      </c>
      <c r="J12" s="52">
        <f>'[1]ATIV-CED-ANIST'!J12</f>
        <v>1.831501831501825</v>
      </c>
      <c r="M12" s="46">
        <f>'[1]FINALISTICA-MEIO'!A12</f>
        <v>2017</v>
      </c>
      <c r="N12" s="48">
        <f>'[1]FINALISTICA-MEIO'!B12</f>
        <v>562</v>
      </c>
      <c r="O12" s="49">
        <f>'[1]FINALISTICA-MEIO'!C12</f>
        <v>212</v>
      </c>
      <c r="P12" s="52">
        <f>'[1]FINALISTICA-MEIO'!D12</f>
        <v>2.9126213592232943</v>
      </c>
      <c r="Q12" s="53">
        <f>'[1]FINALISTICA-MEIO'!E12</f>
        <v>350</v>
      </c>
      <c r="R12" s="52">
        <f>'[1]FINALISTICA-MEIO'!F12</f>
        <v>-2.5069637883008369</v>
      </c>
      <c r="S12" s="59">
        <f>'[1]FINALISTICA-MEIO'!H12</f>
        <v>-3</v>
      </c>
      <c r="T12" s="59">
        <f>'[1]FINALISTICA-MEIO'!I12</f>
        <v>6</v>
      </c>
      <c r="U12" s="60">
        <f>'[1]FINALISTICA-MEIO'!J12</f>
        <v>-9</v>
      </c>
    </row>
    <row r="13" spans="1:24" x14ac:dyDescent="0.25">
      <c r="A13" s="46">
        <f>'[1]ATIV-CED-ANIST'!A13</f>
        <v>2016</v>
      </c>
      <c r="B13" s="49">
        <f>'[1]ATIV-CED-ANIST'!B13</f>
        <v>193</v>
      </c>
      <c r="C13" s="49">
        <f>'[1]ATIV-CED-ANIST'!C13</f>
        <v>-1</v>
      </c>
      <c r="D13" s="52">
        <f>'[1]ATIV-CED-ANIST'!D13</f>
        <v>-0.51546391752577847</v>
      </c>
      <c r="E13" s="50">
        <f>'[1]ATIV-CED-ANIST'!E13</f>
        <v>67</v>
      </c>
      <c r="F13" s="49">
        <f>'[1]ATIV-CED-ANIST'!F13</f>
        <v>-9</v>
      </c>
      <c r="G13" s="52">
        <f>'[1]ATIV-CED-ANIST'!G13</f>
        <v>-11.84210526315789</v>
      </c>
      <c r="H13" s="50">
        <f>'[1]ATIV-CED-ANIST'!H13</f>
        <v>561</v>
      </c>
      <c r="I13" s="49">
        <f>'[1]ATIV-CED-ANIST'!I13</f>
        <v>5</v>
      </c>
      <c r="J13" s="52">
        <f>'[1]ATIV-CED-ANIST'!J13</f>
        <v>0.89928057553956364</v>
      </c>
      <c r="M13" s="46">
        <f>'[1]FINALISTICA-MEIO'!A13</f>
        <v>2018</v>
      </c>
      <c r="N13" s="48">
        <f>'[1]FINALISTICA-MEIO'!B13</f>
        <v>520</v>
      </c>
      <c r="O13" s="49">
        <f>'[1]FINALISTICA-MEIO'!C13</f>
        <v>184</v>
      </c>
      <c r="P13" s="52">
        <f>'[1]FINALISTICA-MEIO'!D13</f>
        <v>-13.20754716981132</v>
      </c>
      <c r="Q13" s="53">
        <f>'[1]FINALISTICA-MEIO'!E13</f>
        <v>336</v>
      </c>
      <c r="R13" s="52">
        <f>'[1]FINALISTICA-MEIO'!F13</f>
        <v>-4</v>
      </c>
      <c r="S13" s="59">
        <f>'[1]FINALISTICA-MEIO'!H13</f>
        <v>-42</v>
      </c>
      <c r="T13" s="59">
        <f>'[1]FINALISTICA-MEIO'!I13</f>
        <v>-28</v>
      </c>
      <c r="U13" s="60">
        <f>'[1]FINALISTICA-MEIO'!J13</f>
        <v>-14</v>
      </c>
    </row>
    <row r="14" spans="1:24" x14ac:dyDescent="0.25">
      <c r="A14" s="46">
        <f>'[1]ATIV-CED-ANIST'!A14</f>
        <v>2017</v>
      </c>
      <c r="B14" s="49">
        <f>'[1]ATIV-CED-ANIST'!B14</f>
        <v>174</v>
      </c>
      <c r="C14" s="49">
        <f>'[1]ATIV-CED-ANIST'!C14</f>
        <v>-19</v>
      </c>
      <c r="D14" s="52">
        <f>'[1]ATIV-CED-ANIST'!D14</f>
        <v>-9.8445595854922345</v>
      </c>
      <c r="E14" s="50">
        <f>'[1]ATIV-CED-ANIST'!E14</f>
        <v>62</v>
      </c>
      <c r="F14" s="49">
        <f>'[1]ATIV-CED-ANIST'!F14</f>
        <v>-5</v>
      </c>
      <c r="G14" s="52">
        <f>'[1]ATIV-CED-ANIST'!G14</f>
        <v>-7.4626865671641838</v>
      </c>
      <c r="H14" s="50">
        <f>'[1]ATIV-CED-ANIST'!H14</f>
        <v>548</v>
      </c>
      <c r="I14" s="49">
        <f>'[1]ATIV-CED-ANIST'!I14</f>
        <v>-13</v>
      </c>
      <c r="J14" s="52">
        <f>'[1]ATIV-CED-ANIST'!J14</f>
        <v>-2.3172905525846659</v>
      </c>
      <c r="M14" s="46">
        <f>'[1]FINALISTICA-MEIO'!A14</f>
        <v>2019</v>
      </c>
      <c r="N14" s="48">
        <f>'[1]FINALISTICA-MEIO'!B14</f>
        <v>528</v>
      </c>
      <c r="O14" s="49">
        <f>'[1]FINALISTICA-MEIO'!C14</f>
        <v>177</v>
      </c>
      <c r="P14" s="52">
        <f>'[1]FINALISTICA-MEIO'!D14</f>
        <v>-3.8043478260869534</v>
      </c>
      <c r="Q14" s="53">
        <f>'[1]FINALISTICA-MEIO'!E14</f>
        <v>351</v>
      </c>
      <c r="R14" s="52">
        <f>'[1]FINALISTICA-MEIO'!F14</f>
        <v>4.4642857142857082</v>
      </c>
      <c r="S14" s="59">
        <f>'[1]FINALISTICA-MEIO'!H14</f>
        <v>8</v>
      </c>
      <c r="T14" s="59">
        <f>'[1]FINALISTICA-MEIO'!I14</f>
        <v>-7</v>
      </c>
      <c r="U14" s="60">
        <f>'[1]FINALISTICA-MEIO'!J14</f>
        <v>15</v>
      </c>
    </row>
    <row r="15" spans="1:24" x14ac:dyDescent="0.25">
      <c r="A15" s="46">
        <f>'[1]ATIV-CED-ANIST'!A15</f>
        <v>2018</v>
      </c>
      <c r="B15" s="49">
        <f>'[1]ATIV-CED-ANIST'!B15</f>
        <v>162</v>
      </c>
      <c r="C15" s="49">
        <f>'[1]ATIV-CED-ANIST'!C15</f>
        <v>-12</v>
      </c>
      <c r="D15" s="52">
        <f>'[1]ATIV-CED-ANIST'!D15</f>
        <v>-6.8965517241379359</v>
      </c>
      <c r="E15" s="50">
        <f>'[1]ATIV-CED-ANIST'!E15</f>
        <v>58</v>
      </c>
      <c r="F15" s="49">
        <f>'[1]ATIV-CED-ANIST'!F15</f>
        <v>-4</v>
      </c>
      <c r="G15" s="52">
        <f>'[1]ATIV-CED-ANIST'!G15</f>
        <v>-6.4516129032258078</v>
      </c>
      <c r="H15" s="50">
        <f>'[1]ATIV-CED-ANIST'!H15</f>
        <v>529</v>
      </c>
      <c r="I15" s="49">
        <f>'[1]ATIV-CED-ANIST'!I15</f>
        <v>-19</v>
      </c>
      <c r="J15" s="52">
        <f>'[1]ATIV-CED-ANIST'!J15</f>
        <v>-3.4671532846715394</v>
      </c>
      <c r="M15" s="46">
        <f>'[1]FINALISTICA-MEIO'!A15</f>
        <v>2020</v>
      </c>
      <c r="N15" s="48">
        <f>'[1]FINALISTICA-MEIO'!B15</f>
        <v>490</v>
      </c>
      <c r="O15" s="49">
        <f>'[1]FINALISTICA-MEIO'!C15</f>
        <v>168</v>
      </c>
      <c r="P15" s="52">
        <f>'[1]FINALISTICA-MEIO'!D15</f>
        <v>-5.0847457627118615</v>
      </c>
      <c r="Q15" s="53">
        <f>'[1]FINALISTICA-MEIO'!E15</f>
        <v>322</v>
      </c>
      <c r="R15" s="52">
        <f>'[1]FINALISTICA-MEIO'!F15</f>
        <v>-8.2621082621082564</v>
      </c>
      <c r="S15" s="59">
        <f>'[1]FINALISTICA-MEIO'!H15</f>
        <v>-38</v>
      </c>
      <c r="T15" s="59">
        <f>'[1]FINALISTICA-MEIO'!I15</f>
        <v>-9</v>
      </c>
      <c r="U15" s="60">
        <f>'[1]FINALISTICA-MEIO'!J15</f>
        <v>-29</v>
      </c>
    </row>
    <row r="16" spans="1:24" x14ac:dyDescent="0.25">
      <c r="A16" s="46">
        <f>'[1]ATIV-CED-ANIST'!A16</f>
        <v>2019</v>
      </c>
      <c r="B16" s="49">
        <f>'[1]ATIV-CED-ANIST'!B16</f>
        <v>145</v>
      </c>
      <c r="C16" s="49">
        <f>'[1]ATIV-CED-ANIST'!C16</f>
        <v>-17</v>
      </c>
      <c r="D16" s="52">
        <f>'[1]ATIV-CED-ANIST'!D16</f>
        <v>-10.493827160493822</v>
      </c>
      <c r="E16" s="50">
        <f>'[1]ATIV-CED-ANIST'!E16</f>
        <v>47</v>
      </c>
      <c r="F16" s="49">
        <f>'[1]ATIV-CED-ANIST'!F16</f>
        <v>-11</v>
      </c>
      <c r="G16" s="52">
        <f>'[1]ATIV-CED-ANIST'!G16</f>
        <v>-18.965517241379317</v>
      </c>
      <c r="H16" s="50">
        <f>'[1]ATIV-CED-ANIST'!H16</f>
        <v>529</v>
      </c>
      <c r="I16" s="49">
        <f>'[1]ATIV-CED-ANIST'!I16</f>
        <v>0</v>
      </c>
      <c r="J16" s="52">
        <f>'[1]ATIV-CED-ANIST'!J16</f>
        <v>0</v>
      </c>
    </row>
    <row r="17" spans="1:24" x14ac:dyDescent="0.25">
      <c r="A17" s="46">
        <f>'[1]ATIV-CED-ANIST'!A17</f>
        <v>2020</v>
      </c>
      <c r="B17" s="50">
        <f>'[1]ATIV-CED-ANIST'!B17</f>
        <v>137</v>
      </c>
      <c r="C17" s="49">
        <f>'[1]ATIV-CED-ANIST'!C17</f>
        <v>-8</v>
      </c>
      <c r="D17" s="52">
        <f>'[1]ATIV-CED-ANIST'!D17</f>
        <v>-5.5172413793103487</v>
      </c>
      <c r="E17" s="56">
        <f>'[1]ATIV-CED-ANIST'!E17</f>
        <v>32</v>
      </c>
      <c r="F17" s="49">
        <f>'[1]ATIV-CED-ANIST'!F17</f>
        <v>-15</v>
      </c>
      <c r="G17" s="52">
        <f>'[1]ATIV-CED-ANIST'!G17</f>
        <v>-31.914893617021278</v>
      </c>
      <c r="H17" s="56">
        <f>'[1]ATIV-CED-ANIST'!H17</f>
        <v>499</v>
      </c>
      <c r="I17" s="49">
        <f>'[1]ATIV-CED-ANIST'!I17</f>
        <v>-30</v>
      </c>
      <c r="J17" s="52">
        <f>'[1]ATIV-CED-ANIST'!J17</f>
        <v>-5.6710775047259006</v>
      </c>
    </row>
    <row r="18" spans="1:24" x14ac:dyDescent="0.25"/>
    <row r="19" spans="1:24" x14ac:dyDescent="0.25"/>
    <row r="20" spans="1:24" ht="25.5" customHeight="1" x14ac:dyDescent="0.25">
      <c r="A20" s="523" t="str">
        <f>'[1]REQ-SVINC-EXDESC'!A4</f>
        <v>ANO</v>
      </c>
      <c r="B20" s="498" t="str">
        <f>'[1]REQ-SVINC-EXDESC'!B4</f>
        <v>REQUISITADO DE EMPRESA</v>
      </c>
      <c r="C20" s="522"/>
      <c r="D20" s="499"/>
      <c r="E20" s="498" t="str">
        <f>'[1]REQ-SVINC-EXDESC'!E4</f>
        <v>REQUISITADO ÓRGÃOS</v>
      </c>
      <c r="F20" s="522"/>
      <c r="G20" s="499"/>
      <c r="H20" s="498" t="str">
        <f>'[1]REQ-SVINC-EXDESC'!H4</f>
        <v>SEM VÍNCULO</v>
      </c>
      <c r="I20" s="522"/>
      <c r="J20" s="499"/>
      <c r="K20" s="498" t="str">
        <f>'[1]REQ-SVINC-EXDESC'!K4</f>
        <v>EXERCÍCIO DESCENTRALIZADO</v>
      </c>
      <c r="L20" s="522"/>
      <c r="M20" s="499"/>
      <c r="N20" s="498" t="str">
        <f>'[1]REQ-SVINC-EXDESC'!N4</f>
        <v>CONTRATO TEMPORÁRIO</v>
      </c>
      <c r="O20" s="522"/>
      <c r="P20" s="499"/>
      <c r="R20" s="520" t="str">
        <f>'[1]APOS-PENS'!A4</f>
        <v>ANO</v>
      </c>
      <c r="S20" s="521" t="str">
        <f>'[1]APOS-PENS'!B4</f>
        <v>APOSENTADO</v>
      </c>
      <c r="T20" s="521"/>
      <c r="U20" s="521"/>
      <c r="V20" s="498" t="str">
        <f>'[1]APOS-PENS'!E4</f>
        <v>BENEFICIÁRIO DE PENSÃO</v>
      </c>
      <c r="W20" s="522"/>
      <c r="X20" s="499"/>
    </row>
    <row r="21" spans="1:24" ht="57.75" customHeight="1" x14ac:dyDescent="0.25">
      <c r="A21" s="524"/>
      <c r="B21" s="44" t="str">
        <f>'[1]REQ-SVINC-EXDESC'!B5</f>
        <v>Quantitativo</v>
      </c>
      <c r="C21" s="44" t="str">
        <f>'[1]REQ-SVINC-EXDESC'!C5</f>
        <v>Diferença de aumento ou redução</v>
      </c>
      <c r="D21" s="44" t="str">
        <f>'[1]REQ-SVINC-EXDESC'!D5</f>
        <v>% de aumento ou redução</v>
      </c>
      <c r="E21" s="44" t="str">
        <f>'[1]REQ-SVINC-EXDESC'!E5</f>
        <v>Quantitativo</v>
      </c>
      <c r="F21" s="44" t="str">
        <f>'[1]REQ-SVINC-EXDESC'!F5</f>
        <v>Diferença de aumento ou redução</v>
      </c>
      <c r="G21" s="44" t="str">
        <f>'[1]REQ-SVINC-EXDESC'!G5</f>
        <v>% de aumento ou redução</v>
      </c>
      <c r="H21" s="44" t="str">
        <f>'[1]REQ-SVINC-EXDESC'!H5</f>
        <v>Quantitativo</v>
      </c>
      <c r="I21" s="44" t="str">
        <f>'[1]REQ-SVINC-EXDESC'!I5</f>
        <v>Diferença de aumento ou redução</v>
      </c>
      <c r="J21" s="44" t="str">
        <f>'[1]REQ-SVINC-EXDESC'!J5</f>
        <v>% de aumento ou redução</v>
      </c>
      <c r="K21" s="44" t="str">
        <f>'[1]REQ-SVINC-EXDESC'!K5</f>
        <v>Quantitativo</v>
      </c>
      <c r="L21" s="44" t="str">
        <f>'[1]REQ-SVINC-EXDESC'!L5</f>
        <v>Diferença de aumento ou redução</v>
      </c>
      <c r="M21" s="44" t="str">
        <f>'[1]REQ-SVINC-EXDESC'!M5</f>
        <v>% de aumento ou redução</v>
      </c>
      <c r="N21" s="44" t="str">
        <f>'[1]REQ-SVINC-EXDESC'!N5</f>
        <v>Quantitativo</v>
      </c>
      <c r="O21" s="44" t="str">
        <f>'[1]REQ-SVINC-EXDESC'!O5</f>
        <v>Diferença de aumento ou redução</v>
      </c>
      <c r="P21" s="44" t="str">
        <f>'[1]REQ-SVINC-EXDESC'!P5</f>
        <v>% de aumento ou redução</v>
      </c>
      <c r="R21" s="520"/>
      <c r="S21" s="44" t="str">
        <f>'[1]APOS-PENS'!B5</f>
        <v>Quantitativo</v>
      </c>
      <c r="T21" s="44" t="str">
        <f>'[1]APOS-PENS'!C5</f>
        <v>Diferença de aumento ou redução</v>
      </c>
      <c r="U21" s="44" t="str">
        <f>'[1]APOS-PENS'!D5</f>
        <v>% de aumento ou redução</v>
      </c>
      <c r="V21" s="44" t="str">
        <f>'[1]APOS-PENS'!E5</f>
        <v>Quantitativo</v>
      </c>
      <c r="W21" s="44" t="str">
        <f>'[1]APOS-PENS'!F5</f>
        <v>Diferença de aumento ou redução</v>
      </c>
      <c r="X21" s="44" t="str">
        <f>'[1]APOS-PENS'!G5</f>
        <v>% de aumento ou redução</v>
      </c>
    </row>
    <row r="22" spans="1:24" x14ac:dyDescent="0.25">
      <c r="A22" s="46">
        <f>'[1]REQ-SVINC-EXDESC'!A6</f>
        <v>2009</v>
      </c>
      <c r="B22" s="49">
        <f>'[1]REQ-SVINC-EXDESC'!B6</f>
        <v>47</v>
      </c>
      <c r="C22" s="49" t="str">
        <f>'[1]REQ-SVINC-EXDESC'!C6</f>
        <v>**</v>
      </c>
      <c r="D22" s="49" t="str">
        <f>'[1]REQ-SVINC-EXDESC'!D6</f>
        <v>**</v>
      </c>
      <c r="E22" s="49">
        <f>'[1]REQ-SVINC-EXDESC'!E6</f>
        <v>34</v>
      </c>
      <c r="F22" s="49" t="str">
        <f>'[1]REQ-SVINC-EXDESC'!F6</f>
        <v>**</v>
      </c>
      <c r="G22" s="55" t="str">
        <f>'[1]REQ-SVINC-EXDESC'!G6</f>
        <v>**</v>
      </c>
      <c r="H22" s="51">
        <f>'[1]REQ-SVINC-EXDESC'!H6</f>
        <v>161</v>
      </c>
      <c r="I22" s="49" t="str">
        <f>'[1]REQ-SVINC-EXDESC'!I6</f>
        <v>**</v>
      </c>
      <c r="J22" s="55" t="str">
        <f>'[1]REQ-SVINC-EXDESC'!J6</f>
        <v>**</v>
      </c>
      <c r="K22" s="50">
        <f>'[1]REQ-SVINC-EXDESC'!K6</f>
        <v>37</v>
      </c>
      <c r="L22" s="49" t="str">
        <f>'[1]REQ-SVINC-EXDESC'!L6</f>
        <v>**</v>
      </c>
      <c r="M22" s="55" t="str">
        <f>'[1]REQ-SVINC-EXDESC'!M6</f>
        <v>**</v>
      </c>
      <c r="N22" s="50">
        <f>'[1]REQ-SVINC-EXDESC'!N6</f>
        <v>0</v>
      </c>
      <c r="O22" s="49" t="str">
        <f>'[1]REQ-SVINC-EXDESC'!O6</f>
        <v>**</v>
      </c>
      <c r="P22" s="55" t="str">
        <f>'[1]REQ-SVINC-EXDESC'!P6</f>
        <v>**</v>
      </c>
      <c r="R22" s="46">
        <f>'[1]APOS-PENS'!A6</f>
        <v>2009</v>
      </c>
      <c r="S22" s="49">
        <f>'[1]APOS-PENS'!B6</f>
        <v>845</v>
      </c>
      <c r="T22" s="49" t="str">
        <f>'[1]APOS-PENS'!C6</f>
        <v>**</v>
      </c>
      <c r="U22" s="49" t="str">
        <f>'[1]APOS-PENS'!D6</f>
        <v>**</v>
      </c>
      <c r="V22" s="50">
        <f>'[1]APOS-PENS'!E6</f>
        <v>833</v>
      </c>
      <c r="W22" s="49" t="str">
        <f>'[1]APOS-PENS'!F6</f>
        <v>**</v>
      </c>
      <c r="X22" s="55" t="str">
        <f>'[1]APOS-PENS'!G6</f>
        <v>**</v>
      </c>
    </row>
    <row r="23" spans="1:24" x14ac:dyDescent="0.25">
      <c r="A23" s="46">
        <f>'[1]REQ-SVINC-EXDESC'!A7</f>
        <v>2010</v>
      </c>
      <c r="B23" s="49">
        <f>'[1]REQ-SVINC-EXDESC'!B7</f>
        <v>45</v>
      </c>
      <c r="C23" s="49">
        <f>'[1]REQ-SVINC-EXDESC'!C7</f>
        <v>-2</v>
      </c>
      <c r="D23" s="52">
        <f>'[1]REQ-SVINC-EXDESC'!D7</f>
        <v>-4.2553191489361666</v>
      </c>
      <c r="E23" s="53">
        <f>'[1]REQ-SVINC-EXDESC'!E7</f>
        <v>30</v>
      </c>
      <c r="F23" s="49">
        <f>'[1]REQ-SVINC-EXDESC'!F7</f>
        <v>-4</v>
      </c>
      <c r="G23" s="52">
        <f>'[1]REQ-SVINC-EXDESC'!G7</f>
        <v>-11.764705882352942</v>
      </c>
      <c r="H23" s="53">
        <f>'[1]REQ-SVINC-EXDESC'!H7</f>
        <v>158</v>
      </c>
      <c r="I23" s="49">
        <f>'[1]REQ-SVINC-EXDESC'!I7</f>
        <v>-3</v>
      </c>
      <c r="J23" s="52">
        <f>'[1]REQ-SVINC-EXDESC'!J7</f>
        <v>-1.8633540372670865</v>
      </c>
      <c r="K23" s="50">
        <f>'[1]REQ-SVINC-EXDESC'!K7</f>
        <v>85</v>
      </c>
      <c r="L23" s="49">
        <f>'[1]REQ-SVINC-EXDESC'!L7</f>
        <v>48</v>
      </c>
      <c r="M23" s="52">
        <f>'[1]REQ-SVINC-EXDESC'!M7</f>
        <v>129.72972972972974</v>
      </c>
      <c r="N23" s="50">
        <f>'[1]REQ-SVINC-EXDESC'!N7</f>
        <v>0</v>
      </c>
      <c r="O23" s="49">
        <f>'[1]REQ-SVINC-EXDESC'!O7</f>
        <v>0</v>
      </c>
      <c r="P23" s="55" t="str">
        <f>'[1]REQ-SVINC-EXDESC'!P7</f>
        <v>**</v>
      </c>
      <c r="R23" s="46">
        <f>'[1]APOS-PENS'!A7</f>
        <v>2010</v>
      </c>
      <c r="S23" s="49">
        <f>'[1]APOS-PENS'!B7</f>
        <v>816</v>
      </c>
      <c r="T23" s="49">
        <f>'[1]APOS-PENS'!C7</f>
        <v>-29</v>
      </c>
      <c r="U23" s="52">
        <f>'[1]APOS-PENS'!D7</f>
        <v>-3.4319526627218977</v>
      </c>
      <c r="V23" s="50">
        <f>'[1]APOS-PENS'!E7</f>
        <v>826</v>
      </c>
      <c r="W23" s="49">
        <f>'[1]APOS-PENS'!F7</f>
        <v>-7</v>
      </c>
      <c r="X23" s="52">
        <f>'[1]APOS-PENS'!G7</f>
        <v>-0.84033613445377853</v>
      </c>
    </row>
    <row r="24" spans="1:24" x14ac:dyDescent="0.25">
      <c r="A24" s="46">
        <f>'[1]REQ-SVINC-EXDESC'!A8</f>
        <v>2011</v>
      </c>
      <c r="B24" s="49">
        <f>'[1]REQ-SVINC-EXDESC'!B8</f>
        <v>49</v>
      </c>
      <c r="C24" s="49">
        <f>'[1]REQ-SVINC-EXDESC'!C8</f>
        <v>4</v>
      </c>
      <c r="D24" s="52">
        <f>'[1]REQ-SVINC-EXDESC'!D8</f>
        <v>8.8888888888888857</v>
      </c>
      <c r="E24" s="53">
        <f>'[1]REQ-SVINC-EXDESC'!E8</f>
        <v>32</v>
      </c>
      <c r="F24" s="49">
        <f>'[1]REQ-SVINC-EXDESC'!F8</f>
        <v>2</v>
      </c>
      <c r="G24" s="52">
        <f>'[1]REQ-SVINC-EXDESC'!G8</f>
        <v>6.6666666666666714</v>
      </c>
      <c r="H24" s="53">
        <f>'[1]REQ-SVINC-EXDESC'!H8</f>
        <v>148</v>
      </c>
      <c r="I24" s="49">
        <f>'[1]REQ-SVINC-EXDESC'!I8</f>
        <v>-10</v>
      </c>
      <c r="J24" s="52">
        <f>'[1]REQ-SVINC-EXDESC'!J8</f>
        <v>-6.3291139240506311</v>
      </c>
      <c r="K24" s="50">
        <f>'[1]REQ-SVINC-EXDESC'!K8</f>
        <v>66</v>
      </c>
      <c r="L24" s="49">
        <f>'[1]REQ-SVINC-EXDESC'!L8</f>
        <v>-19</v>
      </c>
      <c r="M24" s="52">
        <f>'[1]REQ-SVINC-EXDESC'!M8</f>
        <v>-22.352941176470594</v>
      </c>
      <c r="N24" s="50">
        <f>'[1]REQ-SVINC-EXDESC'!N8</f>
        <v>0</v>
      </c>
      <c r="O24" s="49">
        <f>'[1]REQ-SVINC-EXDESC'!O8</f>
        <v>0</v>
      </c>
      <c r="P24" s="55" t="str">
        <f>'[1]REQ-SVINC-EXDESC'!P8</f>
        <v>**</v>
      </c>
      <c r="R24" s="46">
        <f>'[1]APOS-PENS'!A8</f>
        <v>2011</v>
      </c>
      <c r="S24" s="49">
        <f>'[1]APOS-PENS'!B8</f>
        <v>793</v>
      </c>
      <c r="T24" s="49">
        <f>'[1]APOS-PENS'!C8</f>
        <v>-23</v>
      </c>
      <c r="U24" s="52">
        <f>'[1]APOS-PENS'!D8</f>
        <v>-2.8186274509803866</v>
      </c>
      <c r="V24" s="50">
        <f>'[1]APOS-PENS'!E8</f>
        <v>815</v>
      </c>
      <c r="W24" s="49">
        <f>'[1]APOS-PENS'!F8</f>
        <v>-11</v>
      </c>
      <c r="X24" s="52">
        <f>'[1]APOS-PENS'!G8</f>
        <v>-1.3317191283292971</v>
      </c>
    </row>
    <row r="25" spans="1:24" x14ac:dyDescent="0.25">
      <c r="A25" s="46">
        <f>'[1]REQ-SVINC-EXDESC'!A9</f>
        <v>2012</v>
      </c>
      <c r="B25" s="49">
        <f>'[1]REQ-SVINC-EXDESC'!B9</f>
        <v>52</v>
      </c>
      <c r="C25" s="49">
        <f>'[1]REQ-SVINC-EXDESC'!C9</f>
        <v>3</v>
      </c>
      <c r="D25" s="52">
        <f>'[1]REQ-SVINC-EXDESC'!D9</f>
        <v>6.1224489795918373</v>
      </c>
      <c r="E25" s="53">
        <f>'[1]REQ-SVINC-EXDESC'!E9</f>
        <v>30</v>
      </c>
      <c r="F25" s="49">
        <f>'[1]REQ-SVINC-EXDESC'!F9</f>
        <v>-2</v>
      </c>
      <c r="G25" s="52">
        <f>'[1]REQ-SVINC-EXDESC'!G9</f>
        <v>-6.25</v>
      </c>
      <c r="H25" s="53">
        <f>'[1]REQ-SVINC-EXDESC'!H9</f>
        <v>150</v>
      </c>
      <c r="I25" s="49">
        <f>'[1]REQ-SVINC-EXDESC'!I9</f>
        <v>2</v>
      </c>
      <c r="J25" s="52">
        <f>'[1]REQ-SVINC-EXDESC'!J9</f>
        <v>1.3513513513513544</v>
      </c>
      <c r="K25" s="50">
        <f>'[1]REQ-SVINC-EXDESC'!K9</f>
        <v>138</v>
      </c>
      <c r="L25" s="49">
        <f>'[1]REQ-SVINC-EXDESC'!L9</f>
        <v>72</v>
      </c>
      <c r="M25" s="52">
        <f>'[1]REQ-SVINC-EXDESC'!M9</f>
        <v>109.09090909090909</v>
      </c>
      <c r="N25" s="50">
        <f>'[1]REQ-SVINC-EXDESC'!N9</f>
        <v>0</v>
      </c>
      <c r="O25" s="49">
        <f>'[1]REQ-SVINC-EXDESC'!O9</f>
        <v>0</v>
      </c>
      <c r="P25" s="55" t="str">
        <f>'[1]REQ-SVINC-EXDESC'!P9</f>
        <v>**</v>
      </c>
      <c r="R25" s="46">
        <f>'[1]APOS-PENS'!A9</f>
        <v>2012</v>
      </c>
      <c r="S25" s="49">
        <f>'[1]APOS-PENS'!B9</f>
        <v>765</v>
      </c>
      <c r="T25" s="49">
        <f>'[1]APOS-PENS'!C9</f>
        <v>-28</v>
      </c>
      <c r="U25" s="52">
        <f>'[1]APOS-PENS'!D9</f>
        <v>-3.5308953341740192</v>
      </c>
      <c r="V25" s="50">
        <f>'[1]APOS-PENS'!E9</f>
        <v>802</v>
      </c>
      <c r="W25" s="49">
        <f>'[1]APOS-PENS'!F9</f>
        <v>-13</v>
      </c>
      <c r="X25" s="52">
        <f>'[1]APOS-PENS'!G9</f>
        <v>-1.5950920245398805</v>
      </c>
    </row>
    <row r="26" spans="1:24" x14ac:dyDescent="0.25">
      <c r="A26" s="46">
        <f>'[1]REQ-SVINC-EXDESC'!A10</f>
        <v>2013</v>
      </c>
      <c r="B26" s="49">
        <f>'[1]REQ-SVINC-EXDESC'!B10</f>
        <v>48</v>
      </c>
      <c r="C26" s="49">
        <f>'[1]REQ-SVINC-EXDESC'!C10</f>
        <v>-4</v>
      </c>
      <c r="D26" s="52">
        <f>'[1]REQ-SVINC-EXDESC'!D10</f>
        <v>-7.6923076923076934</v>
      </c>
      <c r="E26" s="53">
        <f>'[1]REQ-SVINC-EXDESC'!E10</f>
        <v>32</v>
      </c>
      <c r="F26" s="49">
        <f>'[1]REQ-SVINC-EXDESC'!F10</f>
        <v>2</v>
      </c>
      <c r="G26" s="52">
        <f>'[1]REQ-SVINC-EXDESC'!G10</f>
        <v>6.6666666666666714</v>
      </c>
      <c r="H26" s="53">
        <f>'[1]REQ-SVINC-EXDESC'!H10</f>
        <v>150</v>
      </c>
      <c r="I26" s="49">
        <f>'[1]REQ-SVINC-EXDESC'!I10</f>
        <v>0</v>
      </c>
      <c r="J26" s="52">
        <f>'[1]REQ-SVINC-EXDESC'!J10</f>
        <v>0</v>
      </c>
      <c r="K26" s="50">
        <f>'[1]REQ-SVINC-EXDESC'!K10</f>
        <v>133</v>
      </c>
      <c r="L26" s="49">
        <f>'[1]REQ-SVINC-EXDESC'!L10</f>
        <v>-5</v>
      </c>
      <c r="M26" s="52">
        <f>'[1]REQ-SVINC-EXDESC'!M10</f>
        <v>-3.6231884057970944</v>
      </c>
      <c r="N26" s="50">
        <f>'[1]REQ-SVINC-EXDESC'!N10</f>
        <v>4</v>
      </c>
      <c r="O26" s="49">
        <f>'[1]REQ-SVINC-EXDESC'!O10</f>
        <v>4</v>
      </c>
      <c r="P26" s="55" t="str">
        <f>'[1]REQ-SVINC-EXDESC'!P10</f>
        <v>**</v>
      </c>
      <c r="R26" s="46">
        <f>'[1]APOS-PENS'!A10</f>
        <v>2013</v>
      </c>
      <c r="S26" s="49">
        <f>'[1]APOS-PENS'!B10</f>
        <v>727</v>
      </c>
      <c r="T26" s="49">
        <f>'[1]APOS-PENS'!C10</f>
        <v>-38</v>
      </c>
      <c r="U26" s="52">
        <f>'[1]APOS-PENS'!D10</f>
        <v>-4.9673202614379051</v>
      </c>
      <c r="V26" s="50">
        <f>'[1]APOS-PENS'!E10</f>
        <v>796</v>
      </c>
      <c r="W26" s="49">
        <f>'[1]APOS-PENS'!F10</f>
        <v>-6</v>
      </c>
      <c r="X26" s="52">
        <f>'[1]APOS-PENS'!G10</f>
        <v>-0.74812967581047474</v>
      </c>
    </row>
    <row r="27" spans="1:24" x14ac:dyDescent="0.25">
      <c r="A27" s="46">
        <f>'[1]REQ-SVINC-EXDESC'!A11</f>
        <v>2014</v>
      </c>
      <c r="B27" s="49">
        <f>'[1]REQ-SVINC-EXDESC'!B11</f>
        <v>43</v>
      </c>
      <c r="C27" s="49">
        <f>'[1]REQ-SVINC-EXDESC'!C11</f>
        <v>-5</v>
      </c>
      <c r="D27" s="52">
        <f>'[1]REQ-SVINC-EXDESC'!D11</f>
        <v>-10.416666666666671</v>
      </c>
      <c r="E27" s="53">
        <f>'[1]REQ-SVINC-EXDESC'!E11</f>
        <v>37</v>
      </c>
      <c r="F27" s="49">
        <f>'[1]REQ-SVINC-EXDESC'!F11</f>
        <v>5</v>
      </c>
      <c r="G27" s="52">
        <f>'[1]REQ-SVINC-EXDESC'!G11</f>
        <v>15.625</v>
      </c>
      <c r="H27" s="53">
        <f>'[1]REQ-SVINC-EXDESC'!H11</f>
        <v>154</v>
      </c>
      <c r="I27" s="49">
        <f>'[1]REQ-SVINC-EXDESC'!I11</f>
        <v>4</v>
      </c>
      <c r="J27" s="52">
        <f>'[1]REQ-SVINC-EXDESC'!J11</f>
        <v>2.6666666666666714</v>
      </c>
      <c r="K27" s="50">
        <f>'[1]REQ-SVINC-EXDESC'!K11</f>
        <v>118</v>
      </c>
      <c r="L27" s="49">
        <f>'[1]REQ-SVINC-EXDESC'!L11</f>
        <v>-15</v>
      </c>
      <c r="M27" s="52">
        <f>'[1]REQ-SVINC-EXDESC'!M11</f>
        <v>-11.278195488721806</v>
      </c>
      <c r="N27" s="50">
        <f>'[1]REQ-SVINC-EXDESC'!N11</f>
        <v>7</v>
      </c>
      <c r="O27" s="49">
        <f>'[1]REQ-SVINC-EXDESC'!O11</f>
        <v>3</v>
      </c>
      <c r="P27" s="52">
        <f>'[1]REQ-SVINC-EXDESC'!P11</f>
        <v>75</v>
      </c>
      <c r="R27" s="46">
        <f>'[1]APOS-PENS'!A11</f>
        <v>2014</v>
      </c>
      <c r="S27" s="49">
        <f>'[1]APOS-PENS'!B11</f>
        <v>696</v>
      </c>
      <c r="T27" s="49">
        <f>'[1]APOS-PENS'!C11</f>
        <v>-31</v>
      </c>
      <c r="U27" s="52">
        <f>'[1]APOS-PENS'!D11</f>
        <v>-4.2640990371389336</v>
      </c>
      <c r="V27" s="50">
        <f>'[1]APOS-PENS'!E11</f>
        <v>788</v>
      </c>
      <c r="W27" s="49">
        <f>'[1]APOS-PENS'!F11</f>
        <v>-8</v>
      </c>
      <c r="X27" s="52">
        <f>'[1]APOS-PENS'!G11</f>
        <v>-1.0050251256281371</v>
      </c>
    </row>
    <row r="28" spans="1:24" x14ac:dyDescent="0.25">
      <c r="A28" s="46">
        <f>'[1]REQ-SVINC-EXDESC'!A12</f>
        <v>2015</v>
      </c>
      <c r="B28" s="49">
        <f>'[1]REQ-SVINC-EXDESC'!B12</f>
        <v>41</v>
      </c>
      <c r="C28" s="49">
        <f>'[1]REQ-SVINC-EXDESC'!C12</f>
        <v>-2</v>
      </c>
      <c r="D28" s="52">
        <f>'[1]REQ-SVINC-EXDESC'!D12</f>
        <v>-4.6511627906976685</v>
      </c>
      <c r="E28" s="53">
        <f>'[1]REQ-SVINC-EXDESC'!E12</f>
        <v>32</v>
      </c>
      <c r="F28" s="49">
        <f>'[1]REQ-SVINC-EXDESC'!F12</f>
        <v>-5</v>
      </c>
      <c r="G28" s="52">
        <f>'[1]REQ-SVINC-EXDESC'!G12</f>
        <v>-13.513513513513516</v>
      </c>
      <c r="H28" s="53">
        <f>'[1]REQ-SVINC-EXDESC'!H12</f>
        <v>152</v>
      </c>
      <c r="I28" s="49">
        <f>'[1]REQ-SVINC-EXDESC'!I12</f>
        <v>-2</v>
      </c>
      <c r="J28" s="52">
        <f>'[1]REQ-SVINC-EXDESC'!J12</f>
        <v>-1.2987012987013031</v>
      </c>
      <c r="K28" s="50">
        <f>'[1]REQ-SVINC-EXDESC'!K12</f>
        <v>109</v>
      </c>
      <c r="L28" s="49">
        <f>'[1]REQ-SVINC-EXDESC'!L12</f>
        <v>-9</v>
      </c>
      <c r="M28" s="52">
        <f>'[1]REQ-SVINC-EXDESC'!M12</f>
        <v>-7.6271186440677923</v>
      </c>
      <c r="N28" s="50">
        <f>'[1]REQ-SVINC-EXDESC'!N12</f>
        <v>7</v>
      </c>
      <c r="O28" s="49">
        <f>'[1]REQ-SVINC-EXDESC'!O12</f>
        <v>0</v>
      </c>
      <c r="P28" s="52">
        <f>'[1]REQ-SVINC-EXDESC'!P12</f>
        <v>0</v>
      </c>
      <c r="R28" s="46">
        <f>'[1]APOS-PENS'!A12</f>
        <v>2015</v>
      </c>
      <c r="S28" s="49">
        <f>'[1]APOS-PENS'!B12</f>
        <v>681</v>
      </c>
      <c r="T28" s="49">
        <f>'[1]APOS-PENS'!C12</f>
        <v>-15</v>
      </c>
      <c r="U28" s="52">
        <f>'[1]APOS-PENS'!D12</f>
        <v>-2.1551724137931103</v>
      </c>
      <c r="V28" s="50">
        <f>'[1]APOS-PENS'!E12</f>
        <v>768</v>
      </c>
      <c r="W28" s="49">
        <f>'[1]APOS-PENS'!F12</f>
        <v>-20</v>
      </c>
      <c r="X28" s="52">
        <f>'[1]APOS-PENS'!G12</f>
        <v>-2.538071065989854</v>
      </c>
    </row>
    <row r="29" spans="1:24" x14ac:dyDescent="0.25">
      <c r="A29" s="46">
        <f>'[1]REQ-SVINC-EXDESC'!A13</f>
        <v>2016</v>
      </c>
      <c r="B29" s="49">
        <f>'[1]REQ-SVINC-EXDESC'!B13</f>
        <v>26</v>
      </c>
      <c r="C29" s="49">
        <f>'[1]REQ-SVINC-EXDESC'!C13</f>
        <v>-15</v>
      </c>
      <c r="D29" s="52">
        <f>'[1]REQ-SVINC-EXDESC'!D13</f>
        <v>-36.585365853658537</v>
      </c>
      <c r="E29" s="53">
        <f>'[1]REQ-SVINC-EXDESC'!E13</f>
        <v>28</v>
      </c>
      <c r="F29" s="49">
        <f>'[1]REQ-SVINC-EXDESC'!F13</f>
        <v>-4</v>
      </c>
      <c r="G29" s="52">
        <f>'[1]REQ-SVINC-EXDESC'!G13</f>
        <v>-12.5</v>
      </c>
      <c r="H29" s="53">
        <f>'[1]REQ-SVINC-EXDESC'!H13</f>
        <v>129</v>
      </c>
      <c r="I29" s="49">
        <f>'[1]REQ-SVINC-EXDESC'!I13</f>
        <v>-23</v>
      </c>
      <c r="J29" s="52">
        <f>'[1]REQ-SVINC-EXDESC'!J13</f>
        <v>-15.131578947368425</v>
      </c>
      <c r="K29" s="50">
        <f>'[1]REQ-SVINC-EXDESC'!K13</f>
        <v>105</v>
      </c>
      <c r="L29" s="49">
        <f>'[1]REQ-SVINC-EXDESC'!L13</f>
        <v>-4</v>
      </c>
      <c r="M29" s="52">
        <f>'[1]REQ-SVINC-EXDESC'!M13</f>
        <v>-3.6697247706422047</v>
      </c>
      <c r="N29" s="50">
        <f>'[1]REQ-SVINC-EXDESC'!N13</f>
        <v>7</v>
      </c>
      <c r="O29" s="49">
        <f>'[1]REQ-SVINC-EXDESC'!O13</f>
        <v>0</v>
      </c>
      <c r="P29" s="52">
        <f>'[1]REQ-SVINC-EXDESC'!P13</f>
        <v>0</v>
      </c>
      <c r="R29" s="46">
        <f>'[1]APOS-PENS'!A13</f>
        <v>2016</v>
      </c>
      <c r="S29" s="49">
        <f>'[1]APOS-PENS'!B13</f>
        <v>660</v>
      </c>
      <c r="T29" s="49">
        <f>'[1]APOS-PENS'!C13</f>
        <v>-21</v>
      </c>
      <c r="U29" s="52">
        <f>'[1]APOS-PENS'!D13</f>
        <v>-3.0837004405286308</v>
      </c>
      <c r="V29" s="50">
        <f>'[1]APOS-PENS'!E13</f>
        <v>755</v>
      </c>
      <c r="W29" s="49">
        <f>'[1]APOS-PENS'!F13</f>
        <v>-13</v>
      </c>
      <c r="X29" s="52">
        <f>'[1]APOS-PENS'!G13</f>
        <v>-1.6927083333333286</v>
      </c>
    </row>
    <row r="30" spans="1:24" x14ac:dyDescent="0.25">
      <c r="A30" s="46">
        <f>'[1]REQ-SVINC-EXDESC'!A14</f>
        <v>2017</v>
      </c>
      <c r="B30" s="49">
        <f>'[1]REQ-SVINC-EXDESC'!B14</f>
        <v>20</v>
      </c>
      <c r="C30" s="49">
        <f>'[1]REQ-SVINC-EXDESC'!C14</f>
        <v>-6</v>
      </c>
      <c r="D30" s="52">
        <f>'[1]REQ-SVINC-EXDESC'!D14</f>
        <v>-23.07692307692308</v>
      </c>
      <c r="E30" s="53">
        <f>'[1]REQ-SVINC-EXDESC'!E14</f>
        <v>37</v>
      </c>
      <c r="F30" s="49">
        <f>'[1]REQ-SVINC-EXDESC'!F14</f>
        <v>9</v>
      </c>
      <c r="G30" s="52">
        <f>'[1]REQ-SVINC-EXDESC'!G14</f>
        <v>32.142857142857139</v>
      </c>
      <c r="H30" s="53">
        <f>'[1]REQ-SVINC-EXDESC'!H14</f>
        <v>137</v>
      </c>
      <c r="I30" s="49">
        <f>'[1]REQ-SVINC-EXDESC'!I14</f>
        <v>8</v>
      </c>
      <c r="J30" s="52">
        <f>'[1]REQ-SVINC-EXDESC'!J14</f>
        <v>6.201550387596896</v>
      </c>
      <c r="K30" s="50">
        <f>'[1]REQ-SVINC-EXDESC'!K14</f>
        <v>104</v>
      </c>
      <c r="L30" s="49">
        <f>'[1]REQ-SVINC-EXDESC'!L14</f>
        <v>-1</v>
      </c>
      <c r="M30" s="52">
        <f>'[1]REQ-SVINC-EXDESC'!M14</f>
        <v>-0.952380952380949</v>
      </c>
      <c r="N30" s="50">
        <f>'[1]REQ-SVINC-EXDESC'!N14</f>
        <v>9</v>
      </c>
      <c r="O30" s="49">
        <f>'[1]REQ-SVINC-EXDESC'!O14</f>
        <v>2</v>
      </c>
      <c r="P30" s="52">
        <f>'[1]REQ-SVINC-EXDESC'!P14</f>
        <v>28.571428571428584</v>
      </c>
      <c r="R30" s="46">
        <f>'[1]APOS-PENS'!A14</f>
        <v>2017</v>
      </c>
      <c r="S30" s="49">
        <f>'[1]APOS-PENS'!B14</f>
        <v>650</v>
      </c>
      <c r="T30" s="49">
        <f>'[1]APOS-PENS'!C14</f>
        <v>-10</v>
      </c>
      <c r="U30" s="52">
        <f>'[1]APOS-PENS'!D14</f>
        <v>-1.5151515151515156</v>
      </c>
      <c r="V30" s="50">
        <f>'[1]APOS-PENS'!E14</f>
        <v>722</v>
      </c>
      <c r="W30" s="49">
        <f>'[1]APOS-PENS'!F14</f>
        <v>-33</v>
      </c>
      <c r="X30" s="52">
        <f>'[1]APOS-PENS'!G14</f>
        <v>-4.3708609271523216</v>
      </c>
    </row>
    <row r="31" spans="1:24" x14ac:dyDescent="0.25">
      <c r="A31" s="46">
        <f>'[1]REQ-SVINC-EXDESC'!A15</f>
        <v>2018</v>
      </c>
      <c r="B31" s="49">
        <f>'[1]REQ-SVINC-EXDESC'!B15</f>
        <v>12</v>
      </c>
      <c r="C31" s="49">
        <f>'[1]REQ-SVINC-EXDESC'!C15</f>
        <v>-8</v>
      </c>
      <c r="D31" s="52">
        <f>'[1]REQ-SVINC-EXDESC'!D15</f>
        <v>-40</v>
      </c>
      <c r="E31" s="53">
        <f>'[1]REQ-SVINC-EXDESC'!E15</f>
        <v>40</v>
      </c>
      <c r="F31" s="49">
        <f>'[1]REQ-SVINC-EXDESC'!F15</f>
        <v>3</v>
      </c>
      <c r="G31" s="52">
        <f>'[1]REQ-SVINC-EXDESC'!G15</f>
        <v>8.1081081081081123</v>
      </c>
      <c r="H31" s="53">
        <f>'[1]REQ-SVINC-EXDESC'!H15</f>
        <v>138</v>
      </c>
      <c r="I31" s="49">
        <f>'[1]REQ-SVINC-EXDESC'!I15</f>
        <v>1</v>
      </c>
      <c r="J31" s="52">
        <f>'[1]REQ-SVINC-EXDESC'!J15</f>
        <v>0.72992700729926696</v>
      </c>
      <c r="K31" s="50">
        <f>'[1]REQ-SVINC-EXDESC'!K15</f>
        <v>102</v>
      </c>
      <c r="L31" s="49">
        <f>'[1]REQ-SVINC-EXDESC'!L15</f>
        <v>-2</v>
      </c>
      <c r="M31" s="52">
        <f>'[1]REQ-SVINC-EXDESC'!M15</f>
        <v>-1.9230769230769198</v>
      </c>
      <c r="N31" s="50">
        <f>'[1]REQ-SVINC-EXDESC'!N15</f>
        <v>5</v>
      </c>
      <c r="O31" s="49">
        <f>'[1]REQ-SVINC-EXDESC'!O15</f>
        <v>-4</v>
      </c>
      <c r="P31" s="52">
        <f>'[1]REQ-SVINC-EXDESC'!P15</f>
        <v>-44.444444444444443</v>
      </c>
      <c r="R31" s="46">
        <f>'[1]APOS-PENS'!A15</f>
        <v>2018</v>
      </c>
      <c r="S31" s="49">
        <f>'[1]APOS-PENS'!B15</f>
        <v>633</v>
      </c>
      <c r="T31" s="49">
        <f>'[1]APOS-PENS'!C15</f>
        <v>-17</v>
      </c>
      <c r="U31" s="52">
        <f>'[1]APOS-PENS'!D15</f>
        <v>-2.6153846153846132</v>
      </c>
      <c r="V31" s="50">
        <f>'[1]APOS-PENS'!E15</f>
        <v>697</v>
      </c>
      <c r="W31" s="49">
        <f>'[1]APOS-PENS'!F15</f>
        <v>-25</v>
      </c>
      <c r="X31" s="52">
        <f>'[1]APOS-PENS'!G15</f>
        <v>-3.4626038781163402</v>
      </c>
    </row>
    <row r="32" spans="1:24" x14ac:dyDescent="0.25">
      <c r="A32" s="46">
        <f>'[1]REQ-SVINC-EXDESC'!A16</f>
        <v>2019</v>
      </c>
      <c r="B32" s="49">
        <f>'[1]REQ-SVINC-EXDESC'!B16</f>
        <v>9</v>
      </c>
      <c r="C32" s="49">
        <f>'[1]REQ-SVINC-EXDESC'!C16</f>
        <v>-3</v>
      </c>
      <c r="D32" s="52">
        <f>'[1]REQ-SVINC-EXDESC'!D16</f>
        <v>-25</v>
      </c>
      <c r="E32" s="53">
        <f>'[1]REQ-SVINC-EXDESC'!E16</f>
        <v>62</v>
      </c>
      <c r="F32" s="49">
        <f>'[1]REQ-SVINC-EXDESC'!F16</f>
        <v>22</v>
      </c>
      <c r="G32" s="52">
        <f>'[1]REQ-SVINC-EXDESC'!G16</f>
        <v>55</v>
      </c>
      <c r="H32" s="53">
        <f>'[1]REQ-SVINC-EXDESC'!H16</f>
        <v>125</v>
      </c>
      <c r="I32" s="49">
        <f>'[1]REQ-SVINC-EXDESC'!I16</f>
        <v>-13</v>
      </c>
      <c r="J32" s="52">
        <f>'[1]REQ-SVINC-EXDESC'!J16</f>
        <v>-9.4202898550724683</v>
      </c>
      <c r="K32" s="50">
        <f>'[1]REQ-SVINC-EXDESC'!K16</f>
        <v>95</v>
      </c>
      <c r="L32" s="49">
        <f>'[1]REQ-SVINC-EXDESC'!L16</f>
        <v>-7</v>
      </c>
      <c r="M32" s="52">
        <f>'[1]REQ-SVINC-EXDESC'!M16</f>
        <v>-6.8627450980392126</v>
      </c>
      <c r="N32" s="50">
        <f>'[1]REQ-SVINC-EXDESC'!N16</f>
        <v>4</v>
      </c>
      <c r="O32" s="49">
        <f>'[1]REQ-SVINC-EXDESC'!O16</f>
        <v>-1</v>
      </c>
      <c r="P32" s="52">
        <f>'[1]REQ-SVINC-EXDESC'!P16</f>
        <v>-20</v>
      </c>
      <c r="R32" s="46">
        <f>'[1]APOS-PENS'!A16</f>
        <v>2019</v>
      </c>
      <c r="S32" s="49">
        <f>'[1]APOS-PENS'!B16</f>
        <v>636</v>
      </c>
      <c r="T32" s="49">
        <f>'[1]APOS-PENS'!C16</f>
        <v>3</v>
      </c>
      <c r="U32" s="52">
        <f>'[1]APOS-PENS'!D16</f>
        <v>0.47393364928909421</v>
      </c>
      <c r="V32" s="50">
        <f>'[1]APOS-PENS'!E16</f>
        <v>675</v>
      </c>
      <c r="W32" s="49">
        <f>'[1]APOS-PENS'!F16</f>
        <v>-22</v>
      </c>
      <c r="X32" s="52">
        <f>'[1]APOS-PENS'!G16</f>
        <v>-3.1563845050215207</v>
      </c>
    </row>
    <row r="33" spans="1:24" x14ac:dyDescent="0.25">
      <c r="A33" s="46">
        <f>'[1]REQ-SVINC-EXDESC'!A17</f>
        <v>2020</v>
      </c>
      <c r="B33" s="50">
        <f>'[1]REQ-SVINC-EXDESC'!B17</f>
        <v>5</v>
      </c>
      <c r="C33" s="49">
        <f>'[1]REQ-SVINC-EXDESC'!C17</f>
        <v>-4</v>
      </c>
      <c r="D33" s="52">
        <f>'[1]REQ-SVINC-EXDESC'!D17</f>
        <v>-44.444444444444443</v>
      </c>
      <c r="E33" s="50">
        <f>'[1]REQ-SVINC-EXDESC'!E17</f>
        <v>71</v>
      </c>
      <c r="F33" s="49">
        <f>'[1]REQ-SVINC-EXDESC'!F17</f>
        <v>9</v>
      </c>
      <c r="G33" s="52">
        <f>'[1]REQ-SVINC-EXDESC'!G17</f>
        <v>14.516129032258064</v>
      </c>
      <c r="H33" s="50">
        <f>'[1]REQ-SVINC-EXDESC'!H17</f>
        <v>119</v>
      </c>
      <c r="I33" s="49">
        <f>'[1]REQ-SVINC-EXDESC'!I17</f>
        <v>-6</v>
      </c>
      <c r="J33" s="52">
        <f>'[1]REQ-SVINC-EXDESC'!J17</f>
        <v>-4.7999999999999972</v>
      </c>
      <c r="K33" s="50">
        <f>'[1]REQ-SVINC-EXDESC'!K17</f>
        <v>88</v>
      </c>
      <c r="L33" s="49">
        <f>'[1]REQ-SVINC-EXDESC'!L17</f>
        <v>-7</v>
      </c>
      <c r="M33" s="52">
        <f>'[1]REQ-SVINC-EXDESC'!M17</f>
        <v>-7.3684210526315752</v>
      </c>
      <c r="N33" s="50">
        <f>'[1]REQ-SVINC-EXDESC'!N17</f>
        <v>3</v>
      </c>
      <c r="O33" s="49">
        <f>'[1]REQ-SVINC-EXDESC'!O17</f>
        <v>-1</v>
      </c>
      <c r="P33" s="52">
        <f>'[1]REQ-SVINC-EXDESC'!P17</f>
        <v>-25</v>
      </c>
      <c r="R33" s="46">
        <f>'[1]APOS-PENS'!A17</f>
        <v>2020</v>
      </c>
      <c r="S33" s="57">
        <f>'[1]APOS-PENS'!B17</f>
        <v>613</v>
      </c>
      <c r="T33" s="49">
        <f>'[1]APOS-PENS'!C17</f>
        <v>-23</v>
      </c>
      <c r="U33" s="52">
        <f>'[1]APOS-PENS'!D17</f>
        <v>-3.6163522012578682</v>
      </c>
      <c r="V33" s="56">
        <f>'[1]APOS-PENS'!E17</f>
        <v>649</v>
      </c>
      <c r="W33" s="49">
        <f>'[1]APOS-PENS'!F17</f>
        <v>-26</v>
      </c>
      <c r="X33" s="52">
        <f>'[1]APOS-PENS'!G17</f>
        <v>-3.8518518518518476</v>
      </c>
    </row>
    <row r="34" spans="1:24" x14ac:dyDescent="0.25"/>
    <row r="35" spans="1:24" hidden="1" x14ac:dyDescent="0.25"/>
    <row r="36" spans="1:24" hidden="1" x14ac:dyDescent="0.25"/>
    <row r="37" spans="1:24" hidden="1" x14ac:dyDescent="0.25"/>
    <row r="38" spans="1:24" hidden="1" x14ac:dyDescent="0.25"/>
    <row r="39" spans="1:24" ht="25.5" hidden="1" customHeight="1" x14ac:dyDescent="0.25"/>
    <row r="40" spans="1:24" ht="57.75" hidden="1" customHeight="1" x14ac:dyDescent="0.25"/>
    <row r="41" spans="1:24" hidden="1" x14ac:dyDescent="0.25"/>
    <row r="42" spans="1:24" hidden="1" x14ac:dyDescent="0.25"/>
    <row r="43" spans="1:24" hidden="1" x14ac:dyDescent="0.25"/>
    <row r="44" spans="1:24" hidden="1" x14ac:dyDescent="0.25"/>
    <row r="45" spans="1:24" hidden="1" x14ac:dyDescent="0.25"/>
    <row r="46" spans="1:24" hidden="1" x14ac:dyDescent="0.25"/>
    <row r="47" spans="1:24" hidden="1" x14ac:dyDescent="0.25"/>
    <row r="48" spans="1:24" hidden="1" x14ac:dyDescent="0.25"/>
    <row r="49" hidden="1" x14ac:dyDescent="0.25"/>
    <row r="50" hidden="1" x14ac:dyDescent="0.25"/>
    <row r="51" hidden="1" x14ac:dyDescent="0.25"/>
    <row r="52" hidden="1" x14ac:dyDescent="0.25"/>
  </sheetData>
  <sheetProtection sheet="1" objects="1" scenarios="1"/>
  <mergeCells count="21">
    <mergeCell ref="U4:U5"/>
    <mergeCell ref="S4:S5"/>
    <mergeCell ref="A1:X1"/>
    <mergeCell ref="H20:J20"/>
    <mergeCell ref="K20:M20"/>
    <mergeCell ref="N20:P20"/>
    <mergeCell ref="M4:M5"/>
    <mergeCell ref="N4:N5"/>
    <mergeCell ref="O4:P4"/>
    <mergeCell ref="Q4:R4"/>
    <mergeCell ref="T4:T5"/>
    <mergeCell ref="A4:A5"/>
    <mergeCell ref="B4:D4"/>
    <mergeCell ref="E4:G4"/>
    <mergeCell ref="H4:J4"/>
    <mergeCell ref="R20:R21"/>
    <mergeCell ref="S20:U20"/>
    <mergeCell ref="V20:X20"/>
    <mergeCell ref="A20:A21"/>
    <mergeCell ref="B20:D20"/>
    <mergeCell ref="E20:G20"/>
  </mergeCells>
  <conditionalFormatting sqref="X23:X33 U23:U33">
    <cfRule type="cellIs" dxfId="773" priority="15" operator="lessThan">
      <formula>0</formula>
    </cfRule>
    <cfRule type="cellIs" dxfId="772" priority="16" operator="greaterThan">
      <formula>0</formula>
    </cfRule>
  </conditionalFormatting>
  <conditionalFormatting sqref="R7:R15">
    <cfRule type="cellIs" dxfId="771" priority="1" operator="lessThan">
      <formula>0</formula>
    </cfRule>
    <cfRule type="cellIs" dxfId="770" priority="2" operator="greaterThan">
      <formula>0</formula>
    </cfRule>
  </conditionalFormatting>
  <conditionalFormatting sqref="D7:D17">
    <cfRule type="cellIs" dxfId="769" priority="23" operator="lessThan">
      <formula>0</formula>
    </cfRule>
    <cfRule type="cellIs" dxfId="768" priority="24" operator="greaterThan">
      <formula>0</formula>
    </cfRule>
  </conditionalFormatting>
  <conditionalFormatting sqref="G7:G17">
    <cfRule type="cellIs" dxfId="767" priority="21" operator="lessThan">
      <formula>0</formula>
    </cfRule>
    <cfRule type="cellIs" dxfId="766" priority="22" operator="greaterThan">
      <formula>0</formula>
    </cfRule>
  </conditionalFormatting>
  <conditionalFormatting sqref="J7:J17">
    <cfRule type="cellIs" dxfId="765" priority="19" operator="lessThan">
      <formula>0</formula>
    </cfRule>
    <cfRule type="cellIs" dxfId="764" priority="20" operator="greaterThan">
      <formula>0</formula>
    </cfRule>
  </conditionalFormatting>
  <conditionalFormatting sqref="D23:D33">
    <cfRule type="cellIs" dxfId="763" priority="13" operator="lessThan">
      <formula>0</formula>
    </cfRule>
    <cfRule type="cellIs" dxfId="762" priority="14" operator="greaterThan">
      <formula>0</formula>
    </cfRule>
  </conditionalFormatting>
  <conditionalFormatting sqref="G23:G33">
    <cfRule type="cellIs" dxfId="761" priority="11" operator="lessThan">
      <formula>0</formula>
    </cfRule>
    <cfRule type="cellIs" dxfId="760" priority="12" operator="greaterThan">
      <formula>0</formula>
    </cfRule>
  </conditionalFormatting>
  <conditionalFormatting sqref="J23:J33">
    <cfRule type="cellIs" dxfId="759" priority="9" operator="lessThan">
      <formula>0</formula>
    </cfRule>
    <cfRule type="cellIs" dxfId="758" priority="10" operator="greaterThan">
      <formula>0</formula>
    </cfRule>
  </conditionalFormatting>
  <conditionalFormatting sqref="M23:M33">
    <cfRule type="cellIs" dxfId="757" priority="7" operator="lessThan">
      <formula>0</formula>
    </cfRule>
    <cfRule type="cellIs" dxfId="756" priority="8" operator="greaterThan">
      <formula>0</formula>
    </cfRule>
  </conditionalFormatting>
  <conditionalFormatting sqref="P27:P33">
    <cfRule type="cellIs" dxfId="755" priority="5" operator="lessThan">
      <formula>0</formula>
    </cfRule>
    <cfRule type="cellIs" dxfId="754" priority="6" operator="greaterThan">
      <formula>0</formula>
    </cfRule>
  </conditionalFormatting>
  <conditionalFormatting sqref="P7:P15">
    <cfRule type="cellIs" dxfId="753" priority="3" operator="lessThan">
      <formula>0</formula>
    </cfRule>
    <cfRule type="cellIs" dxfId="752" priority="4" operator="greaterThan">
      <formula>0</formula>
    </cfRule>
  </conditionalFormatting>
  <pageMargins left="0.511811024" right="0.511811024" top="0.78740157499999996" bottom="0.78740157499999996" header="0.31496062000000002" footer="0.31496062000000002"/>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dimension ref="A1:AC48"/>
  <sheetViews>
    <sheetView showGridLines="0" zoomScaleNormal="100" workbookViewId="0"/>
  </sheetViews>
  <sheetFormatPr defaultColWidth="0" defaultRowHeight="15" x14ac:dyDescent="0.25"/>
  <cols>
    <col min="1" max="29" width="9.140625" customWidth="1"/>
    <col min="30" max="16384" width="9.140625" hidden="1"/>
  </cols>
  <sheetData>
    <row r="1" spans="13:14" s="1" customFormat="1" x14ac:dyDescent="0.25"/>
    <row r="2" spans="13:14" s="1" customFormat="1" x14ac:dyDescent="0.25"/>
    <row r="3" spans="13:14" s="1" customFormat="1" x14ac:dyDescent="0.25"/>
    <row r="4" spans="13:14" s="1" customFormat="1" x14ac:dyDescent="0.25"/>
    <row r="5" spans="13:14" s="1" customFormat="1" x14ac:dyDescent="0.25"/>
    <row r="6" spans="13:14" s="1" customFormat="1" x14ac:dyDescent="0.25"/>
    <row r="7" spans="13:14" s="1" customFormat="1" x14ac:dyDescent="0.25"/>
    <row r="8" spans="13:14" s="1" customFormat="1" x14ac:dyDescent="0.25"/>
    <row r="9" spans="13:14" s="1" customFormat="1" x14ac:dyDescent="0.25"/>
    <row r="10" spans="13:14" s="1" customFormat="1" x14ac:dyDescent="0.25"/>
    <row r="11" spans="13:14" s="1" customFormat="1" x14ac:dyDescent="0.25"/>
    <row r="12" spans="13:14" s="1" customFormat="1" x14ac:dyDescent="0.25">
      <c r="M12" s="455" t="s">
        <v>5</v>
      </c>
      <c r="N12" s="455"/>
    </row>
    <row r="13" spans="13:14" s="1" customFormat="1" x14ac:dyDescent="0.25">
      <c r="M13" s="455"/>
      <c r="N13" s="455"/>
    </row>
    <row r="14" spans="13:14" s="1" customFormat="1" x14ac:dyDescent="0.25">
      <c r="M14" s="455"/>
      <c r="N14" s="455"/>
    </row>
    <row r="15" spans="13:14" s="1" customFormat="1" x14ac:dyDescent="0.25">
      <c r="M15" s="455"/>
      <c r="N15" s="455"/>
    </row>
    <row r="16" spans="13:14" s="1" customFormat="1" x14ac:dyDescent="0.25">
      <c r="M16" s="455"/>
      <c r="N16" s="455"/>
    </row>
    <row r="17" spans="10:18" s="1" customFormat="1" x14ac:dyDescent="0.25"/>
    <row r="18" spans="10:18" s="1" customFormat="1" x14ac:dyDescent="0.25"/>
    <row r="19" spans="10:18" s="1" customFormat="1" x14ac:dyDescent="0.25"/>
    <row r="20" spans="10:18" s="1" customFormat="1" x14ac:dyDescent="0.25"/>
    <row r="21" spans="10:18" s="1" customFormat="1" x14ac:dyDescent="0.25"/>
    <row r="22" spans="10:18" s="1" customFormat="1" x14ac:dyDescent="0.25"/>
    <row r="23" spans="10:18" s="1" customFormat="1" x14ac:dyDescent="0.25"/>
    <row r="24" spans="10:18" s="1" customFormat="1" x14ac:dyDescent="0.25"/>
    <row r="25" spans="10:18" s="1" customFormat="1" x14ac:dyDescent="0.25"/>
    <row r="26" spans="10:18" s="1" customFormat="1" x14ac:dyDescent="0.25"/>
    <row r="27" spans="10:18" s="1" customFormat="1" x14ac:dyDescent="0.25"/>
    <row r="28" spans="10:18" s="1" customFormat="1" x14ac:dyDescent="0.25"/>
    <row r="29" spans="10:18" s="1" customFormat="1" ht="3" customHeight="1" x14ac:dyDescent="0.25"/>
    <row r="30" spans="10:18" s="1" customFormat="1" x14ac:dyDescent="0.25">
      <c r="J30" s="453"/>
      <c r="K30" s="453"/>
      <c r="L30" s="453"/>
      <c r="M30" s="453"/>
      <c r="N30" s="453"/>
      <c r="O30" s="454"/>
      <c r="P30" s="454"/>
      <c r="Q30" s="454"/>
      <c r="R30" s="3"/>
    </row>
    <row r="31" spans="10:18" s="1" customFormat="1" x14ac:dyDescent="0.25">
      <c r="J31" s="453"/>
      <c r="K31" s="453"/>
      <c r="L31" s="453"/>
      <c r="M31" s="453"/>
      <c r="N31" s="453"/>
      <c r="O31" s="454"/>
      <c r="P31" s="454"/>
      <c r="Q31" s="454"/>
      <c r="R31" s="3"/>
    </row>
    <row r="32" spans="10:18" s="1" customFormat="1" ht="4.5" customHeight="1" x14ac:dyDescent="0.25">
      <c r="J32" s="3"/>
      <c r="K32" s="3"/>
      <c r="L32" s="3"/>
      <c r="M32" s="3"/>
      <c r="N32" s="3"/>
      <c r="O32" s="3"/>
      <c r="P32" s="3"/>
      <c r="Q32" s="3"/>
      <c r="R32" s="3"/>
    </row>
    <row r="33" spans="10:18" s="1" customFormat="1" x14ac:dyDescent="0.25">
      <c r="J33" s="3"/>
      <c r="K33" s="3"/>
      <c r="L33" s="4"/>
      <c r="M33" s="3"/>
      <c r="N33" s="3"/>
      <c r="O33" s="3"/>
      <c r="P33" s="3"/>
      <c r="Q33" s="3"/>
      <c r="R33" s="3"/>
    </row>
    <row r="34" spans="10:18" s="1" customFormat="1" ht="5.25" customHeight="1" x14ac:dyDescent="0.25">
      <c r="J34" s="3"/>
      <c r="K34" s="3"/>
      <c r="L34" s="3"/>
      <c r="M34" s="3"/>
      <c r="N34" s="3"/>
      <c r="O34" s="3"/>
      <c r="P34" s="3"/>
      <c r="Q34" s="3"/>
      <c r="R34" s="3"/>
    </row>
    <row r="35" spans="10:18" s="1" customFormat="1" x14ac:dyDescent="0.25">
      <c r="J35" s="453"/>
      <c r="K35" s="453"/>
      <c r="L35" s="453"/>
      <c r="M35" s="453"/>
      <c r="N35" s="453"/>
      <c r="O35" s="454"/>
      <c r="P35" s="454"/>
      <c r="Q35" s="454"/>
      <c r="R35" s="3"/>
    </row>
    <row r="36" spans="10:18" s="1" customFormat="1" x14ac:dyDescent="0.25">
      <c r="J36" s="453"/>
      <c r="K36" s="453"/>
      <c r="L36" s="453"/>
      <c r="M36" s="453"/>
      <c r="N36" s="453"/>
      <c r="O36" s="454"/>
      <c r="P36" s="454"/>
      <c r="Q36" s="454"/>
      <c r="R36" s="3"/>
    </row>
    <row r="37" spans="10:18" s="1" customFormat="1" ht="5.25" customHeight="1" x14ac:dyDescent="0.25">
      <c r="J37" s="3"/>
      <c r="K37" s="3"/>
      <c r="L37" s="3"/>
      <c r="M37" s="3"/>
      <c r="N37" s="3"/>
      <c r="O37" s="3"/>
      <c r="P37" s="3"/>
      <c r="Q37" s="3"/>
      <c r="R37" s="3"/>
    </row>
    <row r="38" spans="10:18" s="1" customFormat="1" ht="15.75" customHeight="1" x14ac:dyDescent="0.25">
      <c r="J38" s="3"/>
      <c r="K38" s="3"/>
      <c r="L38" s="4"/>
      <c r="M38" s="3"/>
      <c r="N38" s="3"/>
      <c r="O38" s="3"/>
      <c r="P38" s="3"/>
      <c r="Q38" s="3"/>
      <c r="R38" s="3"/>
    </row>
    <row r="39" spans="10:18" s="1" customFormat="1" ht="5.25" customHeight="1" x14ac:dyDescent="0.25">
      <c r="J39" s="3"/>
      <c r="K39" s="3"/>
      <c r="L39" s="3"/>
      <c r="M39" s="3"/>
      <c r="N39" s="3"/>
      <c r="O39" s="3"/>
      <c r="P39" s="3"/>
      <c r="Q39" s="3"/>
      <c r="R39" s="3"/>
    </row>
    <row r="40" spans="10:18" s="1" customFormat="1" ht="15" customHeight="1" x14ac:dyDescent="0.25">
      <c r="J40" s="456"/>
      <c r="K40" s="456"/>
      <c r="L40" s="456"/>
      <c r="M40" s="456"/>
      <c r="N40" s="456"/>
      <c r="O40" s="456"/>
      <c r="P40" s="456"/>
      <c r="Q40" s="456"/>
      <c r="R40" s="3"/>
    </row>
    <row r="41" spans="10:18" s="1" customFormat="1" x14ac:dyDescent="0.25">
      <c r="J41" s="456"/>
      <c r="K41" s="456"/>
      <c r="L41" s="456"/>
      <c r="M41" s="456"/>
      <c r="N41" s="456"/>
      <c r="O41" s="456"/>
      <c r="P41" s="456"/>
      <c r="Q41" s="456"/>
      <c r="R41" s="3"/>
    </row>
    <row r="42" spans="10:18" s="1" customFormat="1" x14ac:dyDescent="0.25">
      <c r="J42" s="3"/>
      <c r="K42" s="3"/>
      <c r="L42" s="3"/>
      <c r="M42" s="3"/>
      <c r="N42" s="3"/>
      <c r="O42" s="3"/>
      <c r="P42" s="3"/>
      <c r="Q42" s="3"/>
      <c r="R42" s="3"/>
    </row>
    <row r="43" spans="10:18" s="1" customFormat="1" x14ac:dyDescent="0.25">
      <c r="J43" s="3"/>
      <c r="K43" s="3"/>
      <c r="L43" s="3"/>
      <c r="M43" s="3"/>
      <c r="N43" s="3"/>
      <c r="O43" s="3"/>
      <c r="P43" s="3"/>
      <c r="Q43" s="3"/>
      <c r="R43" s="3"/>
    </row>
    <row r="44" spans="10:18" s="1" customFormat="1" x14ac:dyDescent="0.25">
      <c r="J44" s="453"/>
      <c r="K44" s="453"/>
      <c r="L44" s="453"/>
      <c r="M44" s="453"/>
      <c r="N44" s="453"/>
      <c r="O44" s="454"/>
      <c r="P44" s="454"/>
      <c r="Q44" s="454"/>
      <c r="R44" s="3"/>
    </row>
    <row r="45" spans="10:18" s="1" customFormat="1" x14ac:dyDescent="0.25">
      <c r="J45" s="453"/>
      <c r="K45" s="453"/>
      <c r="L45" s="453"/>
      <c r="M45" s="453"/>
      <c r="N45" s="453"/>
      <c r="O45" s="454"/>
      <c r="P45" s="454"/>
      <c r="Q45" s="454"/>
      <c r="R45" s="3"/>
    </row>
    <row r="46" spans="10:18" s="1" customFormat="1" x14ac:dyDescent="0.25"/>
    <row r="47" spans="10:18" s="1" customFormat="1" x14ac:dyDescent="0.25"/>
    <row r="48" spans="10:18" s="1" customFormat="1" x14ac:dyDescent="0.25"/>
  </sheetData>
  <sheetProtection sheet="1" objects="1" scenarios="1"/>
  <mergeCells count="8">
    <mergeCell ref="J44:N45"/>
    <mergeCell ref="O44:Q45"/>
    <mergeCell ref="M12:N16"/>
    <mergeCell ref="J30:N31"/>
    <mergeCell ref="O30:Q31"/>
    <mergeCell ref="J35:N36"/>
    <mergeCell ref="O35:Q36"/>
    <mergeCell ref="J40:Q41"/>
  </mergeCells>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8"/>
  <dimension ref="A1:O363"/>
  <sheetViews>
    <sheetView showGridLines="0" workbookViewId="0"/>
  </sheetViews>
  <sheetFormatPr defaultColWidth="0" defaultRowHeight="15" zeroHeight="1" x14ac:dyDescent="0.25"/>
  <cols>
    <col min="1" max="1" width="29.140625" customWidth="1"/>
    <col min="2" max="2" width="29.85546875" customWidth="1"/>
    <col min="3" max="3" width="11.7109375" customWidth="1"/>
    <col min="4" max="4" width="8.5703125" customWidth="1"/>
    <col min="5" max="5" width="34.140625" customWidth="1"/>
    <col min="6" max="6" width="5.7109375" customWidth="1"/>
    <col min="7" max="7" width="14.140625" customWidth="1"/>
    <col min="8" max="8" width="43.140625" customWidth="1"/>
    <col min="9" max="9" width="24" customWidth="1"/>
    <col min="10" max="10" width="22.7109375" customWidth="1"/>
    <col min="11" max="11" width="26.28515625" customWidth="1"/>
    <col min="12" max="12" width="47.140625" customWidth="1"/>
    <col min="13" max="13" width="9.140625" customWidth="1"/>
    <col min="14" max="14" width="11" customWidth="1"/>
    <col min="15" max="15" width="3.5703125" customWidth="1"/>
    <col min="16" max="16384" width="9.140625" hidden="1"/>
  </cols>
  <sheetData>
    <row r="1" spans="1:14" ht="39.75" customHeight="1" x14ac:dyDescent="0.25"/>
    <row r="2" spans="1:14" ht="18.75" x14ac:dyDescent="0.3">
      <c r="A2" s="526" t="s">
        <v>811</v>
      </c>
      <c r="B2" s="526"/>
      <c r="C2" s="526"/>
      <c r="D2" s="526"/>
      <c r="E2" s="526"/>
      <c r="F2" s="526"/>
      <c r="G2" s="526"/>
      <c r="H2" s="526"/>
      <c r="I2" s="526"/>
      <c r="J2" s="526"/>
      <c r="K2" s="526"/>
      <c r="L2" s="526"/>
      <c r="M2" s="526"/>
      <c r="N2" s="526"/>
    </row>
    <row r="3" spans="1:14" ht="22.5" x14ac:dyDescent="0.25">
      <c r="A3" s="397" t="s">
        <v>170</v>
      </c>
      <c r="B3" s="398" t="s">
        <v>171</v>
      </c>
      <c r="C3" s="398" t="s">
        <v>172</v>
      </c>
      <c r="D3" s="398" t="s">
        <v>173</v>
      </c>
      <c r="E3" s="397" t="s">
        <v>174</v>
      </c>
      <c r="F3" s="397" t="s">
        <v>175</v>
      </c>
      <c r="G3" s="397" t="s">
        <v>176</v>
      </c>
      <c r="H3" s="397" t="s">
        <v>177</v>
      </c>
      <c r="I3" s="397" t="s">
        <v>178</v>
      </c>
      <c r="J3" s="397" t="s">
        <v>179</v>
      </c>
      <c r="K3" s="397" t="s">
        <v>180</v>
      </c>
      <c r="L3" s="42" t="s">
        <v>181</v>
      </c>
      <c r="M3" s="399" t="s">
        <v>182</v>
      </c>
      <c r="N3" s="399" t="s">
        <v>183</v>
      </c>
    </row>
    <row r="4" spans="1:14" ht="55.5" customHeight="1" x14ac:dyDescent="0.25">
      <c r="A4" s="406" t="s">
        <v>60</v>
      </c>
      <c r="B4" s="285" t="s">
        <v>803</v>
      </c>
      <c r="C4" s="273" t="s">
        <v>286</v>
      </c>
      <c r="D4" s="273" t="s">
        <v>187</v>
      </c>
      <c r="E4" s="300" t="s">
        <v>806</v>
      </c>
      <c r="F4" s="301" t="s">
        <v>807</v>
      </c>
      <c r="G4" s="300" t="s">
        <v>808</v>
      </c>
      <c r="H4" s="300" t="s">
        <v>808</v>
      </c>
      <c r="I4" s="300" t="s">
        <v>809</v>
      </c>
      <c r="J4" s="307" t="s">
        <v>810</v>
      </c>
      <c r="K4" s="407" t="s">
        <v>809</v>
      </c>
      <c r="L4" s="408" t="s">
        <v>188</v>
      </c>
      <c r="M4" s="280" t="s">
        <v>804</v>
      </c>
      <c r="N4" s="280" t="s">
        <v>805</v>
      </c>
    </row>
    <row r="5" spans="1:14" x14ac:dyDescent="0.25"/>
    <row r="6" spans="1:14" x14ac:dyDescent="0.25"/>
    <row r="7" spans="1:14" ht="18.75" x14ac:dyDescent="0.3">
      <c r="A7" s="526" t="s">
        <v>184</v>
      </c>
      <c r="B7" s="526"/>
      <c r="C7" s="526"/>
      <c r="D7" s="526"/>
      <c r="E7" s="526"/>
      <c r="F7" s="526"/>
      <c r="G7" s="526"/>
      <c r="H7" s="526"/>
      <c r="I7" s="526"/>
      <c r="J7" s="526"/>
      <c r="K7" s="526"/>
      <c r="L7" s="526"/>
      <c r="M7" s="526"/>
      <c r="N7" s="526"/>
    </row>
    <row r="8" spans="1:14" ht="22.5" x14ac:dyDescent="0.25">
      <c r="A8" s="397" t="s">
        <v>170</v>
      </c>
      <c r="B8" s="398" t="s">
        <v>171</v>
      </c>
      <c r="C8" s="398" t="s">
        <v>172</v>
      </c>
      <c r="D8" s="398" t="s">
        <v>173</v>
      </c>
      <c r="E8" s="397" t="s">
        <v>174</v>
      </c>
      <c r="F8" s="397" t="s">
        <v>175</v>
      </c>
      <c r="G8" s="397" t="s">
        <v>176</v>
      </c>
      <c r="H8" s="397" t="s">
        <v>177</v>
      </c>
      <c r="I8" s="397" t="s">
        <v>178</v>
      </c>
      <c r="J8" s="397" t="s">
        <v>179</v>
      </c>
      <c r="K8" s="397" t="s">
        <v>180</v>
      </c>
      <c r="L8" s="42" t="s">
        <v>181</v>
      </c>
      <c r="M8" s="399" t="s">
        <v>182</v>
      </c>
      <c r="N8" s="399" t="s">
        <v>183</v>
      </c>
    </row>
    <row r="9" spans="1:14" ht="23.25" x14ac:dyDescent="0.25">
      <c r="A9" s="271" t="s">
        <v>184</v>
      </c>
      <c r="B9" s="272" t="s">
        <v>185</v>
      </c>
      <c r="C9" s="273" t="s">
        <v>186</v>
      </c>
      <c r="D9" s="274" t="s">
        <v>187</v>
      </c>
      <c r="E9" s="275" t="str">
        <f>INDEX([1]RELAÇÃO!$A$1:$AQ$576,MATCH($M9,[1]RELAÇÃO!$AP$1:$AP$576,0),1)</f>
        <v>MARCOS ANDRE DOS SANTOS SOEIRO</v>
      </c>
      <c r="F9" s="276" t="str">
        <f>IF(E9=0,"-",LEFT(INDEX([1]RELAÇÃO!$A$1:$AQ$576,MATCH($M9,[1]RELAÇÃO!$AP$1:$AP$576,0),32),1))</f>
        <v>M</v>
      </c>
      <c r="G9" s="275" t="str">
        <f>IF(E9=0,"-",INDEX([1]RELAÇÃO!$A$1:$AQ$576,MATCH($M9,[1]RELAÇÃO!$AP$1:$AP$576,0),5))</f>
        <v>Requisitado Militar</v>
      </c>
      <c r="H9" s="275" t="str">
        <f>IF(E9=0,"-",INDEX([1]RELAÇÃO!$A$1:$AQ$576,MATCH($M9,[1]RELAÇÃO!$AP$1:$AP$576,0),6))</f>
        <v>Marinha</v>
      </c>
      <c r="I9" s="275" t="str">
        <f>IF(B9=0,"-",INDEX([1]RELAÇÃO!$A$1:$AQ$576,MATCH($M9,[1]RELAÇÃO!$AP$1:$AP$576,0),12)&amp;INDEX([1]RELAÇÃO!$A$1:$AQ$576,MATCH($M9,[1]RELAÇÃO!$AP$1:$AP$576,0),13)&amp;", de "&amp;INDEX([1]RELAÇÃO!$A$1:$AQ$576,MATCH($M9,[1]RELAÇÃO!$AP$1:$AP$576,0),14)&amp;" - "&amp;INDEX([1]RELAÇÃO!$A$1:$AQ$576,MATCH($M9,[1]RELAÇÃO!$AP$1:$AP$576,0),16)&amp;" de "&amp;INDEX([1]RELAÇÃO!$A$1:$AQ$576,MATCH($M9,[1]RELAÇÃO!$AP$1:$AP$576,0),15))</f>
        <v>Portaria nº 269, de 01/07/2020 - DOU de 02/07/2020</v>
      </c>
      <c r="J9" s="277">
        <f>INDEX([1]RELAÇÃO!$A$1:$AQ$576,MATCH($N9,[1]RELAÇÃO!$AQ$1:$AQ$576,0),1)</f>
        <v>0</v>
      </c>
      <c r="K9" s="308" t="str">
        <f>IF(J9=0,"-",INDEX([1]RELAÇÃO!$A$1:$AQ$576,MATCH($N9,[1]RELAÇÃO!$AQ$1:$AQ$576,0),27)&amp;INDEX([1]RELAÇÃO!$A$1:$AQ$576,MATCH($N9,[1]RELAÇÃO!$AQ$1:$AQ$576,0),28)&amp;", de "&amp;INDEX([1]RELAÇÃO!$A$1:$AQ$576,MATCH($N9,[1]RELAÇÃO!$AQ$1:$AQ$576,0),29)&amp;" - "&amp;INDEX([1]RELAÇÃO!$A$1:$AQ$576,MATCH($N9,[1]RELAÇÃO!$AQ$1:$AQ$576,0),31)&amp;" de "&amp;INDEX([1]RELAÇÃO!$A$1:$AQ$576,MATCH($N9,[1]RELAÇÃO!$AQ$1:$AQ$576,0),30))</f>
        <v>-</v>
      </c>
      <c r="L9" s="279" t="str">
        <f>IF($E9=0,"-",IF(INDEX([1]RELAÇÃO!$A$1:$AQ$576,MATCH($M9,[1]RELAÇÃO!$AP$1:$AP$576,0),8)="99.000.000","-",INDEX([1]RELAÇÃO!$A$1:$AQ$576,MATCH($M9,[1]RELAÇÃO!$AP$1:$AP$576,0),7)))</f>
        <v>-</v>
      </c>
      <c r="M9" s="280" t="s">
        <v>189</v>
      </c>
      <c r="N9" s="280" t="s">
        <v>190</v>
      </c>
    </row>
    <row r="10" spans="1:14" ht="23.25" x14ac:dyDescent="0.25">
      <c r="A10" s="281"/>
      <c r="B10" s="272" t="s">
        <v>191</v>
      </c>
      <c r="C10" s="273" t="s">
        <v>192</v>
      </c>
      <c r="D10" s="274" t="s">
        <v>193</v>
      </c>
      <c r="E10" s="275" t="str">
        <f>INDEX([1]RELAÇÃO!$A$1:$AQ$576,MATCH($M10,[1]RELAÇÃO!$AP$1:$AP$576,0),1)</f>
        <v>VINICIUS SALES PEREIRA</v>
      </c>
      <c r="F10" s="276" t="str">
        <f>IF(E10=0,"-",LEFT(INDEX([1]RELAÇÃO!$A$1:$AQ$576,MATCH($M10,[1]RELAÇÃO!$AP$1:$AP$576,0),32),1))</f>
        <v>M</v>
      </c>
      <c r="G10" s="275" t="str">
        <f>IF(E10=0,"-",INDEX([1]RELAÇÃO!$A$1:$AQ$576,MATCH($M10,[1]RELAÇÃO!$AP$1:$AP$576,0),5))</f>
        <v>Requisitado Militar</v>
      </c>
      <c r="H10" s="275" t="str">
        <f>IF(E10=0,"-",INDEX([1]RELAÇÃO!$A$1:$AQ$576,MATCH($M10,[1]RELAÇÃO!$AP$1:$AP$576,0),6))</f>
        <v>Marinha</v>
      </c>
      <c r="I10" s="275" t="str">
        <f>IF(B10=0,"-",INDEX([1]RELAÇÃO!$A$1:$AQ$576,MATCH($M10,[1]RELAÇÃO!$AP$1:$AP$576,0),12)&amp;INDEX([1]RELAÇÃO!$A$1:$AQ$576,MATCH($M10,[1]RELAÇÃO!$AP$1:$AP$576,0),13)&amp;", de "&amp;INDEX([1]RELAÇÃO!$A$1:$AQ$576,MATCH($M10,[1]RELAÇÃO!$AP$1:$AP$576,0),14)&amp;" - "&amp;INDEX([1]RELAÇÃO!$A$1:$AQ$576,MATCH($M10,[1]RELAÇÃO!$AP$1:$AP$576,0),16)&amp;" de "&amp;INDEX([1]RELAÇÃO!$A$1:$AQ$576,MATCH($M10,[1]RELAÇÃO!$AP$1:$AP$576,0),15))</f>
        <v>Portaria nº 287, de 17/07/2020 - DOU de 20/07/2020</v>
      </c>
      <c r="J10" s="282"/>
      <c r="K10" s="283"/>
      <c r="L10" s="279" t="str">
        <f>IF($E10=0,"-",IF(INDEX([1]RELAÇÃO!$A$1:$AQ$576,MATCH($M10,[1]RELAÇÃO!$AP$1:$AP$576,0),8)="99.000.000","-",INDEX([1]RELAÇÃO!$A$1:$AQ$576,MATCH($M10,[1]RELAÇÃO!$AP$1:$AP$576,0),7)))</f>
        <v>-</v>
      </c>
      <c r="M10" s="280" t="s">
        <v>194</v>
      </c>
      <c r="N10" s="283"/>
    </row>
    <row r="11" spans="1:14" ht="23.25" x14ac:dyDescent="0.25">
      <c r="A11" s="281"/>
      <c r="B11" s="272" t="s">
        <v>191</v>
      </c>
      <c r="C11" s="273" t="s">
        <v>192</v>
      </c>
      <c r="D11" s="274" t="s">
        <v>193</v>
      </c>
      <c r="E11" s="275" t="str">
        <f>INDEX([1]RELAÇÃO!$A$1:$AQ$576,MATCH($M11,[1]RELAÇÃO!$AP$1:$AP$576,0),1)</f>
        <v>DANIELLE GONCALVES BRITTO</v>
      </c>
      <c r="F11" s="276" t="str">
        <f>IF(E11=0,"-",LEFT(INDEX([1]RELAÇÃO!$A$1:$AQ$576,MATCH($M11,[1]RELAÇÃO!$AP$1:$AP$576,0),32),1))</f>
        <v>F</v>
      </c>
      <c r="G11" s="275" t="str">
        <f>IF(E11=0,"-",INDEX([1]RELAÇÃO!$A$1:$AQ$576,MATCH($M11,[1]RELAÇÃO!$AP$1:$AP$576,0),5))</f>
        <v>Requisitado Militar</v>
      </c>
      <c r="H11" s="275" t="str">
        <f>IF(E11=0,"-",INDEX([1]RELAÇÃO!$A$1:$AQ$576,MATCH($M11,[1]RELAÇÃO!$AP$1:$AP$576,0),6))</f>
        <v>Marinha</v>
      </c>
      <c r="I11" s="275" t="str">
        <f>IF(B11=0,"-",INDEX([1]RELAÇÃO!$A$1:$AQ$576,MATCH($M11,[1]RELAÇÃO!$AP$1:$AP$576,0),12)&amp;INDEX([1]RELAÇÃO!$A$1:$AQ$576,MATCH($M11,[1]RELAÇÃO!$AP$1:$AP$576,0),13)&amp;", de "&amp;INDEX([1]RELAÇÃO!$A$1:$AQ$576,MATCH($M11,[1]RELAÇÃO!$AP$1:$AP$576,0),14)&amp;" - "&amp;INDEX([1]RELAÇÃO!$A$1:$AQ$576,MATCH($M11,[1]RELAÇÃO!$AP$1:$AP$576,0),16)&amp;" de "&amp;INDEX([1]RELAÇÃO!$A$1:$AQ$576,MATCH($M11,[1]RELAÇÃO!$AP$1:$AP$576,0),15))</f>
        <v>Portaria nº 270, de 01/07/2020 - DOU de 02/07/2020</v>
      </c>
      <c r="J11" s="282"/>
      <c r="K11" s="283"/>
      <c r="L11" s="279" t="str">
        <f>IF($E11=0,"-",IF(INDEX([1]RELAÇÃO!$A$1:$AQ$576,MATCH($M11,[1]RELAÇÃO!$AP$1:$AP$576,0),8)="99.000.000","-",INDEX([1]RELAÇÃO!$A$1:$AQ$576,MATCH($M11,[1]RELAÇÃO!$AP$1:$AP$576,0),7)))</f>
        <v>-</v>
      </c>
      <c r="M11" s="280" t="s">
        <v>195</v>
      </c>
      <c r="N11" s="283"/>
    </row>
    <row r="12" spans="1:14" ht="23.25" x14ac:dyDescent="0.25">
      <c r="A12" s="281"/>
      <c r="B12" s="272" t="s">
        <v>191</v>
      </c>
      <c r="C12" s="273" t="s">
        <v>192</v>
      </c>
      <c r="D12" s="274" t="s">
        <v>193</v>
      </c>
      <c r="E12" s="275" t="str">
        <f>INDEX([1]RELAÇÃO!$A$1:$AQ$576,MATCH($M12,[1]RELAÇÃO!$AP$1:$AP$576,0),1)</f>
        <v>RAIMUNDO WANGLER VIANA SERRAO</v>
      </c>
      <c r="F12" s="276" t="str">
        <f>IF(E12=0,"-",LEFT(INDEX([1]RELAÇÃO!$A$1:$AQ$576,MATCH($M12,[1]RELAÇÃO!$AP$1:$AP$576,0),32),1))</f>
        <v>M</v>
      </c>
      <c r="G12" s="275" t="str">
        <f>IF(E12=0,"-",INDEX([1]RELAÇÃO!$A$1:$AQ$576,MATCH($M12,[1]RELAÇÃO!$AP$1:$AP$576,0),5))</f>
        <v>Requisitado Militar</v>
      </c>
      <c r="H12" s="275" t="str">
        <f>IF(E12=0,"-",INDEX([1]RELAÇÃO!$A$1:$AQ$576,MATCH($M12,[1]RELAÇÃO!$AP$1:$AP$576,0),6))</f>
        <v>Marinha</v>
      </c>
      <c r="I12" s="275" t="str">
        <f>IF(B12=0,"-",INDEX([1]RELAÇÃO!$A$1:$AQ$576,MATCH($M12,[1]RELAÇÃO!$AP$1:$AP$576,0),12)&amp;INDEX([1]RELAÇÃO!$A$1:$AQ$576,MATCH($M12,[1]RELAÇÃO!$AP$1:$AP$576,0),13)&amp;", de "&amp;INDEX([1]RELAÇÃO!$A$1:$AQ$576,MATCH($M12,[1]RELAÇÃO!$AP$1:$AP$576,0),14)&amp;" - "&amp;INDEX([1]RELAÇÃO!$A$1:$AQ$576,MATCH($M12,[1]RELAÇÃO!$AP$1:$AP$576,0),16)&amp;" de "&amp;INDEX([1]RELAÇÃO!$A$1:$AQ$576,MATCH($M12,[1]RELAÇÃO!$AP$1:$AP$576,0),15))</f>
        <v>Portaria nº 271, de 01/07/2020 - DOU de 02/07/2020</v>
      </c>
      <c r="J12" s="282"/>
      <c r="K12" s="283"/>
      <c r="L12" s="279" t="str">
        <f>IF($E12=0,"-",IF(INDEX([1]RELAÇÃO!$A$1:$AQ$576,MATCH($M12,[1]RELAÇÃO!$AP$1:$AP$576,0),8)="99.000.000","-",INDEX([1]RELAÇÃO!$A$1:$AQ$576,MATCH($M12,[1]RELAÇÃO!$AP$1:$AP$576,0),7)))</f>
        <v>-</v>
      </c>
      <c r="M12" s="280" t="s">
        <v>196</v>
      </c>
      <c r="N12" s="283"/>
    </row>
    <row r="13" spans="1:14" x14ac:dyDescent="0.25"/>
    <row r="14" spans="1:14" ht="18.75" x14ac:dyDescent="0.3">
      <c r="A14" s="526" t="s">
        <v>802</v>
      </c>
      <c r="B14" s="526"/>
      <c r="C14" s="526"/>
      <c r="D14" s="526"/>
      <c r="E14" s="526"/>
      <c r="F14" s="526"/>
      <c r="G14" s="526"/>
      <c r="H14" s="526"/>
      <c r="I14" s="526"/>
      <c r="J14" s="526"/>
      <c r="K14" s="526"/>
      <c r="L14" s="526"/>
      <c r="M14" s="526"/>
      <c r="N14" s="526"/>
    </row>
    <row r="15" spans="1:14" ht="22.5" x14ac:dyDescent="0.25">
      <c r="A15" s="397" t="s">
        <v>170</v>
      </c>
      <c r="B15" s="398" t="s">
        <v>171</v>
      </c>
      <c r="C15" s="398" t="s">
        <v>172</v>
      </c>
      <c r="D15" s="398" t="s">
        <v>173</v>
      </c>
      <c r="E15" s="397" t="s">
        <v>174</v>
      </c>
      <c r="F15" s="397" t="s">
        <v>175</v>
      </c>
      <c r="G15" s="397" t="s">
        <v>176</v>
      </c>
      <c r="H15" s="397" t="s">
        <v>177</v>
      </c>
      <c r="I15" s="397" t="s">
        <v>178</v>
      </c>
      <c r="J15" s="398" t="s">
        <v>179</v>
      </c>
      <c r="K15" s="397" t="s">
        <v>180</v>
      </c>
      <c r="L15" s="42" t="s">
        <v>181</v>
      </c>
      <c r="M15" s="398" t="s">
        <v>182</v>
      </c>
      <c r="N15" s="398" t="s">
        <v>183</v>
      </c>
    </row>
    <row r="16" spans="1:14" ht="23.25" x14ac:dyDescent="0.25">
      <c r="A16" s="284" t="s">
        <v>197</v>
      </c>
      <c r="B16" s="285" t="s">
        <v>198</v>
      </c>
      <c r="C16" s="274" t="s">
        <v>199</v>
      </c>
      <c r="D16" s="274" t="s">
        <v>193</v>
      </c>
      <c r="E16" s="275" t="str">
        <f>INDEX([1]RELAÇÃO!$A$1:$AQ$576,MATCH($M16,[1]RELAÇÃO!$AP$1:$AP$576,0),1)</f>
        <v>ANTONIO CARLOS RAMOS DE BARROS MELLO</v>
      </c>
      <c r="F16" s="276" t="str">
        <f>IF(E16=0,"-",LEFT(INDEX([1]RELAÇÃO!$A$1:$AQ$576,MATCH($M16,[1]RELAÇÃO!$AP$1:$AP$576,0),32),1))</f>
        <v>M</v>
      </c>
      <c r="G16" s="275" t="str">
        <f>IF(E16=0,"-",INDEX([1]RELAÇÃO!$A$1:$AQ$576,MATCH($M16,[1]RELAÇÃO!$AP$1:$AP$576,0),5))</f>
        <v>Sem Vínculo</v>
      </c>
      <c r="H16" s="275" t="str">
        <f>IF(E16=0,"-",INDEX([1]RELAÇÃO!$A$1:$AQ$576,MATCH($M16,[1]RELAÇÃO!$AP$1:$AP$576,0),6))</f>
        <v>Sem Vínculo</v>
      </c>
      <c r="I16" s="275" t="str">
        <f>IF(E16=0,"-",INDEX([1]RELAÇÃO!$A$1:$AQ$576,MATCH($M16,[1]RELAÇÃO!$AP$1:$AP$576,0),12)&amp;INDEX([1]RELAÇÃO!$A$1:$AQ$576,MATCH($M16,[1]RELAÇÃO!$AP$1:$AP$576,0),13)&amp;", de "&amp;INDEX([1]RELAÇÃO!$A$1:$AQ$576,MATCH($M16,[1]RELAÇÃO!$AP$1:$AP$576,0),14)&amp;" - "&amp;INDEX([1]RELAÇÃO!$A$1:$AQ$576,MATCH($M16,[1]RELAÇÃO!$AP$1:$AP$576,0),16)&amp;" de "&amp;INDEX([1]RELAÇÃO!$A$1:$AQ$576,MATCH($M16,[1]RELAÇÃO!$AP$1:$AP$576,0),15))</f>
        <v>Portaria nº 524, de 03/11/2016 - DOU de 04/11/2016</v>
      </c>
      <c r="J16" s="286"/>
      <c r="K16" s="286"/>
      <c r="L16" s="287" t="str">
        <f>IF($E16=0,"-",IF(INDEX([1]RELAÇÃO!$A$1:$AQ$576,MATCH($M16,[1]RELAÇÃO!$AP$1:$AP$576,0),8)="2.000.000","-",INDEX([1]RELAÇÃO!$A$1:$AQ$576,MATCH($M16,[1]RELAÇÃO!$AP$1:$AP$576,0),7)))</f>
        <v>-</v>
      </c>
      <c r="M16" s="280" t="s">
        <v>200</v>
      </c>
      <c r="N16" s="288"/>
    </row>
    <row r="17" spans="1:14" ht="23.25" x14ac:dyDescent="0.25">
      <c r="A17" s="289"/>
      <c r="B17" s="285" t="s">
        <v>198</v>
      </c>
      <c r="C17" s="274" t="s">
        <v>199</v>
      </c>
      <c r="D17" s="274" t="s">
        <v>193</v>
      </c>
      <c r="E17" s="275" t="str">
        <f>INDEX([1]RELAÇÃO!$A$1:$AQ$576,MATCH($M17,[1]RELAÇÃO!$AP$1:$AP$576,0),1)</f>
        <v>CESAR FERREIRA BORGES</v>
      </c>
      <c r="F17" s="276" t="str">
        <f>IF(E17=0,"-",LEFT(INDEX([1]RELAÇÃO!$A$1:$AQ$576,MATCH($M17,[1]RELAÇÃO!$AP$1:$AP$576,0),32),1))</f>
        <v>M</v>
      </c>
      <c r="G17" s="275" t="str">
        <f>IF(E17=0,"-",INDEX([1]RELAÇÃO!$A$1:$AQ$576,MATCH($M17,[1]RELAÇÃO!$AP$1:$AP$576,0),5))</f>
        <v>Sem Vínculo</v>
      </c>
      <c r="H17" s="275" t="str">
        <f>IF(E17=0,"-",INDEX([1]RELAÇÃO!$A$1:$AQ$576,MATCH($M17,[1]RELAÇÃO!$AP$1:$AP$576,0),6))</f>
        <v>Sem Vínculo</v>
      </c>
      <c r="I17" s="275" t="str">
        <f>IF(E17=0,"-",INDEX([1]RELAÇÃO!$A$1:$AQ$576,MATCH($M17,[1]RELAÇÃO!$AP$1:$AP$576,0),12)&amp;INDEX([1]RELAÇÃO!$A$1:$AQ$576,MATCH($M17,[1]RELAÇÃO!$AP$1:$AP$576,0),13)&amp;", de "&amp;INDEX([1]RELAÇÃO!$A$1:$AQ$576,MATCH($M17,[1]RELAÇÃO!$AP$1:$AP$576,0),14)&amp;" - "&amp;INDEX([1]RELAÇÃO!$A$1:$AQ$576,MATCH($M17,[1]RELAÇÃO!$AP$1:$AP$576,0),16)&amp;" de "&amp;INDEX([1]RELAÇÃO!$A$1:$AQ$576,MATCH($M17,[1]RELAÇÃO!$AP$1:$AP$576,0),15))</f>
        <v>Portaria nº 556, de 30/05/2017 - DOU de 31/05/2017</v>
      </c>
      <c r="J17" s="286"/>
      <c r="K17" s="290"/>
      <c r="L17" s="287" t="str">
        <f>IF($E17=0,"-",IF(INDEX([1]RELAÇÃO!$A$1:$AQ$576,MATCH($M17,[1]RELAÇÃO!$AP$1:$AP$576,0),8)="2.000.000","-",INDEX([1]RELAÇÃO!$A$1:$AQ$576,MATCH($M17,[1]RELAÇÃO!$AP$1:$AP$576,0),7)))</f>
        <v>GM / ASSESSORIA DE COMUNICAÇÃO SOCIAL - ASCOM</v>
      </c>
      <c r="M17" s="280" t="s">
        <v>201</v>
      </c>
      <c r="N17" s="288"/>
    </row>
    <row r="18" spans="1:14" ht="23.25" x14ac:dyDescent="0.25">
      <c r="A18" s="289"/>
      <c r="B18" s="291" t="s">
        <v>198</v>
      </c>
      <c r="C18" s="273" t="s">
        <v>199</v>
      </c>
      <c r="D18" s="274" t="s">
        <v>193</v>
      </c>
      <c r="E18" s="275" t="str">
        <f>INDEX([1]RELAÇÃO!$A$1:$AQ$576,MATCH($M18,[1]RELAÇÃO!$AP$1:$AP$576,0),1)</f>
        <v>ANA PAULA ALVES DE SOUZA</v>
      </c>
      <c r="F18" s="276" t="str">
        <f>IF(E18=0,"-",LEFT(INDEX([1]RELAÇÃO!$A$1:$AQ$576,MATCH($M18,[1]RELAÇÃO!$AP$1:$AP$576,0),32),1))</f>
        <v>F</v>
      </c>
      <c r="G18" s="275" t="str">
        <f>IF(E18=0,"-",INDEX([1]RELAÇÃO!$A$1:$AQ$576,MATCH($M18,[1]RELAÇÃO!$AP$1:$AP$576,0),5))</f>
        <v>Requisitado Militar</v>
      </c>
      <c r="H18" s="275" t="str">
        <f>IF(E18=0,"-",INDEX([1]RELAÇÃO!$A$1:$AQ$576,MATCH($M18,[1]RELAÇÃO!$AP$1:$AP$576,0),6))</f>
        <v>Marinha</v>
      </c>
      <c r="I18" s="275" t="str">
        <f>IF(E18=0,"-",INDEX([1]RELAÇÃO!$A$1:$AQ$576,MATCH($M18,[1]RELAÇÃO!$AP$1:$AP$576,0),12)&amp;INDEX([1]RELAÇÃO!$A$1:$AQ$576,MATCH($M18,[1]RELAÇÃO!$AP$1:$AP$576,0),13)&amp;", de "&amp;INDEX([1]RELAÇÃO!$A$1:$AQ$576,MATCH($M18,[1]RELAÇÃO!$AP$1:$AP$576,0),14)&amp;" - "&amp;INDEX([1]RELAÇÃO!$A$1:$AQ$576,MATCH($M18,[1]RELAÇÃO!$AP$1:$AP$576,0),16)&amp;" de "&amp;INDEX([1]RELAÇÃO!$A$1:$AQ$576,MATCH($M18,[1]RELAÇÃO!$AP$1:$AP$576,0),15))</f>
        <v>Portaria nº 75, de 02/03/2020 - DOU de 04/03/2020</v>
      </c>
      <c r="J18" s="286"/>
      <c r="K18" s="290"/>
      <c r="L18" s="287" t="str">
        <f>IF($E18=0,"-",IF(INDEX([1]RELAÇÃO!$A$1:$AQ$576,MATCH($M18,[1]RELAÇÃO!$AP$1:$AP$576,0),8)="2.000.000","-",INDEX([1]RELAÇÃO!$A$1:$AQ$576,MATCH($M18,[1]RELAÇÃO!$AP$1:$AP$576,0),7)))</f>
        <v>-</v>
      </c>
      <c r="M18" s="280" t="s">
        <v>202</v>
      </c>
      <c r="N18" s="288"/>
    </row>
    <row r="19" spans="1:14" ht="23.25" x14ac:dyDescent="0.25">
      <c r="A19" s="289"/>
      <c r="B19" s="291" t="s">
        <v>198</v>
      </c>
      <c r="C19" s="273" t="s">
        <v>199</v>
      </c>
      <c r="D19" s="274" t="s">
        <v>193</v>
      </c>
      <c r="E19" s="275" t="str">
        <f>INDEX([1]RELAÇÃO!$A$1:$AQ$576,MATCH($M19,[1]RELAÇÃO!$AP$1:$AP$576,0),1)</f>
        <v>ALAN SAMPAIO SANTOS</v>
      </c>
      <c r="F19" s="276" t="str">
        <f>IF(E19=0,"-",LEFT(INDEX([1]RELAÇÃO!$A$1:$AQ$576,MATCH($M19,[1]RELAÇÃO!$AP$1:$AP$576,0),32),1))</f>
        <v>M</v>
      </c>
      <c r="G19" s="275" t="str">
        <f>IF(E19=0,"-",INDEX([1]RELAÇÃO!$A$1:$AQ$576,MATCH($M19,[1]RELAÇÃO!$AP$1:$AP$576,0),5))</f>
        <v>Sem Vínculo</v>
      </c>
      <c r="H19" s="275" t="str">
        <f>IF(E19=0,"-",INDEX([1]RELAÇÃO!$A$1:$AQ$576,MATCH($M19,[1]RELAÇÃO!$AP$1:$AP$576,0),6))</f>
        <v>Sem Vínculo</v>
      </c>
      <c r="I19" s="275" t="str">
        <f>IF(E19=0,"-",INDEX([1]RELAÇÃO!$A$1:$AQ$576,MATCH($M19,[1]RELAÇÃO!$AP$1:$AP$576,0),12)&amp;INDEX([1]RELAÇÃO!$A$1:$AQ$576,MATCH($M19,[1]RELAÇÃO!$AP$1:$AP$576,0),13)&amp;", de "&amp;INDEX([1]RELAÇÃO!$A$1:$AQ$576,MATCH($M19,[1]RELAÇÃO!$AP$1:$AP$576,0),14)&amp;" - "&amp;INDEX([1]RELAÇÃO!$A$1:$AQ$576,MATCH($M19,[1]RELAÇÃO!$AP$1:$AP$576,0),16)&amp;" de "&amp;INDEX([1]RELAÇÃO!$A$1:$AQ$576,MATCH($M19,[1]RELAÇÃO!$AP$1:$AP$576,0),15))</f>
        <v>Portaria nº 1124, de 08/10/2018 - DOU de 09/10/2018</v>
      </c>
      <c r="J19" s="286"/>
      <c r="K19" s="290"/>
      <c r="L19" s="287" t="str">
        <f>IF($E19=0,"-",IF(INDEX([1]RELAÇÃO!$A$1:$AQ$576,MATCH($M19,[1]RELAÇÃO!$AP$1:$AP$576,0),8)="2.000.000","-",INDEX([1]RELAÇÃO!$A$1:$AQ$576,MATCH($M19,[1]RELAÇÃO!$AP$1:$AP$576,0),7)))</f>
        <v>ASSESSORIA ESPECIAL DE ACOMPANHAMENTO DE POLÍTICAS, ESTRATÉGIAS E DESEMPENHO SETORIAL - AEPED</v>
      </c>
      <c r="M19" s="280" t="s">
        <v>203</v>
      </c>
      <c r="N19" s="288"/>
    </row>
    <row r="20" spans="1:14" ht="23.25" x14ac:dyDescent="0.25">
      <c r="A20" s="289"/>
      <c r="B20" s="291" t="s">
        <v>198</v>
      </c>
      <c r="C20" s="273" t="s">
        <v>199</v>
      </c>
      <c r="D20" s="274" t="s">
        <v>193</v>
      </c>
      <c r="E20" s="275" t="str">
        <f>INDEX([1]RELAÇÃO!$A$1:$AQ$576,MATCH($M20,[1]RELAÇÃO!$AP$1:$AP$576,0),1)</f>
        <v>PEDRO HUGO TEIXEIRA DE OLIVEIRA JUNIOR</v>
      </c>
      <c r="F20" s="276" t="str">
        <f>IF(E20=0,"-",LEFT(INDEX([1]RELAÇÃO!$A$1:$AQ$576,MATCH($M20,[1]RELAÇÃO!$AP$1:$AP$576,0),32),1))</f>
        <v>M</v>
      </c>
      <c r="G20" s="275" t="str">
        <f>IF(E20=0,"-",INDEX([1]RELAÇÃO!$A$1:$AQ$576,MATCH($M20,[1]RELAÇÃO!$AP$1:$AP$576,0),5))</f>
        <v>Sem Vínculo</v>
      </c>
      <c r="H20" s="275" t="str">
        <f>IF(E20=0,"-",INDEX([1]RELAÇÃO!$A$1:$AQ$576,MATCH($M20,[1]RELAÇÃO!$AP$1:$AP$576,0),6))</f>
        <v>Sem Vínculo</v>
      </c>
      <c r="I20" s="275" t="str">
        <f>IF(E20=0,"-",INDEX([1]RELAÇÃO!$A$1:$AQ$576,MATCH($M20,[1]RELAÇÃO!$AP$1:$AP$576,0),12)&amp;INDEX([1]RELAÇÃO!$A$1:$AQ$576,MATCH($M20,[1]RELAÇÃO!$AP$1:$AP$576,0),13)&amp;", de "&amp;INDEX([1]RELAÇÃO!$A$1:$AQ$576,MATCH($M20,[1]RELAÇÃO!$AP$1:$AP$576,0),14)&amp;" - "&amp;INDEX([1]RELAÇÃO!$A$1:$AQ$576,MATCH($M20,[1]RELAÇÃO!$AP$1:$AP$576,0),16)&amp;" de "&amp;INDEX([1]RELAÇÃO!$A$1:$AQ$576,MATCH($M20,[1]RELAÇÃO!$AP$1:$AP$576,0),15))</f>
        <v>Portaria nº 623, de 17/01/2019 - DOU de 17/01/2019</v>
      </c>
      <c r="J20" s="286"/>
      <c r="K20" s="290"/>
      <c r="L20" s="287" t="str">
        <f>IF($E20=0,"-",IF(INDEX([1]RELAÇÃO!$A$1:$AQ$576,MATCH($M20,[1]RELAÇÃO!$AP$1:$AP$576,0),8)="2.000.000","-",INDEX([1]RELAÇÃO!$A$1:$AQ$576,MATCH($M20,[1]RELAÇÃO!$AP$1:$AP$576,0),7)))</f>
        <v>GM / ASSESSORIA PARLAMENTAR - ASPAR</v>
      </c>
      <c r="M20" s="280" t="s">
        <v>204</v>
      </c>
      <c r="N20" s="288"/>
    </row>
    <row r="21" spans="1:14" ht="23.25" x14ac:dyDescent="0.25">
      <c r="A21" s="292"/>
      <c r="B21" s="291" t="s">
        <v>205</v>
      </c>
      <c r="C21" s="273" t="s">
        <v>206</v>
      </c>
      <c r="D21" s="274" t="s">
        <v>187</v>
      </c>
      <c r="E21" s="275" t="str">
        <f>INDEX([1]RELAÇÃO!$A$1:$AQ$576,MATCH($M21,[1]RELAÇÃO!$AP$1:$AP$576,0),1)</f>
        <v>RENATA ROSADA DA SILVA</v>
      </c>
      <c r="F21" s="276" t="str">
        <f>IF(E21=0,"-",LEFT(INDEX([1]RELAÇÃO!$A$1:$AQ$576,MATCH($M21,[1]RELAÇÃO!$AP$1:$AP$576,0),32),1))</f>
        <v>F</v>
      </c>
      <c r="G21" s="275" t="str">
        <f>IF(E21=0,"-",INDEX([1]RELAÇÃO!$A$1:$AQ$576,MATCH($M21,[1]RELAÇÃO!$AP$1:$AP$576,0),5))</f>
        <v>Requisitado de Órgãos</v>
      </c>
      <c r="H21" s="275" t="str">
        <f>IF(E21=0,"-",INDEX([1]RELAÇÃO!$A$1:$AQ$576,MATCH($M21,[1]RELAÇÃO!$AP$1:$AP$576,0),6))</f>
        <v>ANEEL - Agência Nacional de Energia Elétrica</v>
      </c>
      <c r="I21" s="275" t="str">
        <f>IF(E21=0,"-",INDEX([1]RELAÇÃO!$A$1:$AQ$576,MATCH($M21,[1]RELAÇÃO!$AP$1:$AP$576,0),12)&amp;INDEX([1]RELAÇÃO!$A$1:$AQ$576,MATCH($M21,[1]RELAÇÃO!$AP$1:$AP$576,0),13)&amp;", de "&amp;INDEX([1]RELAÇÃO!$A$1:$AQ$576,MATCH($M21,[1]RELAÇÃO!$AP$1:$AP$576,0),14)&amp;" - "&amp;INDEX([1]RELAÇÃO!$A$1:$AQ$576,MATCH($M21,[1]RELAÇÃO!$AP$1:$AP$576,0),16)&amp;" de "&amp;INDEX([1]RELAÇÃO!$A$1:$AQ$576,MATCH($M21,[1]RELAÇÃO!$AP$1:$AP$576,0),15))</f>
        <v>Portaria nº 597, de 16/01/2019 - DOU de 17/01/2019</v>
      </c>
      <c r="J21" s="277">
        <f>INDEX([1]RELAÇÃO!$A$1:$AQ$576,MATCH($N21,[1]RELAÇÃO!$AQ$1:$AQ$576,0),1)</f>
        <v>0</v>
      </c>
      <c r="K21" s="278" t="str">
        <f>IF(J21=0,"-",INDEX([1]RELAÇÃO!$A$1:$AQ$576,MATCH($N21,[1]RELAÇÃO!$AQ$1:$AQ$576,0),27)&amp;INDEX([1]RELAÇÃO!$A$1:$AQ$576,MATCH($N21,[1]RELAÇÃO!$AQ$1:$AQ$576,0),28)&amp;", de "&amp;INDEX([1]RELAÇÃO!$A$1:$AQ$576,MATCH($N21,[1]RELAÇÃO!$AQ$1:$AQ$576,0),29)&amp;" - "&amp;INDEX([1]RELAÇÃO!$A$1:$AQ$576,MATCH($N21,[1]RELAÇÃO!$AQ$1:$AQ$576,0),31)&amp;" de "&amp;INDEX([1]RELAÇÃO!$A$1:$AQ$576,MATCH($N21,[1]RELAÇÃO!$AQ$1:$AQ$576,0),30))</f>
        <v>-</v>
      </c>
      <c r="L21" s="287" t="str">
        <f>IF($E21=0,"-",IF(INDEX([1]RELAÇÃO!$A$1:$AQ$576,MATCH($M21,[1]RELAÇÃO!$AP$1:$AP$576,0),8)="2.000.000","-",INDEX([1]RELAÇÃO!$A$1:$AQ$576,MATCH($M21,[1]RELAÇÃO!$AP$1:$AP$576,0),7)))</f>
        <v>ASSESSORIA ESPECIAL DE ASSUNTOS ECONÔMICOS - ASSEC</v>
      </c>
      <c r="M21" s="280" t="s">
        <v>207</v>
      </c>
      <c r="N21" s="293" t="s">
        <v>208</v>
      </c>
    </row>
    <row r="22" spans="1:14" x14ac:dyDescent="0.25">
      <c r="A22" s="292"/>
      <c r="B22" s="291" t="s">
        <v>205</v>
      </c>
      <c r="C22" s="273" t="s">
        <v>206</v>
      </c>
      <c r="D22" s="274" t="s">
        <v>187</v>
      </c>
      <c r="E22" s="294">
        <f>INDEX([1]RELAÇÃO!$A$1:$AQ$576,MATCH($M22,[1]RELAÇÃO!$AP$1:$AP$576,0),1)</f>
        <v>0</v>
      </c>
      <c r="F22" s="276" t="str">
        <f>IF(E22=0,"-",LEFT(INDEX([1]RELAÇÃO!$A$1:$AQ$576,MATCH($M22,[1]RELAÇÃO!$AP$1:$AP$576,0),32),1))</f>
        <v>-</v>
      </c>
      <c r="G22" s="275" t="str">
        <f>IF(E22=0,"-",INDEX([1]RELAÇÃO!$A$1:$AQ$576,MATCH($M22,[1]RELAÇÃO!$AP$1:$AP$576,0),5))</f>
        <v>-</v>
      </c>
      <c r="H22" s="275" t="str">
        <f>IF(E22=0,"-",INDEX([1]RELAÇÃO!$A$1:$AQ$576,MATCH($M22,[1]RELAÇÃO!$AP$1:$AP$576,0),6))</f>
        <v>-</v>
      </c>
      <c r="I22" s="275" t="str">
        <f>IF(E22=0,"-",INDEX([1]RELAÇÃO!$A$1:$AQ$576,MATCH($M22,[1]RELAÇÃO!$AP$1:$AP$576,0),12)&amp;INDEX([1]RELAÇÃO!$A$1:$AQ$576,MATCH($M22,[1]RELAÇÃO!$AP$1:$AP$576,0),13)&amp;", de "&amp;INDEX([1]RELAÇÃO!$A$1:$AQ$576,MATCH($M22,[1]RELAÇÃO!$AP$1:$AP$576,0),14)&amp;" - "&amp;INDEX([1]RELAÇÃO!$A$1:$AQ$576,MATCH($M22,[1]RELAÇÃO!$AP$1:$AP$576,0),16)&amp;" de "&amp;INDEX([1]RELAÇÃO!$A$1:$AQ$576,MATCH($M22,[1]RELAÇÃO!$AP$1:$AP$576,0),15))</f>
        <v>-</v>
      </c>
      <c r="J22" s="307">
        <f>INDEX([1]RELAÇÃO!$A$1:$AQ$576,MATCH($N22,[1]RELAÇÃO!$AQ$1:$AQ$576,0),1)</f>
        <v>0</v>
      </c>
      <c r="K22" s="308" t="str">
        <f>IF(J22=0,"-",INDEX([1]RELAÇÃO!$A$1:$AQ$576,MATCH($N22,[1]RELAÇÃO!$AQ$1:$AQ$576,0),27)&amp;INDEX([1]RELAÇÃO!$A$1:$AQ$576,MATCH($N22,[1]RELAÇÃO!$AQ$1:$AQ$576,0),28)&amp;", de "&amp;INDEX([1]RELAÇÃO!$A$1:$AQ$576,MATCH($N22,[1]RELAÇÃO!$AQ$1:$AQ$576,0),29)&amp;" - "&amp;INDEX([1]RELAÇÃO!$A$1:$AQ$576,MATCH($N22,[1]RELAÇÃO!$AQ$1:$AQ$576,0),31)&amp;" de "&amp;INDEX([1]RELAÇÃO!$A$1:$AQ$576,MATCH($N22,[1]RELAÇÃO!$AQ$1:$AQ$576,0),30))</f>
        <v>-</v>
      </c>
      <c r="L22" s="287" t="str">
        <f>IF($E22=0,"-",IF(INDEX([1]RELAÇÃO!$A$1:$AQ$576,MATCH($M22,[1]RELAÇÃO!$AP$1:$AP$576,0),8)="2.000.000","-",INDEX([1]RELAÇÃO!$A$1:$AQ$576,MATCH($M22,[1]RELAÇÃO!$AP$1:$AP$576,0),7)))</f>
        <v>-</v>
      </c>
      <c r="M22" s="280" t="s">
        <v>209</v>
      </c>
      <c r="N22" s="293" t="s">
        <v>210</v>
      </c>
    </row>
    <row r="23" spans="1:14" ht="23.25" x14ac:dyDescent="0.25">
      <c r="A23" s="292"/>
      <c r="B23" s="291" t="s">
        <v>211</v>
      </c>
      <c r="C23" s="273" t="s">
        <v>212</v>
      </c>
      <c r="D23" s="274" t="s">
        <v>193</v>
      </c>
      <c r="E23" s="275" t="str">
        <f>INDEX([1]RELAÇÃO!$A$1:$AQ$576,MATCH($M23,[1]RELAÇÃO!$AP$1:$AP$576,0),1)</f>
        <v>VALERIA DE JESUS RODRIGUES SOUZA</v>
      </c>
      <c r="F23" s="276" t="str">
        <f>IF(E23=0,"-",LEFT(INDEX([1]RELAÇÃO!$A$1:$AQ$576,MATCH($M23,[1]RELAÇÃO!$AP$1:$AP$576,0),32),1))</f>
        <v>F</v>
      </c>
      <c r="G23" s="275" t="str">
        <f>IF(E23=0,"-",INDEX([1]RELAÇÃO!$A$1:$AQ$576,MATCH($M23,[1]RELAÇÃO!$AP$1:$AP$576,0),5))</f>
        <v>Requisitado Militar</v>
      </c>
      <c r="H23" s="275" t="str">
        <f>IF(E23=0,"-",INDEX([1]RELAÇÃO!$A$1:$AQ$576,MATCH($M23,[1]RELAÇÃO!$AP$1:$AP$576,0),6))</f>
        <v>Marinha</v>
      </c>
      <c r="I23" s="275" t="str">
        <f>IF(E23=0,"-",INDEX([1]RELAÇÃO!$A$1:$AQ$576,MATCH($M23,[1]RELAÇÃO!$AP$1:$AP$576,0),12)&amp;INDEX([1]RELAÇÃO!$A$1:$AQ$576,MATCH($M23,[1]RELAÇÃO!$AP$1:$AP$576,0),13)&amp;", de "&amp;INDEX([1]RELAÇÃO!$A$1:$AQ$576,MATCH($M23,[1]RELAÇÃO!$AP$1:$AP$576,0),14)&amp;" - "&amp;INDEX([1]RELAÇÃO!$A$1:$AQ$576,MATCH($M23,[1]RELAÇÃO!$AP$1:$AP$576,0),16)&amp;" de "&amp;INDEX([1]RELAÇÃO!$A$1:$AQ$576,MATCH($M23,[1]RELAÇÃO!$AP$1:$AP$576,0),15))</f>
        <v>Portaria nº 60, de 24/01/2019 - DOU de 29/01/2019</v>
      </c>
      <c r="J23" s="286"/>
      <c r="K23" s="290"/>
      <c r="L23" s="287" t="str">
        <f>IF($E23=0,"-",IF(INDEX([1]RELAÇÃO!$A$1:$AQ$576,MATCH($M23,[1]RELAÇÃO!$AP$1:$AP$576,0),8)="2.000.000","-",INDEX([1]RELAÇÃO!$A$1:$AQ$576,MATCH($M23,[1]RELAÇÃO!$AP$1:$AP$576,0),7)))</f>
        <v>-</v>
      </c>
      <c r="M23" s="280" t="s">
        <v>213</v>
      </c>
      <c r="N23" s="288"/>
    </row>
    <row r="24" spans="1:14" ht="23.25" x14ac:dyDescent="0.25">
      <c r="A24" s="292"/>
      <c r="B24" s="291" t="s">
        <v>211</v>
      </c>
      <c r="C24" s="273" t="s">
        <v>212</v>
      </c>
      <c r="D24" s="274" t="s">
        <v>193</v>
      </c>
      <c r="E24" s="275" t="str">
        <f>INDEX([1]RELAÇÃO!$A$1:$AQ$576,MATCH($M24,[1]RELAÇÃO!$AP$1:$AP$576,0),1)</f>
        <v>JOÃO DE AMORIM LITAIFF JUNIOR</v>
      </c>
      <c r="F24" s="276" t="str">
        <f>IF(E24=0,"-",LEFT(INDEX([1]RELAÇÃO!$A$1:$AQ$576,MATCH($M24,[1]RELAÇÃO!$AP$1:$AP$576,0),32),1))</f>
        <v>M</v>
      </c>
      <c r="G24" s="275" t="str">
        <f>IF(E24=0,"-",INDEX([1]RELAÇÃO!$A$1:$AQ$576,MATCH($M24,[1]RELAÇÃO!$AP$1:$AP$576,0),5))</f>
        <v>Sem Vínculo</v>
      </c>
      <c r="H24" s="275" t="str">
        <f>IF(E24=0,"-",INDEX([1]RELAÇÃO!$A$1:$AQ$576,MATCH($M24,[1]RELAÇÃO!$AP$1:$AP$576,0),6))</f>
        <v>Sem Vínculo</v>
      </c>
      <c r="I24" s="275" t="str">
        <f>IF(E24=0,"-",INDEX([1]RELAÇÃO!$A$1:$AQ$576,MATCH($M24,[1]RELAÇÃO!$AP$1:$AP$576,0),12)&amp;INDEX([1]RELAÇÃO!$A$1:$AQ$576,MATCH($M24,[1]RELAÇÃO!$AP$1:$AP$576,0),13)&amp;", de "&amp;INDEX([1]RELAÇÃO!$A$1:$AQ$576,MATCH($M24,[1]RELAÇÃO!$AP$1:$AP$576,0),14)&amp;" - "&amp;INDEX([1]RELAÇÃO!$A$1:$AQ$576,MATCH($M24,[1]RELAÇÃO!$AP$1:$AP$576,0),16)&amp;" de "&amp;INDEX([1]RELAÇÃO!$A$1:$AQ$576,MATCH($M24,[1]RELAÇÃO!$AP$1:$AP$576,0),15))</f>
        <v>Portaria nº 37, de 17/01/2019 - DOU de 21/01/2019</v>
      </c>
      <c r="J24" s="286"/>
      <c r="K24" s="290"/>
      <c r="L24" s="287" t="str">
        <f>IF($E24=0,"-",IF(INDEX([1]RELAÇÃO!$A$1:$AQ$576,MATCH($M24,[1]RELAÇÃO!$AP$1:$AP$576,0),8)="2.000.000","-",INDEX([1]RELAÇÃO!$A$1:$AQ$576,MATCH($M24,[1]RELAÇÃO!$AP$1:$AP$576,0),7)))</f>
        <v>ASSESSORIA ESPECIAL DE ACOMPANHAMENTO DE POLÍTICAS, ESTRATÉGIAS E DESEMPENHO SETORIAL - AEPED</v>
      </c>
      <c r="M24" s="280" t="s">
        <v>214</v>
      </c>
      <c r="N24" s="288"/>
    </row>
    <row r="25" spans="1:14" ht="23.25" x14ac:dyDescent="0.25">
      <c r="A25" s="292"/>
      <c r="B25" s="291" t="s">
        <v>211</v>
      </c>
      <c r="C25" s="273" t="s">
        <v>212</v>
      </c>
      <c r="D25" s="274" t="s">
        <v>193</v>
      </c>
      <c r="E25" s="275" t="str">
        <f>INDEX([1]RELAÇÃO!$A$1:$AQ$576,MATCH($M25,[1]RELAÇÃO!$AP$1:$AP$576,0),1)</f>
        <v>ANDREIA ALVES NASCIMENTO FRAGA</v>
      </c>
      <c r="F25" s="276" t="str">
        <f>IF(E25=0,"-",LEFT(INDEX([1]RELAÇÃO!$A$1:$AQ$576,MATCH($M25,[1]RELAÇÃO!$AP$1:$AP$576,0),32),1))</f>
        <v>F</v>
      </c>
      <c r="G25" s="275" t="str">
        <f>IF(E25=0,"-",INDEX([1]RELAÇÃO!$A$1:$AQ$576,MATCH($M25,[1]RELAÇÃO!$AP$1:$AP$576,0),5))</f>
        <v>Sem Vínculo</v>
      </c>
      <c r="H25" s="275" t="str">
        <f>IF(E25=0,"-",INDEX([1]RELAÇÃO!$A$1:$AQ$576,MATCH($M25,[1]RELAÇÃO!$AP$1:$AP$576,0),6))</f>
        <v>Sem Vínculo</v>
      </c>
      <c r="I25" s="275" t="str">
        <f>IF(E25=0,"-",INDEX([1]RELAÇÃO!$A$1:$AQ$576,MATCH($M25,[1]RELAÇÃO!$AP$1:$AP$576,0),12)&amp;INDEX([1]RELAÇÃO!$A$1:$AQ$576,MATCH($M25,[1]RELAÇÃO!$AP$1:$AP$576,0),13)&amp;", de "&amp;INDEX([1]RELAÇÃO!$A$1:$AQ$576,MATCH($M25,[1]RELAÇÃO!$AP$1:$AP$576,0),14)&amp;" - "&amp;INDEX([1]RELAÇÃO!$A$1:$AQ$576,MATCH($M25,[1]RELAÇÃO!$AP$1:$AP$576,0),16)&amp;" de "&amp;INDEX([1]RELAÇÃO!$A$1:$AQ$576,MATCH($M25,[1]RELAÇÃO!$AP$1:$AP$576,0),15))</f>
        <v>Portaria nº 238, de 03/06/2019 - DOU de 06/06/2019</v>
      </c>
      <c r="J25" s="286"/>
      <c r="K25" s="290"/>
      <c r="L25" s="287" t="str">
        <f>IF($E25=0,"-",IF(INDEX([1]RELAÇÃO!$A$1:$AQ$576,MATCH($M25,[1]RELAÇÃO!$AP$1:$AP$576,0),8)="2.000.000","-",INDEX([1]RELAÇÃO!$A$1:$AQ$576,MATCH($M25,[1]RELAÇÃO!$AP$1:$AP$576,0),7)))</f>
        <v>-</v>
      </c>
      <c r="M25" s="280" t="s">
        <v>215</v>
      </c>
      <c r="N25" s="288"/>
    </row>
    <row r="26" spans="1:14" ht="23.25" x14ac:dyDescent="0.25">
      <c r="A26" s="292"/>
      <c r="B26" s="291" t="s">
        <v>211</v>
      </c>
      <c r="C26" s="273" t="s">
        <v>212</v>
      </c>
      <c r="D26" s="274" t="s">
        <v>193</v>
      </c>
      <c r="E26" s="275" t="str">
        <f>INDEX([1]RELAÇÃO!$A$1:$AQ$576,MATCH($M26,[1]RELAÇÃO!$AP$1:$AP$576,0),1)</f>
        <v>EDUARDO SOUZA GRIVOT DE GRAND COURT</v>
      </c>
      <c r="F26" s="276" t="str">
        <f>IF(E26=0,"-",LEFT(INDEX([1]RELAÇÃO!$A$1:$AQ$576,MATCH($M26,[1]RELAÇÃO!$AP$1:$AP$576,0),32),1))</f>
        <v>M</v>
      </c>
      <c r="G26" s="275" t="str">
        <f>IF(E26=0,"-",INDEX([1]RELAÇÃO!$A$1:$AQ$576,MATCH($M26,[1]RELAÇÃO!$AP$1:$AP$576,0),5))</f>
        <v>Sem Vínculo</v>
      </c>
      <c r="H26" s="275" t="str">
        <f>IF(E26=0,"-",INDEX([1]RELAÇÃO!$A$1:$AQ$576,MATCH($M26,[1]RELAÇÃO!$AP$1:$AP$576,0),6))</f>
        <v>S/VÍNCULO</v>
      </c>
      <c r="I26" s="275" t="str">
        <f>IF(E26=0,"-",INDEX([1]RELAÇÃO!$A$1:$AQ$576,MATCH($M26,[1]RELAÇÃO!$AP$1:$AP$576,0),12)&amp;INDEX([1]RELAÇÃO!$A$1:$AQ$576,MATCH($M26,[1]RELAÇÃO!$AP$1:$AP$576,0),13)&amp;", de "&amp;INDEX([1]RELAÇÃO!$A$1:$AQ$576,MATCH($M26,[1]RELAÇÃO!$AP$1:$AP$576,0),14)&amp;" - "&amp;INDEX([1]RELAÇÃO!$A$1:$AQ$576,MATCH($M26,[1]RELAÇÃO!$AP$1:$AP$576,0),16)&amp;" de "&amp;INDEX([1]RELAÇÃO!$A$1:$AQ$576,MATCH($M26,[1]RELAÇÃO!$AP$1:$AP$576,0),15))</f>
        <v>Portaria nº 325, de 27/08/2020 - DOU de 31/08/2020</v>
      </c>
      <c r="J26" s="286"/>
      <c r="K26" s="290"/>
      <c r="L26" s="287" t="str">
        <f>IF($E26=0,"-",IF(INDEX([1]RELAÇÃO!$A$1:$AQ$576,MATCH($M26,[1]RELAÇÃO!$AP$1:$AP$576,0),8)="2.000.000","-",INDEX([1]RELAÇÃO!$A$1:$AQ$576,MATCH($M26,[1]RELAÇÃO!$AP$1:$AP$576,0),7)))</f>
        <v>SE / ASSESSORIA ESPECIAL DE GESTÃO ESTRATÉGICA - AEGE</v>
      </c>
      <c r="M26" s="280" t="s">
        <v>216</v>
      </c>
      <c r="N26" s="288"/>
    </row>
    <row r="27" spans="1:14" ht="23.25" x14ac:dyDescent="0.25">
      <c r="A27" s="292"/>
      <c r="B27" s="291" t="s">
        <v>211</v>
      </c>
      <c r="C27" s="273" t="s">
        <v>212</v>
      </c>
      <c r="D27" s="274" t="s">
        <v>193</v>
      </c>
      <c r="E27" s="275" t="str">
        <f>INDEX([1]RELAÇÃO!$A$1:$AQ$576,MATCH($M27,[1]RELAÇÃO!$AP$1:$AP$576,0),1)</f>
        <v>GUSTAVO CERQUEIRA ATAIDE</v>
      </c>
      <c r="F27" s="276" t="str">
        <f>IF(E27=0,"-",LEFT(INDEX([1]RELAÇÃO!$A$1:$AQ$576,MATCH($M27,[1]RELAÇÃO!$AP$1:$AP$576,0),32),1))</f>
        <v>M</v>
      </c>
      <c r="G27" s="275" t="str">
        <f>IF(E27=0,"-",INDEX([1]RELAÇÃO!$A$1:$AQ$576,MATCH($M27,[1]RELAÇÃO!$AP$1:$AP$576,0),5))</f>
        <v>Requisitado de Órgãos</v>
      </c>
      <c r="H27" s="275" t="str">
        <f>IF(E27=0,"-",INDEX([1]RELAÇÃO!$A$1:$AQ$576,MATCH($M27,[1]RELAÇÃO!$AP$1:$AP$576,0),6))</f>
        <v>ME - Ministério da Economia</v>
      </c>
      <c r="I27" s="275" t="str">
        <f>IF(E27=0,"-",INDEX([1]RELAÇÃO!$A$1:$AQ$576,MATCH($M27,[1]RELAÇÃO!$AP$1:$AP$576,0),12)&amp;INDEX([1]RELAÇÃO!$A$1:$AQ$576,MATCH($M27,[1]RELAÇÃO!$AP$1:$AP$576,0),13)&amp;", de "&amp;INDEX([1]RELAÇÃO!$A$1:$AQ$576,MATCH($M27,[1]RELAÇÃO!$AP$1:$AP$576,0),14)&amp;" - "&amp;INDEX([1]RELAÇÃO!$A$1:$AQ$576,MATCH($M27,[1]RELAÇÃO!$AP$1:$AP$576,0),16)&amp;" de "&amp;INDEX([1]RELAÇÃO!$A$1:$AQ$576,MATCH($M27,[1]RELAÇÃO!$AP$1:$AP$576,0),15))</f>
        <v>Portaria nº 366, de 01/10/2020 - DOU de 08/10/2020</v>
      </c>
      <c r="J27" s="286"/>
      <c r="K27" s="290"/>
      <c r="L27" s="287" t="str">
        <f>IF($E27=0,"-",IF(INDEX([1]RELAÇÃO!$A$1:$AQ$576,MATCH($M27,[1]RELAÇÃO!$AP$1:$AP$576,0),8)="2.000.000","-",INDEX([1]RELAÇÃO!$A$1:$AQ$576,MATCH($M27,[1]RELAÇÃO!$AP$1:$AP$576,0),7)))</f>
        <v>SPE / DEPARTAMENTO DE PLANEJAMENTO ENERGÉTICO - DPE</v>
      </c>
      <c r="M27" s="280" t="s">
        <v>217</v>
      </c>
      <c r="N27" s="288"/>
    </row>
    <row r="28" spans="1:14" x14ac:dyDescent="0.25">
      <c r="A28" s="292"/>
      <c r="B28" s="291" t="s">
        <v>211</v>
      </c>
      <c r="C28" s="273" t="s">
        <v>212</v>
      </c>
      <c r="D28" s="274" t="s">
        <v>193</v>
      </c>
      <c r="E28" s="275">
        <f>INDEX([1]RELAÇÃO!$A$1:$AQ$576,MATCH($M28,[1]RELAÇÃO!$AP$1:$AP$576,0),1)</f>
        <v>0</v>
      </c>
      <c r="F28" s="276" t="str">
        <f>IF(E28=0,"-",LEFT(INDEX([1]RELAÇÃO!$A$1:$AQ$576,MATCH($M28,[1]RELAÇÃO!$AP$1:$AP$576,0),32),1))</f>
        <v>-</v>
      </c>
      <c r="G28" s="275" t="str">
        <f>IF(E28=0,"-",INDEX([1]RELAÇÃO!$A$1:$AQ$576,MATCH($M28,[1]RELAÇÃO!$AP$1:$AP$576,0),5))</f>
        <v>-</v>
      </c>
      <c r="H28" s="275" t="str">
        <f>IF(E28=0,"-",INDEX([1]RELAÇÃO!$A$1:$AQ$576,MATCH($M28,[1]RELAÇÃO!$AP$1:$AP$576,0),6))</f>
        <v>-</v>
      </c>
      <c r="I28" s="275" t="str">
        <f>IF(E28=0,"-",INDEX([1]RELAÇÃO!$A$1:$AQ$576,MATCH($M28,[1]RELAÇÃO!$AP$1:$AP$576,0),12)&amp;INDEX([1]RELAÇÃO!$A$1:$AQ$576,MATCH($M28,[1]RELAÇÃO!$AP$1:$AP$576,0),13)&amp;", de "&amp;INDEX([1]RELAÇÃO!$A$1:$AQ$576,MATCH($M28,[1]RELAÇÃO!$AP$1:$AP$576,0),14)&amp;" - "&amp;INDEX([1]RELAÇÃO!$A$1:$AQ$576,MATCH($M28,[1]RELAÇÃO!$AP$1:$AP$576,0),16)&amp;" de "&amp;INDEX([1]RELAÇÃO!$A$1:$AQ$576,MATCH($M28,[1]RELAÇÃO!$AP$1:$AP$576,0),15))</f>
        <v>-</v>
      </c>
      <c r="J28" s="286"/>
      <c r="K28" s="290"/>
      <c r="L28" s="287" t="str">
        <f>IF($E28=0,"-",IF(INDEX([1]RELAÇÃO!$A$1:$AQ$576,MATCH($M28,[1]RELAÇÃO!$AP$1:$AP$576,0),8)="2.000.000","-",INDEX([1]RELAÇÃO!$A$1:$AQ$576,MATCH($M28,[1]RELAÇÃO!$AP$1:$AP$576,0),7)))</f>
        <v>-</v>
      </c>
      <c r="M28" s="280" t="s">
        <v>218</v>
      </c>
      <c r="N28" s="288"/>
    </row>
    <row r="29" spans="1:14" x14ac:dyDescent="0.25">
      <c r="A29" s="292"/>
      <c r="B29" s="291" t="s">
        <v>211</v>
      </c>
      <c r="C29" s="273" t="s">
        <v>212</v>
      </c>
      <c r="D29" s="274" t="s">
        <v>193</v>
      </c>
      <c r="E29" s="275">
        <f>INDEX([1]RELAÇÃO!$A$1:$AQ$576,MATCH($M29,[1]RELAÇÃO!$AP$1:$AP$576,0),1)</f>
        <v>0</v>
      </c>
      <c r="F29" s="276" t="str">
        <f>IF(E29=0,"-",LEFT(INDEX([1]RELAÇÃO!$A$1:$AQ$576,MATCH($M29,[1]RELAÇÃO!$AP$1:$AP$576,0),32),1))</f>
        <v>-</v>
      </c>
      <c r="G29" s="275" t="str">
        <f>IF(E29=0,"-",INDEX([1]RELAÇÃO!$A$1:$AQ$576,MATCH($M29,[1]RELAÇÃO!$AP$1:$AP$576,0),5))</f>
        <v>-</v>
      </c>
      <c r="H29" s="275" t="str">
        <f>IF(E29=0,"-",INDEX([1]RELAÇÃO!$A$1:$AQ$576,MATCH($M29,[1]RELAÇÃO!$AP$1:$AP$576,0),6))</f>
        <v>-</v>
      </c>
      <c r="I29" s="275" t="str">
        <f>IF(E29=0,"-",INDEX([1]RELAÇÃO!$A$1:$AQ$576,MATCH($M29,[1]RELAÇÃO!$AP$1:$AP$576,0),12)&amp;INDEX([1]RELAÇÃO!$A$1:$AQ$576,MATCH($M29,[1]RELAÇÃO!$AP$1:$AP$576,0),13)&amp;", de "&amp;INDEX([1]RELAÇÃO!$A$1:$AQ$576,MATCH($M29,[1]RELAÇÃO!$AP$1:$AP$576,0),14)&amp;" - "&amp;INDEX([1]RELAÇÃO!$A$1:$AQ$576,MATCH($M29,[1]RELAÇÃO!$AP$1:$AP$576,0),16)&amp;" de "&amp;INDEX([1]RELAÇÃO!$A$1:$AQ$576,MATCH($M29,[1]RELAÇÃO!$AP$1:$AP$576,0),15))</f>
        <v>-</v>
      </c>
      <c r="J29" s="286"/>
      <c r="K29" s="290"/>
      <c r="L29" s="287" t="str">
        <f>IF($E29=0,"-",IF(INDEX([1]RELAÇÃO!$A$1:$AQ$576,MATCH($M29,[1]RELAÇÃO!$AP$1:$AP$576,0),8)="2.000.000","-",INDEX([1]RELAÇÃO!$A$1:$AQ$576,MATCH($M29,[1]RELAÇÃO!$AP$1:$AP$576,0),7)))</f>
        <v>-</v>
      </c>
      <c r="M29" s="280" t="s">
        <v>219</v>
      </c>
      <c r="N29" s="288"/>
    </row>
    <row r="30" spans="1:14" x14ac:dyDescent="0.25">
      <c r="A30" s="292"/>
      <c r="B30" s="285" t="s">
        <v>191</v>
      </c>
      <c r="C30" s="274" t="s">
        <v>192</v>
      </c>
      <c r="D30" s="274" t="s">
        <v>193</v>
      </c>
      <c r="E30" s="275">
        <f>INDEX([1]RELAÇÃO!$A$1:$AQ$576,MATCH($M30,[1]RELAÇÃO!$AP$1:$AP$576,0),1)</f>
        <v>0</v>
      </c>
      <c r="F30" s="276" t="str">
        <f>IF(E30=0,"-",LEFT(INDEX([1]RELAÇÃO!$A$1:$AQ$576,MATCH($M30,[1]RELAÇÃO!$AP$1:$AP$576,0),32),1))</f>
        <v>-</v>
      </c>
      <c r="G30" s="275" t="str">
        <f>IF(E30=0,"-",INDEX([1]RELAÇÃO!$A$1:$AQ$576,MATCH($M30,[1]RELAÇÃO!$AP$1:$AP$576,0),5))</f>
        <v>-</v>
      </c>
      <c r="H30" s="275" t="str">
        <f>IF(E30=0,"-",INDEX([1]RELAÇÃO!$A$1:$AQ$576,MATCH($M30,[1]RELAÇÃO!$AP$1:$AP$576,0),6))</f>
        <v>-</v>
      </c>
      <c r="I30" s="275" t="str">
        <f>IF(E30=0,"-",INDEX([1]RELAÇÃO!$A$1:$AQ$576,MATCH($M30,[1]RELAÇÃO!$AP$1:$AP$576,0),12)&amp;INDEX([1]RELAÇÃO!$A$1:$AQ$576,MATCH($M30,[1]RELAÇÃO!$AP$1:$AP$576,0),13)&amp;", de "&amp;INDEX([1]RELAÇÃO!$A$1:$AQ$576,MATCH($M30,[1]RELAÇÃO!$AP$1:$AP$576,0),14)&amp;" - "&amp;INDEX([1]RELAÇÃO!$A$1:$AQ$576,MATCH($M30,[1]RELAÇÃO!$AP$1:$AP$576,0),16)&amp;" de "&amp;INDEX([1]RELAÇÃO!$A$1:$AQ$576,MATCH($M30,[1]RELAÇÃO!$AP$1:$AP$576,0),15))</f>
        <v>-</v>
      </c>
      <c r="J30" s="286"/>
      <c r="K30" s="290"/>
      <c r="L30" s="287" t="str">
        <f>IF($E30=0,"-",IF(INDEX([1]RELAÇÃO!$A$1:$AQ$576,MATCH($M30,[1]RELAÇÃO!$AP$1:$AP$576,0),8)="2.000.000","-",INDEX([1]RELAÇÃO!$A$1:$AQ$576,MATCH($M30,[1]RELAÇÃO!$AP$1:$AP$576,0),7)))</f>
        <v>-</v>
      </c>
      <c r="M30" s="280" t="s">
        <v>220</v>
      </c>
      <c r="N30" s="288"/>
    </row>
    <row r="31" spans="1:14" ht="23.25" x14ac:dyDescent="0.25">
      <c r="A31" s="292"/>
      <c r="B31" s="285" t="s">
        <v>191</v>
      </c>
      <c r="C31" s="274" t="s">
        <v>192</v>
      </c>
      <c r="D31" s="274" t="s">
        <v>193</v>
      </c>
      <c r="E31" s="275" t="str">
        <f>INDEX([1]RELAÇÃO!$A$1:$AQ$576,MATCH($M31,[1]RELAÇÃO!$AP$1:$AP$576,0),1)</f>
        <v>ANA LUCIA ALVARES ALVES</v>
      </c>
      <c r="F31" s="276" t="str">
        <f>IF(E31=0,"-",LEFT(INDEX([1]RELAÇÃO!$A$1:$AQ$576,MATCH($M31,[1]RELAÇÃO!$AP$1:$AP$576,0),32),1))</f>
        <v>F</v>
      </c>
      <c r="G31" s="275" t="str">
        <f>IF(E31=0,"-",INDEX([1]RELAÇÃO!$A$1:$AQ$576,MATCH($M31,[1]RELAÇÃO!$AP$1:$AP$576,0),5))</f>
        <v>Requisitado de Órgãos</v>
      </c>
      <c r="H31" s="275" t="str">
        <f>IF(E31=0,"-",INDEX([1]RELAÇÃO!$A$1:$AQ$576,MATCH($M31,[1]RELAÇÃO!$AP$1:$AP$576,0),6))</f>
        <v>ME - Ministério da Economia</v>
      </c>
      <c r="I31" s="275" t="str">
        <f>IF(E31=0,"-",INDEX([1]RELAÇÃO!$A$1:$AQ$576,MATCH($M31,[1]RELAÇÃO!$AP$1:$AP$576,0),12)&amp;INDEX([1]RELAÇÃO!$A$1:$AQ$576,MATCH($M31,[1]RELAÇÃO!$AP$1:$AP$576,0),13)&amp;", de "&amp;INDEX([1]RELAÇÃO!$A$1:$AQ$576,MATCH($M31,[1]RELAÇÃO!$AP$1:$AP$576,0),14)&amp;" - "&amp;INDEX([1]RELAÇÃO!$A$1:$AQ$576,MATCH($M31,[1]RELAÇÃO!$AP$1:$AP$576,0),16)&amp;" de "&amp;INDEX([1]RELAÇÃO!$A$1:$AQ$576,MATCH($M31,[1]RELAÇÃO!$AP$1:$AP$576,0),15))</f>
        <v>Portaria nº 319, de 24/08/2020 - DOU de 28/08/2020</v>
      </c>
      <c r="J31" s="286"/>
      <c r="K31" s="290"/>
      <c r="L31" s="287" t="str">
        <f>IF($E31=0,"-",IF(INDEX([1]RELAÇÃO!$A$1:$AQ$576,MATCH($M31,[1]RELAÇÃO!$AP$1:$AP$576,0),8)="2.000.000","-",INDEX([1]RELAÇÃO!$A$1:$AQ$576,MATCH($M31,[1]RELAÇÃO!$AP$1:$AP$576,0),7)))</f>
        <v>SEE / DMSE / COORDENAÇÃO GERAL DE MONITORAMENTO DO DESEMPENHO DO SISTEMA ELÉTRICO</v>
      </c>
      <c r="M31" s="280" t="s">
        <v>221</v>
      </c>
      <c r="N31" s="288"/>
    </row>
    <row r="32" spans="1:14" x14ac:dyDescent="0.25">
      <c r="A32" s="292"/>
      <c r="B32" s="285" t="s">
        <v>191</v>
      </c>
      <c r="C32" s="274" t="s">
        <v>192</v>
      </c>
      <c r="D32" s="274" t="s">
        <v>193</v>
      </c>
      <c r="E32" s="275">
        <f>INDEX([1]RELAÇÃO!$A$1:$AQ$576,MATCH($M32,[1]RELAÇÃO!$AP$1:$AP$576,0),1)</f>
        <v>0</v>
      </c>
      <c r="F32" s="276" t="str">
        <f>IF(E32=0,"-",LEFT(INDEX([1]RELAÇÃO!$A$1:$AQ$576,MATCH($M32,[1]RELAÇÃO!$AP$1:$AP$576,0),32),1))</f>
        <v>-</v>
      </c>
      <c r="G32" s="275" t="str">
        <f>IF(E32=0,"-",INDEX([1]RELAÇÃO!$A$1:$AQ$576,MATCH($M32,[1]RELAÇÃO!$AP$1:$AP$576,0),5))</f>
        <v>-</v>
      </c>
      <c r="H32" s="275" t="str">
        <f>IF(E32=0,"-",INDEX([1]RELAÇÃO!$A$1:$AQ$576,MATCH($M32,[1]RELAÇÃO!$AP$1:$AP$576,0),6))</f>
        <v>-</v>
      </c>
      <c r="I32" s="275" t="str">
        <f>IF(E32=0,"-",INDEX([1]RELAÇÃO!$A$1:$AQ$576,MATCH($M32,[1]RELAÇÃO!$AP$1:$AP$576,0),12)&amp;INDEX([1]RELAÇÃO!$A$1:$AQ$576,MATCH($M32,[1]RELAÇÃO!$AP$1:$AP$576,0),13)&amp;", de "&amp;INDEX([1]RELAÇÃO!$A$1:$AQ$576,MATCH($M32,[1]RELAÇÃO!$AP$1:$AP$576,0),14)&amp;" - "&amp;INDEX([1]RELAÇÃO!$A$1:$AQ$576,MATCH($M32,[1]RELAÇÃO!$AP$1:$AP$576,0),16)&amp;" de "&amp;INDEX([1]RELAÇÃO!$A$1:$AQ$576,MATCH($M32,[1]RELAÇÃO!$AP$1:$AP$576,0),15))</f>
        <v>-</v>
      </c>
      <c r="J32" s="409"/>
      <c r="K32" s="410"/>
      <c r="L32" s="287" t="str">
        <f>IF($E32=0,"-",IF(INDEX([1]RELAÇÃO!$A$1:$AQ$576,MATCH($M32,[1]RELAÇÃO!$AP$1:$AP$576,0),8)="2.000.000","-",INDEX([1]RELAÇÃO!$A$1:$AQ$576,MATCH($M32,[1]RELAÇÃO!$AP$1:$AP$576,0),7)))</f>
        <v>-</v>
      </c>
      <c r="M32" s="280" t="s">
        <v>222</v>
      </c>
      <c r="N32" s="288"/>
    </row>
    <row r="33" spans="1:14" ht="23.25" x14ac:dyDescent="0.25">
      <c r="A33" s="295" t="s">
        <v>223</v>
      </c>
      <c r="B33" s="285" t="s">
        <v>224</v>
      </c>
      <c r="C33" s="274" t="s">
        <v>206</v>
      </c>
      <c r="D33" s="274" t="s">
        <v>187</v>
      </c>
      <c r="E33" s="275" t="str">
        <f>INDEX([1]RELAÇÃO!$A$1:$AQ$576,MATCH($M33,[1]RELAÇÃO!$AP$1:$AP$576,0),1)</f>
        <v>JOSE ROBERTO BUENO JUNIOR</v>
      </c>
      <c r="F33" s="276" t="str">
        <f>IF(E33=0,"-",LEFT(INDEX([1]RELAÇÃO!$A$1:$AQ$576,MATCH($M33,[1]RELAÇÃO!$AP$1:$AP$576,0),32),1))</f>
        <v>M</v>
      </c>
      <c r="G33" s="275" t="str">
        <f>IF(E33=0,"-",INDEX([1]RELAÇÃO!$A$1:$AQ$576,MATCH($M33,[1]RELAÇÃO!$AP$1:$AP$576,0),5))</f>
        <v>Sem Vínculo</v>
      </c>
      <c r="H33" s="275" t="str">
        <f>IF(E33=0,"-",INDEX([1]RELAÇÃO!$A$1:$AQ$576,MATCH($M33,[1]RELAÇÃO!$AP$1:$AP$576,0),6))</f>
        <v>Sem Vínculo</v>
      </c>
      <c r="I33" s="275" t="str">
        <f>IF(E33=0,"-",INDEX([1]RELAÇÃO!$A$1:$AQ$576,MATCH($M33,[1]RELAÇÃO!$AP$1:$AP$576,0),12)&amp;INDEX([1]RELAÇÃO!$A$1:$AQ$576,MATCH($M33,[1]RELAÇÃO!$AP$1:$AP$576,0),13)&amp;", de "&amp;INDEX([1]RELAÇÃO!$A$1:$AQ$576,MATCH($M33,[1]RELAÇÃO!$AP$1:$AP$576,0),14)&amp;" - "&amp;INDEX([1]RELAÇÃO!$A$1:$AQ$576,MATCH($M33,[1]RELAÇÃO!$AP$1:$AP$576,0),16)&amp;" de "&amp;INDEX([1]RELAÇÃO!$A$1:$AQ$576,MATCH($M33,[1]RELAÇÃO!$AP$1:$AP$576,0),15))</f>
        <v>Portaria nº 594, de 16/01/2019 - DOU de 17/01/2019</v>
      </c>
      <c r="J33" s="287" t="str">
        <f>INDEX([1]RELAÇÃO!$A$1:$AQ$576,MATCH($N33,[1]RELAÇÃO!$AQ$1:$AQ$576,0),1)</f>
        <v>ANTONIO CARLOS RAMOS DE BARROS MELLO</v>
      </c>
      <c r="K33" s="394" t="str">
        <f>IF(J33=0,"-",INDEX([1]RELAÇÃO!$A$1:$AQ$576,MATCH($N33,[1]RELAÇÃO!$AQ$1:$AQ$576,0),27)&amp;INDEX([1]RELAÇÃO!$A$1:$AQ$576,MATCH($N33,[1]RELAÇÃO!$AQ$1:$AQ$576,0),28)&amp;", de "&amp;INDEX([1]RELAÇÃO!$A$1:$AQ$576,MATCH($N33,[1]RELAÇÃO!$AQ$1:$AQ$576,0),29)&amp;" - "&amp;INDEX([1]RELAÇÃO!$A$1:$AQ$576,MATCH($N33,[1]RELAÇÃO!$AQ$1:$AQ$576,0),31)&amp;" de "&amp;INDEX([1]RELAÇÃO!$A$1:$AQ$576,MATCH($N33,[1]RELAÇÃO!$AQ$1:$AQ$576,0),30))</f>
        <v>Portaria nº 332, de 29/07/2005 - DOU de 01/08/2005</v>
      </c>
      <c r="L33" s="287" t="str">
        <f>IF($E33=0,"-",IF(INDEX([1]RELAÇÃO!$A$1:$AQ$576,MATCH($M33,[1]RELAÇÃO!$AP$1:$AP$576,0),8)="2.100.000","-",INDEX([1]RELAÇÃO!$A$1:$AQ$576,MATCH($M33,[1]RELAÇÃO!$AP$1:$AP$576,0),7)))</f>
        <v>-</v>
      </c>
      <c r="M33" s="280" t="s">
        <v>225</v>
      </c>
      <c r="N33" s="293" t="s">
        <v>226</v>
      </c>
    </row>
    <row r="34" spans="1:14" ht="23.25" x14ac:dyDescent="0.25">
      <c r="A34" s="292"/>
      <c r="B34" s="291" t="s">
        <v>191</v>
      </c>
      <c r="C34" s="273" t="s">
        <v>192</v>
      </c>
      <c r="D34" s="274" t="s">
        <v>193</v>
      </c>
      <c r="E34" s="275" t="str">
        <f>INDEX([1]RELAÇÃO!$A$1:$AQ$576,MATCH($M34,[1]RELAÇÃO!$AP$1:$AP$576,0),1)</f>
        <v>JORGE RICARDO KAUTSCHER BENTO</v>
      </c>
      <c r="F34" s="276" t="str">
        <f>IF(E34=0,"-",LEFT(INDEX([1]RELAÇÃO!$A$1:$AQ$576,MATCH($M34,[1]RELAÇÃO!$AP$1:$AP$576,0),32),1))</f>
        <v>M</v>
      </c>
      <c r="G34" s="275" t="str">
        <f>IF(E34=0,"-",INDEX([1]RELAÇÃO!$A$1:$AQ$576,MATCH($M34,[1]RELAÇÃO!$AP$1:$AP$576,0),5))</f>
        <v>Requisitado Militar</v>
      </c>
      <c r="H34" s="275" t="str">
        <f>IF(E34=0,"-",INDEX([1]RELAÇÃO!$A$1:$AQ$576,MATCH($M34,[1]RELAÇÃO!$AP$1:$AP$576,0),6))</f>
        <v>Marinha</v>
      </c>
      <c r="I34" s="275" t="str">
        <f>IF(E34=0,"-",INDEX([1]RELAÇÃO!$A$1:$AQ$576,MATCH($M34,[1]RELAÇÃO!$AP$1:$AP$576,0),12)&amp;INDEX([1]RELAÇÃO!$A$1:$AQ$576,MATCH($M34,[1]RELAÇÃO!$AP$1:$AP$576,0),13)&amp;", de "&amp;INDEX([1]RELAÇÃO!$A$1:$AQ$576,MATCH($M34,[1]RELAÇÃO!$AP$1:$AP$576,0),14)&amp;" - "&amp;INDEX([1]RELAÇÃO!$A$1:$AQ$576,MATCH($M34,[1]RELAÇÃO!$AP$1:$AP$576,0),16)&amp;" de "&amp;INDEX([1]RELAÇÃO!$A$1:$AQ$576,MATCH($M34,[1]RELAÇÃO!$AP$1:$AP$576,0),15))</f>
        <v>Portaria nº 178, de 26/03/2019 - DOU de 28/03/2019</v>
      </c>
      <c r="J34" s="286"/>
      <c r="K34" s="290"/>
      <c r="L34" s="287" t="str">
        <f>IF($E34=0,"-",IF(INDEX([1]RELAÇÃO!$A$1:$AQ$576,MATCH($M34,[1]RELAÇÃO!$AP$1:$AP$576,0),8)="2.100.000","-",INDEX([1]RELAÇÃO!$A$1:$AQ$576,MATCH($M34,[1]RELAÇÃO!$AP$1:$AP$576,0),7)))</f>
        <v>GABINETE DO MINISTRO - GM</v>
      </c>
      <c r="M34" s="280" t="s">
        <v>227</v>
      </c>
      <c r="N34" s="288"/>
    </row>
    <row r="35" spans="1:14" ht="23.25" x14ac:dyDescent="0.25">
      <c r="A35" s="292"/>
      <c r="B35" s="291" t="s">
        <v>228</v>
      </c>
      <c r="C35" s="273" t="s">
        <v>229</v>
      </c>
      <c r="D35" s="274" t="s">
        <v>193</v>
      </c>
      <c r="E35" s="275" t="str">
        <f>INDEX([1]RELAÇÃO!$A$1:$AQ$576,MATCH($M35,[1]RELAÇÃO!$AP$1:$AP$576,0),1)</f>
        <v>FRUTUOSO DA SILVA LOREGA NETO</v>
      </c>
      <c r="F35" s="276" t="str">
        <f>IF(E35=0,"-",LEFT(INDEX([1]RELAÇÃO!$A$1:$AQ$576,MATCH($M35,[1]RELAÇÃO!$AP$1:$AP$576,0),32),1))</f>
        <v>M</v>
      </c>
      <c r="G35" s="275" t="str">
        <f>IF(E35=0,"-",INDEX([1]RELAÇÃO!$A$1:$AQ$576,MATCH($M35,[1]RELAÇÃO!$AP$1:$AP$576,0),5))</f>
        <v>Requisitado Militar</v>
      </c>
      <c r="H35" s="275" t="str">
        <f>IF(E35=0,"-",INDEX([1]RELAÇÃO!$A$1:$AQ$576,MATCH($M35,[1]RELAÇÃO!$AP$1:$AP$576,0),6))</f>
        <v>Marinha</v>
      </c>
      <c r="I35" s="275" t="str">
        <f>IF(E35=0,"-",INDEX([1]RELAÇÃO!$A$1:$AQ$576,MATCH($M35,[1]RELAÇÃO!$AP$1:$AP$576,0),12)&amp;INDEX([1]RELAÇÃO!$A$1:$AQ$576,MATCH($M35,[1]RELAÇÃO!$AP$1:$AP$576,0),13)&amp;", de "&amp;INDEX([1]RELAÇÃO!$A$1:$AQ$576,MATCH($M35,[1]RELAÇÃO!$AP$1:$AP$576,0),14)&amp;" - "&amp;INDEX([1]RELAÇÃO!$A$1:$AQ$576,MATCH($M35,[1]RELAÇÃO!$AP$1:$AP$576,0),16)&amp;" de "&amp;INDEX([1]RELAÇÃO!$A$1:$AQ$576,MATCH($M35,[1]RELAÇÃO!$AP$1:$AP$576,0),15))</f>
        <v>Portaria nº 65, de 24/01/2019 - DOU de 29/01/2019</v>
      </c>
      <c r="J35" s="286"/>
      <c r="K35" s="290"/>
      <c r="L35" s="287" t="str">
        <f>IF($E35=0,"-",IF(INDEX([1]RELAÇÃO!$A$1:$AQ$576,MATCH($M35,[1]RELAÇÃO!$AP$1:$AP$576,0),8)="2.100.000","-",INDEX([1]RELAÇÃO!$A$1:$AQ$576,MATCH($M35,[1]RELAÇÃO!$AP$1:$AP$576,0),7)))</f>
        <v>GABINETE DO MINISTRO - GM</v>
      </c>
      <c r="M35" s="280" t="s">
        <v>230</v>
      </c>
      <c r="N35" s="288"/>
    </row>
    <row r="36" spans="1:14" ht="23.25" x14ac:dyDescent="0.25">
      <c r="A36" s="292"/>
      <c r="B36" s="291" t="s">
        <v>228</v>
      </c>
      <c r="C36" s="296" t="s">
        <v>231</v>
      </c>
      <c r="D36" s="274" t="s">
        <v>193</v>
      </c>
      <c r="E36" s="275" t="str">
        <f>INDEX([1]RELAÇÃO!$A$1:$AQ$576,MATCH($M36,[1]RELAÇÃO!$AP$1:$AP$576,0),1)</f>
        <v>ALTAMIRO MOREIRA CALDEIRA</v>
      </c>
      <c r="F36" s="276" t="str">
        <f>IF(E36=0,"-",LEFT(INDEX([1]RELAÇÃO!$A$1:$AQ$576,MATCH($M36,[1]RELAÇÃO!$AP$1:$AP$576,0),32),1))</f>
        <v>M</v>
      </c>
      <c r="G36" s="275" t="str">
        <f>IF(E36=0,"-",INDEX([1]RELAÇÃO!$A$1:$AQ$576,MATCH($M36,[1]RELAÇÃO!$AP$1:$AP$576,0),5))</f>
        <v>Ativo Permanente</v>
      </c>
      <c r="H36" s="275" t="str">
        <f>IF(E36=0,"-",INDEX([1]RELAÇÃO!$A$1:$AQ$576,MATCH($M36,[1]RELAÇÃO!$AP$1:$AP$576,0),6))</f>
        <v>MME - Ministério de Minas e Energia</v>
      </c>
      <c r="I36" s="275" t="str">
        <f>IF(E36=0,"-",INDEX([1]RELAÇÃO!$A$1:$AQ$576,MATCH($M36,[1]RELAÇÃO!$AP$1:$AP$576,0),12)&amp;INDEX([1]RELAÇÃO!$A$1:$AQ$576,MATCH($M36,[1]RELAÇÃO!$AP$1:$AP$576,0),13)&amp;", de "&amp;INDEX([1]RELAÇÃO!$A$1:$AQ$576,MATCH($M36,[1]RELAÇÃO!$AP$1:$AP$576,0),14)&amp;" - "&amp;INDEX([1]RELAÇÃO!$A$1:$AQ$576,MATCH($M36,[1]RELAÇÃO!$AP$1:$AP$576,0),16)&amp;" de "&amp;INDEX([1]RELAÇÃO!$A$1:$AQ$576,MATCH($M36,[1]RELAÇÃO!$AP$1:$AP$576,0),15))</f>
        <v>Portaria nº 524, de 03/11/2016 - BPE de 04/11/2016</v>
      </c>
      <c r="J36" s="286"/>
      <c r="K36" s="290"/>
      <c r="L36" s="287" t="str">
        <f>IF($E36=0,"-",IF(INDEX([1]RELAÇÃO!$A$1:$AQ$576,MATCH($M36,[1]RELAÇÃO!$AP$1:$AP$576,0),8)="2.100.000","-",INDEX([1]RELAÇÃO!$A$1:$AQ$576,MATCH($M36,[1]RELAÇÃO!$AP$1:$AP$576,0),7)))</f>
        <v>GM / ASTAD / COORDENAÇÃO DE ATIVIDADES ADMINISTRATIVAS</v>
      </c>
      <c r="M36" s="280" t="s">
        <v>232</v>
      </c>
      <c r="N36" s="288"/>
    </row>
    <row r="37" spans="1:14" ht="23.25" x14ac:dyDescent="0.25">
      <c r="A37" s="292"/>
      <c r="B37" s="291" t="s">
        <v>228</v>
      </c>
      <c r="C37" s="296" t="s">
        <v>231</v>
      </c>
      <c r="D37" s="274" t="s">
        <v>193</v>
      </c>
      <c r="E37" s="275" t="str">
        <f>INDEX([1]RELAÇÃO!$A$1:$AQ$576,MATCH($M37,[1]RELAÇÃO!$AP$1:$AP$576,0),1)</f>
        <v>ELIS REGINA PIRES GARCIA</v>
      </c>
      <c r="F37" s="276" t="str">
        <f>IF(E37=0,"-",LEFT(INDEX([1]RELAÇÃO!$A$1:$AQ$576,MATCH($M37,[1]RELAÇÃO!$AP$1:$AP$576,0),32),1))</f>
        <v>F</v>
      </c>
      <c r="G37" s="275" t="str">
        <f>IF(E37=0,"-",INDEX([1]RELAÇÃO!$A$1:$AQ$576,MATCH($M37,[1]RELAÇÃO!$AP$1:$AP$576,0),5))</f>
        <v>Ativo Permanente</v>
      </c>
      <c r="H37" s="275" t="str">
        <f>IF(E37=0,"-",INDEX([1]RELAÇÃO!$A$1:$AQ$576,MATCH($M37,[1]RELAÇÃO!$AP$1:$AP$576,0),6))</f>
        <v>MME - Ministério de Minas e Energia</v>
      </c>
      <c r="I37" s="275" t="str">
        <f>IF(E37=0,"-",INDEX([1]RELAÇÃO!$A$1:$AQ$576,MATCH($M37,[1]RELAÇÃO!$AP$1:$AP$576,0),12)&amp;INDEX([1]RELAÇÃO!$A$1:$AQ$576,MATCH($M37,[1]RELAÇÃO!$AP$1:$AP$576,0),13)&amp;", de "&amp;INDEX([1]RELAÇÃO!$A$1:$AQ$576,MATCH($M37,[1]RELAÇÃO!$AP$1:$AP$576,0),14)&amp;" - "&amp;INDEX([1]RELAÇÃO!$A$1:$AQ$576,MATCH($M37,[1]RELAÇÃO!$AP$1:$AP$576,0),16)&amp;" de "&amp;INDEX([1]RELAÇÃO!$A$1:$AQ$576,MATCH($M37,[1]RELAÇÃO!$AP$1:$AP$576,0),15))</f>
        <v>Portaria nº 524, de 03/11/2016 - BPE de 04/11/2016</v>
      </c>
      <c r="J37" s="286"/>
      <c r="K37" s="290"/>
      <c r="L37" s="287" t="str">
        <f>IF($E37=0,"-",IF(INDEX([1]RELAÇÃO!$A$1:$AQ$576,MATCH($M37,[1]RELAÇÃO!$AP$1:$AP$576,0),8)="2.100.000","-",INDEX([1]RELAÇÃO!$A$1:$AQ$576,MATCH($M37,[1]RELAÇÃO!$AP$1:$AP$576,0),7)))</f>
        <v>GM / ASTAD / COORDENAÇÃO DE ATIVIDADES ADMINISTRATIVAS</v>
      </c>
      <c r="M37" s="280" t="s">
        <v>233</v>
      </c>
      <c r="N37" s="288"/>
    </row>
    <row r="38" spans="1:14" ht="23.25" x14ac:dyDescent="0.25">
      <c r="A38" s="292"/>
      <c r="B38" s="291" t="s">
        <v>228</v>
      </c>
      <c r="C38" s="296" t="s">
        <v>231</v>
      </c>
      <c r="D38" s="274" t="s">
        <v>193</v>
      </c>
      <c r="E38" s="275" t="str">
        <f>INDEX([1]RELAÇÃO!$A$1:$AQ$576,MATCH($M38,[1]RELAÇÃO!$AP$1:$AP$576,0),1)</f>
        <v>JORGE GABRIEL MOISÉS FILHO</v>
      </c>
      <c r="F38" s="276" t="str">
        <f>IF(E38=0,"-",LEFT(INDEX([1]RELAÇÃO!$A$1:$AQ$576,MATCH($M38,[1]RELAÇÃO!$AP$1:$AP$576,0),32),1))</f>
        <v>M</v>
      </c>
      <c r="G38" s="275" t="str">
        <f>IF(E38=0,"-",INDEX([1]RELAÇÃO!$A$1:$AQ$576,MATCH($M38,[1]RELAÇÃO!$AP$1:$AP$576,0),5))</f>
        <v>Exercício Descentralizado</v>
      </c>
      <c r="H38" s="275" t="str">
        <f>IF(E38=0,"-",INDEX([1]RELAÇÃO!$A$1:$AQ$576,MATCH($M38,[1]RELAÇÃO!$AP$1:$AP$576,0),6))</f>
        <v>ME - Ministério da Economia</v>
      </c>
      <c r="I38" s="275" t="str">
        <f>IF(E38=0,"-",INDEX([1]RELAÇÃO!$A$1:$AQ$576,MATCH($M38,[1]RELAÇÃO!$AP$1:$AP$576,0),12)&amp;INDEX([1]RELAÇÃO!$A$1:$AQ$576,MATCH($M38,[1]RELAÇÃO!$AP$1:$AP$576,0),13)&amp;", de "&amp;INDEX([1]RELAÇÃO!$A$1:$AQ$576,MATCH($M38,[1]RELAÇÃO!$AP$1:$AP$576,0),14)&amp;" - "&amp;INDEX([1]RELAÇÃO!$A$1:$AQ$576,MATCH($M38,[1]RELAÇÃO!$AP$1:$AP$576,0),16)&amp;" de "&amp;INDEX([1]RELAÇÃO!$A$1:$AQ$576,MATCH($M38,[1]RELAÇÃO!$AP$1:$AP$576,0),15))</f>
        <v>Portaria nº 377, de 30/09/2019 - DOU de 02/10/2019</v>
      </c>
      <c r="J38" s="409"/>
      <c r="K38" s="410"/>
      <c r="L38" s="287" t="str">
        <f>IF($E38=0,"-",IF(INDEX([1]RELAÇÃO!$A$1:$AQ$576,MATCH($M38,[1]RELAÇÃO!$AP$1:$AP$576,0),8)="2.100.000","-",INDEX([1]RELAÇÃO!$A$1:$AQ$576,MATCH($M38,[1]RELAÇÃO!$AP$1:$AP$576,0),7)))</f>
        <v>SE / SPOA / CGOF / COORDENAÇÃO DE ORÇAMENTO - CORC</v>
      </c>
      <c r="M38" s="280" t="s">
        <v>234</v>
      </c>
      <c r="N38" s="288"/>
    </row>
    <row r="39" spans="1:14" ht="23.25" x14ac:dyDescent="0.25">
      <c r="A39" s="297" t="s">
        <v>235</v>
      </c>
      <c r="B39" s="285" t="s">
        <v>236</v>
      </c>
      <c r="C39" s="274" t="s">
        <v>186</v>
      </c>
      <c r="D39" s="274" t="s">
        <v>187</v>
      </c>
      <c r="E39" s="275" t="str">
        <f>INDEX([1]RELAÇÃO!$A$1:$AQ$576,MATCH($M39,[1]RELAÇÃO!$AP$1:$AP$576,0),1)</f>
        <v>BRENNO LEOPOLDO CAVALCANTE DE PAULA</v>
      </c>
      <c r="F39" s="276" t="str">
        <f>IF(E39=0,"-",LEFT(INDEX([1]RELAÇÃO!$A$1:$AQ$576,MATCH($M39,[1]RELAÇÃO!$AP$1:$AP$576,0),32),1))</f>
        <v>M</v>
      </c>
      <c r="G39" s="275" t="str">
        <f>IF(E39=0,"-",INDEX([1]RELAÇÃO!$A$1:$AQ$576,MATCH($M39,[1]RELAÇÃO!$AP$1:$AP$576,0),5))</f>
        <v>Sem Vínculo</v>
      </c>
      <c r="H39" s="275" t="str">
        <f>IF(E39=0,"-",INDEX([1]RELAÇÃO!$A$1:$AQ$576,MATCH($M39,[1]RELAÇÃO!$AP$1:$AP$576,0),6))</f>
        <v>Sem Vínculo</v>
      </c>
      <c r="I39" s="275" t="str">
        <f>IF(E39=0,"-",INDEX([1]RELAÇÃO!$A$1:$AQ$576,MATCH($M39,[1]RELAÇÃO!$AP$1:$AP$576,0),12)&amp;INDEX([1]RELAÇÃO!$A$1:$AQ$576,MATCH($M39,[1]RELAÇÃO!$AP$1:$AP$576,0),13)&amp;", de "&amp;INDEX([1]RELAÇÃO!$A$1:$AQ$576,MATCH($M39,[1]RELAÇÃO!$AP$1:$AP$576,0),14)&amp;" - "&amp;INDEX([1]RELAÇÃO!$A$1:$AQ$576,MATCH($M39,[1]RELAÇÃO!$AP$1:$AP$576,0),16)&amp;" de "&amp;INDEX([1]RELAÇÃO!$A$1:$AQ$576,MATCH($M39,[1]RELAÇÃO!$AP$1:$AP$576,0),15))</f>
        <v>Portaria nº 450, de 23/11/2017 - DOU de 27/11/2017</v>
      </c>
      <c r="J39" s="287" t="str">
        <f>INDEX([1]RELAÇÃO!$A$1:$AQ$576,MATCH($N39,[1]RELAÇÃO!$AQ$1:$AQ$576,0),1)</f>
        <v>CARLOS ROBERTO NOVAIS DE ALMEIDA</v>
      </c>
      <c r="K39" s="394" t="str">
        <f>IF(J39=0,"-",INDEX([1]RELAÇÃO!$A$1:$AQ$576,MATCH($N39,[1]RELAÇÃO!$AQ$1:$AQ$576,0),27)&amp;INDEX([1]RELAÇÃO!$A$1:$AQ$576,MATCH($N39,[1]RELAÇÃO!$AQ$1:$AQ$576,0),28)&amp;", de "&amp;INDEX([1]RELAÇÃO!$A$1:$AQ$576,MATCH($N39,[1]RELAÇÃO!$AQ$1:$AQ$576,0),29)&amp;" - "&amp;INDEX([1]RELAÇÃO!$A$1:$AQ$576,MATCH($N39,[1]RELAÇÃO!$AQ$1:$AQ$576,0),31)&amp;" de "&amp;INDEX([1]RELAÇÃO!$A$1:$AQ$576,MATCH($N39,[1]RELAÇÃO!$AQ$1:$AQ$576,0),30))</f>
        <v>Portaria nº 484, de 04/10/2005 - DOU de 05/10/2005</v>
      </c>
      <c r="L39" s="287" t="str">
        <f>IF($E39=0,"-",IF(INDEX([1]RELAÇÃO!$A$1:$AQ$576,MATCH($M39,[1]RELAÇÃO!$AP$1:$AP$576,0),8)="2.100.100","-",INDEX([1]RELAÇÃO!$A$1:$AQ$576,MATCH($M39,[1]RELAÇÃO!$AP$1:$AP$576,0),7)))</f>
        <v>-</v>
      </c>
      <c r="M39" s="280" t="s">
        <v>237</v>
      </c>
      <c r="N39" s="293" t="s">
        <v>238</v>
      </c>
    </row>
    <row r="40" spans="1:14" ht="23.25" x14ac:dyDescent="0.25">
      <c r="A40" s="298"/>
      <c r="B40" s="285" t="s">
        <v>191</v>
      </c>
      <c r="C40" s="299" t="s">
        <v>239</v>
      </c>
      <c r="D40" s="274" t="s">
        <v>193</v>
      </c>
      <c r="E40" s="275" t="str">
        <f>INDEX([1]RELAÇÃO!$A$1:$AQ$576,MATCH($M40,[1]RELAÇÃO!$AP$1:$AP$576,0),1)</f>
        <v>LUIZ CLAUDIO FONTENELE GONCALVES</v>
      </c>
      <c r="F40" s="276" t="str">
        <f>IF(E40=0,"-",LEFT(INDEX([1]RELAÇÃO!$A$1:$AQ$576,MATCH($M40,[1]RELAÇÃO!$AP$1:$AP$576,0),32),1))</f>
        <v>M</v>
      </c>
      <c r="G40" s="275" t="str">
        <f>IF(E40=0,"-",INDEX([1]RELAÇÃO!$A$1:$AQ$576,MATCH($M40,[1]RELAÇÃO!$AP$1:$AP$576,0),5))</f>
        <v>Ativo Permanente</v>
      </c>
      <c r="H40" s="275" t="str">
        <f>IF(E40=0,"-",INDEX([1]RELAÇÃO!$A$1:$AQ$576,MATCH($M40,[1]RELAÇÃO!$AP$1:$AP$576,0),6))</f>
        <v>MME - Ministério de Minas e Energia</v>
      </c>
      <c r="I40" s="275" t="str">
        <f>IF(E40=0,"-",INDEX([1]RELAÇÃO!$A$1:$AQ$576,MATCH($M40,[1]RELAÇÃO!$AP$1:$AP$576,0),12)&amp;INDEX([1]RELAÇÃO!$A$1:$AQ$576,MATCH($M40,[1]RELAÇÃO!$AP$1:$AP$576,0),13)&amp;", de "&amp;INDEX([1]RELAÇÃO!$A$1:$AQ$576,MATCH($M40,[1]RELAÇÃO!$AP$1:$AP$576,0),14)&amp;" - "&amp;INDEX([1]RELAÇÃO!$A$1:$AQ$576,MATCH($M40,[1]RELAÇÃO!$AP$1:$AP$576,0),16)&amp;" de "&amp;INDEX([1]RELAÇÃO!$A$1:$AQ$576,MATCH($M40,[1]RELAÇÃO!$AP$1:$AP$576,0),15))</f>
        <v>Portaria nº 89, de 14/03/2018 - DOU de 15/03/2018</v>
      </c>
      <c r="J40" s="411"/>
      <c r="K40" s="412"/>
      <c r="L40" s="287" t="str">
        <f>IF($E40=0,"-",IF(INDEX([1]RELAÇÃO!$A$1:$AQ$576,MATCH($M40,[1]RELAÇÃO!$AP$1:$AP$576,0),8)="2.100.100","-",INDEX([1]RELAÇÃO!$A$1:$AQ$576,MATCH($M40,[1]RELAÇÃO!$AP$1:$AP$576,0),7)))</f>
        <v>SE / SPOA / CGRH / COORDENAÇÃO DE DESENVOLVIMENTO E SEGURIDADE SOCIAL - CODES</v>
      </c>
      <c r="M40" s="280" t="s">
        <v>240</v>
      </c>
      <c r="N40" s="288"/>
    </row>
    <row r="41" spans="1:14" ht="27.75" customHeight="1" x14ac:dyDescent="0.25">
      <c r="A41" s="400" t="s">
        <v>241</v>
      </c>
      <c r="B41" s="291" t="s">
        <v>242</v>
      </c>
      <c r="C41" s="296" t="s">
        <v>243</v>
      </c>
      <c r="D41" s="274" t="s">
        <v>187</v>
      </c>
      <c r="E41" s="275" t="str">
        <f>INDEX([1]RELAÇÃO!$A$1:$AQ$576,MATCH($M41,[1]RELAÇÃO!$AP$1:$AP$576,0),1)</f>
        <v>CARLOS ROBERTO NOVAIS DE ALMEIDA</v>
      </c>
      <c r="F41" s="276" t="str">
        <f>IF(E41=0,"-",LEFT(INDEX([1]RELAÇÃO!$A$1:$AQ$576,MATCH($M41,[1]RELAÇÃO!$AP$1:$AP$576,0),32),1))</f>
        <v>M</v>
      </c>
      <c r="G41" s="275" t="str">
        <f>IF(E41=0,"-",INDEX([1]RELAÇÃO!$A$1:$AQ$576,MATCH($M41,[1]RELAÇÃO!$AP$1:$AP$576,0),5))</f>
        <v>Ativo Permanente</v>
      </c>
      <c r="H41" s="275" t="str">
        <f>IF(E41=0,"-",INDEX([1]RELAÇÃO!$A$1:$AQ$576,MATCH($M41,[1]RELAÇÃO!$AP$1:$AP$576,0),6))</f>
        <v>MME - Ministério de Minas e Energia</v>
      </c>
      <c r="I41" s="275" t="str">
        <f>IF(E41=0,"-",INDEX([1]RELAÇÃO!$A$1:$AQ$576,MATCH($M41,[1]RELAÇÃO!$AP$1:$AP$576,0),12)&amp;INDEX([1]RELAÇÃO!$A$1:$AQ$576,MATCH($M41,[1]RELAÇÃO!$AP$1:$AP$576,0),13)&amp;", de "&amp;INDEX([1]RELAÇÃO!$A$1:$AQ$576,MATCH($M41,[1]RELAÇÃO!$AP$1:$AP$576,0),14)&amp;" - "&amp;INDEX([1]RELAÇÃO!$A$1:$AQ$576,MATCH($M41,[1]RELAÇÃO!$AP$1:$AP$576,0),16)&amp;" de "&amp;INDEX([1]RELAÇÃO!$A$1:$AQ$576,MATCH($M41,[1]RELAÇÃO!$AP$1:$AP$576,0),15))</f>
        <v>Portaria nº 524, de 03/11/2016 - BPE de 04/11/2016</v>
      </c>
      <c r="J41" s="287">
        <f>INDEX([1]RELAÇÃO!$A$1:$AQ$576,MATCH($N41,[1]RELAÇÃO!$AQ$1:$AQ$576,0),1)</f>
        <v>0</v>
      </c>
      <c r="K41" s="275" t="str">
        <f>IF(J41=0,"-",INDEX([1]RELAÇÃO!$A$1:$AQ$576,MATCH($N41,[1]RELAÇÃO!$AQ$1:$AQ$576,0),27)&amp;INDEX([1]RELAÇÃO!$A$1:$AQ$576,MATCH($N41,[1]RELAÇÃO!$AQ$1:$AQ$576,0),28)&amp;", de "&amp;INDEX([1]RELAÇÃO!$A$1:$AQ$576,MATCH($N41,[1]RELAÇÃO!$AQ$1:$AQ$576,0),29)&amp;" - "&amp;INDEX([1]RELAÇÃO!$A$1:$AQ$576,MATCH($N41,[1]RELAÇÃO!$AQ$1:$AQ$576,0),31)&amp;" de "&amp;INDEX([1]RELAÇÃO!$A$1:$AQ$576,MATCH($N41,[1]RELAÇÃO!$AQ$1:$AQ$576,0),30))</f>
        <v>-</v>
      </c>
      <c r="L41" s="287" t="str">
        <f>IF($E41=0,"-",IF(INDEX([1]RELAÇÃO!$A$1:$AQ$576,MATCH($M41,[1]RELAÇÃO!$AP$1:$AP$576,0),8)="2.100.101","-",INDEX([1]RELAÇÃO!$A$1:$AQ$576,MATCH($M41,[1]RELAÇÃO!$AP$1:$AP$576,0),7)))</f>
        <v>-</v>
      </c>
      <c r="M41" s="280" t="s">
        <v>244</v>
      </c>
      <c r="N41" s="293" t="s">
        <v>245</v>
      </c>
    </row>
    <row r="42" spans="1:14" ht="23.25" x14ac:dyDescent="0.25">
      <c r="A42" s="289"/>
      <c r="B42" s="291" t="s">
        <v>228</v>
      </c>
      <c r="C42" s="273" t="s">
        <v>229</v>
      </c>
      <c r="D42" s="274" t="s">
        <v>193</v>
      </c>
      <c r="E42" s="275" t="str">
        <f>INDEX([1]RELAÇÃO!$A$1:$AQ$576,MATCH($M42,[1]RELAÇÃO!$AP$1:$AP$576,0),1)</f>
        <v>JOSE EVARISTO DA SILVA</v>
      </c>
      <c r="F42" s="276" t="str">
        <f>IF(E42=0,"-",LEFT(INDEX([1]RELAÇÃO!$A$1:$AQ$576,MATCH($M42,[1]RELAÇÃO!$AP$1:$AP$576,0),32),1))</f>
        <v>M</v>
      </c>
      <c r="G42" s="275" t="str">
        <f>IF(E42=0,"-",INDEX([1]RELAÇÃO!$A$1:$AQ$576,MATCH($M42,[1]RELAÇÃO!$AP$1:$AP$576,0),5))</f>
        <v>Ativo Permanente</v>
      </c>
      <c r="H42" s="275" t="str">
        <f>IF(E42=0,"-",INDEX([1]RELAÇÃO!$A$1:$AQ$576,MATCH($M42,[1]RELAÇÃO!$AP$1:$AP$576,0),6))</f>
        <v>MME - Ministério de Minas e Energia</v>
      </c>
      <c r="I42" s="275" t="str">
        <f>IF(E42=0,"-",INDEX([1]RELAÇÃO!$A$1:$AQ$576,MATCH($M42,[1]RELAÇÃO!$AP$1:$AP$576,0),12)&amp;INDEX([1]RELAÇÃO!$A$1:$AQ$576,MATCH($M42,[1]RELAÇÃO!$AP$1:$AP$576,0),13)&amp;", de "&amp;INDEX([1]RELAÇÃO!$A$1:$AQ$576,MATCH($M42,[1]RELAÇÃO!$AP$1:$AP$576,0),14)&amp;" - "&amp;INDEX([1]RELAÇÃO!$A$1:$AQ$576,MATCH($M42,[1]RELAÇÃO!$AP$1:$AP$576,0),16)&amp;" de "&amp;INDEX([1]RELAÇÃO!$A$1:$AQ$576,MATCH($M42,[1]RELAÇÃO!$AP$1:$AP$576,0),15))</f>
        <v>Portaria nº 524, de 03/11/2016 - BPE de 04/11/2016</v>
      </c>
      <c r="J42" s="286"/>
      <c r="K42" s="290"/>
      <c r="L42" s="287" t="str">
        <f>IF($E42=0,"-",IF(INDEX([1]RELAÇÃO!$A$1:$AQ$576,MATCH($M42,[1]RELAÇÃO!$AP$1:$AP$576,0),8)="2.100.101","-",INDEX([1]RELAÇÃO!$A$1:$AQ$576,MATCH($M42,[1]RELAÇÃO!$AP$1:$AP$576,0),7)))</f>
        <v>-</v>
      </c>
      <c r="M42" s="280" t="s">
        <v>246</v>
      </c>
      <c r="N42" s="288"/>
    </row>
    <row r="43" spans="1:14" ht="23.25" x14ac:dyDescent="0.25">
      <c r="A43" s="292"/>
      <c r="B43" s="291" t="s">
        <v>247</v>
      </c>
      <c r="C43" s="273" t="s">
        <v>248</v>
      </c>
      <c r="D43" s="273" t="s">
        <v>193</v>
      </c>
      <c r="E43" s="300" t="str">
        <f>INDEX([1]RELAÇÃO!$A$1:$AQ$576,MATCH($M43,[1]RELAÇÃO!$AP$1:$AP$576,0),1)</f>
        <v>GENESIO SOARES DE OLIVEIRA</v>
      </c>
      <c r="F43" s="301" t="str">
        <f>IF(E43=0,"-",LEFT(INDEX([1]RELAÇÃO!$A$1:$AQ$576,MATCH($M43,[1]RELAÇÃO!$AP$1:$AP$576,0),32),1))</f>
        <v>M</v>
      </c>
      <c r="G43" s="300" t="str">
        <f>IF(E43=0,"-",INDEX([1]RELAÇÃO!$A$1:$AQ$576,MATCH($M43,[1]RELAÇÃO!$AP$1:$AP$576,0),5))</f>
        <v>Sem Vínculo</v>
      </c>
      <c r="H43" s="300" t="str">
        <f>IF(E43=0,"-",INDEX([1]RELAÇÃO!$A$1:$AQ$576,MATCH($M43,[1]RELAÇÃO!$AP$1:$AP$576,0),6))</f>
        <v>Sem Vínculo</v>
      </c>
      <c r="I43" s="300" t="str">
        <f>IF(E43=0,"-",INDEX([1]RELAÇÃO!$A$1:$AQ$576,MATCH($M43,[1]RELAÇÃO!$AP$1:$AP$576,0),12)&amp;INDEX([1]RELAÇÃO!$A$1:$AQ$576,MATCH($M43,[1]RELAÇÃO!$AP$1:$AP$576,0),13)&amp;", de "&amp;INDEX([1]RELAÇÃO!$A$1:$AQ$576,MATCH($M43,[1]RELAÇÃO!$AP$1:$AP$576,0),14)&amp;" - "&amp;INDEX([1]RELAÇÃO!$A$1:$AQ$576,MATCH($M43,[1]RELAÇÃO!$AP$1:$AP$576,0),16)&amp;" de "&amp;INDEX([1]RELAÇÃO!$A$1:$AQ$576,MATCH($M43,[1]RELAÇÃO!$AP$1:$AP$576,0),15))</f>
        <v>Portaria nº 528, de 03/11/2016 - DOU de 04/11/2016</v>
      </c>
      <c r="J43" s="286"/>
      <c r="K43" s="290"/>
      <c r="L43" s="302" t="str">
        <f>IF($E43=0,"-",IF(INDEX([1]RELAÇÃO!$A$1:$AQ$576,MATCH($M43,[1]RELAÇÃO!$AP$1:$AP$576,0),8)="2.100.101","-",INDEX([1]RELAÇÃO!$A$1:$AQ$576,MATCH($M43,[1]RELAÇÃO!$AP$1:$AP$576,0),7)))</f>
        <v>-</v>
      </c>
      <c r="M43" s="280" t="s">
        <v>249</v>
      </c>
      <c r="N43" s="288"/>
    </row>
    <row r="44" spans="1:14" ht="23.25" x14ac:dyDescent="0.25">
      <c r="A44" s="292"/>
      <c r="B44" s="291" t="s">
        <v>247</v>
      </c>
      <c r="C44" s="296" t="s">
        <v>250</v>
      </c>
      <c r="D44" s="273" t="s">
        <v>193</v>
      </c>
      <c r="E44" s="300" t="str">
        <f>INDEX([1]RELAÇÃO!$A$1:$AQ$576,MATCH($M44,[1]RELAÇÃO!$AP$1:$AP$576,0),1)</f>
        <v>ERIVELTO FURTADO NEVES</v>
      </c>
      <c r="F44" s="301" t="str">
        <f>IF(E44=0,"-",LEFT(INDEX([1]RELAÇÃO!$A$1:$AQ$576,MATCH($M44,[1]RELAÇÃO!$AP$1:$AP$576,0),32),1))</f>
        <v>M</v>
      </c>
      <c r="G44" s="300" t="str">
        <f>IF(E44=0,"-",INDEX([1]RELAÇÃO!$A$1:$AQ$576,MATCH($M44,[1]RELAÇÃO!$AP$1:$AP$576,0),5))</f>
        <v>Ativo Permanente</v>
      </c>
      <c r="H44" s="300" t="str">
        <f>IF(E44=0,"-",INDEX([1]RELAÇÃO!$A$1:$AQ$576,MATCH($M44,[1]RELAÇÃO!$AP$1:$AP$576,0),6))</f>
        <v>MME - Ministério de Minas e Energia</v>
      </c>
      <c r="I44" s="300" t="str">
        <f>IF(E44=0,"-",INDEX([1]RELAÇÃO!$A$1:$AQ$576,MATCH($M44,[1]RELAÇÃO!$AP$1:$AP$576,0),12)&amp;INDEX([1]RELAÇÃO!$A$1:$AQ$576,MATCH($M44,[1]RELAÇÃO!$AP$1:$AP$576,0),13)&amp;", de "&amp;INDEX([1]RELAÇÃO!$A$1:$AQ$576,MATCH($M44,[1]RELAÇÃO!$AP$1:$AP$576,0),14)&amp;" - "&amp;INDEX([1]RELAÇÃO!$A$1:$AQ$576,MATCH($M44,[1]RELAÇÃO!$AP$1:$AP$576,0),16)&amp;" de "&amp;INDEX([1]RELAÇÃO!$A$1:$AQ$576,MATCH($M44,[1]RELAÇÃO!$AP$1:$AP$576,0),15))</f>
        <v>Portaria nº 524, de 03/11/2016 - BPE de 04/11/2016</v>
      </c>
      <c r="J44" s="286"/>
      <c r="K44" s="290"/>
      <c r="L44" s="287" t="str">
        <f>IF($E44=0,"-",IF(INDEX([1]RELAÇÃO!$A$1:$AQ$576,MATCH($M44,[1]RELAÇÃO!$AP$1:$AP$576,0),8)="2.100.101","-",INDEX([1]RELAÇÃO!$A$1:$AQ$576,MATCH($M44,[1]RELAÇÃO!$AP$1:$AP$576,0),7)))</f>
        <v>-</v>
      </c>
      <c r="M44" s="280" t="s">
        <v>251</v>
      </c>
      <c r="N44" s="288"/>
    </row>
    <row r="45" spans="1:14" ht="23.25" x14ac:dyDescent="0.25">
      <c r="A45" s="292"/>
      <c r="B45" s="291" t="s">
        <v>247</v>
      </c>
      <c r="C45" s="296" t="s">
        <v>250</v>
      </c>
      <c r="D45" s="273" t="s">
        <v>193</v>
      </c>
      <c r="E45" s="300" t="str">
        <f>INDEX([1]RELAÇÃO!$A$1:$AQ$576,MATCH($M45,[1]RELAÇÃO!$AP$1:$AP$576,0),1)</f>
        <v>ALMIR DE SOUZA FIGUEIREDO</v>
      </c>
      <c r="F45" s="276" t="str">
        <f>IF(E45=0,"-",LEFT(INDEX([1]RELAÇÃO!$A$1:$AQ$576,MATCH($M45,[1]RELAÇÃO!$AP$1:$AP$576,0),32),1))</f>
        <v>M</v>
      </c>
      <c r="G45" s="275" t="str">
        <f>IF(E45=0,"-",INDEX([1]RELAÇÃO!$A$1:$AQ$576,MATCH($M45,[1]RELAÇÃO!$AP$1:$AP$576,0),5))</f>
        <v>Ativo Permanente</v>
      </c>
      <c r="H45" s="275" t="str">
        <f>IF(E45=0,"-",INDEX([1]RELAÇÃO!$A$1:$AQ$576,MATCH($M45,[1]RELAÇÃO!$AP$1:$AP$576,0),6))</f>
        <v>MME - Ministério de Minas e Energia</v>
      </c>
      <c r="I45" s="275" t="str">
        <f>IF(E45=0,"-",INDEX([1]RELAÇÃO!$A$1:$AQ$576,MATCH($M45,[1]RELAÇÃO!$AP$1:$AP$576,0),12)&amp;INDEX([1]RELAÇÃO!$A$1:$AQ$576,MATCH($M45,[1]RELAÇÃO!$AP$1:$AP$576,0),13)&amp;", de "&amp;INDEX([1]RELAÇÃO!$A$1:$AQ$576,MATCH($M45,[1]RELAÇÃO!$AP$1:$AP$576,0),14)&amp;" - "&amp;INDEX([1]RELAÇÃO!$A$1:$AQ$576,MATCH($M45,[1]RELAÇÃO!$AP$1:$AP$576,0),16)&amp;" de "&amp;INDEX([1]RELAÇÃO!$A$1:$AQ$576,MATCH($M45,[1]RELAÇÃO!$AP$1:$AP$576,0),15))</f>
        <v>Portaria nº 524, de 03/11/2016 - BPE de 04/11/2016</v>
      </c>
      <c r="J45" s="286"/>
      <c r="K45" s="290"/>
      <c r="L45" s="287" t="str">
        <f>IF($E45=0,"-",IF(INDEX([1]RELAÇÃO!$A$1:$AQ$576,MATCH($M45,[1]RELAÇÃO!$AP$1:$AP$576,0),8)="2.100.101","-",INDEX([1]RELAÇÃO!$A$1:$AQ$576,MATCH($M45,[1]RELAÇÃO!$AP$1:$AP$576,0),7)))</f>
        <v>-</v>
      </c>
      <c r="M45" s="280" t="s">
        <v>252</v>
      </c>
      <c r="N45" s="288"/>
    </row>
    <row r="46" spans="1:14" ht="23.25" x14ac:dyDescent="0.25">
      <c r="A46" s="292"/>
      <c r="B46" s="291" t="s">
        <v>247</v>
      </c>
      <c r="C46" s="296" t="s">
        <v>250</v>
      </c>
      <c r="D46" s="274" t="s">
        <v>193</v>
      </c>
      <c r="E46" s="300" t="str">
        <f>INDEX([1]RELAÇÃO!$A$1:$AQ$576,MATCH($M46,[1]RELAÇÃO!$AP$1:$AP$576,0),1)</f>
        <v>ALCIDEMES LIMA FRANCO</v>
      </c>
      <c r="F46" s="276" t="str">
        <f>IF(E46=0,"-",LEFT(INDEX([1]RELAÇÃO!$A$1:$AQ$576,MATCH($M46,[1]RELAÇÃO!$AP$1:$AP$576,0),32),1))</f>
        <v>M</v>
      </c>
      <c r="G46" s="275" t="str">
        <f>IF(E46=0,"-",INDEX([1]RELAÇÃO!$A$1:$AQ$576,MATCH($M46,[1]RELAÇÃO!$AP$1:$AP$576,0),5))</f>
        <v>Ativo Permanente</v>
      </c>
      <c r="H46" s="275" t="str">
        <f>IF(E46=0,"-",INDEX([1]RELAÇÃO!$A$1:$AQ$576,MATCH($M46,[1]RELAÇÃO!$AP$1:$AP$576,0),6))</f>
        <v>MME - Ministério de Minas e Energia</v>
      </c>
      <c r="I46" s="275" t="str">
        <f>IF(E46=0,"-",INDEX([1]RELAÇÃO!$A$1:$AQ$576,MATCH($M46,[1]RELAÇÃO!$AP$1:$AP$576,0),12)&amp;INDEX([1]RELAÇÃO!$A$1:$AQ$576,MATCH($M46,[1]RELAÇÃO!$AP$1:$AP$576,0),13)&amp;", de "&amp;INDEX([1]RELAÇÃO!$A$1:$AQ$576,MATCH($M46,[1]RELAÇÃO!$AP$1:$AP$576,0),14)&amp;" - "&amp;INDEX([1]RELAÇÃO!$A$1:$AQ$576,MATCH($M46,[1]RELAÇÃO!$AP$1:$AP$576,0),16)&amp;" de "&amp;INDEX([1]RELAÇÃO!$A$1:$AQ$576,MATCH($M46,[1]RELAÇÃO!$AP$1:$AP$576,0),15))</f>
        <v>Portaria nº 24, de 23/01/2018 - DOU de 29/01/2018</v>
      </c>
      <c r="J46" s="286"/>
      <c r="K46" s="290"/>
      <c r="L46" s="287" t="str">
        <f>IF($E46=0,"-",IF(INDEX([1]RELAÇÃO!$A$1:$AQ$576,MATCH($M46,[1]RELAÇÃO!$AP$1:$AP$576,0),8)="2.100.101","-",INDEX([1]RELAÇÃO!$A$1:$AQ$576,MATCH($M46,[1]RELAÇÃO!$AP$1:$AP$576,0),7)))</f>
        <v>-</v>
      </c>
      <c r="M46" s="280" t="s">
        <v>253</v>
      </c>
      <c r="N46" s="288"/>
    </row>
    <row r="47" spans="1:14" ht="23.25" x14ac:dyDescent="0.25">
      <c r="A47" s="292"/>
      <c r="B47" s="291" t="s">
        <v>247</v>
      </c>
      <c r="C47" s="296" t="s">
        <v>250</v>
      </c>
      <c r="D47" s="274" t="s">
        <v>193</v>
      </c>
      <c r="E47" s="300" t="str">
        <f>INDEX([1]RELAÇÃO!$A$1:$AQ$576,MATCH($M47,[1]RELAÇÃO!$AP$1:$AP$576,0),1)</f>
        <v>NIRIA DE MOURA CHAGAS</v>
      </c>
      <c r="F47" s="276" t="str">
        <f>IF(E47=0,"-",LEFT(INDEX([1]RELAÇÃO!$A$1:$AQ$576,MATCH($M47,[1]RELAÇÃO!$AP$1:$AP$576,0),32),1))</f>
        <v>F</v>
      </c>
      <c r="G47" s="275" t="str">
        <f>IF(E47=0,"-",INDEX([1]RELAÇÃO!$A$1:$AQ$576,MATCH($M47,[1]RELAÇÃO!$AP$1:$AP$576,0),5))</f>
        <v>Requisitado de Órgãos</v>
      </c>
      <c r="H47" s="275" t="str">
        <f>IF(E47=0,"-",INDEX([1]RELAÇÃO!$A$1:$AQ$576,MATCH($M47,[1]RELAÇÃO!$AP$1:$AP$576,0),6))</f>
        <v>MD - Ministério da Defesa</v>
      </c>
      <c r="I47" s="275" t="str">
        <f>IF(E47=0,"-",INDEX([1]RELAÇÃO!$A$1:$AQ$576,MATCH($M47,[1]RELAÇÃO!$AP$1:$AP$576,0),12)&amp;INDEX([1]RELAÇÃO!$A$1:$AQ$576,MATCH($M47,[1]RELAÇÃO!$AP$1:$AP$576,0),13)&amp;", de "&amp;INDEX([1]RELAÇÃO!$A$1:$AQ$576,MATCH($M47,[1]RELAÇÃO!$AP$1:$AP$576,0),14)&amp;" - "&amp;INDEX([1]RELAÇÃO!$A$1:$AQ$576,MATCH($M47,[1]RELAÇÃO!$AP$1:$AP$576,0),16)&amp;" de "&amp;INDEX([1]RELAÇÃO!$A$1:$AQ$576,MATCH($M47,[1]RELAÇÃO!$AP$1:$AP$576,0),15))</f>
        <v>Portaria nº 239, de 04/06/2016 - DOU de 06/06/2019</v>
      </c>
      <c r="J47" s="409"/>
      <c r="K47" s="410"/>
      <c r="L47" s="287" t="str">
        <f>IF($E47=0,"-",IF(INDEX([1]RELAÇÃO!$A$1:$AQ$576,MATCH($M47,[1]RELAÇÃO!$AP$1:$AP$576,0),8)="2.100.101","-",INDEX([1]RELAÇÃO!$A$1:$AQ$576,MATCH($M47,[1]RELAÇÃO!$AP$1:$AP$576,0),7)))</f>
        <v>GM / ASSESSORIA DE APOIO AO MINISTRO - AAM</v>
      </c>
      <c r="M47" s="280" t="s">
        <v>254</v>
      </c>
      <c r="N47" s="288"/>
    </row>
    <row r="48" spans="1:14" ht="23.25" x14ac:dyDescent="0.25">
      <c r="A48" s="297" t="s">
        <v>255</v>
      </c>
      <c r="B48" s="285" t="s">
        <v>236</v>
      </c>
      <c r="C48" s="274" t="s">
        <v>186</v>
      </c>
      <c r="D48" s="274" t="s">
        <v>187</v>
      </c>
      <c r="E48" s="300" t="str">
        <f>INDEX([1]RELAÇÃO!$A$1:$AQ$576,MATCH($M48,[1]RELAÇÃO!$AP$1:$AP$576,0),1)</f>
        <v>ROSA MARIA SCHOOL MARQUES DE ANDRADE MARCET DE OLIVEIRA</v>
      </c>
      <c r="F48" s="276" t="str">
        <f>IF(E48=0,"-",LEFT(INDEX([1]RELAÇÃO!$A$1:$AQ$576,MATCH($M48,[1]RELAÇÃO!$AP$1:$AP$576,0),32),1))</f>
        <v>F</v>
      </c>
      <c r="G48" s="275" t="str">
        <f>IF(E48=0,"-",INDEX([1]RELAÇÃO!$A$1:$AQ$576,MATCH($M48,[1]RELAÇÃO!$AP$1:$AP$576,0),5))</f>
        <v>Sem Vínculo</v>
      </c>
      <c r="H48" s="275" t="str">
        <f>IF(E48=0,"-",INDEX([1]RELAÇÃO!$A$1:$AQ$576,MATCH($M48,[1]RELAÇÃO!$AP$1:$AP$576,0),6))</f>
        <v>Sem Vínculo</v>
      </c>
      <c r="I48" s="275" t="str">
        <f>IF(E48=0,"-",INDEX([1]RELAÇÃO!$A$1:$AQ$576,MATCH($M48,[1]RELAÇÃO!$AP$1:$AP$576,0),12)&amp;INDEX([1]RELAÇÃO!$A$1:$AQ$576,MATCH($M48,[1]RELAÇÃO!$AP$1:$AP$576,0),13)&amp;", de "&amp;INDEX([1]RELAÇÃO!$A$1:$AQ$576,MATCH($M48,[1]RELAÇÃO!$AP$1:$AP$576,0),14)&amp;" - "&amp;INDEX([1]RELAÇÃO!$A$1:$AQ$576,MATCH($M48,[1]RELAÇÃO!$AP$1:$AP$576,0),16)&amp;" de "&amp;INDEX([1]RELAÇÃO!$A$1:$AQ$576,MATCH($M48,[1]RELAÇÃO!$AP$1:$AP$576,0),15))</f>
        <v>Portaria nº 1270, de 20/02/2019 - DOU de 21/02/2019</v>
      </c>
      <c r="J48" s="287">
        <f>INDEX([1]RELAÇÃO!$A$1:$AQ$576,MATCH($N48,[1]RELAÇÃO!$AQ$1:$AQ$576,0),1)</f>
        <v>0</v>
      </c>
      <c r="K48" s="392" t="str">
        <f>IF(J48=0,"-",INDEX([1]RELAÇÃO!$A$1:$AQ$576,MATCH($N48,[1]RELAÇÃO!$AQ$1:$AQ$576,0),27)&amp;INDEX([1]RELAÇÃO!$A$1:$AQ$576,MATCH($N48,[1]RELAÇÃO!$AQ$1:$AQ$576,0),28)&amp;", de "&amp;INDEX([1]RELAÇÃO!$A$1:$AQ$576,MATCH($N48,[1]RELAÇÃO!$AQ$1:$AQ$576,0),29)&amp;" - "&amp;INDEX([1]RELAÇÃO!$A$1:$AQ$576,MATCH($N48,[1]RELAÇÃO!$AQ$1:$AQ$576,0),31)&amp;" de "&amp;INDEX([1]RELAÇÃO!$A$1:$AQ$576,MATCH($N48,[1]RELAÇÃO!$AQ$1:$AQ$576,0),30))</f>
        <v>-</v>
      </c>
      <c r="L48" s="287" t="str">
        <f>IF($E48=0,"-",IF(INDEX([1]RELAÇÃO!$A$1:$AQ$576,MATCH($M48,[1]RELAÇÃO!$AP$1:$AP$576,0),8)="2.100.200","-",INDEX([1]RELAÇÃO!$A$1:$AQ$576,MATCH($M48,[1]RELAÇÃO!$AP$1:$AP$576,0),7)))</f>
        <v>-</v>
      </c>
      <c r="M48" s="280" t="s">
        <v>256</v>
      </c>
      <c r="N48" s="293" t="s">
        <v>257</v>
      </c>
    </row>
    <row r="49" spans="1:14" ht="23.25" x14ac:dyDescent="0.25">
      <c r="A49" s="292"/>
      <c r="B49" s="291" t="s">
        <v>191</v>
      </c>
      <c r="C49" s="273" t="s">
        <v>192</v>
      </c>
      <c r="D49" s="274" t="s">
        <v>193</v>
      </c>
      <c r="E49" s="300" t="str">
        <f>INDEX([1]RELAÇÃO!$A$1:$AQ$576,MATCH($M49,[1]RELAÇÃO!$AP$1:$AP$576,0),1)</f>
        <v>GABRIELA PEREIRA GONCALVES</v>
      </c>
      <c r="F49" s="276" t="str">
        <f>IF(E49=0,"-",LEFT(INDEX([1]RELAÇÃO!$A$1:$AQ$576,MATCH($M49,[1]RELAÇÃO!$AP$1:$AP$576,0),32),1))</f>
        <v>F</v>
      </c>
      <c r="G49" s="275" t="str">
        <f>IF(E49=0,"-",INDEX([1]RELAÇÃO!$A$1:$AQ$576,MATCH($M49,[1]RELAÇÃO!$AP$1:$AP$576,0),5))</f>
        <v>Sem Vínculo</v>
      </c>
      <c r="H49" s="275" t="str">
        <f>IF(E49=0,"-",INDEX([1]RELAÇÃO!$A$1:$AQ$576,MATCH($M49,[1]RELAÇÃO!$AP$1:$AP$576,0),6))</f>
        <v>Sem Vínculo</v>
      </c>
      <c r="I49" s="275" t="str">
        <f>IF(E49=0,"-",INDEX([1]RELAÇÃO!$A$1:$AQ$576,MATCH($M49,[1]RELAÇÃO!$AP$1:$AP$576,0),12)&amp;INDEX([1]RELAÇÃO!$A$1:$AQ$576,MATCH($M49,[1]RELAÇÃO!$AP$1:$AP$576,0),13)&amp;", de "&amp;INDEX([1]RELAÇÃO!$A$1:$AQ$576,MATCH($M49,[1]RELAÇÃO!$AP$1:$AP$576,0),14)&amp;" - "&amp;INDEX([1]RELAÇÃO!$A$1:$AQ$576,MATCH($M49,[1]RELAÇÃO!$AP$1:$AP$576,0),16)&amp;" de "&amp;INDEX([1]RELAÇÃO!$A$1:$AQ$576,MATCH($M49,[1]RELAÇÃO!$AP$1:$AP$576,0),15))</f>
        <v>Portaria nº 524, de 03/11/2016 - BPE de 04/11/2016</v>
      </c>
      <c r="J49" s="286"/>
      <c r="K49" s="290"/>
      <c r="L49" s="287" t="str">
        <f>IF($E49=0,"-",IF(INDEX([1]RELAÇÃO!$A$1:$AQ$576,MATCH($M49,[1]RELAÇÃO!$AP$1:$AP$576,0),8)="2.100.200","-",INDEX([1]RELAÇÃO!$A$1:$AQ$576,MATCH($M49,[1]RELAÇÃO!$AP$1:$AP$576,0),7)))</f>
        <v>-</v>
      </c>
      <c r="M49" s="280" t="s">
        <v>258</v>
      </c>
      <c r="N49" s="288"/>
    </row>
    <row r="50" spans="1:14" ht="23.25" x14ac:dyDescent="0.25">
      <c r="A50" s="292"/>
      <c r="B50" s="291" t="s">
        <v>247</v>
      </c>
      <c r="C50" s="273" t="s">
        <v>248</v>
      </c>
      <c r="D50" s="274" t="s">
        <v>193</v>
      </c>
      <c r="E50" s="300" t="str">
        <f>INDEX([1]RELAÇÃO!$A$1:$AQ$576,MATCH($M50,[1]RELAÇÃO!$AP$1:$AP$576,0),1)</f>
        <v>FRANCISCO SANTANA PEREIRA</v>
      </c>
      <c r="F50" s="276" t="str">
        <f>IF(E50=0,"-",LEFT(INDEX([1]RELAÇÃO!$A$1:$AQ$576,MATCH($M50,[1]RELAÇÃO!$AP$1:$AP$576,0),32),1))</f>
        <v>M</v>
      </c>
      <c r="G50" s="275" t="str">
        <f>IF(E50=0,"-",INDEX([1]RELAÇÃO!$A$1:$AQ$576,MATCH($M50,[1]RELAÇÃO!$AP$1:$AP$576,0),5))</f>
        <v>Ativo Permanente</v>
      </c>
      <c r="H50" s="275" t="str">
        <f>IF(E50=0,"-",INDEX([1]RELAÇÃO!$A$1:$AQ$576,MATCH($M50,[1]RELAÇÃO!$AP$1:$AP$576,0),6))</f>
        <v>MME - Ministério de Minas e Energia</v>
      </c>
      <c r="I50" s="275" t="str">
        <f>IF(E50=0,"-",INDEX([1]RELAÇÃO!$A$1:$AQ$576,MATCH($M50,[1]RELAÇÃO!$AP$1:$AP$576,0),12)&amp;INDEX([1]RELAÇÃO!$A$1:$AQ$576,MATCH($M50,[1]RELAÇÃO!$AP$1:$AP$576,0),13)&amp;", de "&amp;INDEX([1]RELAÇÃO!$A$1:$AQ$576,MATCH($M50,[1]RELAÇÃO!$AP$1:$AP$576,0),14)&amp;" - "&amp;INDEX([1]RELAÇÃO!$A$1:$AQ$576,MATCH($M50,[1]RELAÇÃO!$AP$1:$AP$576,0),16)&amp;" de "&amp;INDEX([1]RELAÇÃO!$A$1:$AQ$576,MATCH($M50,[1]RELAÇÃO!$AP$1:$AP$576,0),15))</f>
        <v>Portaria nº 66, de 28/02/2020 - DOU de 02/03/2020</v>
      </c>
      <c r="J50" s="286"/>
      <c r="K50" s="290"/>
      <c r="L50" s="287" t="str">
        <f>IF($E50=0,"-",IF(INDEX([1]RELAÇÃO!$A$1:$AQ$576,MATCH($M50,[1]RELAÇÃO!$AP$1:$AP$576,0),8)="2.100.200","-",INDEX([1]RELAÇÃO!$A$1:$AQ$576,MATCH($M50,[1]RELAÇÃO!$AP$1:$AP$576,0),7)))</f>
        <v>GM / ASSESSORIA DE COMUNICAÇÃO SOCIAL - ASCOM</v>
      </c>
      <c r="M50" s="280" t="s">
        <v>259</v>
      </c>
      <c r="N50" s="288"/>
    </row>
    <row r="51" spans="1:14" ht="23.25" x14ac:dyDescent="0.25">
      <c r="A51" s="289"/>
      <c r="B51" s="291" t="s">
        <v>247</v>
      </c>
      <c r="C51" s="273" t="s">
        <v>248</v>
      </c>
      <c r="D51" s="274" t="s">
        <v>193</v>
      </c>
      <c r="E51" s="300" t="str">
        <f>INDEX([1]RELAÇÃO!$A$1:$AQ$576,MATCH($M51,[1]RELAÇÃO!$AP$1:$AP$576,0),1)</f>
        <v>MARCIA CRISTINA DA SILVA DO NASCIMENTO</v>
      </c>
      <c r="F51" s="276" t="str">
        <f>IF(E51=0,"-",LEFT(INDEX([1]RELAÇÃO!$A$1:$AQ$576,MATCH($M51,[1]RELAÇÃO!$AP$1:$AP$576,0),32),1))</f>
        <v>F</v>
      </c>
      <c r="G51" s="275" t="str">
        <f>IF(E51=0,"-",INDEX([1]RELAÇÃO!$A$1:$AQ$576,MATCH($M51,[1]RELAÇÃO!$AP$1:$AP$576,0),5))</f>
        <v>Sem Vínculo</v>
      </c>
      <c r="H51" s="275" t="str">
        <f>IF(E51=0,"-",INDEX([1]RELAÇÃO!$A$1:$AQ$576,MATCH($M51,[1]RELAÇÃO!$AP$1:$AP$576,0),6))</f>
        <v>Sem Vínculo</v>
      </c>
      <c r="I51" s="275" t="str">
        <f>IF(E51=0,"-",INDEX([1]RELAÇÃO!$A$1:$AQ$576,MATCH($M51,[1]RELAÇÃO!$AP$1:$AP$576,0),12)&amp;INDEX([1]RELAÇÃO!$A$1:$AQ$576,MATCH($M51,[1]RELAÇÃO!$AP$1:$AP$576,0),13)&amp;", de "&amp;INDEX([1]RELAÇÃO!$A$1:$AQ$576,MATCH($M51,[1]RELAÇÃO!$AP$1:$AP$576,0),14)&amp;" - "&amp;INDEX([1]RELAÇÃO!$A$1:$AQ$576,MATCH($M51,[1]RELAÇÃO!$AP$1:$AP$576,0),16)&amp;" de "&amp;INDEX([1]RELAÇÃO!$A$1:$AQ$576,MATCH($M51,[1]RELAÇÃO!$AP$1:$AP$576,0),15))</f>
        <v>Portaria nº 454, de 23/10/2018 - DOU de 24/10/2018</v>
      </c>
      <c r="J51" s="286"/>
      <c r="K51" s="290"/>
      <c r="L51" s="287" t="str">
        <f>IF($E51=0,"-",IF(INDEX([1]RELAÇÃO!$A$1:$AQ$576,MATCH($M51,[1]RELAÇÃO!$AP$1:$AP$576,0),8)="2.100.200","-",INDEX([1]RELAÇÃO!$A$1:$AQ$576,MATCH($M51,[1]RELAÇÃO!$AP$1:$AP$576,0),7)))</f>
        <v>-</v>
      </c>
      <c r="M51" s="280" t="s">
        <v>260</v>
      </c>
      <c r="N51" s="288"/>
    </row>
    <row r="52" spans="1:14" ht="23.25" x14ac:dyDescent="0.25">
      <c r="A52" s="289"/>
      <c r="B52" s="291" t="s">
        <v>247</v>
      </c>
      <c r="C52" s="273" t="s">
        <v>248</v>
      </c>
      <c r="D52" s="274" t="s">
        <v>193</v>
      </c>
      <c r="E52" s="300" t="str">
        <f>INDEX([1]RELAÇÃO!$A$1:$AQ$576,MATCH($M52,[1]RELAÇÃO!$AP$1:$AP$576,0),1)</f>
        <v>MARIA DE FATIMA SILVA FRANCO</v>
      </c>
      <c r="F52" s="276" t="str">
        <f>IF(E52=0,"-",LEFT(INDEX([1]RELAÇÃO!$A$1:$AQ$576,MATCH($M52,[1]RELAÇÃO!$AP$1:$AP$576,0),32),1))</f>
        <v>F</v>
      </c>
      <c r="G52" s="275" t="str">
        <f>IF(E52=0,"-",INDEX([1]RELAÇÃO!$A$1:$AQ$576,MATCH($M52,[1]RELAÇÃO!$AP$1:$AP$576,0),5))</f>
        <v>Sem Vínculo</v>
      </c>
      <c r="H52" s="275" t="str">
        <f>IF(E52=0,"-",INDEX([1]RELAÇÃO!$A$1:$AQ$576,MATCH($M52,[1]RELAÇÃO!$AP$1:$AP$576,0),6))</f>
        <v>Sem Vínculo</v>
      </c>
      <c r="I52" s="275" t="str">
        <f>IF(E52=0,"-",INDEX([1]RELAÇÃO!$A$1:$AQ$576,MATCH($M52,[1]RELAÇÃO!$AP$1:$AP$576,0),12)&amp;INDEX([1]RELAÇÃO!$A$1:$AQ$576,MATCH($M52,[1]RELAÇÃO!$AP$1:$AP$576,0),13)&amp;", de "&amp;INDEX([1]RELAÇÃO!$A$1:$AQ$576,MATCH($M52,[1]RELAÇÃO!$AP$1:$AP$576,0),14)&amp;" - "&amp;INDEX([1]RELAÇÃO!$A$1:$AQ$576,MATCH($M52,[1]RELAÇÃO!$AP$1:$AP$576,0),16)&amp;" de "&amp;INDEX([1]RELAÇÃO!$A$1:$AQ$576,MATCH($M52,[1]RELAÇÃO!$AP$1:$AP$576,0),15))</f>
        <v>Portaria nº 524, de 03/11/2016 - BPE de 04/11/2016</v>
      </c>
      <c r="J52" s="286"/>
      <c r="K52" s="290"/>
      <c r="L52" s="287" t="str">
        <f>IF($E52=0,"-",IF(INDEX([1]RELAÇÃO!$A$1:$AQ$576,MATCH($M52,[1]RELAÇÃO!$AP$1:$AP$576,0),8)="2.100.200","-",INDEX([1]RELAÇÃO!$A$1:$AQ$576,MATCH($M52,[1]RELAÇÃO!$AP$1:$AP$576,0),7)))</f>
        <v>-</v>
      </c>
      <c r="M52" s="280" t="s">
        <v>261</v>
      </c>
      <c r="N52" s="288"/>
    </row>
    <row r="53" spans="1:14" ht="23.25" x14ac:dyDescent="0.25">
      <c r="A53" s="292"/>
      <c r="B53" s="291" t="s">
        <v>247</v>
      </c>
      <c r="C53" s="273" t="s">
        <v>248</v>
      </c>
      <c r="D53" s="274" t="s">
        <v>193</v>
      </c>
      <c r="E53" s="300" t="str">
        <f>INDEX([1]RELAÇÃO!$A$1:$AQ$576,MATCH($M53,[1]RELAÇÃO!$AP$1:$AP$576,0),1)</f>
        <v>ELISANGELA APARECIDA FERNANDES</v>
      </c>
      <c r="F53" s="276" t="str">
        <f>IF(E53=0,"-",LEFT(INDEX([1]RELAÇÃO!$A$1:$AQ$576,MATCH($M53,[1]RELAÇÃO!$AP$1:$AP$576,0),32),1))</f>
        <v>F</v>
      </c>
      <c r="G53" s="275" t="str">
        <f>IF(E53=0,"-",INDEX([1]RELAÇÃO!$A$1:$AQ$576,MATCH($M53,[1]RELAÇÃO!$AP$1:$AP$576,0),5))</f>
        <v>Sem Vínculo</v>
      </c>
      <c r="H53" s="275" t="str">
        <f>IF(E53=0,"-",INDEX([1]RELAÇÃO!$A$1:$AQ$576,MATCH($M53,[1]RELAÇÃO!$AP$1:$AP$576,0),6))</f>
        <v>Sem Vínculo</v>
      </c>
      <c r="I53" s="275" t="str">
        <f>IF(E53=0,"-",INDEX([1]RELAÇÃO!$A$1:$AQ$576,MATCH($M53,[1]RELAÇÃO!$AP$1:$AP$576,0),12)&amp;INDEX([1]RELAÇÃO!$A$1:$AQ$576,MATCH($M53,[1]RELAÇÃO!$AP$1:$AP$576,0),13)&amp;", de "&amp;INDEX([1]RELAÇÃO!$A$1:$AQ$576,MATCH($M53,[1]RELAÇÃO!$AP$1:$AP$576,0),14)&amp;" - "&amp;INDEX([1]RELAÇÃO!$A$1:$AQ$576,MATCH($M53,[1]RELAÇÃO!$AP$1:$AP$576,0),16)&amp;" de "&amp;INDEX([1]RELAÇÃO!$A$1:$AQ$576,MATCH($M53,[1]RELAÇÃO!$AP$1:$AP$576,0),15))</f>
        <v>Portaria nº 414, de 11/11/2019 - DOU de 12/11/2019</v>
      </c>
      <c r="J53" s="409"/>
      <c r="K53" s="410"/>
      <c r="L53" s="287" t="str">
        <f>IF($E53=0,"-",IF(INDEX([1]RELAÇÃO!$A$1:$AQ$576,MATCH($M53,[1]RELAÇÃO!$AP$1:$AP$576,0),8)="2.100.200","-",INDEX([1]RELAÇÃO!$A$1:$AQ$576,MATCH($M53,[1]RELAÇÃO!$AP$1:$AP$576,0),7)))</f>
        <v>-</v>
      </c>
      <c r="M53" s="280" t="s">
        <v>262</v>
      </c>
      <c r="N53" s="288"/>
    </row>
    <row r="54" spans="1:14" ht="23.25" x14ac:dyDescent="0.25">
      <c r="A54" s="297" t="s">
        <v>263</v>
      </c>
      <c r="B54" s="285" t="s">
        <v>236</v>
      </c>
      <c r="C54" s="274" t="s">
        <v>186</v>
      </c>
      <c r="D54" s="274" t="s">
        <v>187</v>
      </c>
      <c r="E54" s="300" t="str">
        <f>INDEX([1]RELAÇÃO!$A$1:$AQ$576,MATCH($M54,[1]RELAÇÃO!$AP$1:$AP$576,0),1)</f>
        <v>SAULO ROBERTO DE VARGAS</v>
      </c>
      <c r="F54" s="276" t="str">
        <f>IF(E54=0,"-",LEFT(INDEX([1]RELAÇÃO!$A$1:$AQ$576,MATCH($M54,[1]RELAÇÃO!$AP$1:$AP$576,0),32),1))</f>
        <v>M</v>
      </c>
      <c r="G54" s="275" t="str">
        <f>IF(E54=0,"-",INDEX([1]RELAÇÃO!$A$1:$AQ$576,MATCH($M54,[1]RELAÇÃO!$AP$1:$AP$576,0),5))</f>
        <v>Sem Vínculo</v>
      </c>
      <c r="H54" s="275" t="str">
        <f>IF(E54=0,"-",INDEX([1]RELAÇÃO!$A$1:$AQ$576,MATCH($M54,[1]RELAÇÃO!$AP$1:$AP$576,0),6))</f>
        <v>S/VÍNCULO</v>
      </c>
      <c r="I54" s="275" t="str">
        <f>IF(E54=0,"-",INDEX([1]RELAÇÃO!$A$1:$AQ$576,MATCH($M54,[1]RELAÇÃO!$AP$1:$AP$576,0),12)&amp;INDEX([1]RELAÇÃO!$A$1:$AQ$576,MATCH($M54,[1]RELAÇÃO!$AP$1:$AP$576,0),13)&amp;", de "&amp;INDEX([1]RELAÇÃO!$A$1:$AQ$576,MATCH($M54,[1]RELAÇÃO!$AP$1:$AP$576,0),14)&amp;" - "&amp;INDEX([1]RELAÇÃO!$A$1:$AQ$576,MATCH($M54,[1]RELAÇÃO!$AP$1:$AP$576,0),16)&amp;" de "&amp;INDEX([1]RELAÇÃO!$A$1:$AQ$576,MATCH($M54,[1]RELAÇÃO!$AP$1:$AP$576,0),15))</f>
        <v>Portaria nº 265, de 30/01/2020 - DOU de 01/07/2020</v>
      </c>
      <c r="J54" s="287">
        <f>INDEX([1]RELAÇÃO!$A$1:$AQ$576,MATCH($N54,[1]RELAÇÃO!$AQ$1:$AQ$576,0),1)</f>
        <v>0</v>
      </c>
      <c r="K54" s="392" t="str">
        <f>IF(J54=0,"-",INDEX([1]RELAÇÃO!$A$1:$AQ$576,MATCH($N54,[1]RELAÇÃO!$AQ$1:$AQ$576,0),27)&amp;INDEX([1]RELAÇÃO!$A$1:$AQ$576,MATCH($N54,[1]RELAÇÃO!$AQ$1:$AQ$576,0),28)&amp;", de "&amp;INDEX([1]RELAÇÃO!$A$1:$AQ$576,MATCH($N54,[1]RELAÇÃO!$AQ$1:$AQ$576,0),29)&amp;" - "&amp;INDEX([1]RELAÇÃO!$A$1:$AQ$576,MATCH($N54,[1]RELAÇÃO!$AQ$1:$AQ$576,0),31)&amp;" de "&amp;INDEX([1]RELAÇÃO!$A$1:$AQ$576,MATCH($N54,[1]RELAÇÃO!$AQ$1:$AQ$576,0),30))</f>
        <v>-</v>
      </c>
      <c r="L54" s="287" t="str">
        <f>IF($E54=0,"-",IF(INDEX([1]RELAÇÃO!$A$1:$AQ$576,MATCH($M54,[1]RELAÇÃO!$AP$1:$AP$576,0),8)="2.100.300","-",INDEX([1]RELAÇÃO!$A$1:$AQ$576,MATCH($M54,[1]RELAÇÃO!$AP$1:$AP$576,0),7)))</f>
        <v>-</v>
      </c>
      <c r="M54" s="280" t="s">
        <v>264</v>
      </c>
      <c r="N54" s="293" t="s">
        <v>265</v>
      </c>
    </row>
    <row r="55" spans="1:14" ht="23.25" x14ac:dyDescent="0.25">
      <c r="A55" s="292"/>
      <c r="B55" s="291" t="s">
        <v>191</v>
      </c>
      <c r="C55" s="273" t="s">
        <v>192</v>
      </c>
      <c r="D55" s="274" t="s">
        <v>193</v>
      </c>
      <c r="E55" s="300" t="str">
        <f>INDEX([1]RELAÇÃO!$A$1:$AQ$576,MATCH($M55,[1]RELAÇÃO!$AP$1:$AP$576,0),1)</f>
        <v>BRUNO CESAR SPADA</v>
      </c>
      <c r="F55" s="276" t="str">
        <f>IF(E55=0,"-",LEFT(INDEX([1]RELAÇÃO!$A$1:$AQ$576,MATCH($M55,[1]RELAÇÃO!$AP$1:$AP$576,0),32),1))</f>
        <v>M</v>
      </c>
      <c r="G55" s="275" t="str">
        <f>IF(E55=0,"-",INDEX([1]RELAÇÃO!$A$1:$AQ$576,MATCH($M55,[1]RELAÇÃO!$AP$1:$AP$576,0),5))</f>
        <v>Sem Vínculo</v>
      </c>
      <c r="H55" s="275" t="str">
        <f>IF(E55=0,"-",INDEX([1]RELAÇÃO!$A$1:$AQ$576,MATCH($M55,[1]RELAÇÃO!$AP$1:$AP$576,0),6))</f>
        <v>Sem Vínculo</v>
      </c>
      <c r="I55" s="275" t="str">
        <f>IF(E55=0,"-",INDEX([1]RELAÇÃO!$A$1:$AQ$576,MATCH($M55,[1]RELAÇÃO!$AP$1:$AP$576,0),12)&amp;INDEX([1]RELAÇÃO!$A$1:$AQ$576,MATCH($M55,[1]RELAÇÃO!$AP$1:$AP$576,0),13)&amp;", de "&amp;INDEX([1]RELAÇÃO!$A$1:$AQ$576,MATCH($M55,[1]RELAÇÃO!$AP$1:$AP$576,0),14)&amp;" - "&amp;INDEX([1]RELAÇÃO!$A$1:$AQ$576,MATCH($M55,[1]RELAÇÃO!$AP$1:$AP$576,0),16)&amp;" de "&amp;INDEX([1]RELAÇÃO!$A$1:$AQ$576,MATCH($M55,[1]RELAÇÃO!$AP$1:$AP$576,0),15))</f>
        <v>Portaria nº 195, de 11/04/2019 - DOU de 16/04/2019</v>
      </c>
      <c r="J55" s="286"/>
      <c r="K55" s="290"/>
      <c r="L55" s="287" t="str">
        <f>IF($E55=0,"-",IF(INDEX([1]RELAÇÃO!$A$1:$AQ$576,MATCH($M55,[1]RELAÇÃO!$AP$1:$AP$576,0),8)="2.100.300","-",INDEX([1]RELAÇÃO!$A$1:$AQ$576,MATCH($M55,[1]RELAÇÃO!$AP$1:$AP$576,0),7)))</f>
        <v>-</v>
      </c>
      <c r="M55" s="280" t="s">
        <v>266</v>
      </c>
      <c r="N55" s="288"/>
    </row>
    <row r="56" spans="1:14" ht="23.25" x14ac:dyDescent="0.25">
      <c r="A56" s="292"/>
      <c r="B56" s="291" t="s">
        <v>228</v>
      </c>
      <c r="C56" s="273" t="s">
        <v>229</v>
      </c>
      <c r="D56" s="274" t="s">
        <v>193</v>
      </c>
      <c r="E56" s="300" t="str">
        <f>INDEX([1]RELAÇÃO!$A$1:$AQ$576,MATCH($M56,[1]RELAÇÃO!$AP$1:$AP$576,0),1)</f>
        <v>LISANDRA PEREIRA DA FONSECA</v>
      </c>
      <c r="F56" s="276" t="str">
        <f>IF(E56=0,"-",LEFT(INDEX([1]RELAÇÃO!$A$1:$AQ$576,MATCH($M56,[1]RELAÇÃO!$AP$1:$AP$576,0),32),1))</f>
        <v>F</v>
      </c>
      <c r="G56" s="275" t="str">
        <f>IF(E56=0,"-",INDEX([1]RELAÇÃO!$A$1:$AQ$576,MATCH($M56,[1]RELAÇÃO!$AP$1:$AP$576,0),5))</f>
        <v>Sem Vínculo</v>
      </c>
      <c r="H56" s="275" t="str">
        <f>IF(E56=0,"-",INDEX([1]RELAÇÃO!$A$1:$AQ$576,MATCH($M56,[1]RELAÇÃO!$AP$1:$AP$576,0),6))</f>
        <v>Sem Vínculo</v>
      </c>
      <c r="I56" s="275" t="str">
        <f>IF(E56=0,"-",INDEX([1]RELAÇÃO!$A$1:$AQ$576,MATCH($M56,[1]RELAÇÃO!$AP$1:$AP$576,0),12)&amp;INDEX([1]RELAÇÃO!$A$1:$AQ$576,MATCH($M56,[1]RELAÇÃO!$AP$1:$AP$576,0),13)&amp;", de "&amp;INDEX([1]RELAÇÃO!$A$1:$AQ$576,MATCH($M56,[1]RELAÇÃO!$AP$1:$AP$576,0),14)&amp;" - "&amp;INDEX([1]RELAÇÃO!$A$1:$AQ$576,MATCH($M56,[1]RELAÇÃO!$AP$1:$AP$576,0),16)&amp;" de "&amp;INDEX([1]RELAÇÃO!$A$1:$AQ$576,MATCH($M56,[1]RELAÇÃO!$AP$1:$AP$576,0),15))</f>
        <v>Portaria nº 524, de 03/11/2016 - BPE de 04/11/2016</v>
      </c>
      <c r="J56" s="286"/>
      <c r="K56" s="290"/>
      <c r="L56" s="287" t="str">
        <f>IF($E56=0,"-",IF(INDEX([1]RELAÇÃO!$A$1:$AQ$576,MATCH($M56,[1]RELAÇÃO!$AP$1:$AP$576,0),8)="2.100.300","-",INDEX([1]RELAÇÃO!$A$1:$AQ$576,MATCH($M56,[1]RELAÇÃO!$AP$1:$AP$576,0),7)))</f>
        <v>-</v>
      </c>
      <c r="M56" s="280" t="s">
        <v>267</v>
      </c>
      <c r="N56" s="288"/>
    </row>
    <row r="57" spans="1:14" ht="23.25" x14ac:dyDescent="0.25">
      <c r="A57" s="292"/>
      <c r="B57" s="291" t="s">
        <v>228</v>
      </c>
      <c r="C57" s="273" t="s">
        <v>229</v>
      </c>
      <c r="D57" s="274" t="s">
        <v>193</v>
      </c>
      <c r="E57" s="300" t="str">
        <f>INDEX([1]RELAÇÃO!$A$1:$AQ$576,MATCH($M57,[1]RELAÇÃO!$AP$1:$AP$576,0),1)</f>
        <v>NICOLE ANGEL OLIVEIRA BORGES</v>
      </c>
      <c r="F57" s="276" t="str">
        <f>IF(E57=0,"-",LEFT(INDEX([1]RELAÇÃO!$A$1:$AQ$576,MATCH($M57,[1]RELAÇÃO!$AP$1:$AP$576,0),32),1))</f>
        <v>F</v>
      </c>
      <c r="G57" s="275" t="str">
        <f>IF(E57=0,"-",INDEX([1]RELAÇÃO!$A$1:$AQ$576,MATCH($M57,[1]RELAÇÃO!$AP$1:$AP$576,0),5))</f>
        <v>Sem Vínculo</v>
      </c>
      <c r="H57" s="275" t="str">
        <f>IF(E57=0,"-",INDEX([1]RELAÇÃO!$A$1:$AQ$576,MATCH($M57,[1]RELAÇÃO!$AP$1:$AP$576,0),6))</f>
        <v>S/VÍNCULO</v>
      </c>
      <c r="I57" s="275" t="str">
        <f>IF(E57=0,"-",INDEX([1]RELAÇÃO!$A$1:$AQ$576,MATCH($M57,[1]RELAÇÃO!$AP$1:$AP$576,0),12)&amp;INDEX([1]RELAÇÃO!$A$1:$AQ$576,MATCH($M57,[1]RELAÇÃO!$AP$1:$AP$576,0),13)&amp;", de "&amp;INDEX([1]RELAÇÃO!$A$1:$AQ$576,MATCH($M57,[1]RELAÇÃO!$AP$1:$AP$576,0),14)&amp;" - "&amp;INDEX([1]RELAÇÃO!$A$1:$AQ$576,MATCH($M57,[1]RELAÇÃO!$AP$1:$AP$576,0),16)&amp;" de "&amp;INDEX([1]RELAÇÃO!$A$1:$AQ$576,MATCH($M57,[1]RELAÇÃO!$AP$1:$AP$576,0),15))</f>
        <v>Portaria nº 309, de 18/08/2020 - DOU de 21/08/2020</v>
      </c>
      <c r="J57" s="286"/>
      <c r="K57" s="290"/>
      <c r="L57" s="287" t="str">
        <f>IF($E57=0,"-",IF(INDEX([1]RELAÇÃO!$A$1:$AQ$576,MATCH($M57,[1]RELAÇÃO!$AP$1:$AP$576,0),8)="2.100.300","-",INDEX([1]RELAÇÃO!$A$1:$AQ$576,MATCH($M57,[1]RELAÇÃO!$AP$1:$AP$576,0),7)))</f>
        <v>-</v>
      </c>
      <c r="M57" s="280" t="s">
        <v>268</v>
      </c>
      <c r="N57" s="288"/>
    </row>
    <row r="58" spans="1:14" ht="23.25" x14ac:dyDescent="0.25">
      <c r="A58" s="292"/>
      <c r="B58" s="291" t="s">
        <v>228</v>
      </c>
      <c r="C58" s="273" t="s">
        <v>229</v>
      </c>
      <c r="D58" s="274" t="s">
        <v>193</v>
      </c>
      <c r="E58" s="300" t="str">
        <f>INDEX([1]RELAÇÃO!$A$1:$AQ$576,MATCH($M58,[1]RELAÇÃO!$AP$1:$AP$576,0),1)</f>
        <v>DIANA BISPO DE JESUS</v>
      </c>
      <c r="F58" s="276" t="str">
        <f>IF(E58=0,"-",LEFT(INDEX([1]RELAÇÃO!$A$1:$AQ$576,MATCH($M58,[1]RELAÇÃO!$AP$1:$AP$576,0),32),1))</f>
        <v>F</v>
      </c>
      <c r="G58" s="275" t="str">
        <f>IF(E58=0,"-",INDEX([1]RELAÇÃO!$A$1:$AQ$576,MATCH($M58,[1]RELAÇÃO!$AP$1:$AP$576,0),5))</f>
        <v>Sem Vínculo</v>
      </c>
      <c r="H58" s="275" t="str">
        <f>IF(E58=0,"-",INDEX([1]RELAÇÃO!$A$1:$AQ$576,MATCH($M58,[1]RELAÇÃO!$AP$1:$AP$576,0),6))</f>
        <v>Sem Vínculo</v>
      </c>
      <c r="I58" s="275" t="str">
        <f>IF(E58=0,"-",INDEX([1]RELAÇÃO!$A$1:$AQ$576,MATCH($M58,[1]RELAÇÃO!$AP$1:$AP$576,0),12)&amp;INDEX([1]RELAÇÃO!$A$1:$AQ$576,MATCH($M58,[1]RELAÇÃO!$AP$1:$AP$576,0),13)&amp;", de "&amp;INDEX([1]RELAÇÃO!$A$1:$AQ$576,MATCH($M58,[1]RELAÇÃO!$AP$1:$AP$576,0),14)&amp;" - "&amp;INDEX([1]RELAÇÃO!$A$1:$AQ$576,MATCH($M58,[1]RELAÇÃO!$AP$1:$AP$576,0),16)&amp;" de "&amp;INDEX([1]RELAÇÃO!$A$1:$AQ$576,MATCH($M58,[1]RELAÇÃO!$AP$1:$AP$576,0),15))</f>
        <v>Portaria nº 360, de 30/09/2020 - DOU de 02/10/2020</v>
      </c>
      <c r="J58" s="409"/>
      <c r="K58" s="410"/>
      <c r="L58" s="287" t="str">
        <f>IF($E58=0,"-",IF(INDEX([1]RELAÇÃO!$A$1:$AQ$576,MATCH($M58,[1]RELAÇÃO!$AP$1:$AP$576,0),8)="2.100.300","-",INDEX([1]RELAÇÃO!$A$1:$AQ$576,MATCH($M58,[1]RELAÇÃO!$AP$1:$AP$576,0),7)))</f>
        <v>-</v>
      </c>
      <c r="M58" s="280" t="s">
        <v>269</v>
      </c>
      <c r="N58" s="288"/>
    </row>
    <row r="59" spans="1:14" ht="23.25" x14ac:dyDescent="0.25">
      <c r="A59" s="303" t="s">
        <v>270</v>
      </c>
      <c r="B59" s="285" t="s">
        <v>236</v>
      </c>
      <c r="C59" s="274" t="s">
        <v>186</v>
      </c>
      <c r="D59" s="274" t="s">
        <v>187</v>
      </c>
      <c r="E59" s="300" t="str">
        <f>INDEX([1]RELAÇÃO!$A$1:$AQ$576,MATCH($M59,[1]RELAÇÃO!$AP$1:$AP$576,0),1)</f>
        <v>BÁRBARA BÉLKIOR DE SOUZA E SILVA</v>
      </c>
      <c r="F59" s="276" t="str">
        <f>IF(E59=0,"-",LEFT(INDEX([1]RELAÇÃO!$A$1:$AQ$576,MATCH($M59,[1]RELAÇÃO!$AP$1:$AP$576,0),32),1))</f>
        <v>F</v>
      </c>
      <c r="G59" s="275" t="str">
        <f>IF(E59=0,"-",INDEX([1]RELAÇÃO!$A$1:$AQ$576,MATCH($M59,[1]RELAÇÃO!$AP$1:$AP$576,0),5))</f>
        <v>Requisitado de Órgãos</v>
      </c>
      <c r="H59" s="275" t="str">
        <f>IF(E59=0,"-",INDEX([1]RELAÇÃO!$A$1:$AQ$576,MATCH($M59,[1]RELAÇÃO!$AP$1:$AP$576,0),6))</f>
        <v>MRE - Ministério das Relações Exteriores</v>
      </c>
      <c r="I59" s="275" t="str">
        <f>IF(E59=0,"-",INDEX([1]RELAÇÃO!$A$1:$AQ$576,MATCH($M59,[1]RELAÇÃO!$AP$1:$AP$576,0),12)&amp;INDEX([1]RELAÇÃO!$A$1:$AQ$576,MATCH($M59,[1]RELAÇÃO!$AP$1:$AP$576,0),13)&amp;", de "&amp;INDEX([1]RELAÇÃO!$A$1:$AQ$576,MATCH($M59,[1]RELAÇÃO!$AP$1:$AP$576,0),14)&amp;" - "&amp;INDEX([1]RELAÇÃO!$A$1:$AQ$576,MATCH($M59,[1]RELAÇÃO!$AP$1:$AP$576,0),16)&amp;" de "&amp;INDEX([1]RELAÇÃO!$A$1:$AQ$576,MATCH($M59,[1]RELAÇÃO!$AP$1:$AP$576,0),15))</f>
        <v>Portaria nº 8, de 08/01/2020 - DOU de 10/01/2020</v>
      </c>
      <c r="J59" s="287">
        <f>INDEX([1]RELAÇÃO!$A$1:$AQ$576,MATCH($N59,[1]RELAÇÃO!$AQ$1:$AQ$576,0),1)</f>
        <v>0</v>
      </c>
      <c r="K59" s="394" t="str">
        <f>IF(J59=0,"-",INDEX([1]RELAÇÃO!$A$1:$AQ$576,MATCH($N59,[1]RELAÇÃO!$AQ$1:$AQ$576,0),27)&amp;INDEX([1]RELAÇÃO!$A$1:$AQ$576,MATCH($N59,[1]RELAÇÃO!$AQ$1:$AQ$576,0),28)&amp;", de "&amp;INDEX([1]RELAÇÃO!$A$1:$AQ$576,MATCH($N59,[1]RELAÇÃO!$AQ$1:$AQ$576,0),29)&amp;" - "&amp;INDEX([1]RELAÇÃO!$A$1:$AQ$576,MATCH($N59,[1]RELAÇÃO!$AQ$1:$AQ$576,0),31)&amp;" de "&amp;INDEX([1]RELAÇÃO!$A$1:$AQ$576,MATCH($N59,[1]RELAÇÃO!$AQ$1:$AQ$576,0),30))</f>
        <v>-</v>
      </c>
      <c r="L59" s="287" t="str">
        <f>IF($E59=0,"-",IF(INDEX([1]RELAÇÃO!$A$1:$AQ$576,MATCH($M59,[1]RELAÇÃO!$AP$1:$AP$576,0),8)="2.100.400","-",INDEX([1]RELAÇÃO!$A$1:$AQ$576,MATCH($M59,[1]RELAÇÃO!$AP$1:$AP$576,0),7)))</f>
        <v>-</v>
      </c>
      <c r="M59" s="280" t="s">
        <v>271</v>
      </c>
      <c r="N59" s="293" t="s">
        <v>272</v>
      </c>
    </row>
    <row r="60" spans="1:14" ht="23.25" x14ac:dyDescent="0.25">
      <c r="A60" s="292"/>
      <c r="B60" s="285" t="s">
        <v>211</v>
      </c>
      <c r="C60" s="274" t="s">
        <v>212</v>
      </c>
      <c r="D60" s="274" t="s">
        <v>193</v>
      </c>
      <c r="E60" s="300" t="str">
        <f>INDEX([1]RELAÇÃO!$A$1:$AQ$576,MATCH($M60,[1]RELAÇÃO!$AP$1:$AP$576,0),1)</f>
        <v>LUIS FELIPE MONTEIRO SERRAO</v>
      </c>
      <c r="F60" s="276" t="str">
        <f>IF(E60=0,"-",LEFT(INDEX([1]RELAÇÃO!$A$1:$AQ$576,MATCH($M60,[1]RELAÇÃO!$AP$1:$AP$576,0),32),1))</f>
        <v>M</v>
      </c>
      <c r="G60" s="275" t="str">
        <f>IF(E60=0,"-",INDEX([1]RELAÇÃO!$A$1:$AQ$576,MATCH($M60,[1]RELAÇÃO!$AP$1:$AP$576,0),5))</f>
        <v>Sem Vínculo</v>
      </c>
      <c r="H60" s="275" t="str">
        <f>IF(E60=0,"-",INDEX([1]RELAÇÃO!$A$1:$AQ$576,MATCH($M60,[1]RELAÇÃO!$AP$1:$AP$576,0),6))</f>
        <v>Sem Vínculo</v>
      </c>
      <c r="I60" s="275" t="str">
        <f>IF(E60=0,"-",INDEX([1]RELAÇÃO!$A$1:$AQ$576,MATCH($M60,[1]RELAÇÃO!$AP$1:$AP$576,0),12)&amp;INDEX([1]RELAÇÃO!$A$1:$AQ$576,MATCH($M60,[1]RELAÇÃO!$AP$1:$AP$576,0),13)&amp;", de "&amp;INDEX([1]RELAÇÃO!$A$1:$AQ$576,MATCH($M60,[1]RELAÇÃO!$AP$1:$AP$576,0),14)&amp;" - "&amp;INDEX([1]RELAÇÃO!$A$1:$AQ$576,MATCH($M60,[1]RELAÇÃO!$AP$1:$AP$576,0),16)&amp;" de "&amp;INDEX([1]RELAÇÃO!$A$1:$AQ$576,MATCH($M60,[1]RELAÇÃO!$AP$1:$AP$576,0),15))</f>
        <v>Portaria nº 149, de 28/02/2019 - DOU de 06/03/2019</v>
      </c>
      <c r="J60" s="286"/>
      <c r="K60" s="290"/>
      <c r="L60" s="287" t="str">
        <f>IF($E60=0,"-",IF(INDEX([1]RELAÇÃO!$A$1:$AQ$576,MATCH($M60,[1]RELAÇÃO!$AP$1:$AP$576,0),8)="2.100.400","-",INDEX([1]RELAÇÃO!$A$1:$AQ$576,MATCH($M60,[1]RELAÇÃO!$AP$1:$AP$576,0),7)))</f>
        <v>GM / ASSESSORIA PARLAMENTAR - ASPAR</v>
      </c>
      <c r="M60" s="280" t="s">
        <v>273</v>
      </c>
      <c r="N60" s="288"/>
    </row>
    <row r="61" spans="1:14" ht="23.25" x14ac:dyDescent="0.25">
      <c r="A61" s="292"/>
      <c r="B61" s="285" t="s">
        <v>191</v>
      </c>
      <c r="C61" s="274" t="s">
        <v>192</v>
      </c>
      <c r="D61" s="274" t="s">
        <v>193</v>
      </c>
      <c r="E61" s="300" t="str">
        <f>INDEX([1]RELAÇÃO!$A$1:$AQ$576,MATCH($M61,[1]RELAÇÃO!$AP$1:$AP$576,0),1)</f>
        <v>JOANNE LUNA SANTANA DE CARVALHO</v>
      </c>
      <c r="F61" s="276" t="str">
        <f>IF(E61=0,"-",LEFT(INDEX([1]RELAÇÃO!$A$1:$AQ$576,MATCH($M61,[1]RELAÇÃO!$AP$1:$AP$576,0),32),1))</f>
        <v>F</v>
      </c>
      <c r="G61" s="275" t="str">
        <f>IF(E61=0,"-",INDEX([1]RELAÇÃO!$A$1:$AQ$576,MATCH($M61,[1]RELAÇÃO!$AP$1:$AP$576,0),5))</f>
        <v>Sem Vínculo</v>
      </c>
      <c r="H61" s="275" t="str">
        <f>IF(E61=0,"-",INDEX([1]RELAÇÃO!$A$1:$AQ$576,MATCH($M61,[1]RELAÇÃO!$AP$1:$AP$576,0),6))</f>
        <v>Sem Vínculo</v>
      </c>
      <c r="I61" s="275" t="str">
        <f>IF(E61=0,"-",INDEX([1]RELAÇÃO!$A$1:$AQ$576,MATCH($M61,[1]RELAÇÃO!$AP$1:$AP$576,0),12)&amp;INDEX([1]RELAÇÃO!$A$1:$AQ$576,MATCH($M61,[1]RELAÇÃO!$AP$1:$AP$576,0),13)&amp;", de "&amp;INDEX([1]RELAÇÃO!$A$1:$AQ$576,MATCH($M61,[1]RELAÇÃO!$AP$1:$AP$576,0),14)&amp;" - "&amp;INDEX([1]RELAÇÃO!$A$1:$AQ$576,MATCH($M61,[1]RELAÇÃO!$AP$1:$AP$576,0),16)&amp;" de "&amp;INDEX([1]RELAÇÃO!$A$1:$AQ$576,MATCH($M61,[1]RELAÇÃO!$AP$1:$AP$576,0),15))</f>
        <v>Portaria nº 430, de 10/10/2018 - DOU de 22/10/2018</v>
      </c>
      <c r="J61" s="286"/>
      <c r="K61" s="290"/>
      <c r="L61" s="287" t="str">
        <f>IF($E61=0,"-",IF(INDEX([1]RELAÇÃO!$A$1:$AQ$576,MATCH($M61,[1]RELAÇÃO!$AP$1:$AP$576,0),8)="2.100.400","-",INDEX([1]RELAÇÃO!$A$1:$AQ$576,MATCH($M61,[1]RELAÇÃO!$AP$1:$AP$576,0),7)))</f>
        <v>-</v>
      </c>
      <c r="M61" s="280" t="s">
        <v>274</v>
      </c>
      <c r="N61" s="288"/>
    </row>
    <row r="62" spans="1:14" ht="23.25" x14ac:dyDescent="0.25">
      <c r="A62" s="292"/>
      <c r="B62" s="285" t="s">
        <v>228</v>
      </c>
      <c r="C62" s="274" t="s">
        <v>229</v>
      </c>
      <c r="D62" s="274" t="s">
        <v>193</v>
      </c>
      <c r="E62" s="300" t="str">
        <f>INDEX([1]RELAÇÃO!$A$1:$AQ$576,MATCH($M62,[1]RELAÇÃO!$AP$1:$AP$576,0),1)</f>
        <v>LEILA MARIA BASTOS PERES DOS SANTOS</v>
      </c>
      <c r="F62" s="276" t="str">
        <f>IF(E62=0,"-",LEFT(INDEX([1]RELAÇÃO!$A$1:$AQ$576,MATCH($M62,[1]RELAÇÃO!$AP$1:$AP$576,0),32),1))</f>
        <v>F</v>
      </c>
      <c r="G62" s="275" t="str">
        <f>IF(E62=0,"-",INDEX([1]RELAÇÃO!$A$1:$AQ$576,MATCH($M62,[1]RELAÇÃO!$AP$1:$AP$576,0),5))</f>
        <v>Sem Vínculo</v>
      </c>
      <c r="H62" s="275" t="str">
        <f>IF(E62=0,"-",INDEX([1]RELAÇÃO!$A$1:$AQ$576,MATCH($M62,[1]RELAÇÃO!$AP$1:$AP$576,0),6))</f>
        <v>Sem Vínculo</v>
      </c>
      <c r="I62" s="275" t="str">
        <f>IF(E62=0,"-",INDEX([1]RELAÇÃO!$A$1:$AQ$576,MATCH($M62,[1]RELAÇÃO!$AP$1:$AP$576,0),12)&amp;INDEX([1]RELAÇÃO!$A$1:$AQ$576,MATCH($M62,[1]RELAÇÃO!$AP$1:$AP$576,0),13)&amp;", de "&amp;INDEX([1]RELAÇÃO!$A$1:$AQ$576,MATCH($M62,[1]RELAÇÃO!$AP$1:$AP$576,0),14)&amp;" - "&amp;INDEX([1]RELAÇÃO!$A$1:$AQ$576,MATCH($M62,[1]RELAÇÃO!$AP$1:$AP$576,0),16)&amp;" de "&amp;INDEX([1]RELAÇÃO!$A$1:$AQ$576,MATCH($M62,[1]RELAÇÃO!$AP$1:$AP$576,0),15))</f>
        <v>Portaria nº 431, de 10/10/2018 - DOU de 22/10/2018</v>
      </c>
      <c r="J62" s="286"/>
      <c r="K62" s="290"/>
      <c r="L62" s="287" t="str">
        <f>IF($E62=0,"-",IF(INDEX([1]RELAÇÃO!$A$1:$AQ$576,MATCH($M62,[1]RELAÇÃO!$AP$1:$AP$576,0),8)="2.100.400","-",INDEX([1]RELAÇÃO!$A$1:$AQ$576,MATCH($M62,[1]RELAÇÃO!$AP$1:$AP$576,0),7)))</f>
        <v>-</v>
      </c>
      <c r="M62" s="280" t="s">
        <v>275</v>
      </c>
      <c r="N62" s="288"/>
    </row>
    <row r="63" spans="1:14" ht="23.25" x14ac:dyDescent="0.25">
      <c r="A63" s="292"/>
      <c r="B63" s="285" t="s">
        <v>247</v>
      </c>
      <c r="C63" s="274" t="s">
        <v>248</v>
      </c>
      <c r="D63" s="274" t="s">
        <v>193</v>
      </c>
      <c r="E63" s="300" t="str">
        <f>INDEX([1]RELAÇÃO!$A$1:$AQ$576,MATCH($M63,[1]RELAÇÃO!$AP$1:$AP$576,0),1)</f>
        <v>MILENA BARBOSA CARVALHEDO RIBEIRO</v>
      </c>
      <c r="F63" s="276" t="str">
        <f>IF(E63=0,"-",LEFT(INDEX([1]RELAÇÃO!$A$1:$AQ$576,MATCH($M63,[1]RELAÇÃO!$AP$1:$AP$576,0),32),1))</f>
        <v>F</v>
      </c>
      <c r="G63" s="275" t="str">
        <f>IF(E63=0,"-",INDEX([1]RELAÇÃO!$A$1:$AQ$576,MATCH($M63,[1]RELAÇÃO!$AP$1:$AP$576,0),5))</f>
        <v>Sem Vínculo</v>
      </c>
      <c r="H63" s="275" t="str">
        <f>IF(E63=0,"-",INDEX([1]RELAÇÃO!$A$1:$AQ$576,MATCH($M63,[1]RELAÇÃO!$AP$1:$AP$576,0),6))</f>
        <v>Sem Vínculo</v>
      </c>
      <c r="I63" s="275" t="str">
        <f>IF(E63=0,"-",INDEX([1]RELAÇÃO!$A$1:$AQ$576,MATCH($M63,[1]RELAÇÃO!$AP$1:$AP$576,0),12)&amp;INDEX([1]RELAÇÃO!$A$1:$AQ$576,MATCH($M63,[1]RELAÇÃO!$AP$1:$AP$576,0),13)&amp;", de "&amp;INDEX([1]RELAÇÃO!$A$1:$AQ$576,MATCH($M63,[1]RELAÇÃO!$AP$1:$AP$576,0),14)&amp;" - "&amp;INDEX([1]RELAÇÃO!$A$1:$AQ$576,MATCH($M63,[1]RELAÇÃO!$AP$1:$AP$576,0),16)&amp;" de "&amp;INDEX([1]RELAÇÃO!$A$1:$AQ$576,MATCH($M63,[1]RELAÇÃO!$AP$1:$AP$576,0),15))</f>
        <v>Portaria nº 524, de 03/11/2016 - BPE de 04/11/2016</v>
      </c>
      <c r="J63" s="409"/>
      <c r="K63" s="410"/>
      <c r="L63" s="287" t="str">
        <f>IF($E63=0,"-",IF(INDEX([1]RELAÇÃO!$A$1:$AQ$576,MATCH($M63,[1]RELAÇÃO!$AP$1:$AP$576,0),8)="2.100.400","-",INDEX([1]RELAÇÃO!$A$1:$AQ$576,MATCH($M63,[1]RELAÇÃO!$AP$1:$AP$576,0),7)))</f>
        <v>-</v>
      </c>
      <c r="M63" s="280" t="s">
        <v>276</v>
      </c>
      <c r="N63" s="288"/>
    </row>
    <row r="64" spans="1:14" ht="23.25" x14ac:dyDescent="0.25">
      <c r="A64" s="297" t="s">
        <v>277</v>
      </c>
      <c r="B64" s="285" t="s">
        <v>278</v>
      </c>
      <c r="C64" s="299" t="s">
        <v>279</v>
      </c>
      <c r="D64" s="274" t="s">
        <v>187</v>
      </c>
      <c r="E64" s="300" t="str">
        <f>INDEX([1]RELAÇÃO!$A$1:$AQ$576,MATCH($M64,[1]RELAÇÃO!$AP$1:$AP$576,0),1)</f>
        <v>GRAYCE MARTINS DA SILVA GONCALVES</v>
      </c>
      <c r="F64" s="276" t="str">
        <f>IF(E64=0,"-",LEFT(INDEX([1]RELAÇÃO!$A$1:$AQ$576,MATCH($M64,[1]RELAÇÃO!$AP$1:$AP$576,0),32),1))</f>
        <v>F</v>
      </c>
      <c r="G64" s="275" t="str">
        <f>IF(E64=0,"-",INDEX([1]RELAÇÃO!$A$1:$AQ$576,MATCH($M64,[1]RELAÇÃO!$AP$1:$AP$576,0),5))</f>
        <v>Requisitado de Órgãos</v>
      </c>
      <c r="H64" s="275" t="str">
        <f>IF(E64=0,"-",INDEX([1]RELAÇÃO!$A$1:$AQ$576,MATCH($M64,[1]RELAÇÃO!$AP$1:$AP$576,0),6))</f>
        <v>MDR - Ministério do Desenvolvimento Regional</v>
      </c>
      <c r="I64" s="275" t="str">
        <f>IF(E64=0,"-",INDEX([1]RELAÇÃO!$A$1:$AQ$576,MATCH($M64,[1]RELAÇÃO!$AP$1:$AP$576,0),12)&amp;INDEX([1]RELAÇÃO!$A$1:$AQ$576,MATCH($M64,[1]RELAÇÃO!$AP$1:$AP$576,0),13)&amp;", de "&amp;INDEX([1]RELAÇÃO!$A$1:$AQ$576,MATCH($M64,[1]RELAÇÃO!$AP$1:$AP$576,0),14)&amp;" - "&amp;INDEX([1]RELAÇÃO!$A$1:$AQ$576,MATCH($M64,[1]RELAÇÃO!$AP$1:$AP$576,0),16)&amp;" de "&amp;INDEX([1]RELAÇÃO!$A$1:$AQ$576,MATCH($M64,[1]RELAÇÃO!$AP$1:$AP$576,0),15))</f>
        <v>Portaria nº 268, de 13/07/2017 - DOU de 18/07/2017</v>
      </c>
      <c r="J64" s="287" t="str">
        <f>INDEX([1]RELAÇÃO!$A$1:$AQ$576,MATCH($N64,[1]RELAÇÃO!$AQ$1:$AQ$576,0),1)</f>
        <v>TANIA GOMES RIBEIRO DE MORAES</v>
      </c>
      <c r="K64" s="393" t="str">
        <f>IF(J64=0,"-",INDEX([1]RELAÇÃO!$A$1:$AQ$576,MATCH($N64,[1]RELAÇÃO!$AQ$1:$AQ$576,0),27)&amp;INDEX([1]RELAÇÃO!$A$1:$AQ$576,MATCH($N64,[1]RELAÇÃO!$AQ$1:$AQ$576,0),28)&amp;", de "&amp;INDEX([1]RELAÇÃO!$A$1:$AQ$576,MATCH($N64,[1]RELAÇÃO!$AQ$1:$AQ$576,0),29)&amp;" - "&amp;INDEX([1]RELAÇÃO!$A$1:$AQ$576,MATCH($N64,[1]RELAÇÃO!$AQ$1:$AQ$576,0),31)&amp;" de "&amp;INDEX([1]RELAÇÃO!$A$1:$AQ$576,MATCH($N64,[1]RELAÇÃO!$AQ$1:$AQ$576,0),30))</f>
        <v>Portaria nº 327, de 21/08/2017 - DOU de 22/08/2017</v>
      </c>
      <c r="L64" s="287" t="str">
        <f>IF($E64=0,"-",IF(INDEX([1]RELAÇÃO!$A$1:$AQ$576,MATCH($M64,[1]RELAÇÃO!$AP$1:$AP$576,0),8)="2.100.500","-",INDEX([1]RELAÇÃO!$A$1:$AQ$576,MATCH($M64,[1]RELAÇÃO!$AP$1:$AP$576,0),7)))</f>
        <v>-</v>
      </c>
      <c r="M64" s="280" t="s">
        <v>280</v>
      </c>
      <c r="N64" s="293" t="s">
        <v>281</v>
      </c>
    </row>
    <row r="65" spans="1:14" ht="23.25" x14ac:dyDescent="0.25">
      <c r="A65" s="292"/>
      <c r="B65" s="291" t="s">
        <v>228</v>
      </c>
      <c r="C65" s="273" t="s">
        <v>229</v>
      </c>
      <c r="D65" s="274" t="s">
        <v>193</v>
      </c>
      <c r="E65" s="300" t="str">
        <f>INDEX([1]RELAÇÃO!$A$1:$AQ$576,MATCH($M65,[1]RELAÇÃO!$AP$1:$AP$576,0),1)</f>
        <v>FABIO SKAF NACFUR</v>
      </c>
      <c r="F65" s="276" t="str">
        <f>IF(E65=0,"-",LEFT(INDEX([1]RELAÇÃO!$A$1:$AQ$576,MATCH($M65,[1]RELAÇÃO!$AP$1:$AP$576,0),32),1))</f>
        <v>M</v>
      </c>
      <c r="G65" s="275" t="str">
        <f>IF(E65=0,"-",INDEX([1]RELAÇÃO!$A$1:$AQ$576,MATCH($M65,[1]RELAÇÃO!$AP$1:$AP$576,0),5))</f>
        <v>Sem Vínculo</v>
      </c>
      <c r="H65" s="275" t="str">
        <f>IF(E65=0,"-",INDEX([1]RELAÇÃO!$A$1:$AQ$576,MATCH($M65,[1]RELAÇÃO!$AP$1:$AP$576,0),6))</f>
        <v>Sem Vínculo</v>
      </c>
      <c r="I65" s="275" t="str">
        <f>IF(E65=0,"-",INDEX([1]RELAÇÃO!$A$1:$AQ$576,MATCH($M65,[1]RELAÇÃO!$AP$1:$AP$576,0),12)&amp;INDEX([1]RELAÇÃO!$A$1:$AQ$576,MATCH($M65,[1]RELAÇÃO!$AP$1:$AP$576,0),13)&amp;", de "&amp;INDEX([1]RELAÇÃO!$A$1:$AQ$576,MATCH($M65,[1]RELAÇÃO!$AP$1:$AP$576,0),14)&amp;" - "&amp;INDEX([1]RELAÇÃO!$A$1:$AQ$576,MATCH($M65,[1]RELAÇÃO!$AP$1:$AP$576,0),16)&amp;" de "&amp;INDEX([1]RELAÇÃO!$A$1:$AQ$576,MATCH($M65,[1]RELAÇÃO!$AP$1:$AP$576,0),15))</f>
        <v>Portaria nº 33, de 17/01/2019 - DOU de 23/01/2019</v>
      </c>
      <c r="J65" s="304"/>
      <c r="K65" s="288"/>
      <c r="L65" s="287" t="str">
        <f>IF($E65=0,"-",IF(INDEX([1]RELAÇÃO!$A$1:$AQ$576,MATCH($M65,[1]RELAÇÃO!$AP$1:$AP$576,0),8)="2.100.500","-",INDEX([1]RELAÇÃO!$A$1:$AQ$576,MATCH($M65,[1]RELAÇÃO!$AP$1:$AP$576,0),7)))</f>
        <v>-</v>
      </c>
      <c r="M65" s="280" t="s">
        <v>282</v>
      </c>
      <c r="N65" s="288"/>
    </row>
    <row r="66" spans="1:14" ht="23.25" x14ac:dyDescent="0.25">
      <c r="A66" s="305"/>
      <c r="B66" s="291" t="s">
        <v>247</v>
      </c>
      <c r="C66" s="296" t="s">
        <v>250</v>
      </c>
      <c r="D66" s="274" t="s">
        <v>193</v>
      </c>
      <c r="E66" s="300" t="str">
        <f>INDEX([1]RELAÇÃO!$A$1:$AQ$576,MATCH($M66,[1]RELAÇÃO!$AP$1:$AP$576,0),1)</f>
        <v>ABDON TAVARES REIS</v>
      </c>
      <c r="F66" s="276" t="str">
        <f>IF(E66=0,"-",LEFT(INDEX([1]RELAÇÃO!$A$1:$AQ$576,MATCH($M66,[1]RELAÇÃO!$AP$1:$AP$576,0),32),1))</f>
        <v>M</v>
      </c>
      <c r="G66" s="275" t="str">
        <f>IF(E66=0,"-",INDEX([1]RELAÇÃO!$A$1:$AQ$576,MATCH($M66,[1]RELAÇÃO!$AP$1:$AP$576,0),5))</f>
        <v>Exercício Descentralizado</v>
      </c>
      <c r="H66" s="275" t="str">
        <f>IF(E66=0,"-",INDEX([1]RELAÇÃO!$A$1:$AQ$576,MATCH($M66,[1]RELAÇÃO!$AP$1:$AP$576,0),6))</f>
        <v>ME - Ministério da Economia</v>
      </c>
      <c r="I66" s="275" t="str">
        <f>IF(E66=0,"-",INDEX([1]RELAÇÃO!$A$1:$AQ$576,MATCH($M66,[1]RELAÇÃO!$AP$1:$AP$576,0),12)&amp;INDEX([1]RELAÇÃO!$A$1:$AQ$576,MATCH($M66,[1]RELAÇÃO!$AP$1:$AP$576,0),13)&amp;", de "&amp;INDEX([1]RELAÇÃO!$A$1:$AQ$576,MATCH($M66,[1]RELAÇÃO!$AP$1:$AP$576,0),14)&amp;" - "&amp;INDEX([1]RELAÇÃO!$A$1:$AQ$576,MATCH($M66,[1]RELAÇÃO!$AP$1:$AP$576,0),16)&amp;" de "&amp;INDEX([1]RELAÇÃO!$A$1:$AQ$576,MATCH($M66,[1]RELAÇÃO!$AP$1:$AP$576,0),15))</f>
        <v>Portaria nº 332, de 15/08/2018 - DOU de 16/08/2018</v>
      </c>
      <c r="J66" s="413"/>
      <c r="K66" s="414"/>
      <c r="L66" s="287" t="str">
        <f>IF($E66=0,"-",IF(INDEX([1]RELAÇÃO!$A$1:$AQ$576,MATCH($M66,[1]RELAÇÃO!$AP$1:$AP$576,0),8)="2.100.500","-",INDEX([1]RELAÇÃO!$A$1:$AQ$576,MATCH($M66,[1]RELAÇÃO!$AP$1:$AP$576,0),7)))</f>
        <v>SE / SPOA / CGOF / COORDENAÇÃO DE ADMINISTRAÇÃO FINANCEIRA -COAF</v>
      </c>
      <c r="M66" s="280" t="s">
        <v>283</v>
      </c>
      <c r="N66" s="288"/>
    </row>
    <row r="67" spans="1:14" x14ac:dyDescent="0.25"/>
    <row r="68" spans="1:14" ht="18.75" x14ac:dyDescent="0.3">
      <c r="A68" s="526" t="s">
        <v>801</v>
      </c>
      <c r="B68" s="526"/>
      <c r="C68" s="526"/>
      <c r="D68" s="526"/>
      <c r="E68" s="526"/>
      <c r="F68" s="526"/>
      <c r="G68" s="526"/>
      <c r="H68" s="526"/>
      <c r="I68" s="526"/>
      <c r="J68" s="526"/>
      <c r="K68" s="526"/>
      <c r="L68" s="526"/>
      <c r="M68" s="526"/>
      <c r="N68" s="526"/>
    </row>
    <row r="69" spans="1:14" ht="22.5" x14ac:dyDescent="0.25">
      <c r="A69" s="397" t="s">
        <v>170</v>
      </c>
      <c r="B69" s="401" t="s">
        <v>171</v>
      </c>
      <c r="C69" s="398" t="s">
        <v>172</v>
      </c>
      <c r="D69" s="398" t="s">
        <v>173</v>
      </c>
      <c r="E69" s="397" t="s">
        <v>174</v>
      </c>
      <c r="F69" s="397" t="s">
        <v>175</v>
      </c>
      <c r="G69" s="397" t="s">
        <v>176</v>
      </c>
      <c r="H69" s="397" t="s">
        <v>177</v>
      </c>
      <c r="I69" s="397" t="s">
        <v>178</v>
      </c>
      <c r="J69" s="398" t="s">
        <v>179</v>
      </c>
      <c r="K69" s="397" t="s">
        <v>180</v>
      </c>
      <c r="L69" s="42" t="s">
        <v>181</v>
      </c>
      <c r="M69" s="399" t="s">
        <v>182</v>
      </c>
      <c r="N69" s="399" t="s">
        <v>183</v>
      </c>
    </row>
    <row r="70" spans="1:14" ht="40.5" customHeight="1" x14ac:dyDescent="0.25">
      <c r="A70" s="295" t="s">
        <v>284</v>
      </c>
      <c r="B70" s="306" t="s">
        <v>285</v>
      </c>
      <c r="C70" s="274" t="s">
        <v>286</v>
      </c>
      <c r="D70" s="274" t="s">
        <v>187</v>
      </c>
      <c r="E70" s="275" t="str">
        <f>INDEX([1]RELAÇÃO!$A$1:$AQ$576,MATCH($M70,[1]RELAÇÃO!$AP$1:$AP$576,0),1)</f>
        <v>MARISETE FATIMA DADALD PEREIRA</v>
      </c>
      <c r="F70" s="276" t="str">
        <f>IF(E70=0,"-",LEFT(INDEX([1]RELAÇÃO!$A$1:$AQ$576,MATCH($M70,[1]RELAÇÃO!$AP$1:$AP$576,0),32),1))</f>
        <v>F</v>
      </c>
      <c r="G70" s="275" t="str">
        <f>IF(E70=0,"-",INDEX([1]RELAÇÃO!$A$1:$AQ$576,MATCH($M70,[1]RELAÇÃO!$AP$1:$AP$576,0),5))</f>
        <v>Sem Vínculo</v>
      </c>
      <c r="H70" s="275" t="str">
        <f>IF(E70=0,"-",INDEX([1]RELAÇÃO!$A$1:$AQ$576,MATCH($M70,[1]RELAÇÃO!$AP$1:$AP$576,0),6))</f>
        <v>Sem Vínculo</v>
      </c>
      <c r="I70" s="275" t="str">
        <f>IF(E70=0,"-",INDEX([1]RELAÇÃO!$A$1:$AQ$576,MATCH($M70,[1]RELAÇÃO!$AP$1:$AP$576,0),12)&amp;INDEX([1]RELAÇÃO!$A$1:$AQ$576,MATCH($M70,[1]RELAÇÃO!$AP$1:$AP$576,0),13)&amp;", de "&amp;INDEX([1]RELAÇÃO!$A$1:$AQ$576,MATCH($M70,[1]RELAÇÃO!$AP$1:$AP$576,0),14)&amp;" - "&amp;INDEX([1]RELAÇÃO!$A$1:$AQ$576,MATCH($M70,[1]RELAÇÃO!$AP$1:$AP$576,0),16)&amp;" de "&amp;INDEX([1]RELAÇÃO!$A$1:$AQ$576,MATCH($M70,[1]RELAÇÃO!$AP$1:$AP$576,0),15))</f>
        <v>Decreto nº s/n, de 01/01/2019 - DOU de 02/01/2019</v>
      </c>
      <c r="J70" s="307" t="str">
        <f>INDEX([1]RELAÇÃO!$A$1:$AQ$576,MATCH($N70,[1]RELAÇÃO!$AQ$1:$AQ$576,0),1)</f>
        <v>BRUNO EUSTÁQUIO FERREIRA CASTRO DE CARVALHO</v>
      </c>
      <c r="K70" s="396" t="str">
        <f>IF(J70=0,"-",INDEX([1]RELAÇÃO!$A$1:$AQ$576,MATCH($N70,[1]RELAÇÃO!$AQ$1:$AQ$576,0),27)&amp;INDEX([1]RELAÇÃO!$A$1:$AQ$576,MATCH($N70,[1]RELAÇÃO!$AQ$1:$AQ$576,0),28)&amp;", de "&amp;INDEX([1]RELAÇÃO!$A$1:$AQ$576,MATCH($N70,[1]RELAÇÃO!$AQ$1:$AQ$576,0),29)&amp;" - "&amp;INDEX([1]RELAÇÃO!$A$1:$AQ$576,MATCH($N70,[1]RELAÇÃO!$AQ$1:$AQ$576,0),31)&amp;" de "&amp;INDEX([1]RELAÇÃO!$A$1:$AQ$576,MATCH($N70,[1]RELAÇÃO!$AQ$1:$AQ$576,0),30))</f>
        <v>Portaria nº 108 - Anexo II, Art. 55,IV do RI da SE, de 14/03/2017 - DOU de 16/03/2017 - Ret. 17/03/2017</v>
      </c>
      <c r="L70" s="287" t="str">
        <f>IF($E70=0,"-",IF(INDEX([1]RELAÇÃO!$A$1:$AQ$576,MATCH($M70,[1]RELAÇÃO!$AP$1:$AP$576,0),8)="8.000.000","-",INDEX([1]RELAÇÃO!$A$1:$AQ$576,MATCH($M70,[1]RELAÇÃO!$AP$1:$AP$576,0),7)))</f>
        <v>-</v>
      </c>
      <c r="M70" s="280" t="s">
        <v>287</v>
      </c>
      <c r="N70" s="280" t="s">
        <v>288</v>
      </c>
    </row>
    <row r="71" spans="1:14" ht="23.25" x14ac:dyDescent="0.25">
      <c r="A71" s="292"/>
      <c r="B71" s="309" t="s">
        <v>289</v>
      </c>
      <c r="C71" s="273" t="s">
        <v>290</v>
      </c>
      <c r="D71" s="274" t="s">
        <v>187</v>
      </c>
      <c r="E71" s="275" t="str">
        <f>INDEX([1]RELAÇÃO!$A$1:$AQ$576,MATCH($M71,[1]RELAÇÃO!$AP$1:$AP$576,0),1)</f>
        <v>BRUNO EUSTÁQUIO FERREIRA CASTRO DE CARVALHO</v>
      </c>
      <c r="F71" s="276" t="str">
        <f>IF(E71=0,"-",LEFT(INDEX([1]RELAÇÃO!$A$1:$AQ$576,MATCH($M71,[1]RELAÇÃO!$AP$1:$AP$576,0),32),1))</f>
        <v>M</v>
      </c>
      <c r="G71" s="275" t="str">
        <f>IF(E71=0,"-",INDEX([1]RELAÇÃO!$A$1:$AQ$576,MATCH($M71,[1]RELAÇÃO!$AP$1:$AP$576,0),5))</f>
        <v>Requisitado de Órgãos</v>
      </c>
      <c r="H71" s="275" t="str">
        <f>IF(E71=0,"-",INDEX([1]RELAÇÃO!$A$1:$AQ$576,MATCH($M71,[1]RELAÇÃO!$AP$1:$AP$576,0),6))</f>
        <v>ME - Ministério da Economia</v>
      </c>
      <c r="I71" s="275" t="str">
        <f>IF(E71=0,"-",INDEX([1]RELAÇÃO!$A$1:$AQ$576,MATCH($M71,[1]RELAÇÃO!$AP$1:$AP$576,0),12)&amp;INDEX([1]RELAÇÃO!$A$1:$AQ$576,MATCH($M71,[1]RELAÇÃO!$AP$1:$AP$576,0),13)&amp;", de "&amp;INDEX([1]RELAÇÃO!$A$1:$AQ$576,MATCH($M71,[1]RELAÇÃO!$AP$1:$AP$576,0),14)&amp;" - "&amp;INDEX([1]RELAÇÃO!$A$1:$AQ$576,MATCH($M71,[1]RELAÇÃO!$AP$1:$AP$576,0),16)&amp;" de "&amp;INDEX([1]RELAÇÃO!$A$1:$AQ$576,MATCH($M71,[1]RELAÇÃO!$AP$1:$AP$576,0),15))</f>
        <v>Portaria nº 592, de 16/01/2019 - DOU de 17/01/2019</v>
      </c>
      <c r="J71" s="307">
        <f>INDEX([1]RELAÇÃO!$A$1:$AQ$576,MATCH($N71,[1]RELAÇÃO!$AQ$1:$AQ$576,0),1)</f>
        <v>0</v>
      </c>
      <c r="K71" s="308" t="str">
        <f>IF(J71=0,"-",INDEX([1]RELAÇÃO!$A$1:$AQ$576,MATCH($N71,[1]RELAÇÃO!$AQ$1:$AQ$576,0),27)&amp;INDEX([1]RELAÇÃO!$A$1:$AQ$576,MATCH($N71,[1]RELAÇÃO!$AQ$1:$AQ$576,0),28)&amp;", de "&amp;INDEX([1]RELAÇÃO!$A$1:$AQ$576,MATCH($N71,[1]RELAÇÃO!$AQ$1:$AQ$576,0),29)&amp;" - "&amp;INDEX([1]RELAÇÃO!$A$1:$AQ$576,MATCH($N71,[1]RELAÇÃO!$AQ$1:$AQ$576,0),31)&amp;" de "&amp;INDEX([1]RELAÇÃO!$A$1:$AQ$576,MATCH($N71,[1]RELAÇÃO!$AQ$1:$AQ$576,0),30))</f>
        <v>-</v>
      </c>
      <c r="L71" s="287" t="str">
        <f>IF($E71=0,"-",IF(INDEX([1]RELAÇÃO!$A$1:$AQ$576,MATCH($M71,[1]RELAÇÃO!$AP$1:$AP$576,0),8)="8.000.000","-",INDEX([1]RELAÇÃO!$A$1:$AQ$576,MATCH($M71,[1]RELAÇÃO!$AP$1:$AP$576,0),7)))</f>
        <v>SE / CHEFIA DE GABINETE SE</v>
      </c>
      <c r="M71" s="280" t="s">
        <v>291</v>
      </c>
      <c r="N71" s="280" t="s">
        <v>292</v>
      </c>
    </row>
    <row r="72" spans="1:14" ht="23.25" x14ac:dyDescent="0.25">
      <c r="A72" s="292"/>
      <c r="B72" s="309" t="s">
        <v>205</v>
      </c>
      <c r="C72" s="273" t="s">
        <v>206</v>
      </c>
      <c r="D72" s="274" t="s">
        <v>187</v>
      </c>
      <c r="E72" s="275" t="str">
        <f>INDEX([1]RELAÇÃO!$A$1:$AQ$576,MATCH($M72,[1]RELAÇÃO!$AP$1:$AP$576,0),1)</f>
        <v>ANDERSON MARCIO DE OLIVEIRA</v>
      </c>
      <c r="F72" s="276" t="str">
        <f>IF(E72=0,"-",LEFT(INDEX([1]RELAÇÃO!$A$1:$AQ$576,MATCH($M72,[1]RELAÇÃO!$AP$1:$AP$576,0),32),1))</f>
        <v>M</v>
      </c>
      <c r="G72" s="275" t="str">
        <f>IF(E72=0,"-",INDEX([1]RELAÇÃO!$A$1:$AQ$576,MATCH($M72,[1]RELAÇÃO!$AP$1:$AP$576,0),5))</f>
        <v>Requisitado de Empresa</v>
      </c>
      <c r="H72" s="275" t="str">
        <f>IF(E72=0,"-",INDEX([1]RELAÇÃO!$A$1:$AQ$576,MATCH($M72,[1]RELAÇÃO!$AP$1:$AP$576,0),6))</f>
        <v>BNDES - Banco Nacional de Desenvolvimento Econômico e Social</v>
      </c>
      <c r="I72" s="275" t="str">
        <f>IF(E72=0,"-",INDEX([1]RELAÇÃO!$A$1:$AQ$576,MATCH($M72,[1]RELAÇÃO!$AP$1:$AP$576,0),12)&amp;INDEX([1]RELAÇÃO!$A$1:$AQ$576,MATCH($M72,[1]RELAÇÃO!$AP$1:$AP$576,0),13)&amp;", de "&amp;INDEX([1]RELAÇÃO!$A$1:$AQ$576,MATCH($M72,[1]RELAÇÃO!$AP$1:$AP$576,0),14)&amp;" - "&amp;INDEX([1]RELAÇÃO!$A$1:$AQ$576,MATCH($M72,[1]RELAÇÃO!$AP$1:$AP$576,0),16)&amp;" de "&amp;INDEX([1]RELAÇÃO!$A$1:$AQ$576,MATCH($M72,[1]RELAÇÃO!$AP$1:$AP$576,0),15))</f>
        <v>Portaria nº 1931, de 27/06/2019 - DOU de 28/06/2019</v>
      </c>
      <c r="J72" s="307">
        <f>INDEX([1]RELAÇÃO!$A$1:$AQ$576,MATCH($N72,[1]RELAÇÃO!$AQ$1:$AQ$576,0),1)</f>
        <v>0</v>
      </c>
      <c r="K72" s="395" t="str">
        <f>IF(J72=0,"-",INDEX([1]RELAÇÃO!$A$1:$AQ$576,MATCH($N72,[1]RELAÇÃO!$AQ$1:$AQ$576,0),27)&amp;INDEX([1]RELAÇÃO!$A$1:$AQ$576,MATCH($N72,[1]RELAÇÃO!$AQ$1:$AQ$576,0),28)&amp;", de "&amp;INDEX([1]RELAÇÃO!$A$1:$AQ$576,MATCH($N72,[1]RELAÇÃO!$AQ$1:$AQ$576,0),29)&amp;" - "&amp;INDEX([1]RELAÇÃO!$A$1:$AQ$576,MATCH($N72,[1]RELAÇÃO!$AQ$1:$AQ$576,0),31)&amp;" de "&amp;INDEX([1]RELAÇÃO!$A$1:$AQ$576,MATCH($N72,[1]RELAÇÃO!$AQ$1:$AQ$576,0),30))</f>
        <v>-</v>
      </c>
      <c r="L72" s="287" t="str">
        <f>IF($E72=0,"-",IF(INDEX([1]RELAÇÃO!$A$1:$AQ$576,MATCH($M72,[1]RELAÇÃO!$AP$1:$AP$576,0),8)="8.000.000","-",INDEX([1]RELAÇÃO!$A$1:$AQ$576,MATCH($M72,[1]RELAÇÃO!$AP$1:$AP$576,0),7)))</f>
        <v>SE / CHEFIA DE GABINETE SE</v>
      </c>
      <c r="M72" s="280" t="s">
        <v>293</v>
      </c>
      <c r="N72" s="280" t="s">
        <v>294</v>
      </c>
    </row>
    <row r="73" spans="1:14" ht="23.25" x14ac:dyDescent="0.25">
      <c r="A73" s="292"/>
      <c r="B73" s="309" t="s">
        <v>205</v>
      </c>
      <c r="C73" s="273" t="s">
        <v>206</v>
      </c>
      <c r="D73" s="274" t="s">
        <v>187</v>
      </c>
      <c r="E73" s="275" t="str">
        <f>INDEX([1]RELAÇÃO!$A$1:$AQ$576,MATCH($M73,[1]RELAÇÃO!$AP$1:$AP$576,0),1)</f>
        <v>CAMILLA DE ANDRADE GONÇALVES FERNANDES</v>
      </c>
      <c r="F73" s="276" t="str">
        <f>IF(E73=0,"-",LEFT(INDEX([1]RELAÇÃO!$A$1:$AQ$576,MATCH($M73,[1]RELAÇÃO!$AP$1:$AP$576,0),32),1))</f>
        <v>F</v>
      </c>
      <c r="G73" s="275" t="str">
        <f>IF(E73=0,"-",INDEX([1]RELAÇÃO!$A$1:$AQ$576,MATCH($M73,[1]RELAÇÃO!$AP$1:$AP$576,0),5))</f>
        <v>Requisitado de Órgãos</v>
      </c>
      <c r="H73" s="275" t="str">
        <f>IF(E73=0,"-",INDEX([1]RELAÇÃO!$A$1:$AQ$576,MATCH($M73,[1]RELAÇÃO!$AP$1:$AP$576,0),6))</f>
        <v>ANEEL - Agência Nacional de Energia Elétrica</v>
      </c>
      <c r="I73" s="275" t="str">
        <f>IF(E73=0,"-",INDEX([1]RELAÇÃO!$A$1:$AQ$576,MATCH($M73,[1]RELAÇÃO!$AP$1:$AP$576,0),12)&amp;INDEX([1]RELAÇÃO!$A$1:$AQ$576,MATCH($M73,[1]RELAÇÃO!$AP$1:$AP$576,0),13)&amp;", de "&amp;INDEX([1]RELAÇÃO!$A$1:$AQ$576,MATCH($M73,[1]RELAÇÃO!$AP$1:$AP$576,0),14)&amp;" - "&amp;INDEX([1]RELAÇÃO!$A$1:$AQ$576,MATCH($M73,[1]RELAÇÃO!$AP$1:$AP$576,0),16)&amp;" de "&amp;INDEX([1]RELAÇÃO!$A$1:$AQ$576,MATCH($M73,[1]RELAÇÃO!$AP$1:$AP$576,0),15))</f>
        <v>Portaria nº 301, de 31/07/2020 - DOU de 04/08/2020</v>
      </c>
      <c r="J73" s="307">
        <f>INDEX([1]RELAÇÃO!$A$1:$AQ$576,MATCH($N73,[1]RELAÇÃO!$AQ$1:$AQ$576,0),1)</f>
        <v>0</v>
      </c>
      <c r="K73" s="308" t="str">
        <f>IF(J73=0,"-",INDEX([1]RELAÇÃO!$A$1:$AQ$576,MATCH($N73,[1]RELAÇÃO!$AQ$1:$AQ$576,0),27)&amp;INDEX([1]RELAÇÃO!$A$1:$AQ$576,MATCH($N73,[1]RELAÇÃO!$AQ$1:$AQ$576,0),28)&amp;", de "&amp;INDEX([1]RELAÇÃO!$A$1:$AQ$576,MATCH($N73,[1]RELAÇÃO!$AQ$1:$AQ$576,0),29)&amp;" - "&amp;INDEX([1]RELAÇÃO!$A$1:$AQ$576,MATCH($N73,[1]RELAÇÃO!$AQ$1:$AQ$576,0),31)&amp;" de "&amp;INDEX([1]RELAÇÃO!$A$1:$AQ$576,MATCH($N73,[1]RELAÇÃO!$AQ$1:$AQ$576,0),30))</f>
        <v>-</v>
      </c>
      <c r="L73" s="287" t="str">
        <f>IF($E73=0,"-",IF(INDEX([1]RELAÇÃO!$A$1:$AQ$576,MATCH($M73,[1]RELAÇÃO!$AP$1:$AP$576,0),8)="8.000.000","-",INDEX([1]RELAÇÃO!$A$1:$AQ$576,MATCH($M73,[1]RELAÇÃO!$AP$1:$AP$576,0),7)))</f>
        <v>SE / CHEFIA DE GABINETE SE</v>
      </c>
      <c r="M73" s="280" t="s">
        <v>295</v>
      </c>
      <c r="N73" s="280" t="s">
        <v>296</v>
      </c>
    </row>
    <row r="74" spans="1:14" ht="23.25" x14ac:dyDescent="0.25">
      <c r="A74" s="292"/>
      <c r="B74" s="309" t="s">
        <v>211</v>
      </c>
      <c r="C74" s="273" t="s">
        <v>212</v>
      </c>
      <c r="D74" s="273" t="s">
        <v>193</v>
      </c>
      <c r="E74" s="275" t="str">
        <f>INDEX([1]RELAÇÃO!$A$1:$AQ$576,MATCH($M74,[1]RELAÇÃO!$AP$1:$AP$576,0),1)</f>
        <v>JEFFERSON DE SOUZA OLIVEIRA</v>
      </c>
      <c r="F74" s="276" t="str">
        <f>IF(E74=0,"-",LEFT(INDEX([1]RELAÇÃO!$A$1:$AQ$576,MATCH($M74,[1]RELAÇÃO!$AP$1:$AP$576,0),32),1))</f>
        <v>M</v>
      </c>
      <c r="G74" s="275" t="str">
        <f>IF(E74=0,"-",INDEX([1]RELAÇÃO!$A$1:$AQ$576,MATCH($M74,[1]RELAÇÃO!$AP$1:$AP$576,0),5))</f>
        <v>Sem Vínculo</v>
      </c>
      <c r="H74" s="275" t="str">
        <f>IF(E74=0,"-",INDEX([1]RELAÇÃO!$A$1:$AQ$576,MATCH($M74,[1]RELAÇÃO!$AP$1:$AP$576,0),6))</f>
        <v>Sem Vínculo</v>
      </c>
      <c r="I74" s="275" t="str">
        <f>IF(E74=0,"-",INDEX([1]RELAÇÃO!$A$1:$AQ$576,MATCH($M74,[1]RELAÇÃO!$AP$1:$AP$576,0),12)&amp;INDEX([1]RELAÇÃO!$A$1:$AQ$576,MATCH($M74,[1]RELAÇÃO!$AP$1:$AP$576,0),13)&amp;", de "&amp;INDEX([1]RELAÇÃO!$A$1:$AQ$576,MATCH($M74,[1]RELAÇÃO!$AP$1:$AP$576,0),14)&amp;" - "&amp;INDEX([1]RELAÇÃO!$A$1:$AQ$576,MATCH($M74,[1]RELAÇÃO!$AP$1:$AP$576,0),16)&amp;" de "&amp;INDEX([1]RELAÇÃO!$A$1:$AQ$576,MATCH($M74,[1]RELAÇÃO!$AP$1:$AP$576,0),15))</f>
        <v>Portaria nº 147, de 27/02/2019 - DOU de 01/03/2019</v>
      </c>
      <c r="J74" s="310"/>
      <c r="K74" s="310"/>
      <c r="L74" s="287" t="str">
        <f>IF($E74=0,"-",IF(INDEX([1]RELAÇÃO!$A$1:$AQ$576,MATCH($M74,[1]RELAÇÃO!$AP$1:$AP$576,0),8)="8.000.000","-",INDEX([1]RELAÇÃO!$A$1:$AQ$576,MATCH($M74,[1]RELAÇÃO!$AP$1:$AP$576,0),7)))</f>
        <v>ASSESSORIA ESPECIAL DE ACOMPANHAMENTO DE POLÍTICAS, ESTRATÉGIAS E DESEMPENHO SETORIAL - AEPED</v>
      </c>
      <c r="M74" s="280" t="s">
        <v>297</v>
      </c>
      <c r="N74" s="311"/>
    </row>
    <row r="75" spans="1:14" ht="23.25" x14ac:dyDescent="0.25">
      <c r="A75" s="292"/>
      <c r="B75" s="309" t="s">
        <v>211</v>
      </c>
      <c r="C75" s="273" t="s">
        <v>212</v>
      </c>
      <c r="D75" s="273" t="s">
        <v>193</v>
      </c>
      <c r="E75" s="275" t="str">
        <f>INDEX([1]RELAÇÃO!$A$1:$AQ$576,MATCH($M75,[1]RELAÇÃO!$AP$1:$AP$576,0),1)</f>
        <v>WIDISMAR MARTINS DA SILVA</v>
      </c>
      <c r="F75" s="276" t="str">
        <f>IF(E75=0,"-",LEFT(INDEX([1]RELAÇÃO!$A$1:$AQ$576,MATCH($M75,[1]RELAÇÃO!$AP$1:$AP$576,0),32),1))</f>
        <v>M</v>
      </c>
      <c r="G75" s="275" t="str">
        <f>IF(E75=0,"-",INDEX([1]RELAÇÃO!$A$1:$AQ$576,MATCH($M75,[1]RELAÇÃO!$AP$1:$AP$576,0),5))</f>
        <v>Sem Vínculo</v>
      </c>
      <c r="H75" s="275" t="str">
        <f>IF(E75=0,"-",INDEX([1]RELAÇÃO!$A$1:$AQ$576,MATCH($M75,[1]RELAÇÃO!$AP$1:$AP$576,0),6))</f>
        <v>Sem Vínculo</v>
      </c>
      <c r="I75" s="275" t="str">
        <f>IF(E75=0,"-",INDEX([1]RELAÇÃO!$A$1:$AQ$576,MATCH($M75,[1]RELAÇÃO!$AP$1:$AP$576,0),12)&amp;INDEX([1]RELAÇÃO!$A$1:$AQ$576,MATCH($M75,[1]RELAÇÃO!$AP$1:$AP$576,0),13)&amp;", de "&amp;INDEX([1]RELAÇÃO!$A$1:$AQ$576,MATCH($M75,[1]RELAÇÃO!$AP$1:$AP$576,0),14)&amp;" - "&amp;INDEX([1]RELAÇÃO!$A$1:$AQ$576,MATCH($M75,[1]RELAÇÃO!$AP$1:$AP$576,0),16)&amp;" de "&amp;INDEX([1]RELAÇÃO!$A$1:$AQ$576,MATCH($M75,[1]RELAÇÃO!$AP$1:$AP$576,0),15))</f>
        <v>Portaria nº 524, de 03/11/2016 - DOU de 04/11/2016</v>
      </c>
      <c r="J75" s="310"/>
      <c r="K75" s="310"/>
      <c r="L75" s="287" t="str">
        <f>IF($E75=0,"-",IF(INDEX([1]RELAÇÃO!$A$1:$AQ$576,MATCH($M75,[1]RELAÇÃO!$AP$1:$AP$576,0),8)="8.000.000","-",INDEX([1]RELAÇÃO!$A$1:$AQ$576,MATCH($M75,[1]RELAÇÃO!$AP$1:$AP$576,0),7)))</f>
        <v>SE / CHEFIA DE GABINETE SE</v>
      </c>
      <c r="M75" s="280" t="s">
        <v>298</v>
      </c>
      <c r="N75" s="311"/>
    </row>
    <row r="76" spans="1:14" ht="23.25" x14ac:dyDescent="0.25">
      <c r="A76" s="292"/>
      <c r="B76" s="309" t="s">
        <v>211</v>
      </c>
      <c r="C76" s="273" t="s">
        <v>212</v>
      </c>
      <c r="D76" s="273" t="s">
        <v>193</v>
      </c>
      <c r="E76" s="275" t="str">
        <f>INDEX([1]RELAÇÃO!$A$1:$AQ$576,MATCH($M76,[1]RELAÇÃO!$AP$1:$AP$576,0),1)</f>
        <v>RICARDO TAKEMITSU SIMABUKU</v>
      </c>
      <c r="F76" s="276" t="str">
        <f>IF(E76=0,"-",LEFT(INDEX([1]RELAÇÃO!$A$1:$AQ$576,MATCH($M76,[1]RELAÇÃO!$AP$1:$AP$576,0),32),1))</f>
        <v>M</v>
      </c>
      <c r="G76" s="275" t="str">
        <f>IF(E76=0,"-",INDEX([1]RELAÇÃO!$A$1:$AQ$576,MATCH($M76,[1]RELAÇÃO!$AP$1:$AP$576,0),5))</f>
        <v>Requisitado de Órgãos</v>
      </c>
      <c r="H76" s="275" t="str">
        <f>IF(E76=0,"-",INDEX([1]RELAÇÃO!$A$1:$AQ$576,MATCH($M76,[1]RELAÇÃO!$AP$1:$AP$576,0),6))</f>
        <v>ME - Ministério da Economia</v>
      </c>
      <c r="I76" s="275" t="str">
        <f>IF(E76=0,"-",INDEX([1]RELAÇÃO!$A$1:$AQ$576,MATCH($M76,[1]RELAÇÃO!$AP$1:$AP$576,0),12)&amp;INDEX([1]RELAÇÃO!$A$1:$AQ$576,MATCH($M76,[1]RELAÇÃO!$AP$1:$AP$576,0),13)&amp;", de "&amp;INDEX([1]RELAÇÃO!$A$1:$AQ$576,MATCH($M76,[1]RELAÇÃO!$AP$1:$AP$576,0),14)&amp;" - "&amp;INDEX([1]RELAÇÃO!$A$1:$AQ$576,MATCH($M76,[1]RELAÇÃO!$AP$1:$AP$576,0),16)&amp;" de "&amp;INDEX([1]RELAÇÃO!$A$1:$AQ$576,MATCH($M76,[1]RELAÇÃO!$AP$1:$AP$576,0),15))</f>
        <v>Portaria nº 275, de 03/07/2019 - DOU de 05/07/2019</v>
      </c>
      <c r="J76" s="310"/>
      <c r="K76" s="310"/>
      <c r="L76" s="287" t="str">
        <f>IF($E76=0,"-",IF(INDEX([1]RELAÇÃO!$A$1:$AQ$576,MATCH($M76,[1]RELAÇÃO!$AP$1:$AP$576,0),8)="8.000.000","-",INDEX([1]RELAÇÃO!$A$1:$AQ$576,MATCH($M76,[1]RELAÇÃO!$AP$1:$AP$576,0),7)))</f>
        <v>SE / CHEFIA DE GABINETE SE</v>
      </c>
      <c r="M76" s="280" t="s">
        <v>299</v>
      </c>
      <c r="N76" s="311"/>
    </row>
    <row r="77" spans="1:14" ht="23.25" x14ac:dyDescent="0.25">
      <c r="A77" s="292"/>
      <c r="B77" s="309" t="s">
        <v>211</v>
      </c>
      <c r="C77" s="273" t="s">
        <v>212</v>
      </c>
      <c r="D77" s="273" t="s">
        <v>193</v>
      </c>
      <c r="E77" s="275" t="str">
        <f>INDEX([1]RELAÇÃO!$A$1:$AQ$576,MATCH($M77,[1]RELAÇÃO!$AP$1:$AP$576,0),1)</f>
        <v>ALEXANDRE LAURI HENRIKSEN</v>
      </c>
      <c r="F77" s="276" t="str">
        <f>IF(E77=0,"-",LEFT(INDEX([1]RELAÇÃO!$A$1:$AQ$576,MATCH($M77,[1]RELAÇÃO!$AP$1:$AP$576,0),32),1))</f>
        <v>M</v>
      </c>
      <c r="G77" s="275" t="str">
        <f>IF(E77=0,"-",INDEX([1]RELAÇÃO!$A$1:$AQ$576,MATCH($M77,[1]RELAÇÃO!$AP$1:$AP$576,0),5))</f>
        <v>Requisitado de Órgãos</v>
      </c>
      <c r="H77" s="275" t="str">
        <f>IF(E77=0,"-",INDEX([1]RELAÇÃO!$A$1:$AQ$576,MATCH($M77,[1]RELAÇÃO!$AP$1:$AP$576,0),6))</f>
        <v>ME - Ministério da Economia</v>
      </c>
      <c r="I77" s="275" t="str">
        <f>IF(E77=0,"-",INDEX([1]RELAÇÃO!$A$1:$AQ$576,MATCH($M77,[1]RELAÇÃO!$AP$1:$AP$576,0),12)&amp;INDEX([1]RELAÇÃO!$A$1:$AQ$576,MATCH($M77,[1]RELAÇÃO!$AP$1:$AP$576,0),13)&amp;", de "&amp;INDEX([1]RELAÇÃO!$A$1:$AQ$576,MATCH($M77,[1]RELAÇÃO!$AP$1:$AP$576,0),14)&amp;" - "&amp;INDEX([1]RELAÇÃO!$A$1:$AQ$576,MATCH($M77,[1]RELAÇÃO!$AP$1:$AP$576,0),16)&amp;" de "&amp;INDEX([1]RELAÇÃO!$A$1:$AQ$576,MATCH($M77,[1]RELAÇÃO!$AP$1:$AP$576,0),15))</f>
        <v>Portaria nº 321, de 26/08/2020 - DOU de 28/08/2020</v>
      </c>
      <c r="J77" s="310"/>
      <c r="K77" s="310"/>
      <c r="L77" s="287" t="str">
        <f>IF($E77=0,"-",IF(INDEX([1]RELAÇÃO!$A$1:$AQ$576,MATCH($M77,[1]RELAÇÃO!$AP$1:$AP$576,0),8)="8.000.000","-",INDEX([1]RELAÇÃO!$A$1:$AQ$576,MATCH($M77,[1]RELAÇÃO!$AP$1:$AP$576,0),7)))</f>
        <v>ASSESSORIA ESPECIAL DE ASSUNTOS ECONÔMICOS - ASSEC</v>
      </c>
      <c r="M77" s="280" t="s">
        <v>300</v>
      </c>
      <c r="N77" s="311"/>
    </row>
    <row r="78" spans="1:14" ht="23.25" x14ac:dyDescent="0.25">
      <c r="A78" s="292"/>
      <c r="B78" s="309" t="s">
        <v>191</v>
      </c>
      <c r="C78" s="273" t="s">
        <v>192</v>
      </c>
      <c r="D78" s="273" t="s">
        <v>193</v>
      </c>
      <c r="E78" s="275" t="str">
        <f>INDEX([1]RELAÇÃO!$A$1:$AQ$576,MATCH($M78,[1]RELAÇÃO!$AP$1:$AP$576,0),1)</f>
        <v>WALDIR ANTONIO GERVASIO</v>
      </c>
      <c r="F78" s="276" t="str">
        <f>IF(E78=0,"-",LEFT(INDEX([1]RELAÇÃO!$A$1:$AQ$576,MATCH($M78,[1]RELAÇÃO!$AP$1:$AP$576,0),32),1))</f>
        <v>M</v>
      </c>
      <c r="G78" s="275" t="str">
        <f>IF(E78=0,"-",INDEX([1]RELAÇÃO!$A$1:$AQ$576,MATCH($M78,[1]RELAÇÃO!$AP$1:$AP$576,0),5))</f>
        <v>Ativo Permanente</v>
      </c>
      <c r="H78" s="275" t="str">
        <f>IF(E78=0,"-",INDEX([1]RELAÇÃO!$A$1:$AQ$576,MATCH($M78,[1]RELAÇÃO!$AP$1:$AP$576,0),6))</f>
        <v>MME - Ministério de Minas e Energia</v>
      </c>
      <c r="I78" s="275" t="str">
        <f>IF(E78=0,"-",INDEX([1]RELAÇÃO!$A$1:$AQ$576,MATCH($M78,[1]RELAÇÃO!$AP$1:$AP$576,0),12)&amp;INDEX([1]RELAÇÃO!$A$1:$AQ$576,MATCH($M78,[1]RELAÇÃO!$AP$1:$AP$576,0),13)&amp;", de "&amp;INDEX([1]RELAÇÃO!$A$1:$AQ$576,MATCH($M78,[1]RELAÇÃO!$AP$1:$AP$576,0),14)&amp;" - "&amp;INDEX([1]RELAÇÃO!$A$1:$AQ$576,MATCH($M78,[1]RELAÇÃO!$AP$1:$AP$576,0),16)&amp;" de "&amp;INDEX([1]RELAÇÃO!$A$1:$AQ$576,MATCH($M78,[1]RELAÇÃO!$AP$1:$AP$576,0),15))</f>
        <v>Portaria nº 390, de 15/10/2019 - DOU de 23/10/2019</v>
      </c>
      <c r="J78" s="310"/>
      <c r="K78" s="310"/>
      <c r="L78" s="287" t="str">
        <f>IF($E78=0,"-",IF(INDEX([1]RELAÇÃO!$A$1:$AQ$576,MATCH($M78,[1]RELAÇÃO!$AP$1:$AP$576,0),8)="8.000.000","-",INDEX([1]RELAÇÃO!$A$1:$AQ$576,MATCH($M78,[1]RELAÇÃO!$AP$1:$AP$576,0),7)))</f>
        <v>GM / ASTAD / COORDENAÇÃO DE ATIVIDADES ADMINISTRATIVAS</v>
      </c>
      <c r="M78" s="280" t="s">
        <v>301</v>
      </c>
      <c r="N78" s="311"/>
    </row>
    <row r="79" spans="1:14" ht="23.25" x14ac:dyDescent="0.25">
      <c r="A79" s="292"/>
      <c r="B79" s="309" t="s">
        <v>191</v>
      </c>
      <c r="C79" s="273" t="s">
        <v>192</v>
      </c>
      <c r="D79" s="273" t="s">
        <v>193</v>
      </c>
      <c r="E79" s="275" t="str">
        <f>INDEX([1]RELAÇÃO!$A$1:$AQ$576,MATCH($M79,[1]RELAÇÃO!$AP$1:$AP$576,0),1)</f>
        <v>GLAUCIA MARIA DE MEIRELES</v>
      </c>
      <c r="F79" s="276" t="str">
        <f>IF(E79=0,"-",LEFT(INDEX([1]RELAÇÃO!$A$1:$AQ$576,MATCH($M79,[1]RELAÇÃO!$AP$1:$AP$576,0),32),1))</f>
        <v>F</v>
      </c>
      <c r="G79" s="275" t="str">
        <f>IF(E79=0,"-",INDEX([1]RELAÇÃO!$A$1:$AQ$576,MATCH($M79,[1]RELAÇÃO!$AP$1:$AP$576,0),5))</f>
        <v>Sem Vínculo</v>
      </c>
      <c r="H79" s="275" t="str">
        <f>IF(E79=0,"-",INDEX([1]RELAÇÃO!$A$1:$AQ$576,MATCH($M79,[1]RELAÇÃO!$AP$1:$AP$576,0),6))</f>
        <v>Sem Vínculo</v>
      </c>
      <c r="I79" s="275" t="str">
        <f>IF(E79=0,"-",INDEX([1]RELAÇÃO!$A$1:$AQ$576,MATCH($M79,[1]RELAÇÃO!$AP$1:$AP$576,0),12)&amp;INDEX([1]RELAÇÃO!$A$1:$AQ$576,MATCH($M79,[1]RELAÇÃO!$AP$1:$AP$576,0),13)&amp;", de "&amp;INDEX([1]RELAÇÃO!$A$1:$AQ$576,MATCH($M79,[1]RELAÇÃO!$AP$1:$AP$576,0),14)&amp;" - "&amp;INDEX([1]RELAÇÃO!$A$1:$AQ$576,MATCH($M79,[1]RELAÇÃO!$AP$1:$AP$576,0),16)&amp;" de "&amp;INDEX([1]RELAÇÃO!$A$1:$AQ$576,MATCH($M79,[1]RELAÇÃO!$AP$1:$AP$576,0),15))</f>
        <v>Portaria nº 35, de 17/01/2019 - DOU de 21/01/2019</v>
      </c>
      <c r="J79" s="310"/>
      <c r="K79" s="310"/>
      <c r="L79" s="287" t="str">
        <f>IF($E79=0,"-",IF(INDEX([1]RELAÇÃO!$A$1:$AQ$576,MATCH($M79,[1]RELAÇÃO!$AP$1:$AP$576,0),8)="8.000.000","-",INDEX([1]RELAÇÃO!$A$1:$AQ$576,MATCH($M79,[1]RELAÇÃO!$AP$1:$AP$576,0),7)))</f>
        <v>SE / CHEFIA DE GABINETE SE</v>
      </c>
      <c r="M79" s="280" t="s">
        <v>302</v>
      </c>
      <c r="N79" s="311"/>
    </row>
    <row r="80" spans="1:14" ht="23.25" x14ac:dyDescent="0.25">
      <c r="A80" s="292"/>
      <c r="B80" s="309" t="s">
        <v>191</v>
      </c>
      <c r="C80" s="273" t="s">
        <v>192</v>
      </c>
      <c r="D80" s="273" t="s">
        <v>193</v>
      </c>
      <c r="E80" s="275" t="str">
        <f>INDEX([1]RELAÇÃO!$A$1:$AQ$576,MATCH($M80,[1]RELAÇÃO!$AP$1:$AP$576,0),1)</f>
        <v>MARIZA FREIRE DE SOUZA</v>
      </c>
      <c r="F80" s="276" t="str">
        <f>IF(E80=0,"-",LEFT(INDEX([1]RELAÇÃO!$A$1:$AQ$576,MATCH($M80,[1]RELAÇÃO!$AP$1:$AP$576,0),32),1))</f>
        <v>F</v>
      </c>
      <c r="G80" s="275" t="str">
        <f>IF(E80=0,"-",INDEX([1]RELAÇÃO!$A$1:$AQ$576,MATCH($M80,[1]RELAÇÃO!$AP$1:$AP$576,0),5))</f>
        <v>Sem Vínculo</v>
      </c>
      <c r="H80" s="275" t="str">
        <f>IF(E80=0,"-",INDEX([1]RELAÇÃO!$A$1:$AQ$576,MATCH($M80,[1]RELAÇÃO!$AP$1:$AP$576,0),6))</f>
        <v>Sem Vínculo</v>
      </c>
      <c r="I80" s="275" t="str">
        <f>IF(E80=0,"-",INDEX([1]RELAÇÃO!$A$1:$AQ$576,MATCH($M80,[1]RELAÇÃO!$AP$1:$AP$576,0),12)&amp;INDEX([1]RELAÇÃO!$A$1:$AQ$576,MATCH($M80,[1]RELAÇÃO!$AP$1:$AP$576,0),13)&amp;", de "&amp;INDEX([1]RELAÇÃO!$A$1:$AQ$576,MATCH($M80,[1]RELAÇÃO!$AP$1:$AP$576,0),14)&amp;" - "&amp;INDEX([1]RELAÇÃO!$A$1:$AQ$576,MATCH($M80,[1]RELAÇÃO!$AP$1:$AP$576,0),16)&amp;" de "&amp;INDEX([1]RELAÇÃO!$A$1:$AQ$576,MATCH($M80,[1]RELAÇÃO!$AP$1:$AP$576,0),15))</f>
        <v>Portaria nº 138, de 18/02/2019 - DOU de 22/02/2019</v>
      </c>
      <c r="J80" s="310"/>
      <c r="K80" s="310"/>
      <c r="L80" s="287" t="str">
        <f>IF($E80=0,"-",IF(INDEX([1]RELAÇÃO!$A$1:$AQ$576,MATCH($M80,[1]RELAÇÃO!$AP$1:$AP$576,0),8)="8.000.000","-",INDEX([1]RELAÇÃO!$A$1:$AQ$576,MATCH($M80,[1]RELAÇÃO!$AP$1:$AP$576,0),7)))</f>
        <v>SPE / DEPARTAMENTO DE DESENVOLVIMENTO ENERGÉTICO - DDE</v>
      </c>
      <c r="M80" s="280" t="s">
        <v>303</v>
      </c>
      <c r="N80" s="311"/>
    </row>
    <row r="81" spans="1:14" ht="23.25" x14ac:dyDescent="0.25">
      <c r="A81" s="292"/>
      <c r="B81" s="309" t="s">
        <v>191</v>
      </c>
      <c r="C81" s="273" t="s">
        <v>192</v>
      </c>
      <c r="D81" s="273" t="s">
        <v>193</v>
      </c>
      <c r="E81" s="275" t="str">
        <f>INDEX([1]RELAÇÃO!$A$1:$AQ$576,MATCH($M81,[1]RELAÇÃO!$AP$1:$AP$576,0),1)</f>
        <v>REJANE INNECCO DA COSTA</v>
      </c>
      <c r="F81" s="276" t="str">
        <f>IF(E81=0,"-",LEFT(INDEX([1]RELAÇÃO!$A$1:$AQ$576,MATCH($M81,[1]RELAÇÃO!$AP$1:$AP$576,0),32),1))</f>
        <v>F</v>
      </c>
      <c r="G81" s="275" t="str">
        <f>IF(E81=0,"-",INDEX([1]RELAÇÃO!$A$1:$AQ$576,MATCH($M81,[1]RELAÇÃO!$AP$1:$AP$576,0),5))</f>
        <v>Sem Vínculo</v>
      </c>
      <c r="H81" s="275" t="str">
        <f>IF(E81=0,"-",INDEX([1]RELAÇÃO!$A$1:$AQ$576,MATCH($M81,[1]RELAÇÃO!$AP$1:$AP$576,0),6))</f>
        <v>Sem Vínculo</v>
      </c>
      <c r="I81" s="275" t="str">
        <f>IF(E81=0,"-",INDEX([1]RELAÇÃO!$A$1:$AQ$576,MATCH($M81,[1]RELAÇÃO!$AP$1:$AP$576,0),12)&amp;INDEX([1]RELAÇÃO!$A$1:$AQ$576,MATCH($M81,[1]RELAÇÃO!$AP$1:$AP$576,0),13)&amp;", de "&amp;INDEX([1]RELAÇÃO!$A$1:$AQ$576,MATCH($M81,[1]RELAÇÃO!$AP$1:$AP$576,0),14)&amp;" - "&amp;INDEX([1]RELAÇÃO!$A$1:$AQ$576,MATCH($M81,[1]RELAÇÃO!$AP$1:$AP$576,0),16)&amp;" de "&amp;INDEX([1]RELAÇÃO!$A$1:$AQ$576,MATCH($M81,[1]RELAÇÃO!$AP$1:$AP$576,0),15))</f>
        <v>Portaria nº 146, de 27/02/2019 - DOU de 01/03/2019</v>
      </c>
      <c r="J81" s="310"/>
      <c r="K81" s="310"/>
      <c r="L81" s="287" t="str">
        <f>IF($E81=0,"-",IF(INDEX([1]RELAÇÃO!$A$1:$AQ$576,MATCH($M81,[1]RELAÇÃO!$AP$1:$AP$576,0),8)="8.000.000","-",INDEX([1]RELAÇÃO!$A$1:$AQ$576,MATCH($M81,[1]RELAÇÃO!$AP$1:$AP$576,0),7)))</f>
        <v>ASSESSORIA ESPECIAL DE CONTROLE INTERNO - AECI</v>
      </c>
      <c r="M81" s="280" t="s">
        <v>304</v>
      </c>
      <c r="N81" s="311"/>
    </row>
    <row r="82" spans="1:14" ht="23.25" x14ac:dyDescent="0.25">
      <c r="A82" s="295" t="s">
        <v>305</v>
      </c>
      <c r="B82" s="306" t="s">
        <v>224</v>
      </c>
      <c r="C82" s="274" t="s">
        <v>186</v>
      </c>
      <c r="D82" s="274" t="s">
        <v>187</v>
      </c>
      <c r="E82" s="275" t="str">
        <f>INDEX([1]RELAÇÃO!$A$1:$AQ$576,MATCH($M82,[1]RELAÇÃO!$AP$1:$AP$576,0),1)</f>
        <v>JULIETTE QUEIROZ MONSA</v>
      </c>
      <c r="F82" s="276" t="str">
        <f>IF(E82=0,"-",LEFT(INDEX([1]RELAÇÃO!$A$1:$AQ$576,MATCH($M82,[1]RELAÇÃO!$AP$1:$AP$576,0),32),1))</f>
        <v>F</v>
      </c>
      <c r="G82" s="275" t="str">
        <f>IF(E82=0,"-",INDEX([1]RELAÇÃO!$A$1:$AQ$576,MATCH($M82,[1]RELAÇÃO!$AP$1:$AP$576,0),5))</f>
        <v>Sem Vínculo</v>
      </c>
      <c r="H82" s="275" t="str">
        <f>IF(E82=0,"-",INDEX([1]RELAÇÃO!$A$1:$AQ$576,MATCH($M82,[1]RELAÇÃO!$AP$1:$AP$576,0),6))</f>
        <v>Sem Vínculo</v>
      </c>
      <c r="I82" s="275" t="str">
        <f>IF(E82=0,"-",INDEX([1]RELAÇÃO!$A$1:$AQ$576,MATCH($M82,[1]RELAÇÃO!$AP$1:$AP$576,0),12)&amp;INDEX([1]RELAÇÃO!$A$1:$AQ$576,MATCH($M82,[1]RELAÇÃO!$AP$1:$AP$576,0),13)&amp;", de "&amp;INDEX([1]RELAÇÃO!$A$1:$AQ$576,MATCH($M82,[1]RELAÇÃO!$AP$1:$AP$576,0),14)&amp;" - "&amp;INDEX([1]RELAÇÃO!$A$1:$AQ$576,MATCH($M82,[1]RELAÇÃO!$AP$1:$AP$576,0),16)&amp;" de "&amp;INDEX([1]RELAÇÃO!$A$1:$AQ$576,MATCH($M82,[1]RELAÇÃO!$AP$1:$AP$576,0),15))</f>
        <v>Portaria nº 524, de 03/11/2016 - BPE de 04/11/2016</v>
      </c>
      <c r="J82" s="307">
        <f>INDEX([1]RELAÇÃO!$A$1:$AQ$576,MATCH($N82,[1]RELAÇÃO!$AQ$1:$AQ$576,0),1)</f>
        <v>0</v>
      </c>
      <c r="K82" s="308" t="str">
        <f>IF(J82=0,"-",INDEX([1]RELAÇÃO!$A$1:$AQ$576,MATCH($N82,[1]RELAÇÃO!$AQ$1:$AQ$576,0),27)&amp;INDEX([1]RELAÇÃO!$A$1:$AQ$576,MATCH($N82,[1]RELAÇÃO!$AQ$1:$AQ$576,0),28)&amp;", de "&amp;INDEX([1]RELAÇÃO!$A$1:$AQ$576,MATCH($N82,[1]RELAÇÃO!$AQ$1:$AQ$576,0),29)&amp;" - "&amp;INDEX([1]RELAÇÃO!$A$1:$AQ$576,MATCH($N82,[1]RELAÇÃO!$AQ$1:$AQ$576,0),31)&amp;" de "&amp;INDEX([1]RELAÇÃO!$A$1:$AQ$576,MATCH($N82,[1]RELAÇÃO!$AQ$1:$AQ$576,0),30))</f>
        <v>-</v>
      </c>
      <c r="L82" s="287" t="str">
        <f>IF($E82=0,"-",IF(INDEX([1]RELAÇÃO!$A$1:$AQ$576,MATCH($M82,[1]RELAÇÃO!$AP$1:$AP$576,0),8)="8.100.000","-",INDEX([1]RELAÇÃO!$A$1:$AQ$576,MATCH($M82,[1]RELAÇÃO!$AP$1:$AP$576,0),7)))</f>
        <v>-</v>
      </c>
      <c r="M82" s="280" t="s">
        <v>306</v>
      </c>
      <c r="N82" s="280" t="s">
        <v>307</v>
      </c>
    </row>
    <row r="83" spans="1:14" ht="23.25" x14ac:dyDescent="0.25">
      <c r="A83" s="292"/>
      <c r="B83" s="309" t="s">
        <v>228</v>
      </c>
      <c r="C83" s="273" t="s">
        <v>229</v>
      </c>
      <c r="D83" s="273" t="s">
        <v>193</v>
      </c>
      <c r="E83" s="300" t="str">
        <f>INDEX([1]RELAÇÃO!$A$1:$AQ$576,MATCH($M83,[1]RELAÇÃO!$AP$1:$AP$576,0),1)</f>
        <v>ALYNE SOUSA CARVALHO LIBERAL FERREIRA</v>
      </c>
      <c r="F83" s="301" t="str">
        <f>IF(E83=0,"-",LEFT(INDEX([1]RELAÇÃO!$A$1:$AQ$576,MATCH($M83,[1]RELAÇÃO!$AP$1:$AP$576,0),32),1))</f>
        <v>F</v>
      </c>
      <c r="G83" s="300" t="str">
        <f>IF(E83=0,"-",INDEX([1]RELAÇÃO!$A$1:$AQ$576,MATCH($M83,[1]RELAÇÃO!$AP$1:$AP$576,0),5))</f>
        <v>Sem Vínculo</v>
      </c>
      <c r="H83" s="300" t="str">
        <f>IF(E83=0,"-",INDEX([1]RELAÇÃO!$A$1:$AQ$576,MATCH($M83,[1]RELAÇÃO!$AP$1:$AP$576,0),6))</f>
        <v>Sem Vínculo</v>
      </c>
      <c r="I83" s="300" t="str">
        <f>IF(E83=0,"-",INDEX([1]RELAÇÃO!$A$1:$AQ$576,MATCH($M83,[1]RELAÇÃO!$AP$1:$AP$576,0),12)&amp;INDEX([1]RELAÇÃO!$A$1:$AQ$576,MATCH($M83,[1]RELAÇÃO!$AP$1:$AP$576,0),13)&amp;", de "&amp;INDEX([1]RELAÇÃO!$A$1:$AQ$576,MATCH($M83,[1]RELAÇÃO!$AP$1:$AP$576,0),14)&amp;" - "&amp;INDEX([1]RELAÇÃO!$A$1:$AQ$576,MATCH($M83,[1]RELAÇÃO!$AP$1:$AP$576,0),16)&amp;" de "&amp;INDEX([1]RELAÇÃO!$A$1:$AQ$576,MATCH($M83,[1]RELAÇÃO!$AP$1:$AP$576,0),15))</f>
        <v>Portaria nº 161, de 11/03/2019 - DOU de 14/03/2019</v>
      </c>
      <c r="J83" s="310"/>
      <c r="K83" s="310"/>
      <c r="L83" s="302" t="str">
        <f>IF($E83=0,"-",IF(INDEX([1]RELAÇÃO!$A$1:$AQ$576,MATCH($M83,[1]RELAÇÃO!$AP$1:$AP$576,0),8)="8.100.000","-",INDEX([1]RELAÇÃO!$A$1:$AQ$576,MATCH($M83,[1]RELAÇÃO!$AP$1:$AP$576,0),7)))</f>
        <v>-</v>
      </c>
      <c r="M83" s="280" t="s">
        <v>308</v>
      </c>
      <c r="N83" s="311"/>
    </row>
    <row r="84" spans="1:14" ht="23.25" x14ac:dyDescent="0.25">
      <c r="A84" s="292"/>
      <c r="B84" s="309" t="s">
        <v>228</v>
      </c>
      <c r="C84" s="273" t="s">
        <v>229</v>
      </c>
      <c r="D84" s="273" t="s">
        <v>193</v>
      </c>
      <c r="E84" s="300" t="str">
        <f>INDEX([1]RELAÇÃO!$A$1:$AQ$576,MATCH($M84,[1]RELAÇÃO!$AP$1:$AP$576,0),1)</f>
        <v>ROZANA SANTOS PEREIRA CAIXETA</v>
      </c>
      <c r="F84" s="301" t="str">
        <f>IF(E84=0,"-",LEFT(INDEX([1]RELAÇÃO!$A$1:$AQ$576,MATCH($M84,[1]RELAÇÃO!$AP$1:$AP$576,0),32),1))</f>
        <v>F</v>
      </c>
      <c r="G84" s="300" t="str">
        <f>IF(E84=0,"-",INDEX([1]RELAÇÃO!$A$1:$AQ$576,MATCH($M84,[1]RELAÇÃO!$AP$1:$AP$576,0),5))</f>
        <v>Sem Vínculo</v>
      </c>
      <c r="H84" s="300" t="str">
        <f>IF(E84=0,"-",INDEX([1]RELAÇÃO!$A$1:$AQ$576,MATCH($M84,[1]RELAÇÃO!$AP$1:$AP$576,0),6))</f>
        <v>Sem Vínculo</v>
      </c>
      <c r="I84" s="300" t="str">
        <f>IF(E84=0,"-",INDEX([1]RELAÇÃO!$A$1:$AQ$576,MATCH($M84,[1]RELAÇÃO!$AP$1:$AP$576,0),12)&amp;INDEX([1]RELAÇÃO!$A$1:$AQ$576,MATCH($M84,[1]RELAÇÃO!$AP$1:$AP$576,0),13)&amp;", de "&amp;INDEX([1]RELAÇÃO!$A$1:$AQ$576,MATCH($M84,[1]RELAÇÃO!$AP$1:$AP$576,0),14)&amp;" - "&amp;INDEX([1]RELAÇÃO!$A$1:$AQ$576,MATCH($M84,[1]RELAÇÃO!$AP$1:$AP$576,0),16)&amp;" de "&amp;INDEX([1]RELAÇÃO!$A$1:$AQ$576,MATCH($M84,[1]RELAÇÃO!$AP$1:$AP$576,0),15))</f>
        <v>Portaria nº 524, de 03/11/2016 - BPE de 04/11/2016</v>
      </c>
      <c r="J84" s="310"/>
      <c r="K84" s="310"/>
      <c r="L84" s="287" t="str">
        <f>IF($E84=0,"-",IF(INDEX([1]RELAÇÃO!$A$1:$AQ$576,MATCH($M84,[1]RELAÇÃO!$AP$1:$AP$576,0),8)="8.100.000","-",INDEX([1]RELAÇÃO!$A$1:$AQ$576,MATCH($M84,[1]RELAÇÃO!$AP$1:$AP$576,0),7)))</f>
        <v>SPG / CHEFIA DE GABINETE SPG</v>
      </c>
      <c r="M84" s="280" t="s">
        <v>309</v>
      </c>
      <c r="N84" s="311"/>
    </row>
    <row r="85" spans="1:14" ht="23.25" x14ac:dyDescent="0.25">
      <c r="A85" s="292"/>
      <c r="B85" s="309" t="s">
        <v>228</v>
      </c>
      <c r="C85" s="273" t="s">
        <v>229</v>
      </c>
      <c r="D85" s="273" t="s">
        <v>193</v>
      </c>
      <c r="E85" s="275" t="str">
        <f>INDEX([1]RELAÇÃO!$A$1:$AQ$576,MATCH($M85,[1]RELAÇÃO!$AP$1:$AP$576,0),1)</f>
        <v>CLAREN MARCIA DE AZEVEDO</v>
      </c>
      <c r="F85" s="276" t="str">
        <f>IF(E85=0,"-",LEFT(INDEX([1]RELAÇÃO!$A$1:$AQ$576,MATCH($M85,[1]RELAÇÃO!$AP$1:$AP$576,0),32),1))</f>
        <v>F</v>
      </c>
      <c r="G85" s="275" t="str">
        <f>IF(E85=0,"-",INDEX([1]RELAÇÃO!$A$1:$AQ$576,MATCH($M85,[1]RELAÇÃO!$AP$1:$AP$576,0),5))</f>
        <v>Sem Vínculo</v>
      </c>
      <c r="H85" s="275" t="str">
        <f>IF(E85=0,"-",INDEX([1]RELAÇÃO!$A$1:$AQ$576,MATCH($M85,[1]RELAÇÃO!$AP$1:$AP$576,0),6))</f>
        <v>Sem Vínculo</v>
      </c>
      <c r="I85" s="275" t="str">
        <f>IF(E85=0,"-",INDEX([1]RELAÇÃO!$A$1:$AQ$576,MATCH($M85,[1]RELAÇÃO!$AP$1:$AP$576,0),12)&amp;INDEX([1]RELAÇÃO!$A$1:$AQ$576,MATCH($M85,[1]RELAÇÃO!$AP$1:$AP$576,0),13)&amp;", de "&amp;INDEX([1]RELAÇÃO!$A$1:$AQ$576,MATCH($M85,[1]RELAÇÃO!$AP$1:$AP$576,0),14)&amp;" - "&amp;INDEX([1]RELAÇÃO!$A$1:$AQ$576,MATCH($M85,[1]RELAÇÃO!$AP$1:$AP$576,0),16)&amp;" de "&amp;INDEX([1]RELAÇÃO!$A$1:$AQ$576,MATCH($M85,[1]RELAÇÃO!$AP$1:$AP$576,0),15))</f>
        <v>Portaria nº 524, de 03/11/2016 - BPE de 04/11/2016</v>
      </c>
      <c r="J85" s="310"/>
      <c r="K85" s="310"/>
      <c r="L85" s="287" t="str">
        <f>IF($E85=0,"-",IF(INDEX([1]RELAÇÃO!$A$1:$AQ$576,MATCH($M85,[1]RELAÇÃO!$AP$1:$AP$576,0),8)="8.100.000","-",INDEX([1]RELAÇÃO!$A$1:$AQ$576,MATCH($M85,[1]RELAÇÃO!$AP$1:$AP$576,0),7)))</f>
        <v>-</v>
      </c>
      <c r="M85" s="280" t="s">
        <v>310</v>
      </c>
      <c r="N85" s="311"/>
    </row>
    <row r="86" spans="1:14" ht="23.25" x14ac:dyDescent="0.25">
      <c r="A86" s="292"/>
      <c r="B86" s="309" t="s">
        <v>247</v>
      </c>
      <c r="C86" s="296" t="s">
        <v>250</v>
      </c>
      <c r="D86" s="273" t="s">
        <v>193</v>
      </c>
      <c r="E86" s="275" t="str">
        <f>INDEX([1]RELAÇÃO!$A$1:$AQ$576,MATCH($M86,[1]RELAÇÃO!$AP$1:$AP$576,0),1)</f>
        <v>JOELMA MENDES DE MELLO</v>
      </c>
      <c r="F86" s="276" t="str">
        <f>IF(E86=0,"-",LEFT(INDEX([1]RELAÇÃO!$A$1:$AQ$576,MATCH($M86,[1]RELAÇÃO!$AP$1:$AP$576,0),32),1))</f>
        <v>F</v>
      </c>
      <c r="G86" s="275" t="str">
        <f>IF(E86=0,"-",INDEX([1]RELAÇÃO!$A$1:$AQ$576,MATCH($M86,[1]RELAÇÃO!$AP$1:$AP$576,0),5))</f>
        <v>Ativo Permanente</v>
      </c>
      <c r="H86" s="275" t="str">
        <f>IF(E86=0,"-",INDEX([1]RELAÇÃO!$A$1:$AQ$576,MATCH($M86,[1]RELAÇÃO!$AP$1:$AP$576,0),6))</f>
        <v>MME - Ministério de Minas e Energia</v>
      </c>
      <c r="I86" s="275" t="str">
        <f>IF(E86=0,"-",INDEX([1]RELAÇÃO!$A$1:$AQ$576,MATCH($M86,[1]RELAÇÃO!$AP$1:$AP$576,0),12)&amp;INDEX([1]RELAÇÃO!$A$1:$AQ$576,MATCH($M86,[1]RELAÇÃO!$AP$1:$AP$576,0),13)&amp;", de "&amp;INDEX([1]RELAÇÃO!$A$1:$AQ$576,MATCH($M86,[1]RELAÇÃO!$AP$1:$AP$576,0),14)&amp;" - "&amp;INDEX([1]RELAÇÃO!$A$1:$AQ$576,MATCH($M86,[1]RELAÇÃO!$AP$1:$AP$576,0),16)&amp;" de "&amp;INDEX([1]RELAÇÃO!$A$1:$AQ$576,MATCH($M86,[1]RELAÇÃO!$AP$1:$AP$576,0),15))</f>
        <v>Portaria nº 202, de 15/04/2019 - DOU de 16/04/2019</v>
      </c>
      <c r="J86" s="310"/>
      <c r="K86" s="310"/>
      <c r="L86" s="287" t="str">
        <f>IF($E86=0,"-",IF(INDEX([1]RELAÇÃO!$A$1:$AQ$576,MATCH($M86,[1]RELAÇÃO!$AP$1:$AP$576,0),8)="8.100.000","-",INDEX([1]RELAÇÃO!$A$1:$AQ$576,MATCH($M86,[1]RELAÇÃO!$AP$1:$AP$576,0),7)))</f>
        <v>SE / SPOA / CGCC / COORDENAÇÃO DE ADMINISTRAÇÃO DE CONTRATOS - CAC</v>
      </c>
      <c r="M86" s="280" t="s">
        <v>311</v>
      </c>
      <c r="N86" s="311"/>
    </row>
    <row r="87" spans="1:14" ht="23.25" x14ac:dyDescent="0.25">
      <c r="A87" s="292"/>
      <c r="B87" s="309" t="s">
        <v>247</v>
      </c>
      <c r="C87" s="296" t="s">
        <v>250</v>
      </c>
      <c r="D87" s="273" t="s">
        <v>193</v>
      </c>
      <c r="E87" s="275" t="str">
        <f>INDEX([1]RELAÇÃO!$A$1:$AQ$576,MATCH($M87,[1]RELAÇÃO!$AP$1:$AP$576,0),1)</f>
        <v>ANTONIELA BRAGGIO STAMM</v>
      </c>
      <c r="F87" s="276" t="str">
        <f>IF(E87=0,"-",LEFT(INDEX([1]RELAÇÃO!$A$1:$AQ$576,MATCH($M87,[1]RELAÇÃO!$AP$1:$AP$576,0),32),1))</f>
        <v>F</v>
      </c>
      <c r="G87" s="275" t="str">
        <f>IF(E87=0,"-",INDEX([1]RELAÇÃO!$A$1:$AQ$576,MATCH($M87,[1]RELAÇÃO!$AP$1:$AP$576,0),5))</f>
        <v>Requisitado de Órgãos</v>
      </c>
      <c r="H87" s="275" t="str">
        <f>IF(E87=0,"-",INDEX([1]RELAÇÃO!$A$1:$AQ$576,MATCH($M87,[1]RELAÇÃO!$AP$1:$AP$576,0),6))</f>
        <v>ME - Ministério da Economia</v>
      </c>
      <c r="I87" s="275" t="str">
        <f>IF(E87=0,"-",INDEX([1]RELAÇÃO!$A$1:$AQ$576,MATCH($M87,[1]RELAÇÃO!$AP$1:$AP$576,0),12)&amp;INDEX([1]RELAÇÃO!$A$1:$AQ$576,MATCH($M87,[1]RELAÇÃO!$AP$1:$AP$576,0),13)&amp;", de "&amp;INDEX([1]RELAÇÃO!$A$1:$AQ$576,MATCH($M87,[1]RELAÇÃO!$AP$1:$AP$576,0),14)&amp;" - "&amp;INDEX([1]RELAÇÃO!$A$1:$AQ$576,MATCH($M87,[1]RELAÇÃO!$AP$1:$AP$576,0),16)&amp;" de "&amp;INDEX([1]RELAÇÃO!$A$1:$AQ$576,MATCH($M87,[1]RELAÇÃO!$AP$1:$AP$576,0),15))</f>
        <v>Portaria nº 99, de 01/02/2019 - DOU de 05/02/2019</v>
      </c>
      <c r="J87" s="310"/>
      <c r="K87" s="310"/>
      <c r="L87" s="287" t="str">
        <f>IF($E87=0,"-",IF(INDEX([1]RELAÇÃO!$A$1:$AQ$576,MATCH($M87,[1]RELAÇÃO!$AP$1:$AP$576,0),8)="8.100.000","-",INDEX([1]RELAÇÃO!$A$1:$AQ$576,MATCH($M87,[1]RELAÇÃO!$AP$1:$AP$576,0),7)))</f>
        <v>SE / SPOA / CGRL / COORDENAÇÃO DE ATIVIDADES GERAIS - COAGE</v>
      </c>
      <c r="M87" s="280" t="s">
        <v>312</v>
      </c>
      <c r="N87" s="311"/>
    </row>
    <row r="88" spans="1:14" ht="23.25" x14ac:dyDescent="0.25">
      <c r="A88" s="292"/>
      <c r="B88" s="309" t="s">
        <v>247</v>
      </c>
      <c r="C88" s="296" t="s">
        <v>250</v>
      </c>
      <c r="D88" s="273" t="s">
        <v>193</v>
      </c>
      <c r="E88" s="275" t="str">
        <f>INDEX([1]RELAÇÃO!$A$1:$AQ$576,MATCH($M88,[1]RELAÇÃO!$AP$1:$AP$576,0),1)</f>
        <v>ANDRE ROBERTO CORTEZ</v>
      </c>
      <c r="F88" s="276" t="str">
        <f>IF(E88=0,"-",LEFT(INDEX([1]RELAÇÃO!$A$1:$AQ$576,MATCH($M88,[1]RELAÇÃO!$AP$1:$AP$576,0),32),1))</f>
        <v>M</v>
      </c>
      <c r="G88" s="275" t="str">
        <f>IF(E88=0,"-",INDEX([1]RELAÇÃO!$A$1:$AQ$576,MATCH($M88,[1]RELAÇÃO!$AP$1:$AP$576,0),5))</f>
        <v>Ativo Permanente</v>
      </c>
      <c r="H88" s="275" t="str">
        <f>IF(E88=0,"-",INDEX([1]RELAÇÃO!$A$1:$AQ$576,MATCH($M88,[1]RELAÇÃO!$AP$1:$AP$576,0),6))</f>
        <v>MME - Ministério de Minas e Energia</v>
      </c>
      <c r="I88" s="275" t="str">
        <f>IF(E88=0,"-",INDEX([1]RELAÇÃO!$A$1:$AQ$576,MATCH($M88,[1]RELAÇÃO!$AP$1:$AP$576,0),12)&amp;INDEX([1]RELAÇÃO!$A$1:$AQ$576,MATCH($M88,[1]RELAÇÃO!$AP$1:$AP$576,0),13)&amp;", de "&amp;INDEX([1]RELAÇÃO!$A$1:$AQ$576,MATCH($M88,[1]RELAÇÃO!$AP$1:$AP$576,0),14)&amp;" - "&amp;INDEX([1]RELAÇÃO!$A$1:$AQ$576,MATCH($M88,[1]RELAÇÃO!$AP$1:$AP$576,0),16)&amp;" de "&amp;INDEX([1]RELAÇÃO!$A$1:$AQ$576,MATCH($M88,[1]RELAÇÃO!$AP$1:$AP$576,0),15))</f>
        <v>Portaria nº 524, de 03/11/2016 - BPE de 04/11/2016</v>
      </c>
      <c r="J88" s="310"/>
      <c r="K88" s="310"/>
      <c r="L88" s="287" t="str">
        <f>IF($E88=0,"-",IF(INDEX([1]RELAÇÃO!$A$1:$AQ$576,MATCH($M88,[1]RELAÇÃO!$AP$1:$AP$576,0),8)="8.100.000","-",INDEX([1]RELAÇÃO!$A$1:$AQ$576,MATCH($M88,[1]RELAÇÃO!$AP$1:$AP$576,0),7)))</f>
        <v>SE / AEGE / COORDENAÇÃO GERAL DE PLANEJAMENTO ESTRATÉGICO, SUPERVISÃO E AVALIAÇÃO - CGPE</v>
      </c>
      <c r="M88" s="280" t="s">
        <v>313</v>
      </c>
      <c r="N88" s="311"/>
    </row>
    <row r="89" spans="1:14" ht="23.25" x14ac:dyDescent="0.25">
      <c r="A89" s="403" t="s">
        <v>314</v>
      </c>
      <c r="B89" s="309" t="s">
        <v>315</v>
      </c>
      <c r="C89" s="273" t="s">
        <v>206</v>
      </c>
      <c r="D89" s="274" t="s">
        <v>187</v>
      </c>
      <c r="E89" s="275" t="str">
        <f>INDEX([1]RELAÇÃO!$A$1:$AQ$576,MATCH($M89,[1]RELAÇÃO!$AP$1:$AP$576,0),1)</f>
        <v>NEY ZANELLA DOS SANTOS</v>
      </c>
      <c r="F89" s="276" t="str">
        <f>IF(E89=0,"-",LEFT(INDEX([1]RELAÇÃO!$A$1:$AQ$576,MATCH($M89,[1]RELAÇÃO!$AP$1:$AP$576,0),32),1))</f>
        <v>M</v>
      </c>
      <c r="G89" s="275" t="str">
        <f>IF(E89=0,"-",INDEX([1]RELAÇÃO!$A$1:$AQ$576,MATCH($M89,[1]RELAÇÃO!$AP$1:$AP$576,0),5))</f>
        <v>Sem Vínculo</v>
      </c>
      <c r="H89" s="275" t="str">
        <f>IF(E89=0,"-",INDEX([1]RELAÇÃO!$A$1:$AQ$576,MATCH($M89,[1]RELAÇÃO!$AP$1:$AP$576,0),6))</f>
        <v>Sem Vínculo</v>
      </c>
      <c r="I89" s="275" t="str">
        <f>IF(E89=0,"-",INDEX([1]RELAÇÃO!$A$1:$AQ$576,MATCH($M89,[1]RELAÇÃO!$AP$1:$AP$576,0),12)&amp;INDEX([1]RELAÇÃO!$A$1:$AQ$576,MATCH($M89,[1]RELAÇÃO!$AP$1:$AP$576,0),13)&amp;", de "&amp;INDEX([1]RELAÇÃO!$A$1:$AQ$576,MATCH($M89,[1]RELAÇÃO!$AP$1:$AP$576,0),14)&amp;" - "&amp;INDEX([1]RELAÇÃO!$A$1:$AQ$576,MATCH($M89,[1]RELAÇÃO!$AP$1:$AP$576,0),16)&amp;" de "&amp;INDEX([1]RELAÇÃO!$A$1:$AQ$576,MATCH($M89,[1]RELAÇÃO!$AP$1:$AP$576,0),15))</f>
        <v>Portaria nº 1760, de 13/05/2019 - DOU de 14/05/2019</v>
      </c>
      <c r="J89" s="307" t="str">
        <f>INDEX([1]RELAÇÃO!$A$1:$AQ$576,MATCH($N89,[1]RELAÇÃO!$AQ$1:$AQ$576,0),1)</f>
        <v>JAIREZ ELÓI DE SOUSA PAULISTA</v>
      </c>
      <c r="K89" s="308" t="str">
        <f>IF(J89=0,"-",INDEX([1]RELAÇÃO!$A$1:$AQ$576,MATCH($N89,[1]RELAÇÃO!$AQ$1:$AQ$576,0),27)&amp;INDEX([1]RELAÇÃO!$A$1:$AQ$576,MATCH($N89,[1]RELAÇÃO!$AQ$1:$AQ$576,0),28)&amp;", de "&amp;INDEX([1]RELAÇÃO!$A$1:$AQ$576,MATCH($N89,[1]RELAÇÃO!$AQ$1:$AQ$576,0),29)&amp;" - "&amp;INDEX([1]RELAÇÃO!$A$1:$AQ$576,MATCH($N89,[1]RELAÇÃO!$AQ$1:$AQ$576,0),31)&amp;" de "&amp;INDEX([1]RELAÇÃO!$A$1:$AQ$576,MATCH($N89,[1]RELAÇÃO!$AQ$1:$AQ$576,0),30))</f>
        <v>Portaria nº 433, de 07/11/2017 - DOU de 09/11/2017</v>
      </c>
      <c r="L89" s="287" t="str">
        <f>IF($E89=0,"-",IF(INDEX([1]RELAÇÃO!$A$1:$AQ$576,MATCH($M89,[1]RELAÇÃO!$AP$1:$AP$576,0),8)="8.101.000","-",INDEX([1]RELAÇÃO!$A$1:$AQ$576,MATCH($M89,[1]RELAÇÃO!$AP$1:$AP$576,0),7)))</f>
        <v>-</v>
      </c>
      <c r="M89" s="280" t="s">
        <v>316</v>
      </c>
      <c r="N89" s="280" t="s">
        <v>317</v>
      </c>
    </row>
    <row r="90" spans="1:14" ht="23.25" x14ac:dyDescent="0.25">
      <c r="A90" s="292"/>
      <c r="B90" s="309" t="s">
        <v>191</v>
      </c>
      <c r="C90" s="273" t="s">
        <v>192</v>
      </c>
      <c r="D90" s="273" t="s">
        <v>193</v>
      </c>
      <c r="E90" s="275" t="str">
        <f>INDEX([1]RELAÇÃO!$A$1:$AQ$576,MATCH($M90,[1]RELAÇÃO!$AP$1:$AP$576,0),1)</f>
        <v>JOÃO CLAUDIO LIMA DE FRANCO</v>
      </c>
      <c r="F90" s="276" t="str">
        <f>IF(E90=0,"-",LEFT(INDEX([1]RELAÇÃO!$A$1:$AQ$576,MATCH($M90,[1]RELAÇÃO!$AP$1:$AP$576,0),32),1))</f>
        <v>M</v>
      </c>
      <c r="G90" s="275" t="str">
        <f>IF(E90=0,"-",INDEX([1]RELAÇÃO!$A$1:$AQ$576,MATCH($M90,[1]RELAÇÃO!$AP$1:$AP$576,0),5))</f>
        <v>Sem Vínculo</v>
      </c>
      <c r="H90" s="275" t="str">
        <f>IF(E90=0,"-",INDEX([1]RELAÇÃO!$A$1:$AQ$576,MATCH($M90,[1]RELAÇÃO!$AP$1:$AP$576,0),6))</f>
        <v>Sem Vínculo</v>
      </c>
      <c r="I90" s="275" t="str">
        <f>IF(E90=0,"-",INDEX([1]RELAÇÃO!$A$1:$AQ$576,MATCH($M90,[1]RELAÇÃO!$AP$1:$AP$576,0),12)&amp;INDEX([1]RELAÇÃO!$A$1:$AQ$576,MATCH($M90,[1]RELAÇÃO!$AP$1:$AP$576,0),13)&amp;", de "&amp;INDEX([1]RELAÇÃO!$A$1:$AQ$576,MATCH($M90,[1]RELAÇÃO!$AP$1:$AP$576,0),14)&amp;" - "&amp;INDEX([1]RELAÇÃO!$A$1:$AQ$576,MATCH($M90,[1]RELAÇÃO!$AP$1:$AP$576,0),16)&amp;" de "&amp;INDEX([1]RELAÇÃO!$A$1:$AQ$576,MATCH($M90,[1]RELAÇÃO!$AP$1:$AP$576,0),15))</f>
        <v>Portaria nº 524, de 03/11/2016 - BPE de 04/11/2016</v>
      </c>
      <c r="J90" s="310"/>
      <c r="K90" s="310"/>
      <c r="L90" s="287" t="str">
        <f>IF($E90=0,"-",IF(INDEX([1]RELAÇÃO!$A$1:$AQ$576,MATCH($M90,[1]RELAÇÃO!$AP$1:$AP$576,0),8)="8.101.000","-",INDEX([1]RELAÇÃO!$A$1:$AQ$576,MATCH($M90,[1]RELAÇÃO!$AP$1:$AP$576,0),7)))</f>
        <v>-</v>
      </c>
      <c r="M90" s="280" t="s">
        <v>318</v>
      </c>
      <c r="N90" s="311"/>
    </row>
    <row r="91" spans="1:14" ht="23.25" x14ac:dyDescent="0.25">
      <c r="A91" s="305"/>
      <c r="B91" s="309" t="s">
        <v>228</v>
      </c>
      <c r="C91" s="273" t="s">
        <v>229</v>
      </c>
      <c r="D91" s="273" t="s">
        <v>193</v>
      </c>
      <c r="E91" s="275" t="str">
        <f>INDEX([1]RELAÇÃO!$A$1:$AQ$576,MATCH($M91,[1]RELAÇÃO!$AP$1:$AP$576,0),1)</f>
        <v>CLAUDIA MARIA DA SILVA MEIRA</v>
      </c>
      <c r="F91" s="276" t="str">
        <f>IF(E91=0,"-",LEFT(INDEX([1]RELAÇÃO!$A$1:$AQ$576,MATCH($M91,[1]RELAÇÃO!$AP$1:$AP$576,0),32),1))</f>
        <v>F</v>
      </c>
      <c r="G91" s="275" t="str">
        <f>IF(E91=0,"-",INDEX([1]RELAÇÃO!$A$1:$AQ$576,MATCH($M91,[1]RELAÇÃO!$AP$1:$AP$576,0),5))</f>
        <v>Sem Vínculo</v>
      </c>
      <c r="H91" s="275" t="str">
        <f>IF(E91=0,"-",INDEX([1]RELAÇÃO!$A$1:$AQ$576,MATCH($M91,[1]RELAÇÃO!$AP$1:$AP$576,0),6))</f>
        <v>Sem Vínculo</v>
      </c>
      <c r="I91" s="275" t="str">
        <f>IF(E91=0,"-",INDEX([1]RELAÇÃO!$A$1:$AQ$576,MATCH($M91,[1]RELAÇÃO!$AP$1:$AP$576,0),12)&amp;INDEX([1]RELAÇÃO!$A$1:$AQ$576,MATCH($M91,[1]RELAÇÃO!$AP$1:$AP$576,0),13)&amp;", de "&amp;INDEX([1]RELAÇÃO!$A$1:$AQ$576,MATCH($M91,[1]RELAÇÃO!$AP$1:$AP$576,0),14)&amp;" - "&amp;INDEX([1]RELAÇÃO!$A$1:$AQ$576,MATCH($M91,[1]RELAÇÃO!$AP$1:$AP$576,0),16)&amp;" de "&amp;INDEX([1]RELAÇÃO!$A$1:$AQ$576,MATCH($M91,[1]RELAÇÃO!$AP$1:$AP$576,0),15))</f>
        <v>Portaria nº 524, de 03/11/2016 - BPE de 04/11/2016</v>
      </c>
      <c r="J91" s="310"/>
      <c r="K91" s="310"/>
      <c r="L91" s="287" t="str">
        <f>IF($E91=0,"-",IF(INDEX([1]RELAÇÃO!$A$1:$AQ$576,MATCH($M91,[1]RELAÇÃO!$AP$1:$AP$576,0),8)="8.101.000","-",INDEX([1]RELAÇÃO!$A$1:$AQ$576,MATCH($M91,[1]RELAÇÃO!$AP$1:$AP$576,0),7)))</f>
        <v>-</v>
      </c>
      <c r="M91" s="280" t="s">
        <v>319</v>
      </c>
      <c r="N91" s="311"/>
    </row>
    <row r="92" spans="1:14" ht="33.75" x14ac:dyDescent="0.25">
      <c r="A92" s="404" t="s">
        <v>320</v>
      </c>
      <c r="B92" s="309" t="s">
        <v>321</v>
      </c>
      <c r="C92" s="273" t="s">
        <v>186</v>
      </c>
      <c r="D92" s="274" t="s">
        <v>187</v>
      </c>
      <c r="E92" s="275" t="str">
        <f>INDEX([1]RELAÇÃO!$A$1:$AQ$576,MATCH($M92,[1]RELAÇÃO!$AP$1:$AP$576,0),1)</f>
        <v>JAIREZ ELÓI DE SOUSA PAULISTA</v>
      </c>
      <c r="F92" s="276" t="str">
        <f>IF(E92=0,"-",LEFT(INDEX([1]RELAÇÃO!$A$1:$AQ$576,MATCH($M92,[1]RELAÇÃO!$AP$1:$AP$576,0),32),1))</f>
        <v>M</v>
      </c>
      <c r="G92" s="275" t="str">
        <f>IF(E92=0,"-",INDEX([1]RELAÇÃO!$A$1:$AQ$576,MATCH($M92,[1]RELAÇÃO!$AP$1:$AP$576,0),5))</f>
        <v>Sem Vínculo</v>
      </c>
      <c r="H92" s="275" t="str">
        <f>IF(E92=0,"-",INDEX([1]RELAÇÃO!$A$1:$AQ$576,MATCH($M92,[1]RELAÇÃO!$AP$1:$AP$576,0),6))</f>
        <v>Sem Vínculo</v>
      </c>
      <c r="I92" s="275" t="str">
        <f>IF(E92=0,"-",INDEX([1]RELAÇÃO!$A$1:$AQ$576,MATCH($M92,[1]RELAÇÃO!$AP$1:$AP$576,0),12)&amp;INDEX([1]RELAÇÃO!$A$1:$AQ$576,MATCH($M92,[1]RELAÇÃO!$AP$1:$AP$576,0),13)&amp;", de "&amp;INDEX([1]RELAÇÃO!$A$1:$AQ$576,MATCH($M92,[1]RELAÇÃO!$AP$1:$AP$576,0),14)&amp;" - "&amp;INDEX([1]RELAÇÃO!$A$1:$AQ$576,MATCH($M92,[1]RELAÇÃO!$AP$1:$AP$576,0),16)&amp;" de "&amp;INDEX([1]RELAÇÃO!$A$1:$AQ$576,MATCH($M92,[1]RELAÇÃO!$AP$1:$AP$576,0),15))</f>
        <v>Portaria nº 385, de 02/10/2017 - DOU de 11/10/2017</v>
      </c>
      <c r="J92" s="307" t="str">
        <f>INDEX([1]RELAÇÃO!$A$1:$AQ$576,MATCH($N92,[1]RELAÇÃO!$AQ$1:$AQ$576,0),1)</f>
        <v>JOÃO CLAUDIO LIMA DE FRANCO</v>
      </c>
      <c r="K92" s="395" t="str">
        <f>IF(J92=0,"-",INDEX([1]RELAÇÃO!$A$1:$AQ$576,MATCH($N92,[1]RELAÇÃO!$AQ$1:$AQ$576,0),27)&amp;INDEX([1]RELAÇÃO!$A$1:$AQ$576,MATCH($N92,[1]RELAÇÃO!$AQ$1:$AQ$576,0),28)&amp;", de "&amp;INDEX([1]RELAÇÃO!$A$1:$AQ$576,MATCH($N92,[1]RELAÇÃO!$AQ$1:$AQ$576,0),29)&amp;" - "&amp;INDEX([1]RELAÇÃO!$A$1:$AQ$576,MATCH($N92,[1]RELAÇÃO!$AQ$1:$AQ$576,0),31)&amp;" de "&amp;INDEX([1]RELAÇÃO!$A$1:$AQ$576,MATCH($N92,[1]RELAÇÃO!$AQ$1:$AQ$576,0),30))</f>
        <v>Portaria nº 692, de 06/12/2016 - DOU de 08/12/2016</v>
      </c>
      <c r="L92" s="287" t="str">
        <f>IF($E92=0,"-",IF(INDEX([1]RELAÇÃO!$A$1:$AQ$576,MATCH($M92,[1]RELAÇÃO!$AP$1:$AP$576,0),8)="8.101.100","-",INDEX([1]RELAÇÃO!$A$1:$AQ$576,MATCH($M92,[1]RELAÇÃO!$AP$1:$AP$576,0),7)))</f>
        <v>-</v>
      </c>
      <c r="M92" s="280" t="s">
        <v>322</v>
      </c>
      <c r="N92" s="280" t="s">
        <v>323</v>
      </c>
    </row>
    <row r="93" spans="1:14" ht="23.25" x14ac:dyDescent="0.25">
      <c r="A93" s="292" t="s">
        <v>324</v>
      </c>
      <c r="B93" s="309" t="s">
        <v>242</v>
      </c>
      <c r="C93" s="273" t="s">
        <v>325</v>
      </c>
      <c r="D93" s="274" t="s">
        <v>187</v>
      </c>
      <c r="E93" s="275" t="str">
        <f>INDEX([1]RELAÇÃO!$A$1:$AQ$576,MATCH($M93,[1]RELAÇÃO!$AP$1:$AP$576,0),1)</f>
        <v>VIVALDO BELARMINO VALENCA</v>
      </c>
      <c r="F93" s="276" t="str">
        <f>IF(E93=0,"-",LEFT(INDEX([1]RELAÇÃO!$A$1:$AQ$576,MATCH($M93,[1]RELAÇÃO!$AP$1:$AP$576,0),32),1))</f>
        <v>M</v>
      </c>
      <c r="G93" s="275" t="str">
        <f>IF(E93=0,"-",INDEX([1]RELAÇÃO!$A$1:$AQ$576,MATCH($M93,[1]RELAÇÃO!$AP$1:$AP$576,0),5))</f>
        <v>Ativo Permanente</v>
      </c>
      <c r="H93" s="275" t="str">
        <f>IF(E93=0,"-",INDEX([1]RELAÇÃO!$A$1:$AQ$576,MATCH($M93,[1]RELAÇÃO!$AP$1:$AP$576,0),6))</f>
        <v>MME - Ministério de Minas e Energia</v>
      </c>
      <c r="I93" s="275" t="str">
        <f>IF(E93=0,"-",INDEX([1]RELAÇÃO!$A$1:$AQ$576,MATCH($M93,[1]RELAÇÃO!$AP$1:$AP$576,0),12)&amp;INDEX([1]RELAÇÃO!$A$1:$AQ$576,MATCH($M93,[1]RELAÇÃO!$AP$1:$AP$576,0),13)&amp;", de "&amp;INDEX([1]RELAÇÃO!$A$1:$AQ$576,MATCH($M93,[1]RELAÇÃO!$AP$1:$AP$576,0),14)&amp;" - "&amp;INDEX([1]RELAÇÃO!$A$1:$AQ$576,MATCH($M93,[1]RELAÇÃO!$AP$1:$AP$576,0),16)&amp;" de "&amp;INDEX([1]RELAÇÃO!$A$1:$AQ$576,MATCH($M93,[1]RELAÇÃO!$AP$1:$AP$576,0),15))</f>
        <v>Portaria nº 115, de 18/03/2020 - DOU de 19/03/2020</v>
      </c>
      <c r="J93" s="307">
        <f>INDEX([1]RELAÇÃO!$A$1:$AQ$576,MATCH($N93,[1]RELAÇÃO!$AQ$1:$AQ$576,0),1)</f>
        <v>0</v>
      </c>
      <c r="K93" s="308" t="str">
        <f>IF(J93=0,"-",INDEX([1]RELAÇÃO!$A$1:$AQ$576,MATCH($N93,[1]RELAÇÃO!$AQ$1:$AQ$576,0),27)&amp;INDEX([1]RELAÇÃO!$A$1:$AQ$576,MATCH($N93,[1]RELAÇÃO!$AQ$1:$AQ$576,0),28)&amp;", de "&amp;INDEX([1]RELAÇÃO!$A$1:$AQ$576,MATCH($N93,[1]RELAÇÃO!$AQ$1:$AQ$576,0),29)&amp;" - "&amp;INDEX([1]RELAÇÃO!$A$1:$AQ$576,MATCH($N93,[1]RELAÇÃO!$AQ$1:$AQ$576,0),31)&amp;" de "&amp;INDEX([1]RELAÇÃO!$A$1:$AQ$576,MATCH($N93,[1]RELAÇÃO!$AQ$1:$AQ$576,0),30))</f>
        <v>-</v>
      </c>
      <c r="L93" s="287" t="str">
        <f>IF($E93=0,"-",IF(INDEX([1]RELAÇÃO!$A$1:$AQ$576,MATCH($M93,[1]RELAÇÃO!$AP$1:$AP$576,0),8)="8.101.120","-",INDEX([1]RELAÇÃO!$A$1:$AQ$576,MATCH($M93,[1]RELAÇÃO!$AP$1:$AP$576,0),7)))</f>
        <v>-</v>
      </c>
      <c r="M93" s="280" t="s">
        <v>326</v>
      </c>
      <c r="N93" s="280" t="s">
        <v>327</v>
      </c>
    </row>
    <row r="94" spans="1:14" ht="23.25" x14ac:dyDescent="0.25">
      <c r="A94" s="402" t="s">
        <v>328</v>
      </c>
      <c r="B94" s="309" t="s">
        <v>242</v>
      </c>
      <c r="C94" s="296" t="s">
        <v>243</v>
      </c>
      <c r="D94" s="274" t="s">
        <v>187</v>
      </c>
      <c r="E94" s="275" t="str">
        <f>INDEX([1]RELAÇÃO!$A$1:$AQ$576,MATCH($M94,[1]RELAÇÃO!$AP$1:$AP$576,0),1)</f>
        <v>SILVIO CASTILHO DAS OLIVEIRAS</v>
      </c>
      <c r="F94" s="276" t="str">
        <f>IF(E94=0,"-",LEFT(INDEX([1]RELAÇÃO!$A$1:$AQ$576,MATCH($M94,[1]RELAÇÃO!$AP$1:$AP$576,0),32),1))</f>
        <v>M</v>
      </c>
      <c r="G94" s="275" t="str">
        <f>IF(E94=0,"-",INDEX([1]RELAÇÃO!$A$1:$AQ$576,MATCH($M94,[1]RELAÇÃO!$AP$1:$AP$576,0),5))</f>
        <v>Exercício Descentralizado</v>
      </c>
      <c r="H94" s="275" t="str">
        <f>IF(E94=0,"-",INDEX([1]RELAÇÃO!$A$1:$AQ$576,MATCH($M94,[1]RELAÇÃO!$AP$1:$AP$576,0),6))</f>
        <v>ME - Ministério da Economia</v>
      </c>
      <c r="I94" s="275" t="str">
        <f>IF(E94=0,"-",INDEX([1]RELAÇÃO!$A$1:$AQ$576,MATCH($M94,[1]RELAÇÃO!$AP$1:$AP$576,0),12)&amp;INDEX([1]RELAÇÃO!$A$1:$AQ$576,MATCH($M94,[1]RELAÇÃO!$AP$1:$AP$576,0),13)&amp;", de "&amp;INDEX([1]RELAÇÃO!$A$1:$AQ$576,MATCH($M94,[1]RELAÇÃO!$AP$1:$AP$576,0),14)&amp;" - "&amp;INDEX([1]RELAÇÃO!$A$1:$AQ$576,MATCH($M94,[1]RELAÇÃO!$AP$1:$AP$576,0),16)&amp;" de "&amp;INDEX([1]RELAÇÃO!$A$1:$AQ$576,MATCH($M94,[1]RELAÇÃO!$AP$1:$AP$576,0),15))</f>
        <v>Portaria nº 524, de 03/11/2016 - BPE de 04/11/2016</v>
      </c>
      <c r="J94" s="307">
        <f>INDEX([1]RELAÇÃO!$A$1:$AQ$576,MATCH($N94,[1]RELAÇÃO!$AQ$1:$AQ$576,0),1)</f>
        <v>0</v>
      </c>
      <c r="K94" s="308" t="str">
        <f>IF(J94=0,"-",INDEX([1]RELAÇÃO!$A$1:$AQ$576,MATCH($N94,[1]RELAÇÃO!$AQ$1:$AQ$576,0),27)&amp;INDEX([1]RELAÇÃO!$A$1:$AQ$576,MATCH($N94,[1]RELAÇÃO!$AQ$1:$AQ$576,0),28)&amp;", de "&amp;INDEX([1]RELAÇÃO!$A$1:$AQ$576,MATCH($N94,[1]RELAÇÃO!$AQ$1:$AQ$576,0),29)&amp;" - "&amp;INDEX([1]RELAÇÃO!$A$1:$AQ$576,MATCH($N94,[1]RELAÇÃO!$AQ$1:$AQ$576,0),31)&amp;" de "&amp;INDEX([1]RELAÇÃO!$A$1:$AQ$576,MATCH($N94,[1]RELAÇÃO!$AQ$1:$AQ$576,0),30))</f>
        <v>-</v>
      </c>
      <c r="L94" s="287" t="str">
        <f>IF($E94=0,"-",IF(INDEX([1]RELAÇÃO!$A$1:$AQ$576,MATCH($M94,[1]RELAÇÃO!$AP$1:$AP$576,0),8)="8.101.110","-",INDEX([1]RELAÇÃO!$A$1:$AQ$576,MATCH($M94,[1]RELAÇÃO!$AP$1:$AP$576,0),7)))</f>
        <v>-</v>
      </c>
      <c r="M94" s="280" t="s">
        <v>329</v>
      </c>
      <c r="N94" s="280" t="s">
        <v>330</v>
      </c>
    </row>
    <row r="95" spans="1:14" ht="23.25" x14ac:dyDescent="0.25">
      <c r="A95" s="292"/>
      <c r="B95" s="309" t="s">
        <v>228</v>
      </c>
      <c r="C95" s="273" t="s">
        <v>229</v>
      </c>
      <c r="D95" s="273" t="s">
        <v>193</v>
      </c>
      <c r="E95" s="275" t="str">
        <f>INDEX([1]RELAÇÃO!$A$1:$AQ$576,MATCH($M95,[1]RELAÇÃO!$AP$1:$AP$576,0),1)</f>
        <v>ALLAN CARLO LOPES DE MENEZES</v>
      </c>
      <c r="F95" s="276" t="str">
        <f>IF(E95=0,"-",LEFT(INDEX([1]RELAÇÃO!$A$1:$AQ$576,MATCH($M95,[1]RELAÇÃO!$AP$1:$AP$576,0),32),1))</f>
        <v>M</v>
      </c>
      <c r="G95" s="275" t="str">
        <f>IF(E95=0,"-",INDEX([1]RELAÇÃO!$A$1:$AQ$576,MATCH($M95,[1]RELAÇÃO!$AP$1:$AP$576,0),5))</f>
        <v>Sem Vínculo</v>
      </c>
      <c r="H95" s="275" t="str">
        <f>IF(E95=0,"-",INDEX([1]RELAÇÃO!$A$1:$AQ$576,MATCH($M95,[1]RELAÇÃO!$AP$1:$AP$576,0),6))</f>
        <v>Sem Vínculo</v>
      </c>
      <c r="I95" s="275" t="str">
        <f>IF(E95=0,"-",INDEX([1]RELAÇÃO!$A$1:$AQ$576,MATCH($M95,[1]RELAÇÃO!$AP$1:$AP$576,0),12)&amp;INDEX([1]RELAÇÃO!$A$1:$AQ$576,MATCH($M95,[1]RELAÇÃO!$AP$1:$AP$576,0),13)&amp;", de "&amp;INDEX([1]RELAÇÃO!$A$1:$AQ$576,MATCH($M95,[1]RELAÇÃO!$AP$1:$AP$576,0),14)&amp;" - "&amp;INDEX([1]RELAÇÃO!$A$1:$AQ$576,MATCH($M95,[1]RELAÇÃO!$AP$1:$AP$576,0),16)&amp;" de "&amp;INDEX([1]RELAÇÃO!$A$1:$AQ$576,MATCH($M95,[1]RELAÇÃO!$AP$1:$AP$576,0),15))</f>
        <v>Portaria nº 114, de 18/03/2020 - DOU de 19/03/2020</v>
      </c>
      <c r="J95" s="310"/>
      <c r="K95" s="310"/>
      <c r="L95" s="287" t="str">
        <f>IF($E95=0,"-",IF(INDEX([1]RELAÇÃO!$A$1:$AQ$576,MATCH($M95,[1]RELAÇÃO!$AP$1:$AP$576,0),8)="8.101.120","-",INDEX([1]RELAÇÃO!$A$1:$AQ$576,MATCH($M95,[1]RELAÇÃO!$AP$1:$AP$576,0),7)))</f>
        <v>-</v>
      </c>
      <c r="M95" s="280" t="s">
        <v>331</v>
      </c>
      <c r="N95" s="311"/>
    </row>
    <row r="96" spans="1:14" x14ac:dyDescent="0.25">
      <c r="A96" s="292"/>
      <c r="B96" s="314" t="s">
        <v>228</v>
      </c>
      <c r="C96" s="315" t="s">
        <v>332</v>
      </c>
      <c r="D96" s="315"/>
      <c r="E96" s="316" t="s">
        <v>333</v>
      </c>
      <c r="F96" s="317"/>
      <c r="G96" s="318"/>
      <c r="H96" s="319"/>
      <c r="I96" s="320"/>
      <c r="J96" s="310"/>
      <c r="K96" s="310"/>
      <c r="L96" s="321"/>
      <c r="M96" s="311"/>
      <c r="N96" s="311"/>
    </row>
    <row r="97" spans="1:14" ht="23.25" x14ac:dyDescent="0.25">
      <c r="A97" s="292"/>
      <c r="B97" s="309" t="s">
        <v>247</v>
      </c>
      <c r="C97" s="273" t="s">
        <v>248</v>
      </c>
      <c r="D97" s="273" t="s">
        <v>193</v>
      </c>
      <c r="E97" s="275" t="str">
        <f>INDEX([1]RELAÇÃO!$A$1:$AQ$576,MATCH($M97,[1]RELAÇÃO!$AP$1:$AP$576,0),1)</f>
        <v>MARIA JOSE COSTA OLIVEIRA</v>
      </c>
      <c r="F97" s="276" t="str">
        <f>IF(E97=0,"-",LEFT(INDEX([1]RELAÇÃO!$A$1:$AQ$576,MATCH($M97,[1]RELAÇÃO!$AP$1:$AP$576,0),32),1))</f>
        <v>M</v>
      </c>
      <c r="G97" s="275" t="str">
        <f>IF(E97=0,"-",INDEX([1]RELAÇÃO!$A$1:$AQ$576,MATCH($M97,[1]RELAÇÃO!$AP$1:$AP$576,0),5))</f>
        <v>Sem Vínculo</v>
      </c>
      <c r="H97" s="275" t="str">
        <f>IF(E97=0,"-",INDEX([1]RELAÇÃO!$A$1:$AQ$576,MATCH($M97,[1]RELAÇÃO!$AP$1:$AP$576,0),6))</f>
        <v>Sem Vínculo</v>
      </c>
      <c r="I97" s="275" t="str">
        <f>IF(E97=0,"-",INDEX([1]RELAÇÃO!$A$1:$AQ$576,MATCH($M97,[1]RELAÇÃO!$AP$1:$AP$576,0),12)&amp;INDEX([1]RELAÇÃO!$A$1:$AQ$576,MATCH($M97,[1]RELAÇÃO!$AP$1:$AP$576,0),13)&amp;", de "&amp;INDEX([1]RELAÇÃO!$A$1:$AQ$576,MATCH($M97,[1]RELAÇÃO!$AP$1:$AP$576,0),14)&amp;" - "&amp;INDEX([1]RELAÇÃO!$A$1:$AQ$576,MATCH($M97,[1]RELAÇÃO!$AP$1:$AP$576,0),16)&amp;" de "&amp;INDEX([1]RELAÇÃO!$A$1:$AQ$576,MATCH($M97,[1]RELAÇÃO!$AP$1:$AP$576,0),15))</f>
        <v>Portaria nº 524, de 03/11/2016 - BPE de 04/11/2016</v>
      </c>
      <c r="J97" s="310"/>
      <c r="K97" s="310"/>
      <c r="L97" s="287" t="str">
        <f>IF($E97=0,"-",IF(INDEX([1]RELAÇÃO!$A$1:$AQ$576,MATCH($M97,[1]RELAÇÃO!$AP$1:$AP$576,0),8)="8.101.100","-",INDEX([1]RELAÇÃO!$A$1:$AQ$576,MATCH($M97,[1]RELAÇÃO!$AP$1:$AP$576,0),7)))</f>
        <v>SE / ASSESSORIA ESPECIAL DE MEIO AMBIENTE - AESA</v>
      </c>
      <c r="M97" s="280" t="s">
        <v>334</v>
      </c>
      <c r="N97" s="311"/>
    </row>
    <row r="98" spans="1:14" ht="23.25" x14ac:dyDescent="0.25">
      <c r="A98" s="295" t="s">
        <v>335</v>
      </c>
      <c r="B98" s="306" t="s">
        <v>315</v>
      </c>
      <c r="C98" s="274" t="s">
        <v>206</v>
      </c>
      <c r="D98" s="274" t="s">
        <v>187</v>
      </c>
      <c r="E98" s="275" t="str">
        <f>INDEX([1]RELAÇÃO!$A$1:$AQ$576,MATCH($M98,[1]RELAÇÃO!$AP$1:$AP$576,0),1)</f>
        <v>AGNES MARIA DE ARAGAO DA COSTA</v>
      </c>
      <c r="F98" s="276" t="str">
        <f>IF(E98=0,"-",LEFT(INDEX([1]RELAÇÃO!$A$1:$AQ$576,MATCH($M98,[1]RELAÇÃO!$AP$1:$AP$576,0),32),1))</f>
        <v>F</v>
      </c>
      <c r="G98" s="275" t="str">
        <f>IF(E98=0,"-",INDEX([1]RELAÇÃO!$A$1:$AQ$576,MATCH($M98,[1]RELAÇÃO!$AP$1:$AP$576,0),5))</f>
        <v>Exercício Descentralizado</v>
      </c>
      <c r="H98" s="275" t="str">
        <f>IF(E98=0,"-",INDEX([1]RELAÇÃO!$A$1:$AQ$576,MATCH($M98,[1]RELAÇÃO!$AP$1:$AP$576,0),6))</f>
        <v>ME - Ministério da Economia</v>
      </c>
      <c r="I98" s="275" t="str">
        <f>IF(E98=0,"-",INDEX([1]RELAÇÃO!$A$1:$AQ$576,MATCH($M98,[1]RELAÇÃO!$AP$1:$AP$576,0),12)&amp;INDEX([1]RELAÇÃO!$A$1:$AQ$576,MATCH($M98,[1]RELAÇÃO!$AP$1:$AP$576,0),13)&amp;", de "&amp;INDEX([1]RELAÇÃO!$A$1:$AQ$576,MATCH($M98,[1]RELAÇÃO!$AP$1:$AP$576,0),14)&amp;" - "&amp;INDEX([1]RELAÇÃO!$A$1:$AQ$576,MATCH($M98,[1]RELAÇÃO!$AP$1:$AP$576,0),16)&amp;" de "&amp;INDEX([1]RELAÇÃO!$A$1:$AQ$576,MATCH($M98,[1]RELAÇÃO!$AP$1:$AP$576,0),15))</f>
        <v>Portaria nº 591, de 16/01/2019 - DOU de 17/01/2019</v>
      </c>
      <c r="J98" s="307">
        <f>INDEX([1]RELAÇÃO!$A$1:$AQ$576,MATCH($N98,[1]RELAÇÃO!$AQ$1:$AQ$576,0),1)</f>
        <v>0</v>
      </c>
      <c r="K98" s="308" t="str">
        <f>IF(J98=0,"-",INDEX([1]RELAÇÃO!$A$1:$AQ$576,MATCH($N98,[1]RELAÇÃO!$AQ$1:$AQ$576,0),27)&amp;INDEX([1]RELAÇÃO!$A$1:$AQ$576,MATCH($N98,[1]RELAÇÃO!$AQ$1:$AQ$576,0),28)&amp;", de "&amp;INDEX([1]RELAÇÃO!$A$1:$AQ$576,MATCH($N98,[1]RELAÇÃO!$AQ$1:$AQ$576,0),29)&amp;" - "&amp;INDEX([1]RELAÇÃO!$A$1:$AQ$576,MATCH($N98,[1]RELAÇÃO!$AQ$1:$AQ$576,0),31)&amp;" de "&amp;INDEX([1]RELAÇÃO!$A$1:$AQ$576,MATCH($N98,[1]RELAÇÃO!$AQ$1:$AQ$576,0),30))</f>
        <v>-</v>
      </c>
      <c r="L98" s="287" t="str">
        <f>IF($E98=0,"-",IF(INDEX([1]RELAÇÃO!$A$1:$AQ$576,MATCH($M98,[1]RELAÇÃO!$AP$1:$AP$576,0),8)="8.102.000","-",INDEX([1]RELAÇÃO!$A$1:$AQ$576,MATCH($M98,[1]RELAÇÃO!$AP$1:$AP$576,0),7)))</f>
        <v>-</v>
      </c>
      <c r="M98" s="280" t="s">
        <v>336</v>
      </c>
      <c r="N98" s="280" t="s">
        <v>337</v>
      </c>
    </row>
    <row r="99" spans="1:14" ht="23.25" x14ac:dyDescent="0.25">
      <c r="A99" s="292"/>
      <c r="B99" s="309" t="s">
        <v>228</v>
      </c>
      <c r="C99" s="296" t="s">
        <v>231</v>
      </c>
      <c r="D99" s="273" t="s">
        <v>193</v>
      </c>
      <c r="E99" s="300" t="str">
        <f>INDEX([1]RELAÇÃO!$A$1:$AQ$576,MATCH($M99,[1]RELAÇÃO!$AP$1:$AP$576,0),1)</f>
        <v>MARILUZIA RODRIGUES NOGUEIRA</v>
      </c>
      <c r="F99" s="301" t="str">
        <f>IF(E99=0,"-",LEFT(INDEX([1]RELAÇÃO!$A$1:$AQ$576,MATCH($M99,[1]RELAÇÃO!$AP$1:$AP$576,0),32),1))</f>
        <v>F</v>
      </c>
      <c r="G99" s="300" t="str">
        <f>IF(E99=0,"-",INDEX([1]RELAÇÃO!$A$1:$AQ$576,MATCH($M99,[1]RELAÇÃO!$AP$1:$AP$576,0),5))</f>
        <v>Ativo Permanente</v>
      </c>
      <c r="H99" s="300" t="str">
        <f>IF(E99=0,"-",INDEX([1]RELAÇÃO!$A$1:$AQ$576,MATCH($M99,[1]RELAÇÃO!$AP$1:$AP$576,0),6))</f>
        <v>MME - Ministério de Minas e Energia</v>
      </c>
      <c r="I99" s="300" t="str">
        <f>IF(E99=0,"-",INDEX([1]RELAÇÃO!$A$1:$AQ$576,MATCH($M99,[1]RELAÇÃO!$AP$1:$AP$576,0),12)&amp;INDEX([1]RELAÇÃO!$A$1:$AQ$576,MATCH($M99,[1]RELAÇÃO!$AP$1:$AP$576,0),13)&amp;", de "&amp;INDEX([1]RELAÇÃO!$A$1:$AQ$576,MATCH($M99,[1]RELAÇÃO!$AP$1:$AP$576,0),14)&amp;" - "&amp;INDEX([1]RELAÇÃO!$A$1:$AQ$576,MATCH($M99,[1]RELAÇÃO!$AP$1:$AP$576,0),16)&amp;" de "&amp;INDEX([1]RELAÇÃO!$A$1:$AQ$576,MATCH($M99,[1]RELAÇÃO!$AP$1:$AP$576,0),15))</f>
        <v>Portaria nº 524, de 03/11/2016 - BPE de 04/11/2016</v>
      </c>
      <c r="J99" s="313"/>
      <c r="K99" s="313"/>
      <c r="L99" s="287" t="str">
        <f>IF($E99=0,"-",IF(INDEX([1]RELAÇÃO!$A$1:$AQ$576,MATCH($M99,[1]RELAÇÃO!$AP$1:$AP$576,0),8)="8.102.000","-",INDEX([1]RELAÇÃO!$A$1:$AQ$576,MATCH($M99,[1]RELAÇÃO!$AP$1:$AP$576,0),7)))</f>
        <v>ASSESSORIA ESPECIAL DE ASSUNTOS ECONÔMICOS - ASSEC</v>
      </c>
      <c r="M99" s="280" t="s">
        <v>338</v>
      </c>
      <c r="N99" s="311"/>
    </row>
    <row r="100" spans="1:14" ht="23.25" x14ac:dyDescent="0.25">
      <c r="A100" s="295" t="s">
        <v>339</v>
      </c>
      <c r="B100" s="309" t="s">
        <v>315</v>
      </c>
      <c r="C100" s="273" t="s">
        <v>206</v>
      </c>
      <c r="D100" s="273" t="s">
        <v>187</v>
      </c>
      <c r="E100" s="300" t="str">
        <f>INDEX([1]RELAÇÃO!$A$1:$AQ$576,MATCH($M100,[1]RELAÇÃO!$AP$1:$AP$576,0),1)</f>
        <v>DENIS DE MOURA SOARES</v>
      </c>
      <c r="F100" s="301" t="str">
        <f>IF(E100=0,"-",LEFT(INDEX([1]RELAÇÃO!$A$1:$AQ$576,MATCH($M100,[1]RELAÇÃO!$AP$1:$AP$576,0),32),1))</f>
        <v>M</v>
      </c>
      <c r="G100" s="300" t="str">
        <f>IF(E100=0,"-",INDEX([1]RELAÇÃO!$A$1:$AQ$576,MATCH($M100,[1]RELAÇÃO!$AP$1:$AP$576,0),5))</f>
        <v>Requisitado de Órgãos</v>
      </c>
      <c r="H100" s="300" t="str">
        <f>IF(E100=0,"-",INDEX([1]RELAÇÃO!$A$1:$AQ$576,MATCH($M100,[1]RELAÇÃO!$AP$1:$AP$576,0),6))</f>
        <v>ME - Ministério da Economia</v>
      </c>
      <c r="I100" s="300" t="str">
        <f>IF(E100=0,"-",INDEX([1]RELAÇÃO!$A$1:$AQ$576,MATCH($M100,[1]RELAÇÃO!$AP$1:$AP$576,0),12)&amp;INDEX([1]RELAÇÃO!$A$1:$AQ$576,MATCH($M100,[1]RELAÇÃO!$AP$1:$AP$576,0),13)&amp;", de "&amp;INDEX([1]RELAÇÃO!$A$1:$AQ$576,MATCH($M100,[1]RELAÇÃO!$AP$1:$AP$576,0),14)&amp;" - "&amp;INDEX([1]RELAÇÃO!$A$1:$AQ$576,MATCH($M100,[1]RELAÇÃO!$AP$1:$AP$576,0),16)&amp;" de "&amp;INDEX([1]RELAÇÃO!$A$1:$AQ$576,MATCH($M100,[1]RELAÇÃO!$AP$1:$AP$576,0),15))</f>
        <v>Portaria nº 1740, de 09/05/2019 - DOU de 10/05/2019</v>
      </c>
      <c r="J100" s="307">
        <f>INDEX([1]RELAÇÃO!$A$1:$AQ$576,MATCH($N100,[1]RELAÇÃO!$AQ$1:$AQ$576,0),1)</f>
        <v>0</v>
      </c>
      <c r="K100" s="308" t="str">
        <f>IF(J100=0,"-",INDEX([1]RELAÇÃO!$A$1:$AQ$576,MATCH($N100,[1]RELAÇÃO!$AQ$1:$AQ$576,0),27)&amp;INDEX([1]RELAÇÃO!$A$1:$AQ$576,MATCH($N100,[1]RELAÇÃO!$AQ$1:$AQ$576,0),28)&amp;", de "&amp;INDEX([1]RELAÇÃO!$A$1:$AQ$576,MATCH($N100,[1]RELAÇÃO!$AQ$1:$AQ$576,0),29)&amp;" - "&amp;INDEX([1]RELAÇÃO!$A$1:$AQ$576,MATCH($N100,[1]RELAÇÃO!$AQ$1:$AQ$576,0),31)&amp;" de "&amp;INDEX([1]RELAÇÃO!$A$1:$AQ$576,MATCH($N100,[1]RELAÇÃO!$AQ$1:$AQ$576,0),30))</f>
        <v>-</v>
      </c>
      <c r="L100" s="302" t="str">
        <f>IF($E100=0,"-",IF(INDEX([1]RELAÇÃO!$A$1:$AQ$576,MATCH($M100,[1]RELAÇÃO!$AP$1:$AP$576,0),8)="8.103.000","-",INDEX([1]RELAÇÃO!$A$1:$AQ$576,MATCH($M100,[1]RELAÇÃO!$AP$1:$AP$576,0),7)))</f>
        <v>-</v>
      </c>
      <c r="M100" s="280" t="s">
        <v>340</v>
      </c>
      <c r="N100" s="280" t="s">
        <v>341</v>
      </c>
    </row>
    <row r="101" spans="1:14" ht="23.25" x14ac:dyDescent="0.25">
      <c r="A101" s="289" t="s">
        <v>342</v>
      </c>
      <c r="B101" s="309" t="s">
        <v>321</v>
      </c>
      <c r="C101" s="296" t="s">
        <v>279</v>
      </c>
      <c r="D101" s="273" t="s">
        <v>187</v>
      </c>
      <c r="E101" s="275" t="str">
        <f>INDEX([1]RELAÇÃO!$A$1:$AQ$576,MATCH($M101,[1]RELAÇÃO!$AP$1:$AP$576,0),1)</f>
        <v>GUSTAVO SANTOS MASILI</v>
      </c>
      <c r="F101" s="276" t="str">
        <f>IF(E101=0,"-",LEFT(INDEX([1]RELAÇÃO!$A$1:$AQ$576,MATCH($M101,[1]RELAÇÃO!$AP$1:$AP$576,0),32),1))</f>
        <v>M</v>
      </c>
      <c r="G101" s="275" t="str">
        <f>IF(E101=0,"-",INDEX([1]RELAÇÃO!$A$1:$AQ$576,MATCH($M101,[1]RELAÇÃO!$AP$1:$AP$576,0),5))</f>
        <v>Requisitado de Órgãos</v>
      </c>
      <c r="H101" s="275" t="str">
        <f>IF(E101=0,"-",INDEX([1]RELAÇÃO!$A$1:$AQ$576,MATCH($M101,[1]RELAÇÃO!$AP$1:$AP$576,0),6))</f>
        <v>ME - Ministério da Economia</v>
      </c>
      <c r="I101" s="275" t="str">
        <f>IF(E101=0,"-",INDEX([1]RELAÇÃO!$A$1:$AQ$576,MATCH($M101,[1]RELAÇÃO!$AP$1:$AP$576,0),12)&amp;INDEX([1]RELAÇÃO!$A$1:$AQ$576,MATCH($M101,[1]RELAÇÃO!$AP$1:$AP$576,0),13)&amp;", de "&amp;INDEX([1]RELAÇÃO!$A$1:$AQ$576,MATCH($M101,[1]RELAÇÃO!$AP$1:$AP$576,0),14)&amp;" - "&amp;INDEX([1]RELAÇÃO!$A$1:$AQ$576,MATCH($M101,[1]RELAÇÃO!$AP$1:$AP$576,0),16)&amp;" de "&amp;INDEX([1]RELAÇÃO!$A$1:$AQ$576,MATCH($M101,[1]RELAÇÃO!$AP$1:$AP$576,0),15))</f>
        <v>Portaria nº 544, de 03/11/2016 - DOU de 04/11/2016</v>
      </c>
      <c r="J101" s="307">
        <f>INDEX([1]RELAÇÃO!$A$1:$AQ$576,MATCH($N101,[1]RELAÇÃO!$AQ$1:$AQ$576,0),1)</f>
        <v>0</v>
      </c>
      <c r="K101" s="308" t="str">
        <f>IF(J101=0,"-",INDEX([1]RELAÇÃO!$A$1:$AQ$576,MATCH($N101,[1]RELAÇÃO!$AQ$1:$AQ$576,0),27)&amp;INDEX([1]RELAÇÃO!$A$1:$AQ$576,MATCH($N101,[1]RELAÇÃO!$AQ$1:$AQ$576,0),28)&amp;", de "&amp;INDEX([1]RELAÇÃO!$A$1:$AQ$576,MATCH($N101,[1]RELAÇÃO!$AQ$1:$AQ$576,0),29)&amp;" - "&amp;INDEX([1]RELAÇÃO!$A$1:$AQ$576,MATCH($N101,[1]RELAÇÃO!$AQ$1:$AQ$576,0),31)&amp;" de "&amp;INDEX([1]RELAÇÃO!$A$1:$AQ$576,MATCH($N101,[1]RELAÇÃO!$AQ$1:$AQ$576,0),30))</f>
        <v>-</v>
      </c>
      <c r="L101" s="287" t="str">
        <f>IF($E101=0,"-",IF(INDEX([1]RELAÇÃO!$A$1:$AQ$576,MATCH($M101,[1]RELAÇÃO!$AP$1:$AP$576,0),8)="8.103.100","-",INDEX([1]RELAÇÃO!$A$1:$AQ$576,MATCH($M101,[1]RELAÇÃO!$AP$1:$AP$576,0),7)))</f>
        <v>-</v>
      </c>
      <c r="M101" s="280" t="s">
        <v>343</v>
      </c>
      <c r="N101" s="280" t="s">
        <v>344</v>
      </c>
    </row>
    <row r="102" spans="1:14" ht="23.25" x14ac:dyDescent="0.25">
      <c r="A102" s="292" t="s">
        <v>345</v>
      </c>
      <c r="B102" s="309" t="s">
        <v>242</v>
      </c>
      <c r="C102" s="273" t="s">
        <v>325</v>
      </c>
      <c r="D102" s="273" t="s">
        <v>187</v>
      </c>
      <c r="E102" s="275" t="str">
        <f>INDEX([1]RELAÇÃO!$A$1:$AQ$576,MATCH($M102,[1]RELAÇÃO!$AP$1:$AP$576,0),1)</f>
        <v>RODRIGO DE CARVALHO MATOS</v>
      </c>
      <c r="F102" s="276" t="str">
        <f>IF(E102=0,"-",LEFT(INDEX([1]RELAÇÃO!$A$1:$AQ$576,MATCH($M102,[1]RELAÇÃO!$AP$1:$AP$576,0),32),1))</f>
        <v>M</v>
      </c>
      <c r="G102" s="275" t="str">
        <f>IF(E102=0,"-",INDEX([1]RELAÇÃO!$A$1:$AQ$576,MATCH($M102,[1]RELAÇÃO!$AP$1:$AP$576,0),5))</f>
        <v>Sem Vínculo</v>
      </c>
      <c r="H102" s="275" t="str">
        <f>IF(E102=0,"-",INDEX([1]RELAÇÃO!$A$1:$AQ$576,MATCH($M102,[1]RELAÇÃO!$AP$1:$AP$576,0),6))</f>
        <v>Sem Vínculo</v>
      </c>
      <c r="I102" s="275" t="str">
        <f>IF(E102=0,"-",INDEX([1]RELAÇÃO!$A$1:$AQ$576,MATCH($M102,[1]RELAÇÃO!$AP$1:$AP$576,0),12)&amp;INDEX([1]RELAÇÃO!$A$1:$AQ$576,MATCH($M102,[1]RELAÇÃO!$AP$1:$AP$576,0),13)&amp;", de "&amp;INDEX([1]RELAÇÃO!$A$1:$AQ$576,MATCH($M102,[1]RELAÇÃO!$AP$1:$AP$576,0),14)&amp;" - "&amp;INDEX([1]RELAÇÃO!$A$1:$AQ$576,MATCH($M102,[1]RELAÇÃO!$AP$1:$AP$576,0),16)&amp;" de "&amp;INDEX([1]RELAÇÃO!$A$1:$AQ$576,MATCH($M102,[1]RELAÇÃO!$AP$1:$AP$576,0),15))</f>
        <v>Portaria nº 542, de 03/11/2016 - DOU de 04/11/2016</v>
      </c>
      <c r="J102" s="307" t="str">
        <f>INDEX([1]RELAÇÃO!$A$1:$AQ$576,MATCH($N102,[1]RELAÇÃO!$AQ$1:$AQ$576,0),1)</f>
        <v>TEREZA MARIA DA COSTA</v>
      </c>
      <c r="K102" s="308" t="str">
        <f>IF(J102=0,"-",INDEX([1]RELAÇÃO!$A$1:$AQ$576,MATCH($N102,[1]RELAÇÃO!$AQ$1:$AQ$576,0),27)&amp;INDEX([1]RELAÇÃO!$A$1:$AQ$576,MATCH($N102,[1]RELAÇÃO!$AQ$1:$AQ$576,0),28)&amp;", de "&amp;INDEX([1]RELAÇÃO!$A$1:$AQ$576,MATCH($N102,[1]RELAÇÃO!$AQ$1:$AQ$576,0),29)&amp;" - "&amp;INDEX([1]RELAÇÃO!$A$1:$AQ$576,MATCH($N102,[1]RELAÇÃO!$AQ$1:$AQ$576,0),31)&amp;" de "&amp;INDEX([1]RELAÇÃO!$A$1:$AQ$576,MATCH($N102,[1]RELAÇÃO!$AQ$1:$AQ$576,0),30))</f>
        <v>Portaria nº 216, de 05/06/2017 - DOU de 06/06/2017</v>
      </c>
      <c r="L102" s="287" t="str">
        <f>IF($E102=0,"-",IF(INDEX([1]RELAÇÃO!$A$1:$AQ$576,MATCH($M102,[1]RELAÇÃO!$AP$1:$AP$576,0),8)="8.103.110","-",INDEX([1]RELAÇÃO!$A$1:$AQ$576,MATCH($M102,[1]RELAÇÃO!$AP$1:$AP$576,0),7)))</f>
        <v>-</v>
      </c>
      <c r="M102" s="280" t="s">
        <v>346</v>
      </c>
      <c r="N102" s="280" t="s">
        <v>347</v>
      </c>
    </row>
    <row r="103" spans="1:14" ht="23.25" x14ac:dyDescent="0.25">
      <c r="A103" s="289" t="s">
        <v>348</v>
      </c>
      <c r="B103" s="309" t="s">
        <v>321</v>
      </c>
      <c r="C103" s="296" t="s">
        <v>279</v>
      </c>
      <c r="D103" s="274" t="s">
        <v>187</v>
      </c>
      <c r="E103" s="275" t="str">
        <f>INDEX([1]RELAÇÃO!$A$1:$AQ$576,MATCH($M103,[1]RELAÇÃO!$AP$1:$AP$576,0),1)</f>
        <v>MAURICIO PINHEIRO FLEURY CURADO</v>
      </c>
      <c r="F103" s="276" t="str">
        <f>IF(E103=0,"-",LEFT(INDEX([1]RELAÇÃO!$A$1:$AQ$576,MATCH($M103,[1]RELAÇÃO!$AP$1:$AP$576,0),32),1))</f>
        <v>M</v>
      </c>
      <c r="G103" s="275" t="str">
        <f>IF(E103=0,"-",INDEX([1]RELAÇÃO!$A$1:$AQ$576,MATCH($M103,[1]RELAÇÃO!$AP$1:$AP$576,0),5))</f>
        <v>Requisitado de Órgãos</v>
      </c>
      <c r="H103" s="275" t="str">
        <f>IF(E103=0,"-",INDEX([1]RELAÇÃO!$A$1:$AQ$576,MATCH($M103,[1]RELAÇÃO!$AP$1:$AP$576,0),6))</f>
        <v>ME - Ministério da Economia</v>
      </c>
      <c r="I103" s="275" t="str">
        <f>IF(E103=0,"-",INDEX([1]RELAÇÃO!$A$1:$AQ$576,MATCH($M103,[1]RELAÇÃO!$AP$1:$AP$576,0),12)&amp;INDEX([1]RELAÇÃO!$A$1:$AQ$576,MATCH($M103,[1]RELAÇÃO!$AP$1:$AP$576,0),13)&amp;", de "&amp;INDEX([1]RELAÇÃO!$A$1:$AQ$576,MATCH($M103,[1]RELAÇÃO!$AP$1:$AP$576,0),14)&amp;" - "&amp;INDEX([1]RELAÇÃO!$A$1:$AQ$576,MATCH($M103,[1]RELAÇÃO!$AP$1:$AP$576,0),16)&amp;" de "&amp;INDEX([1]RELAÇÃO!$A$1:$AQ$576,MATCH($M103,[1]RELAÇÃO!$AP$1:$AP$576,0),15))</f>
        <v>Portaria nº 347, de 16/09/2020 - DOU de 17/09/2020</v>
      </c>
      <c r="J103" s="307" t="str">
        <f>INDEX([1]RELAÇÃO!$A$1:$AQ$576,MATCH($N103,[1]RELAÇÃO!$AQ$1:$AQ$576,0),1)</f>
        <v>LUCIANO DA SILVA TEIXEIRA</v>
      </c>
      <c r="K103" s="395" t="str">
        <f>IF(J103=0,"-",INDEX([1]RELAÇÃO!$A$1:$AQ$576,MATCH($N103,[1]RELAÇÃO!$AQ$1:$AQ$576,0),27)&amp;INDEX([1]RELAÇÃO!$A$1:$AQ$576,MATCH($N103,[1]RELAÇÃO!$AQ$1:$AQ$576,0),28)&amp;", de "&amp;INDEX([1]RELAÇÃO!$A$1:$AQ$576,MATCH($N103,[1]RELAÇÃO!$AQ$1:$AQ$576,0),29)&amp;" - "&amp;INDEX([1]RELAÇÃO!$A$1:$AQ$576,MATCH($N103,[1]RELAÇÃO!$AQ$1:$AQ$576,0),31)&amp;" de "&amp;INDEX([1]RELAÇÃO!$A$1:$AQ$576,MATCH($N103,[1]RELAÇÃO!$AQ$1:$AQ$576,0),30))</f>
        <v>Portaria nº 131, de 12/04/2018 - DOU de 16/04/2018</v>
      </c>
      <c r="L103" s="287" t="str">
        <f>IF($E103=0,"-",IF(INDEX([1]RELAÇÃO!$A$1:$AQ$576,MATCH($M103,[1]RELAÇÃO!$AP$1:$AP$576,0),8)="8.103.200","-",INDEX([1]RELAÇÃO!$A$1:$AQ$576,MATCH($M103,[1]RELAÇÃO!$AP$1:$AP$576,0),7)))</f>
        <v>-</v>
      </c>
      <c r="M103" s="280" t="s">
        <v>349</v>
      </c>
      <c r="N103" s="280" t="s">
        <v>350</v>
      </c>
    </row>
    <row r="104" spans="1:14" ht="23.25" x14ac:dyDescent="0.25">
      <c r="A104" s="292" t="s">
        <v>351</v>
      </c>
      <c r="B104" s="309" t="s">
        <v>242</v>
      </c>
      <c r="C104" s="296" t="s">
        <v>243</v>
      </c>
      <c r="D104" s="274" t="s">
        <v>187</v>
      </c>
      <c r="E104" s="275" t="str">
        <f>INDEX([1]RELAÇÃO!$A$1:$AQ$576,MATCH($M104,[1]RELAÇÃO!$AP$1:$AP$576,0),1)</f>
        <v>LUCIANO DA SILVA TEIXEIRA</v>
      </c>
      <c r="F104" s="276" t="str">
        <f>IF(E104=0,"-",LEFT(INDEX([1]RELAÇÃO!$A$1:$AQ$576,MATCH($M104,[1]RELAÇÃO!$AP$1:$AP$576,0),32),1))</f>
        <v>M</v>
      </c>
      <c r="G104" s="275" t="str">
        <f>IF(E104=0,"-",INDEX([1]RELAÇÃO!$A$1:$AQ$576,MATCH($M104,[1]RELAÇÃO!$AP$1:$AP$576,0),5))</f>
        <v>Exercício Descentralizado</v>
      </c>
      <c r="H104" s="275" t="str">
        <f>IF(E104=0,"-",INDEX([1]RELAÇÃO!$A$1:$AQ$576,MATCH($M104,[1]RELAÇÃO!$AP$1:$AP$576,0),6))</f>
        <v>ME - Ministério da Economia</v>
      </c>
      <c r="I104" s="275" t="str">
        <f>IF(E104=0,"-",INDEX([1]RELAÇÃO!$A$1:$AQ$576,MATCH($M104,[1]RELAÇÃO!$AP$1:$AP$576,0),12)&amp;INDEX([1]RELAÇÃO!$A$1:$AQ$576,MATCH($M104,[1]RELAÇÃO!$AP$1:$AP$576,0),13)&amp;", de "&amp;INDEX([1]RELAÇÃO!$A$1:$AQ$576,MATCH($M104,[1]RELAÇÃO!$AP$1:$AP$576,0),14)&amp;" - "&amp;INDEX([1]RELAÇÃO!$A$1:$AQ$576,MATCH($M104,[1]RELAÇÃO!$AP$1:$AP$576,0),16)&amp;" de "&amp;INDEX([1]RELAÇÃO!$A$1:$AQ$576,MATCH($M104,[1]RELAÇÃO!$AP$1:$AP$576,0),15))</f>
        <v>Portaria nº 132, de 12/04/2018 - DOU de 16/04/2018</v>
      </c>
      <c r="J104" s="307">
        <f>INDEX([1]RELAÇÃO!$A$1:$AQ$576,MATCH($N104,[1]RELAÇÃO!$AQ$1:$AQ$576,0),1)</f>
        <v>0</v>
      </c>
      <c r="K104" s="308" t="str">
        <f>IF(J104=0,"-",INDEX([1]RELAÇÃO!$A$1:$AQ$576,MATCH($N104,[1]RELAÇÃO!$AQ$1:$AQ$576,0),27)&amp;INDEX([1]RELAÇÃO!$A$1:$AQ$576,MATCH($N104,[1]RELAÇÃO!$AQ$1:$AQ$576,0),28)&amp;", de "&amp;INDEX([1]RELAÇÃO!$A$1:$AQ$576,MATCH($N104,[1]RELAÇÃO!$AQ$1:$AQ$576,0),29)&amp;" - "&amp;INDEX([1]RELAÇÃO!$A$1:$AQ$576,MATCH($N104,[1]RELAÇÃO!$AQ$1:$AQ$576,0),31)&amp;" de "&amp;INDEX([1]RELAÇÃO!$A$1:$AQ$576,MATCH($N104,[1]RELAÇÃO!$AQ$1:$AQ$576,0),30))</f>
        <v>-</v>
      </c>
      <c r="L104" s="287" t="str">
        <f>IF($E104=0,"-",IF(INDEX([1]RELAÇÃO!$A$1:$AQ$576,MATCH($M104,[1]RELAÇÃO!$AP$1:$AP$576,0),8)="8.103.210","-",INDEX([1]RELAÇÃO!$A$1:$AQ$576,MATCH($M104,[1]RELAÇÃO!$AP$1:$AP$576,0),7)))</f>
        <v>-</v>
      </c>
      <c r="M104" s="280" t="s">
        <v>352</v>
      </c>
      <c r="N104" s="280" t="s">
        <v>353</v>
      </c>
    </row>
    <row r="105" spans="1:14" ht="23.25" x14ac:dyDescent="0.25">
      <c r="A105" s="295" t="s">
        <v>354</v>
      </c>
      <c r="B105" s="306" t="s">
        <v>315</v>
      </c>
      <c r="C105" s="274" t="s">
        <v>206</v>
      </c>
      <c r="D105" s="274" t="s">
        <v>187</v>
      </c>
      <c r="E105" s="275" t="str">
        <f>INDEX([1]RELAÇÃO!$A$1:$AQ$576,MATCH($M105,[1]RELAÇÃO!$AP$1:$AP$576,0),1)</f>
        <v>MARIA CEICILENE ARAGAO MARTINS</v>
      </c>
      <c r="F105" s="276" t="str">
        <f>IF(E105=0,"-",LEFT(INDEX([1]RELAÇÃO!$A$1:$AQ$576,MATCH($M105,[1]RELAÇÃO!$AP$1:$AP$576,0),32),1))</f>
        <v>F</v>
      </c>
      <c r="G105" s="275" t="str">
        <f>IF(E105=0,"-",INDEX([1]RELAÇÃO!$A$1:$AQ$576,MATCH($M105,[1]RELAÇÃO!$AP$1:$AP$576,0),5))</f>
        <v>Requisitado de Órgãos</v>
      </c>
      <c r="H105" s="275" t="str">
        <f>IF(E105=0,"-",INDEX([1]RELAÇÃO!$A$1:$AQ$576,MATCH($M105,[1]RELAÇÃO!$AP$1:$AP$576,0),6))</f>
        <v>ME - Ministério da Economia</v>
      </c>
      <c r="I105" s="275" t="str">
        <f>IF(E105=0,"-",INDEX([1]RELAÇÃO!$A$1:$AQ$576,MATCH($M105,[1]RELAÇÃO!$AP$1:$AP$576,0),12)&amp;INDEX([1]RELAÇÃO!$A$1:$AQ$576,MATCH($M105,[1]RELAÇÃO!$AP$1:$AP$576,0),13)&amp;", de "&amp;INDEX([1]RELAÇÃO!$A$1:$AQ$576,MATCH($M105,[1]RELAÇÃO!$AP$1:$AP$576,0),14)&amp;" - "&amp;INDEX([1]RELAÇÃO!$A$1:$AQ$576,MATCH($M105,[1]RELAÇÃO!$AP$1:$AP$576,0),16)&amp;" de "&amp;INDEX([1]RELAÇÃO!$A$1:$AQ$576,MATCH($M105,[1]RELAÇÃO!$AP$1:$AP$576,0),15))</f>
        <v>Portaria nº 834, de 30/08/2017 - DOU de 31/08/2017</v>
      </c>
      <c r="J105" s="307" t="str">
        <f>INDEX([1]RELAÇÃO!$A$1:$AQ$576,MATCH($N105,[1]RELAÇÃO!$AQ$1:$AQ$576,0),1)</f>
        <v>VERONICA E SILVA SOUSA</v>
      </c>
      <c r="K105" s="395" t="str">
        <f>IF(J105=0,"-",INDEX([1]RELAÇÃO!$A$1:$AQ$576,MATCH($N105,[1]RELAÇÃO!$AQ$1:$AQ$576,0),27)&amp;INDEX([1]RELAÇÃO!$A$1:$AQ$576,MATCH($N105,[1]RELAÇÃO!$AQ$1:$AQ$576,0),28)&amp;", de "&amp;INDEX([1]RELAÇÃO!$A$1:$AQ$576,MATCH($N105,[1]RELAÇÃO!$AQ$1:$AQ$576,0),29)&amp;" - "&amp;INDEX([1]RELAÇÃO!$A$1:$AQ$576,MATCH($N105,[1]RELAÇÃO!$AQ$1:$AQ$576,0),31)&amp;" de "&amp;INDEX([1]RELAÇÃO!$A$1:$AQ$576,MATCH($N105,[1]RELAÇÃO!$AQ$1:$AQ$576,0),30))</f>
        <v>Portaria nº 206, de 16/05/2014 - DOU de 19/05/2014</v>
      </c>
      <c r="L105" s="287" t="str">
        <f>IF($E105=0,"-",IF(INDEX([1]RELAÇÃO!$A$1:$AQ$576,MATCH($M105,[1]RELAÇÃO!$AP$1:$AP$576,0),8)="8.104.000","-",INDEX([1]RELAÇÃO!$A$1:$AQ$576,MATCH($M105,[1]RELAÇÃO!$AP$1:$AP$576,0),7)))</f>
        <v>-</v>
      </c>
      <c r="M105" s="280" t="s">
        <v>355</v>
      </c>
      <c r="N105" s="280" t="s">
        <v>356</v>
      </c>
    </row>
    <row r="106" spans="1:14" ht="23.25" x14ac:dyDescent="0.25">
      <c r="A106" s="322"/>
      <c r="B106" s="309" t="s">
        <v>228</v>
      </c>
      <c r="C106" s="273" t="s">
        <v>229</v>
      </c>
      <c r="D106" s="273" t="s">
        <v>193</v>
      </c>
      <c r="E106" s="275" t="str">
        <f>INDEX([1]RELAÇÃO!$A$1:$AQ$576,MATCH($M106,[1]RELAÇÃO!$AP$1:$AP$576,0),1)</f>
        <v>ALDINEA DO CARMO CORDEIRO NOGUEIRA</v>
      </c>
      <c r="F106" s="276" t="str">
        <f>IF(E106=0,"-",LEFT(INDEX([1]RELAÇÃO!$A$1:$AQ$576,MATCH($M106,[1]RELAÇÃO!$AP$1:$AP$576,0),32),1))</f>
        <v>F</v>
      </c>
      <c r="G106" s="275" t="str">
        <f>IF(E106=0,"-",INDEX([1]RELAÇÃO!$A$1:$AQ$576,MATCH($M106,[1]RELAÇÃO!$AP$1:$AP$576,0),5))</f>
        <v>Sem Vínculo</v>
      </c>
      <c r="H106" s="275" t="str">
        <f>IF(E106=0,"-",INDEX([1]RELAÇÃO!$A$1:$AQ$576,MATCH($M106,[1]RELAÇÃO!$AP$1:$AP$576,0),6))</f>
        <v>Sem Vínculo</v>
      </c>
      <c r="I106" s="275" t="str">
        <f>IF(E106=0,"-",INDEX([1]RELAÇÃO!$A$1:$AQ$576,MATCH($M106,[1]RELAÇÃO!$AP$1:$AP$576,0),12)&amp;INDEX([1]RELAÇÃO!$A$1:$AQ$576,MATCH($M106,[1]RELAÇÃO!$AP$1:$AP$576,0),13)&amp;", de "&amp;INDEX([1]RELAÇÃO!$A$1:$AQ$576,MATCH($M106,[1]RELAÇÃO!$AP$1:$AP$576,0),14)&amp;" - "&amp;INDEX([1]RELAÇÃO!$A$1:$AQ$576,MATCH($M106,[1]RELAÇÃO!$AP$1:$AP$576,0),16)&amp;" de "&amp;INDEX([1]RELAÇÃO!$A$1:$AQ$576,MATCH($M106,[1]RELAÇÃO!$AP$1:$AP$576,0),15))</f>
        <v>Portaria nº 524, de 03/11/2016 - BPE de 04/11/2016</v>
      </c>
      <c r="J106" s="310"/>
      <c r="K106" s="310"/>
      <c r="L106" s="287" t="str">
        <f>IF($E106=0,"-",IF(INDEX([1]RELAÇÃO!$A$1:$AQ$576,MATCH($M106,[1]RELAÇÃO!$AP$1:$AP$576,0),8)="8.104.000","-",INDEX([1]RELAÇÃO!$A$1:$AQ$576,MATCH($M106,[1]RELAÇÃO!$AP$1:$AP$576,0),7)))</f>
        <v>SE / CHEFIA DE GABINETE SE</v>
      </c>
      <c r="M106" s="280" t="s">
        <v>357</v>
      </c>
      <c r="N106" s="310"/>
    </row>
    <row r="107" spans="1:14" ht="33.75" x14ac:dyDescent="0.25">
      <c r="A107" s="289" t="s">
        <v>358</v>
      </c>
      <c r="B107" s="309" t="s">
        <v>321</v>
      </c>
      <c r="C107" s="273" t="s">
        <v>186</v>
      </c>
      <c r="D107" s="274" t="s">
        <v>187</v>
      </c>
      <c r="E107" s="275" t="str">
        <f>INDEX([1]RELAÇÃO!$A$1:$AQ$576,MATCH($M107,[1]RELAÇÃO!$AP$1:$AP$576,0),1)</f>
        <v>VERONICA E SILVA SOUSA</v>
      </c>
      <c r="F107" s="276" t="str">
        <f>IF(E107=0,"-",LEFT(INDEX([1]RELAÇÃO!$A$1:$AQ$576,MATCH($M107,[1]RELAÇÃO!$AP$1:$AP$576,0),32),1))</f>
        <v>F</v>
      </c>
      <c r="G107" s="275" t="str">
        <f>IF(E107=0,"-",INDEX([1]RELAÇÃO!$A$1:$AQ$576,MATCH($M107,[1]RELAÇÃO!$AP$1:$AP$576,0),5))</f>
        <v>Sem Vínculo</v>
      </c>
      <c r="H107" s="275" t="str">
        <f>IF(E107=0,"-",INDEX([1]RELAÇÃO!$A$1:$AQ$576,MATCH($M107,[1]RELAÇÃO!$AP$1:$AP$576,0),6))</f>
        <v>Sem Vínculo</v>
      </c>
      <c r="I107" s="275" t="str">
        <f>IF(E107=0,"-",INDEX([1]RELAÇÃO!$A$1:$AQ$576,MATCH($M107,[1]RELAÇÃO!$AP$1:$AP$576,0),12)&amp;INDEX([1]RELAÇÃO!$A$1:$AQ$576,MATCH($M107,[1]RELAÇÃO!$AP$1:$AP$576,0),13)&amp;", de "&amp;INDEX([1]RELAÇÃO!$A$1:$AQ$576,MATCH($M107,[1]RELAÇÃO!$AP$1:$AP$576,0),14)&amp;" - "&amp;INDEX([1]RELAÇÃO!$A$1:$AQ$576,MATCH($M107,[1]RELAÇÃO!$AP$1:$AP$576,0),16)&amp;" de "&amp;INDEX([1]RELAÇÃO!$A$1:$AQ$576,MATCH($M107,[1]RELAÇÃO!$AP$1:$AP$576,0),15))</f>
        <v>Portaria nº 543, de 03/11/2016 - DOU de 04/11/2016</v>
      </c>
      <c r="J107" s="307" t="str">
        <f>INDEX([1]RELAÇÃO!$A$1:$AQ$576,MATCH($N107,[1]RELAÇÃO!$AQ$1:$AQ$576,0),1)</f>
        <v>MAYARA CARDOSO</v>
      </c>
      <c r="K107" s="395" t="str">
        <f>IF(J107=0,"-",INDEX([1]RELAÇÃO!$A$1:$AQ$576,MATCH($N107,[1]RELAÇÃO!$AQ$1:$AQ$576,0),27)&amp;INDEX([1]RELAÇÃO!$A$1:$AQ$576,MATCH($N107,[1]RELAÇÃO!$AQ$1:$AQ$576,0),28)&amp;", de "&amp;INDEX([1]RELAÇÃO!$A$1:$AQ$576,MATCH($N107,[1]RELAÇÃO!$AQ$1:$AQ$576,0),29)&amp;" - "&amp;INDEX([1]RELAÇÃO!$A$1:$AQ$576,MATCH($N107,[1]RELAÇÃO!$AQ$1:$AQ$576,0),31)&amp;" de "&amp;INDEX([1]RELAÇÃO!$A$1:$AQ$576,MATCH($N107,[1]RELAÇÃO!$AQ$1:$AQ$576,0),30))</f>
        <v>Portaria nº 274, de 03/07/2020 - DOU de 09/07/2020</v>
      </c>
      <c r="L107" s="287" t="str">
        <f>IF($E107=0,"-",IF(INDEX([1]RELAÇÃO!$A$1:$AQ$576,MATCH($M107,[1]RELAÇÃO!$AP$1:$AP$576,0),8)="8.104.100","-",INDEX([1]RELAÇÃO!$A$1:$AQ$576,MATCH($M107,[1]RELAÇÃO!$AP$1:$AP$576,0),7)))</f>
        <v>-</v>
      </c>
      <c r="M107" s="280" t="s">
        <v>359</v>
      </c>
      <c r="N107" s="280" t="s">
        <v>360</v>
      </c>
    </row>
    <row r="108" spans="1:14" ht="23.25" x14ac:dyDescent="0.25">
      <c r="A108" s="323" t="s">
        <v>361</v>
      </c>
      <c r="B108" s="333" t="s">
        <v>321</v>
      </c>
      <c r="C108" s="296" t="s">
        <v>279</v>
      </c>
      <c r="D108" s="274" t="s">
        <v>187</v>
      </c>
      <c r="E108" s="275" t="str">
        <f>INDEX([1]RELAÇÃO!$A$1:$AQ$576,MATCH($M108,[1]RELAÇÃO!$AP$1:$AP$576,0),1)</f>
        <v>RITA ALVES SILVA</v>
      </c>
      <c r="F108" s="276" t="str">
        <f>IF(E108=0,"-",LEFT(INDEX([1]RELAÇÃO!$A$1:$AQ$576,MATCH($M108,[1]RELAÇÃO!$AP$1:$AP$576,0),32),1))</f>
        <v>F</v>
      </c>
      <c r="G108" s="275" t="str">
        <f>IF(E108=0,"-",INDEX([1]RELAÇÃO!$A$1:$AQ$576,MATCH($M108,[1]RELAÇÃO!$AP$1:$AP$576,0),5))</f>
        <v>Exercício Descentralizado</v>
      </c>
      <c r="H108" s="275" t="str">
        <f>IF(E108=0,"-",INDEX([1]RELAÇÃO!$A$1:$AQ$576,MATCH($M108,[1]RELAÇÃO!$AP$1:$AP$576,0),6))</f>
        <v>ME - Ministério da Economia</v>
      </c>
      <c r="I108" s="275" t="str">
        <f>IF(E108=0,"-",INDEX([1]RELAÇÃO!$A$1:$AQ$576,MATCH($M108,[1]RELAÇÃO!$AP$1:$AP$576,0),12)&amp;INDEX([1]RELAÇÃO!$A$1:$AQ$576,MATCH($M108,[1]RELAÇÃO!$AP$1:$AP$576,0),13)&amp;", de "&amp;INDEX([1]RELAÇÃO!$A$1:$AQ$576,MATCH($M108,[1]RELAÇÃO!$AP$1:$AP$576,0),14)&amp;" - "&amp;INDEX([1]RELAÇÃO!$A$1:$AQ$576,MATCH($M108,[1]RELAÇÃO!$AP$1:$AP$576,0),16)&amp;" de "&amp;INDEX([1]RELAÇÃO!$A$1:$AQ$576,MATCH($M108,[1]RELAÇÃO!$AP$1:$AP$576,0),15))</f>
        <v>Portaria nº 546, de 03/11/2016 - DOU de 04/11/2016</v>
      </c>
      <c r="J108" s="307" t="str">
        <f>INDEX([1]RELAÇÃO!$A$1:$AQ$576,MATCH($N108,[1]RELAÇÃO!$AQ$1:$AQ$576,0),1)</f>
        <v>RICARDO DA COSTA RIBEIRO</v>
      </c>
      <c r="K108" s="308" t="str">
        <f>IF(J108=0,"-",INDEX([1]RELAÇÃO!$A$1:$AQ$576,MATCH($N108,[1]RELAÇÃO!$AQ$1:$AQ$576,0),27)&amp;INDEX([1]RELAÇÃO!$A$1:$AQ$576,MATCH($N108,[1]RELAÇÃO!$AQ$1:$AQ$576,0),28)&amp;", de "&amp;INDEX([1]RELAÇÃO!$A$1:$AQ$576,MATCH($N108,[1]RELAÇÃO!$AQ$1:$AQ$576,0),29)&amp;" - "&amp;INDEX([1]RELAÇÃO!$A$1:$AQ$576,MATCH($N108,[1]RELAÇÃO!$AQ$1:$AQ$576,0),31)&amp;" de "&amp;INDEX([1]RELAÇÃO!$A$1:$AQ$576,MATCH($N108,[1]RELAÇÃO!$AQ$1:$AQ$576,0),30))</f>
        <v>Portaria nº 273, de 03/07/2020 - DOU de 09/07/2020</v>
      </c>
      <c r="L108" s="287" t="str">
        <f>IF($E108=0,"-",IF(INDEX([1]RELAÇÃO!$A$1:$AQ$576,MATCH($M108,[1]RELAÇÃO!$AP$1:$AP$576,0),8)="8.104.200","-",INDEX([1]RELAÇÃO!$A$1:$AQ$576,MATCH($M108,[1]RELAÇÃO!$AP$1:$AP$576,0),7)))</f>
        <v>-</v>
      </c>
      <c r="M108" s="280" t="s">
        <v>362</v>
      </c>
      <c r="N108" s="280" t="s">
        <v>363</v>
      </c>
    </row>
    <row r="109" spans="1:14" ht="23.25" x14ac:dyDescent="0.25">
      <c r="A109" s="295" t="s">
        <v>364</v>
      </c>
      <c r="B109" s="333" t="s">
        <v>365</v>
      </c>
      <c r="C109" s="273" t="s">
        <v>206</v>
      </c>
      <c r="D109" s="274" t="s">
        <v>187</v>
      </c>
      <c r="E109" s="275" t="str">
        <f>INDEX([1]RELAÇÃO!$A$1:$AQ$576,MATCH($M109,[1]RELAÇÃO!$AP$1:$AP$576,0),1)</f>
        <v>HELIO MOURINHO GARCIA JUNIOR</v>
      </c>
      <c r="F109" s="276" t="str">
        <f>IF(E109=0,"-",LEFT(INDEX([1]RELAÇÃO!$A$1:$AQ$576,MATCH($M109,[1]RELAÇÃO!$AP$1:$AP$576,0),32),1))</f>
        <v>M</v>
      </c>
      <c r="G109" s="275" t="str">
        <f>IF(E109=0,"-",INDEX([1]RELAÇÃO!$A$1:$AQ$576,MATCH($M109,[1]RELAÇÃO!$AP$1:$AP$576,0),5))</f>
        <v>Sem Vínculo</v>
      </c>
      <c r="H109" s="275" t="str">
        <f>IF(E109=0,"-",INDEX([1]RELAÇÃO!$A$1:$AQ$576,MATCH($M109,[1]RELAÇÃO!$AP$1:$AP$576,0),6))</f>
        <v>Sem Vínculo</v>
      </c>
      <c r="I109" s="275" t="str">
        <f>IF(E109=0,"-",INDEX([1]RELAÇÃO!$A$1:$AQ$576,MATCH($M109,[1]RELAÇÃO!$AP$1:$AP$576,0),12)&amp;INDEX([1]RELAÇÃO!$A$1:$AQ$576,MATCH($M109,[1]RELAÇÃO!$AP$1:$AP$576,0),13)&amp;", de "&amp;INDEX([1]RELAÇÃO!$A$1:$AQ$576,MATCH($M109,[1]RELAÇÃO!$AP$1:$AP$576,0),14)&amp;" - "&amp;INDEX([1]RELAÇÃO!$A$1:$AQ$576,MATCH($M109,[1]RELAÇÃO!$AP$1:$AP$576,0),16)&amp;" de "&amp;INDEX([1]RELAÇÃO!$A$1:$AQ$576,MATCH($M109,[1]RELAÇÃO!$AP$1:$AP$576,0),15))</f>
        <v>Portaria nº 655, de 17/01/2019 - DOU de 18/01/2019</v>
      </c>
      <c r="J109" s="307" t="str">
        <f>INDEX([1]RELAÇÃO!$A$1:$AQ$576,MATCH($N109,[1]RELAÇÃO!$AQ$1:$AQ$576,0),1)</f>
        <v>MANOEL HUMBERTO LEMOS DA SILVA</v>
      </c>
      <c r="K109" s="395" t="str">
        <f>IF(J109=0,"-",INDEX([1]RELAÇÃO!$A$1:$AQ$576,MATCH($N109,[1]RELAÇÃO!$AQ$1:$AQ$576,0),27)&amp;INDEX([1]RELAÇÃO!$A$1:$AQ$576,MATCH($N109,[1]RELAÇÃO!$AQ$1:$AQ$576,0),28)&amp;", de "&amp;INDEX([1]RELAÇÃO!$A$1:$AQ$576,MATCH($N109,[1]RELAÇÃO!$AQ$1:$AQ$576,0),29)&amp;" - "&amp;INDEX([1]RELAÇÃO!$A$1:$AQ$576,MATCH($N109,[1]RELAÇÃO!$AQ$1:$AQ$576,0),31)&amp;" de "&amp;INDEX([1]RELAÇÃO!$A$1:$AQ$576,MATCH($N109,[1]RELAÇÃO!$AQ$1:$AQ$576,0),30))</f>
        <v>Portaria nº 85, de 09/03/2020 - DOU de 11/03/2020</v>
      </c>
      <c r="L109" s="287" t="str">
        <f>IF($E109=0,"-",IF(INDEX([1]RELAÇÃO!$A$1:$AQ$576,MATCH($M109,[1]RELAÇÃO!$AP$1:$AP$576,0),8)="8.105.000","-",INDEX([1]RELAÇÃO!$A$1:$AQ$576,MATCH($M109,[1]RELAÇÃO!$AP$1:$AP$576,0),7)))</f>
        <v>-</v>
      </c>
      <c r="M109" s="280" t="s">
        <v>366</v>
      </c>
      <c r="N109" s="280" t="s">
        <v>367</v>
      </c>
    </row>
    <row r="110" spans="1:14" ht="23.25" x14ac:dyDescent="0.25">
      <c r="A110" s="292"/>
      <c r="B110" s="333" t="s">
        <v>211</v>
      </c>
      <c r="C110" s="273" t="s">
        <v>212</v>
      </c>
      <c r="D110" s="273" t="s">
        <v>193</v>
      </c>
      <c r="E110" s="275" t="str">
        <f>INDEX([1]RELAÇÃO!$A$1:$AQ$576,MATCH($M110,[1]RELAÇÃO!$AP$1:$AP$576,0),1)</f>
        <v>MANOEL HUMBERTO LEMOS DA SILVA</v>
      </c>
      <c r="F110" s="276" t="str">
        <f>IF(E110=0,"-",LEFT(INDEX([1]RELAÇÃO!$A$1:$AQ$576,MATCH($M110,[1]RELAÇÃO!$AP$1:$AP$576,0),32),1))</f>
        <v>M</v>
      </c>
      <c r="G110" s="275" t="str">
        <f>IF(E110=0,"-",INDEX([1]RELAÇÃO!$A$1:$AQ$576,MATCH($M110,[1]RELAÇÃO!$AP$1:$AP$576,0),5))</f>
        <v>Sem Vínculo</v>
      </c>
      <c r="H110" s="275" t="str">
        <f>IF(E110=0,"-",INDEX([1]RELAÇÃO!$A$1:$AQ$576,MATCH($M110,[1]RELAÇÃO!$AP$1:$AP$576,0),6))</f>
        <v>Sem Vínculo</v>
      </c>
      <c r="I110" s="275" t="str">
        <f>IF(E110=0,"-",INDEX([1]RELAÇÃO!$A$1:$AQ$576,MATCH($M110,[1]RELAÇÃO!$AP$1:$AP$576,0),12)&amp;INDEX([1]RELAÇÃO!$A$1:$AQ$576,MATCH($M110,[1]RELAÇÃO!$AP$1:$AP$576,0),13)&amp;", de "&amp;INDEX([1]RELAÇÃO!$A$1:$AQ$576,MATCH($M110,[1]RELAÇÃO!$AP$1:$AP$576,0),14)&amp;" - "&amp;INDEX([1]RELAÇÃO!$A$1:$AQ$576,MATCH($M110,[1]RELAÇÃO!$AP$1:$AP$576,0),16)&amp;" de "&amp;INDEX([1]RELAÇÃO!$A$1:$AQ$576,MATCH($M110,[1]RELAÇÃO!$AP$1:$AP$576,0),15))</f>
        <v>Portaria nº 524, de 03/11/2016 - BPE de 04/11/2016</v>
      </c>
      <c r="J110" s="310"/>
      <c r="K110" s="310"/>
      <c r="L110" s="287" t="str">
        <f>IF($E110=0,"-",IF(INDEX([1]RELAÇÃO!$A$1:$AQ$576,MATCH($M110,[1]RELAÇÃO!$AP$1:$AP$576,0),8)="8.105.000","-",INDEX([1]RELAÇÃO!$A$1:$AQ$576,MATCH($M110,[1]RELAÇÃO!$AP$1:$AP$576,0),7)))</f>
        <v>-</v>
      </c>
      <c r="M110" s="280" t="s">
        <v>368</v>
      </c>
      <c r="N110" s="310"/>
    </row>
    <row r="111" spans="1:14" ht="23.25" x14ac:dyDescent="0.25">
      <c r="A111" s="292"/>
      <c r="B111" s="333" t="s">
        <v>228</v>
      </c>
      <c r="C111" s="273" t="s">
        <v>229</v>
      </c>
      <c r="D111" s="273" t="s">
        <v>193</v>
      </c>
      <c r="E111" s="275" t="str">
        <f>INDEX([1]RELAÇÃO!$A$1:$AQ$576,MATCH($M111,[1]RELAÇÃO!$AP$1:$AP$576,0),1)</f>
        <v>CLARICE GOMES DA SILVA</v>
      </c>
      <c r="F111" s="276" t="str">
        <f>IF(E111=0,"-",LEFT(INDEX([1]RELAÇÃO!$A$1:$AQ$576,MATCH($M111,[1]RELAÇÃO!$AP$1:$AP$576,0),32),1))</f>
        <v>F</v>
      </c>
      <c r="G111" s="275" t="str">
        <f>IF(E111=0,"-",INDEX([1]RELAÇÃO!$A$1:$AQ$576,MATCH($M111,[1]RELAÇÃO!$AP$1:$AP$576,0),5))</f>
        <v>Anistiado MME</v>
      </c>
      <c r="H111" s="275" t="str">
        <f>IF(E111=0,"-",INDEX([1]RELAÇÃO!$A$1:$AQ$576,MATCH($M111,[1]RELAÇÃO!$AP$1:$AP$576,0),6))</f>
        <v>MME - Ministério de Minas e Energia</v>
      </c>
      <c r="I111" s="275" t="str">
        <f>IF(E111=0,"-",INDEX([1]RELAÇÃO!$A$1:$AQ$576,MATCH($M111,[1]RELAÇÃO!$AP$1:$AP$576,0),12)&amp;INDEX([1]RELAÇÃO!$A$1:$AQ$576,MATCH($M111,[1]RELAÇÃO!$AP$1:$AP$576,0),13)&amp;", de "&amp;INDEX([1]RELAÇÃO!$A$1:$AQ$576,MATCH($M111,[1]RELAÇÃO!$AP$1:$AP$576,0),14)&amp;" - "&amp;INDEX([1]RELAÇÃO!$A$1:$AQ$576,MATCH($M111,[1]RELAÇÃO!$AP$1:$AP$576,0),16)&amp;" de "&amp;INDEX([1]RELAÇÃO!$A$1:$AQ$576,MATCH($M111,[1]RELAÇÃO!$AP$1:$AP$576,0),15))</f>
        <v>Portaria nº 112, de 06/02/2019 - DOU de 08/02/2019</v>
      </c>
      <c r="J111" s="310"/>
      <c r="K111" s="310"/>
      <c r="L111" s="287" t="str">
        <f>IF($E111=0,"-",IF(INDEX([1]RELAÇÃO!$A$1:$AQ$576,MATCH($M111,[1]RELAÇÃO!$AP$1:$AP$576,0),8)="8.105.000","-",INDEX([1]RELAÇÃO!$A$1:$AQ$576,MATCH($M111,[1]RELAÇÃO!$AP$1:$AP$576,0),7)))</f>
        <v>SE / SPOA / CGRL / COORDENAÇÃO DE ATIVIDADES GERAIS - COAGE</v>
      </c>
      <c r="M111" s="280" t="s">
        <v>369</v>
      </c>
      <c r="N111" s="310"/>
    </row>
    <row r="112" spans="1:14" ht="23.25" x14ac:dyDescent="0.25">
      <c r="A112" s="292"/>
      <c r="B112" s="333" t="s">
        <v>228</v>
      </c>
      <c r="C112" s="273" t="s">
        <v>229</v>
      </c>
      <c r="D112" s="273" t="s">
        <v>193</v>
      </c>
      <c r="E112" s="275" t="str">
        <f>INDEX([1]RELAÇÃO!$A$1:$AQ$576,MATCH($M112,[1]RELAÇÃO!$AP$1:$AP$576,0),1)</f>
        <v>ANADERGI ROSA DE FREITAS</v>
      </c>
      <c r="F112" s="276" t="str">
        <f>IF(E112=0,"-",LEFT(INDEX([1]RELAÇÃO!$A$1:$AQ$576,MATCH($M112,[1]RELAÇÃO!$AP$1:$AP$576,0),32),1))</f>
        <v>F</v>
      </c>
      <c r="G112" s="275" t="str">
        <f>IF(E112=0,"-",INDEX([1]RELAÇÃO!$A$1:$AQ$576,MATCH($M112,[1]RELAÇÃO!$AP$1:$AP$576,0),5))</f>
        <v>Sem Vínculo</v>
      </c>
      <c r="H112" s="275" t="str">
        <f>IF(E112=0,"-",INDEX([1]RELAÇÃO!$A$1:$AQ$576,MATCH($M112,[1]RELAÇÃO!$AP$1:$AP$576,0),6))</f>
        <v>Sem Vínculo</v>
      </c>
      <c r="I112" s="275" t="str">
        <f>IF(E112=0,"-",INDEX([1]RELAÇÃO!$A$1:$AQ$576,MATCH($M112,[1]RELAÇÃO!$AP$1:$AP$576,0),12)&amp;INDEX([1]RELAÇÃO!$A$1:$AQ$576,MATCH($M112,[1]RELAÇÃO!$AP$1:$AP$576,0),13)&amp;", de "&amp;INDEX([1]RELAÇÃO!$A$1:$AQ$576,MATCH($M112,[1]RELAÇÃO!$AP$1:$AP$576,0),14)&amp;" - "&amp;INDEX([1]RELAÇÃO!$A$1:$AQ$576,MATCH($M112,[1]RELAÇÃO!$AP$1:$AP$576,0),16)&amp;" de "&amp;INDEX([1]RELAÇÃO!$A$1:$AQ$576,MATCH($M112,[1]RELAÇÃO!$AP$1:$AP$576,0),15))</f>
        <v>Portaria nº 2, de 06/01/2020 - DOU de 07/01/2020</v>
      </c>
      <c r="J112" s="310"/>
      <c r="K112" s="310"/>
      <c r="L112" s="287" t="str">
        <f>IF($E112=0,"-",IF(INDEX([1]RELAÇÃO!$A$1:$AQ$576,MATCH($M112,[1]RELAÇÃO!$AP$1:$AP$576,0),8)="8.105.000","-",INDEX([1]RELAÇÃO!$A$1:$AQ$576,MATCH($M112,[1]RELAÇÃO!$AP$1:$AP$576,0),7)))</f>
        <v>SE / SPOA / CGRL / COORDENAÇÃO DE ATIVIDADES GERAIS - COAGE</v>
      </c>
      <c r="M112" s="280" t="s">
        <v>370</v>
      </c>
      <c r="N112" s="310"/>
    </row>
    <row r="113" spans="1:14" ht="23.25" x14ac:dyDescent="0.25">
      <c r="A113" s="292"/>
      <c r="B113" s="333" t="s">
        <v>247</v>
      </c>
      <c r="C113" s="273" t="s">
        <v>248</v>
      </c>
      <c r="D113" s="273" t="s">
        <v>193</v>
      </c>
      <c r="E113" s="275" t="str">
        <f>INDEX([1]RELAÇÃO!$A$1:$AQ$576,MATCH($M113,[1]RELAÇÃO!$AP$1:$AP$576,0),1)</f>
        <v>AIRTON OLIVEIRA LIMA</v>
      </c>
      <c r="F113" s="276" t="str">
        <f>IF(E113=0,"-",LEFT(INDEX([1]RELAÇÃO!$A$1:$AQ$576,MATCH($M113,[1]RELAÇÃO!$AP$1:$AP$576,0),32),1))</f>
        <v>M</v>
      </c>
      <c r="G113" s="275" t="str">
        <f>IF(E113=0,"-",INDEX([1]RELAÇÃO!$A$1:$AQ$576,MATCH($M113,[1]RELAÇÃO!$AP$1:$AP$576,0),5))</f>
        <v>Sem Vínculo</v>
      </c>
      <c r="H113" s="275" t="str">
        <f>IF(E113=0,"-",INDEX([1]RELAÇÃO!$A$1:$AQ$576,MATCH($M113,[1]RELAÇÃO!$AP$1:$AP$576,0),6))</f>
        <v>Sem Vínculo</v>
      </c>
      <c r="I113" s="275" t="str">
        <f>IF(E113=0,"-",INDEX([1]RELAÇÃO!$A$1:$AQ$576,MATCH($M113,[1]RELAÇÃO!$AP$1:$AP$576,0),12)&amp;INDEX([1]RELAÇÃO!$A$1:$AQ$576,MATCH($M113,[1]RELAÇÃO!$AP$1:$AP$576,0),13)&amp;", de "&amp;INDEX([1]RELAÇÃO!$A$1:$AQ$576,MATCH($M113,[1]RELAÇÃO!$AP$1:$AP$576,0),14)&amp;" - "&amp;INDEX([1]RELAÇÃO!$A$1:$AQ$576,MATCH($M113,[1]RELAÇÃO!$AP$1:$AP$576,0),16)&amp;" de "&amp;INDEX([1]RELAÇÃO!$A$1:$AQ$576,MATCH($M113,[1]RELAÇÃO!$AP$1:$AP$576,0),15))</f>
        <v>Portaria nº 389, de 14/09/2018 - DOU de 17/09/2018</v>
      </c>
      <c r="J113" s="310"/>
      <c r="K113" s="310"/>
      <c r="L113" s="287" t="str">
        <f>IF($E113=0,"-",IF(INDEX([1]RELAÇÃO!$A$1:$AQ$576,MATCH($M113,[1]RELAÇÃO!$AP$1:$AP$576,0),8)="8.105.000","-",INDEX([1]RELAÇÃO!$A$1:$AQ$576,MATCH($M113,[1]RELAÇÃO!$AP$1:$AP$576,0),7)))</f>
        <v>SE / SPOA / CGRL / COORDENAÇÃO DE ATIVIDADES GERAIS - COAGE</v>
      </c>
      <c r="M113" s="280" t="s">
        <v>371</v>
      </c>
      <c r="N113" s="310"/>
    </row>
    <row r="114" spans="1:14" ht="23.25" x14ac:dyDescent="0.25">
      <c r="A114" s="297" t="s">
        <v>372</v>
      </c>
      <c r="B114" s="333" t="s">
        <v>242</v>
      </c>
      <c r="C114" s="273" t="s">
        <v>325</v>
      </c>
      <c r="D114" s="273" t="s">
        <v>187</v>
      </c>
      <c r="E114" s="275" t="str">
        <f>INDEX([1]RELAÇÃO!$A$1:$AQ$576,MATCH($M114,[1]RELAÇÃO!$AP$1:$AP$576,0),1)</f>
        <v>TEREZINHA AGUIAR ALMEIDA</v>
      </c>
      <c r="F114" s="276" t="str">
        <f>IF(E114=0,"-",LEFT(INDEX([1]RELAÇÃO!$A$1:$AQ$576,MATCH($M114,[1]RELAÇÃO!$AP$1:$AP$576,0),32),1))</f>
        <v>F</v>
      </c>
      <c r="G114" s="275" t="str">
        <f>IF(E114=0,"-",INDEX([1]RELAÇÃO!$A$1:$AQ$576,MATCH($M114,[1]RELAÇÃO!$AP$1:$AP$576,0),5))</f>
        <v>Ativo Permanente</v>
      </c>
      <c r="H114" s="275" t="str">
        <f>IF(E114=0,"-",INDEX([1]RELAÇÃO!$A$1:$AQ$576,MATCH($M114,[1]RELAÇÃO!$AP$1:$AP$576,0),6))</f>
        <v>MME - Ministério de Minas e Energia</v>
      </c>
      <c r="I114" s="275" t="str">
        <f>IF(E114=0,"-",INDEX([1]RELAÇÃO!$A$1:$AQ$576,MATCH($M114,[1]RELAÇÃO!$AP$1:$AP$576,0),12)&amp;INDEX([1]RELAÇÃO!$A$1:$AQ$576,MATCH($M114,[1]RELAÇÃO!$AP$1:$AP$576,0),13)&amp;", de "&amp;INDEX([1]RELAÇÃO!$A$1:$AQ$576,MATCH($M114,[1]RELAÇÃO!$AP$1:$AP$576,0),14)&amp;" - "&amp;INDEX([1]RELAÇÃO!$A$1:$AQ$576,MATCH($M114,[1]RELAÇÃO!$AP$1:$AP$576,0),16)&amp;" de "&amp;INDEX([1]RELAÇÃO!$A$1:$AQ$576,MATCH($M114,[1]RELAÇÃO!$AP$1:$AP$576,0),15))</f>
        <v>Portaria nº 524, de 03/11/2016 - BPE de 04/11/2016</v>
      </c>
      <c r="J114" s="307" t="str">
        <f>INDEX([1]RELAÇÃO!$A$1:$AQ$576,MATCH($N114,[1]RELAÇÃO!$AQ$1:$AQ$576,0),1)</f>
        <v>EDUARDO JOSÉ FERNANDES PRATA</v>
      </c>
      <c r="K114" s="395" t="str">
        <f>IF(J114=0,"-",INDEX([1]RELAÇÃO!$A$1:$AQ$576,MATCH($N114,[1]RELAÇÃO!$AQ$1:$AQ$576,0),27)&amp;INDEX([1]RELAÇÃO!$A$1:$AQ$576,MATCH($N114,[1]RELAÇÃO!$AQ$1:$AQ$576,0),28)&amp;", de "&amp;INDEX([1]RELAÇÃO!$A$1:$AQ$576,MATCH($N114,[1]RELAÇÃO!$AQ$1:$AQ$576,0),29)&amp;" - "&amp;INDEX([1]RELAÇÃO!$A$1:$AQ$576,MATCH($N114,[1]RELAÇÃO!$AQ$1:$AQ$576,0),31)&amp;" de "&amp;INDEX([1]RELAÇÃO!$A$1:$AQ$576,MATCH($N114,[1]RELAÇÃO!$AQ$1:$AQ$576,0),30))</f>
        <v>Portaria nº 174, de 10/07/2006 - DOU de 11/07/2006</v>
      </c>
      <c r="L114" s="287" t="str">
        <f>IF($E114=0,"-",IF(INDEX([1]RELAÇÃO!$A$1:$AQ$576,MATCH($M114,[1]RELAÇÃO!$AP$1:$AP$576,0),8)="8.105.010","-",INDEX([1]RELAÇÃO!$A$1:$AQ$576,MATCH($M114,[1]RELAÇÃO!$AP$1:$AP$576,0),7)))</f>
        <v>-</v>
      </c>
      <c r="M114" s="280" t="s">
        <v>373</v>
      </c>
      <c r="N114" s="280" t="s">
        <v>374</v>
      </c>
    </row>
    <row r="115" spans="1:14" ht="23.25" x14ac:dyDescent="0.25">
      <c r="A115" s="289"/>
      <c r="B115" s="333" t="s">
        <v>247</v>
      </c>
      <c r="C115" s="296" t="s">
        <v>250</v>
      </c>
      <c r="D115" s="273" t="s">
        <v>193</v>
      </c>
      <c r="E115" s="300" t="str">
        <f>INDEX([1]RELAÇÃO!$A$1:$AQ$576,MATCH($M115,[1]RELAÇÃO!$AP$1:$AP$576,0),1)</f>
        <v>CONCEICAO DE MARIA OLIVEIRA COSTA</v>
      </c>
      <c r="F115" s="301" t="str">
        <f>IF(E115=0,"-",LEFT(INDEX([1]RELAÇÃO!$A$1:$AQ$576,MATCH($M115,[1]RELAÇÃO!$AP$1:$AP$576,0),32),1))</f>
        <v>F</v>
      </c>
      <c r="G115" s="300" t="str">
        <f>IF(E115=0,"-",INDEX([1]RELAÇÃO!$A$1:$AQ$576,MATCH($M115,[1]RELAÇÃO!$AP$1:$AP$576,0),5))</f>
        <v>Ativo Permanente</v>
      </c>
      <c r="H115" s="300" t="str">
        <f>IF(E115=0,"-",INDEX([1]RELAÇÃO!$A$1:$AQ$576,MATCH($M115,[1]RELAÇÃO!$AP$1:$AP$576,0),6))</f>
        <v>MME - Ministério de Minas e Energia</v>
      </c>
      <c r="I115" s="300" t="str">
        <f>IF(E115=0,"-",INDEX([1]RELAÇÃO!$A$1:$AQ$576,MATCH($M115,[1]RELAÇÃO!$AP$1:$AP$576,0),12)&amp;INDEX([1]RELAÇÃO!$A$1:$AQ$576,MATCH($M115,[1]RELAÇÃO!$AP$1:$AP$576,0),13)&amp;", de "&amp;INDEX([1]RELAÇÃO!$A$1:$AQ$576,MATCH($M115,[1]RELAÇÃO!$AP$1:$AP$576,0),14)&amp;" - "&amp;INDEX([1]RELAÇÃO!$A$1:$AQ$576,MATCH($M115,[1]RELAÇÃO!$AP$1:$AP$576,0),16)&amp;" de "&amp;INDEX([1]RELAÇÃO!$A$1:$AQ$576,MATCH($M115,[1]RELAÇÃO!$AP$1:$AP$576,0),15))</f>
        <v>Portaria nº 558, de 03/11/2016 - DOU de 04/11/2016</v>
      </c>
      <c r="J115" s="310"/>
      <c r="K115" s="310"/>
      <c r="L115" s="287" t="str">
        <f>IF($E115=0,"-",IF(INDEX([1]RELAÇÃO!$A$1:$AQ$576,MATCH($M115,[1]RELAÇÃO!$AP$1:$AP$576,0),8)="8.105.010","-",INDEX([1]RELAÇÃO!$A$1:$AQ$576,MATCH($M115,[1]RELAÇÃO!$AP$1:$AP$576,0),7)))</f>
        <v>-</v>
      </c>
      <c r="M115" s="280" t="s">
        <v>375</v>
      </c>
      <c r="N115" s="310"/>
    </row>
    <row r="116" spans="1:14" ht="23.25" x14ac:dyDescent="0.25">
      <c r="A116" s="292"/>
      <c r="B116" s="333" t="s">
        <v>247</v>
      </c>
      <c r="C116" s="296" t="s">
        <v>250</v>
      </c>
      <c r="D116" s="273" t="s">
        <v>193</v>
      </c>
      <c r="E116" s="300" t="str">
        <f>INDEX([1]RELAÇÃO!$A$1:$AQ$576,MATCH($M116,[1]RELAÇÃO!$AP$1:$AP$576,0),1)</f>
        <v>EDUARDO JOSÉ FERNANDES PRATA</v>
      </c>
      <c r="F116" s="301" t="str">
        <f>IF(E116=0,"-",LEFT(INDEX([1]RELAÇÃO!$A$1:$AQ$576,MATCH($M116,[1]RELAÇÃO!$AP$1:$AP$576,0),32),1))</f>
        <v>M</v>
      </c>
      <c r="G116" s="300" t="str">
        <f>IF(E116=0,"-",INDEX([1]RELAÇÃO!$A$1:$AQ$576,MATCH($M116,[1]RELAÇÃO!$AP$1:$AP$576,0),5))</f>
        <v>Ativo Permanente</v>
      </c>
      <c r="H116" s="300" t="str">
        <f>IF(E116=0,"-",INDEX([1]RELAÇÃO!$A$1:$AQ$576,MATCH($M116,[1]RELAÇÃO!$AP$1:$AP$576,0),6))</f>
        <v>MME - Ministério de Minas e Energia</v>
      </c>
      <c r="I116" s="300" t="str">
        <f>IF(E116=0,"-",INDEX([1]RELAÇÃO!$A$1:$AQ$576,MATCH($M116,[1]RELAÇÃO!$AP$1:$AP$576,0),12)&amp;INDEX([1]RELAÇÃO!$A$1:$AQ$576,MATCH($M116,[1]RELAÇÃO!$AP$1:$AP$576,0),13)&amp;", de "&amp;INDEX([1]RELAÇÃO!$A$1:$AQ$576,MATCH($M116,[1]RELAÇÃO!$AP$1:$AP$576,0),14)&amp;" - "&amp;INDEX([1]RELAÇÃO!$A$1:$AQ$576,MATCH($M116,[1]RELAÇÃO!$AP$1:$AP$576,0),16)&amp;" de "&amp;INDEX([1]RELAÇÃO!$A$1:$AQ$576,MATCH($M116,[1]RELAÇÃO!$AP$1:$AP$576,0),15))</f>
        <v>Portaria nº 559, de 03/11/2016 - DOU de 04/11/2016</v>
      </c>
      <c r="J116" s="310"/>
      <c r="K116" s="310"/>
      <c r="L116" s="287" t="str">
        <f>IF($E116=0,"-",IF(INDEX([1]RELAÇÃO!$A$1:$AQ$576,MATCH($M116,[1]RELAÇÃO!$AP$1:$AP$576,0),8)="8.105.010","-",INDEX([1]RELAÇÃO!$A$1:$AQ$576,MATCH($M116,[1]RELAÇÃO!$AP$1:$AP$576,0),7)))</f>
        <v>-</v>
      </c>
      <c r="M116" s="280" t="s">
        <v>376</v>
      </c>
      <c r="N116" s="310"/>
    </row>
    <row r="117" spans="1:14" ht="23.25" x14ac:dyDescent="0.25">
      <c r="A117" s="292"/>
      <c r="B117" s="333" t="s">
        <v>247</v>
      </c>
      <c r="C117" s="296" t="s">
        <v>250</v>
      </c>
      <c r="D117" s="273" t="s">
        <v>193</v>
      </c>
      <c r="E117" s="300" t="str">
        <f>INDEX([1]RELAÇÃO!$A$1:$AQ$576,MATCH($M117,[1]RELAÇÃO!$AP$1:$AP$576,0),1)</f>
        <v>FERNANDA MARIA DE MELO SILVA MARRA</v>
      </c>
      <c r="F117" s="301" t="str">
        <f>IF(E117=0,"-",LEFT(INDEX([1]RELAÇÃO!$A$1:$AQ$576,MATCH($M117,[1]RELAÇÃO!$AP$1:$AP$576,0),32),1))</f>
        <v>F</v>
      </c>
      <c r="G117" s="300" t="str">
        <f>IF(E117=0,"-",INDEX([1]RELAÇÃO!$A$1:$AQ$576,MATCH($M117,[1]RELAÇÃO!$AP$1:$AP$576,0),5))</f>
        <v>Ativo Permanente</v>
      </c>
      <c r="H117" s="300" t="str">
        <f>IF(E117=0,"-",INDEX([1]RELAÇÃO!$A$1:$AQ$576,MATCH($M117,[1]RELAÇÃO!$AP$1:$AP$576,0),6))</f>
        <v>MME - Ministério de Minas e Energia</v>
      </c>
      <c r="I117" s="300" t="str">
        <f>IF(E117=0,"-",INDEX([1]RELAÇÃO!$A$1:$AQ$576,MATCH($M117,[1]RELAÇÃO!$AP$1:$AP$576,0),12)&amp;INDEX([1]RELAÇÃO!$A$1:$AQ$576,MATCH($M117,[1]RELAÇÃO!$AP$1:$AP$576,0),13)&amp;", de "&amp;INDEX([1]RELAÇÃO!$A$1:$AQ$576,MATCH($M117,[1]RELAÇÃO!$AP$1:$AP$576,0),14)&amp;" - "&amp;INDEX([1]RELAÇÃO!$A$1:$AQ$576,MATCH($M117,[1]RELAÇÃO!$AP$1:$AP$576,0),16)&amp;" de "&amp;INDEX([1]RELAÇÃO!$A$1:$AQ$576,MATCH($M117,[1]RELAÇÃO!$AP$1:$AP$576,0),15))</f>
        <v>Portaria nº 560, de 03/11/2016 - DOU de 04/11/2016</v>
      </c>
      <c r="J117" s="340"/>
      <c r="K117" s="340"/>
      <c r="L117" s="302" t="str">
        <f>IF($E117=0,"-",IF(INDEX([1]RELAÇÃO!$A$1:$AQ$576,MATCH($M117,[1]RELAÇÃO!$AP$1:$AP$576,0),8)="8.105.010","-",INDEX([1]RELAÇÃO!$A$1:$AQ$576,MATCH($M117,[1]RELAÇÃO!$AP$1:$AP$576,0),7)))</f>
        <v>-</v>
      </c>
      <c r="M117" s="280" t="s">
        <v>377</v>
      </c>
      <c r="N117" s="310"/>
    </row>
    <row r="118" spans="1:14" ht="23.25" x14ac:dyDescent="0.25">
      <c r="A118" s="297" t="s">
        <v>378</v>
      </c>
      <c r="B118" s="333" t="s">
        <v>321</v>
      </c>
      <c r="C118" s="273" t="s">
        <v>186</v>
      </c>
      <c r="D118" s="274" t="s">
        <v>187</v>
      </c>
      <c r="E118" s="275" t="str">
        <f>INDEX([1]RELAÇÃO!$A$1:$AQ$576,MATCH($M118,[1]RELAÇÃO!$AP$1:$AP$576,0),1)</f>
        <v>ANDREA CRISTINA ANDRADE SANTOS CARVALHO</v>
      </c>
      <c r="F118" s="276" t="str">
        <f>IF(E118=0,"-",LEFT(INDEX([1]RELAÇÃO!$A$1:$AQ$576,MATCH($M118,[1]RELAÇÃO!$AP$1:$AP$576,0),32),1))</f>
        <v>F</v>
      </c>
      <c r="G118" s="275" t="str">
        <f>IF(E118=0,"-",INDEX([1]RELAÇÃO!$A$1:$AQ$576,MATCH($M118,[1]RELAÇÃO!$AP$1:$AP$576,0),5))</f>
        <v>Ativo Permanente</v>
      </c>
      <c r="H118" s="275" t="str">
        <f>IF(E118=0,"-",INDEX([1]RELAÇÃO!$A$1:$AQ$576,MATCH($M118,[1]RELAÇÃO!$AP$1:$AP$576,0),6))</f>
        <v>MME - Ministério de Minas e Energia</v>
      </c>
      <c r="I118" s="275" t="str">
        <f>IF(E118=0,"-",INDEX([1]RELAÇÃO!$A$1:$AQ$576,MATCH($M118,[1]RELAÇÃO!$AP$1:$AP$576,0),12)&amp;INDEX([1]RELAÇÃO!$A$1:$AQ$576,MATCH($M118,[1]RELAÇÃO!$AP$1:$AP$576,0),13)&amp;", de "&amp;INDEX([1]RELAÇÃO!$A$1:$AQ$576,MATCH($M118,[1]RELAÇÃO!$AP$1:$AP$576,0),14)&amp;" - "&amp;INDEX([1]RELAÇÃO!$A$1:$AQ$576,MATCH($M118,[1]RELAÇÃO!$AP$1:$AP$576,0),16)&amp;" de "&amp;INDEX([1]RELAÇÃO!$A$1:$AQ$576,MATCH($M118,[1]RELAÇÃO!$AP$1:$AP$576,0),15))</f>
        <v>Portaria nº 524, de 03/11/2016 - BPE de 04/11/2016</v>
      </c>
      <c r="J118" s="307" t="str">
        <f>INDEX([1]RELAÇÃO!$A$1:$AQ$576,MATCH($N118,[1]RELAÇÃO!$AQ$1:$AQ$576,0),1)</f>
        <v>ALVANIR DA SILVA CARVALHO</v>
      </c>
      <c r="K118" s="395" t="str">
        <f>IF(J118=0,"-",INDEX([1]RELAÇÃO!$A$1:$AQ$576,MATCH($N118,[1]RELAÇÃO!$AQ$1:$AQ$576,0),27)&amp;INDEX([1]RELAÇÃO!$A$1:$AQ$576,MATCH($N118,[1]RELAÇÃO!$AQ$1:$AQ$576,0),28)&amp;", de "&amp;INDEX([1]RELAÇÃO!$A$1:$AQ$576,MATCH($N118,[1]RELAÇÃO!$AQ$1:$AQ$576,0),29)&amp;" - "&amp;INDEX([1]RELAÇÃO!$A$1:$AQ$576,MATCH($N118,[1]RELAÇÃO!$AQ$1:$AQ$576,0),31)&amp;" de "&amp;INDEX([1]RELAÇÃO!$A$1:$AQ$576,MATCH($N118,[1]RELAÇÃO!$AQ$1:$AQ$576,0),30))</f>
        <v>Portaria nº 202, de 22/05/2009 - DOU de 26/05/2009</v>
      </c>
      <c r="L118" s="287" t="str">
        <f>IF($E118=0,"-",IF(INDEX([1]RELAÇÃO!$A$1:$AQ$576,MATCH($M118,[1]RELAÇÃO!$AP$1:$AP$576,0),8)="8.105.100","-",INDEX([1]RELAÇÃO!$A$1:$AQ$576,MATCH($M118,[1]RELAÇÃO!$AP$1:$AP$576,0),7)))</f>
        <v>-</v>
      </c>
      <c r="M118" s="280" t="s">
        <v>379</v>
      </c>
      <c r="N118" s="280" t="s">
        <v>380</v>
      </c>
    </row>
    <row r="119" spans="1:14" ht="23.25" x14ac:dyDescent="0.25">
      <c r="A119" s="292"/>
      <c r="B119" s="405" t="s">
        <v>381</v>
      </c>
      <c r="C119" s="273" t="s">
        <v>325</v>
      </c>
      <c r="D119" s="274" t="s">
        <v>187</v>
      </c>
      <c r="E119" s="275" t="str">
        <f>INDEX([1]RELAÇÃO!$A$1:$AQ$576,MATCH($M119,[1]RELAÇÃO!$AP$1:$AP$576,0),1)</f>
        <v>FERNANDO YAMASHITA</v>
      </c>
      <c r="F119" s="276" t="str">
        <f>IF(E119=0,"-",LEFT(INDEX([1]RELAÇÃO!$A$1:$AQ$576,MATCH($M119,[1]RELAÇÃO!$AP$1:$AP$576,0),32),1))</f>
        <v>M</v>
      </c>
      <c r="G119" s="275" t="str">
        <f>IF(E119=0,"-",INDEX([1]RELAÇÃO!$A$1:$AQ$576,MATCH($M119,[1]RELAÇÃO!$AP$1:$AP$576,0),5))</f>
        <v>Requisitado de Órgãos</v>
      </c>
      <c r="H119" s="275" t="str">
        <f>IF(E119=0,"-",INDEX([1]RELAÇÃO!$A$1:$AQ$576,MATCH($M119,[1]RELAÇÃO!$AP$1:$AP$576,0),6))</f>
        <v>MDR - Ministério do Desenvolvimento Regional</v>
      </c>
      <c r="I119" s="275" t="str">
        <f>IF(E119=0,"-",INDEX([1]RELAÇÃO!$A$1:$AQ$576,MATCH($M119,[1]RELAÇÃO!$AP$1:$AP$576,0),12)&amp;INDEX([1]RELAÇÃO!$A$1:$AQ$576,MATCH($M119,[1]RELAÇÃO!$AP$1:$AP$576,0),13)&amp;", de "&amp;INDEX([1]RELAÇÃO!$A$1:$AQ$576,MATCH($M119,[1]RELAÇÃO!$AP$1:$AP$576,0),14)&amp;" - "&amp;INDEX([1]RELAÇÃO!$A$1:$AQ$576,MATCH($M119,[1]RELAÇÃO!$AP$1:$AP$576,0),16)&amp;" de "&amp;INDEX([1]RELAÇÃO!$A$1:$AQ$576,MATCH($M119,[1]RELAÇÃO!$AP$1:$AP$576,0),15))</f>
        <v>Portaria nº 246, de 28/06/2017 - DOU de 29/06/2017</v>
      </c>
      <c r="J119" s="307" t="str">
        <f>INDEX([1]RELAÇÃO!$A$1:$AQ$576,MATCH($N119,[1]RELAÇÃO!$AQ$1:$AQ$576,0),1)</f>
        <v>CUSTÓDIA OLIVEIRA PEREIRA</v>
      </c>
      <c r="K119" s="395" t="str">
        <f>IF(J119=0,"-",INDEX([1]RELAÇÃO!$A$1:$AQ$576,MATCH($N119,[1]RELAÇÃO!$AQ$1:$AQ$576,0),27)&amp;INDEX([1]RELAÇÃO!$A$1:$AQ$576,MATCH($N119,[1]RELAÇÃO!$AQ$1:$AQ$576,0),28)&amp;", de "&amp;INDEX([1]RELAÇÃO!$A$1:$AQ$576,MATCH($N119,[1]RELAÇÃO!$AQ$1:$AQ$576,0),29)&amp;" - "&amp;INDEX([1]RELAÇÃO!$A$1:$AQ$576,MATCH($N119,[1]RELAÇÃO!$AQ$1:$AQ$576,0),31)&amp;" de "&amp;INDEX([1]RELAÇÃO!$A$1:$AQ$576,MATCH($N119,[1]RELAÇÃO!$AQ$1:$AQ$576,0),30))</f>
        <v>Portaria nº 129, de 12/04/2018 - DOU de 16/04/2018</v>
      </c>
      <c r="L119" s="287" t="str">
        <f>IF($E119=0,"-",IF(INDEX([1]RELAÇÃO!$A$1:$AQ$576,MATCH($M119,[1]RELAÇÃO!$AP$1:$AP$576,0),8)="8.105.110","-",INDEX([1]RELAÇÃO!$A$1:$AQ$576,MATCH($M119,[1]RELAÇÃO!$AP$1:$AP$576,0),7)))</f>
        <v>-</v>
      </c>
      <c r="M119" s="280" t="s">
        <v>382</v>
      </c>
      <c r="N119" s="280" t="s">
        <v>383</v>
      </c>
    </row>
    <row r="120" spans="1:14" ht="23.25" x14ac:dyDescent="0.25">
      <c r="A120" s="292"/>
      <c r="B120" s="333" t="s">
        <v>384</v>
      </c>
      <c r="C120" s="273" t="s">
        <v>385</v>
      </c>
      <c r="D120" s="274" t="s">
        <v>187</v>
      </c>
      <c r="E120" s="275" t="str">
        <f>INDEX([1]RELAÇÃO!$A$1:$AQ$576,MATCH($M120,[1]RELAÇÃO!$AP$1:$AP$576,0),1)</f>
        <v>MARIA GRIGORIA DE MEDEIROS NETA</v>
      </c>
      <c r="F120" s="276" t="str">
        <f>IF(E120=0,"-",LEFT(INDEX([1]RELAÇÃO!$A$1:$AQ$576,MATCH($M120,[1]RELAÇÃO!$AP$1:$AP$576,0),32),1))</f>
        <v>F</v>
      </c>
      <c r="G120" s="275" t="str">
        <f>IF(E120=0,"-",INDEX([1]RELAÇÃO!$A$1:$AQ$576,MATCH($M120,[1]RELAÇÃO!$AP$1:$AP$576,0),5))</f>
        <v>Sem Vínculo</v>
      </c>
      <c r="H120" s="275" t="str">
        <f>IF(E120=0,"-",INDEX([1]RELAÇÃO!$A$1:$AQ$576,MATCH($M120,[1]RELAÇÃO!$AP$1:$AP$576,0),6))</f>
        <v>Sem Vínculo</v>
      </c>
      <c r="I120" s="275" t="str">
        <f>IF(E120=0,"-",INDEX([1]RELAÇÃO!$A$1:$AQ$576,MATCH($M120,[1]RELAÇÃO!$AP$1:$AP$576,0),12)&amp;INDEX([1]RELAÇÃO!$A$1:$AQ$576,MATCH($M120,[1]RELAÇÃO!$AP$1:$AP$576,0),13)&amp;", de "&amp;INDEX([1]RELAÇÃO!$A$1:$AQ$576,MATCH($M120,[1]RELAÇÃO!$AP$1:$AP$576,0),14)&amp;" - "&amp;INDEX([1]RELAÇÃO!$A$1:$AQ$576,MATCH($M120,[1]RELAÇÃO!$AP$1:$AP$576,0),16)&amp;" de "&amp;INDEX([1]RELAÇÃO!$A$1:$AQ$576,MATCH($M120,[1]RELAÇÃO!$AP$1:$AP$576,0),15))</f>
        <v>Portaria nº 550, de 03/11/2016 - DOU de 04/11/2016</v>
      </c>
      <c r="J120" s="307" t="str">
        <f>INDEX([1]RELAÇÃO!$A$1:$AQ$576,MATCH($N120,[1]RELAÇÃO!$AQ$1:$AQ$576,0),1)</f>
        <v>GERALDO RIBEIRO DOS SANTOS</v>
      </c>
      <c r="K120" s="308" t="str">
        <f>IF(J120=0,"-",INDEX([1]RELAÇÃO!$A$1:$AQ$576,MATCH($N120,[1]RELAÇÃO!$AQ$1:$AQ$576,0),27)&amp;INDEX([1]RELAÇÃO!$A$1:$AQ$576,MATCH($N120,[1]RELAÇÃO!$AQ$1:$AQ$576,0),28)&amp;", de "&amp;INDEX([1]RELAÇÃO!$A$1:$AQ$576,MATCH($N120,[1]RELAÇÃO!$AQ$1:$AQ$576,0),29)&amp;" - "&amp;INDEX([1]RELAÇÃO!$A$1:$AQ$576,MATCH($N120,[1]RELAÇÃO!$AQ$1:$AQ$576,0),31)&amp;" de "&amp;INDEX([1]RELAÇÃO!$A$1:$AQ$576,MATCH($N120,[1]RELAÇÃO!$AQ$1:$AQ$576,0),30))</f>
        <v>Portaria nº 225, de 07/06/2018 - DOU de 11/06/2018</v>
      </c>
      <c r="L120" s="287" t="str">
        <f>IF($E120=0,"-",IF(INDEX([1]RELAÇÃO!$A$1:$AQ$576,MATCH($M120,[1]RELAÇÃO!$AP$1:$AP$576,0),8)="8.105.110","-",INDEX([1]RELAÇÃO!$A$1:$AQ$576,MATCH($M120,[1]RELAÇÃO!$AP$1:$AP$576,0),7)))</f>
        <v>-</v>
      </c>
      <c r="M120" s="280" t="s">
        <v>386</v>
      </c>
      <c r="N120" s="280" t="s">
        <v>387</v>
      </c>
    </row>
    <row r="121" spans="1:14" ht="22.5" x14ac:dyDescent="0.25">
      <c r="A121" s="292"/>
      <c r="B121" s="333" t="s">
        <v>388</v>
      </c>
      <c r="C121" s="273" t="s">
        <v>385</v>
      </c>
      <c r="D121" s="274" t="s">
        <v>187</v>
      </c>
      <c r="E121" s="275">
        <f>INDEX([1]RELAÇÃO!$A$1:$AQ$576,MATCH($M121,[1]RELAÇÃO!$AP$1:$AP$576,0),1)</f>
        <v>0</v>
      </c>
      <c r="F121" s="276" t="str">
        <f>IF(E121=0,"-",LEFT(INDEX([1]RELAÇÃO!$A$1:$AQ$576,MATCH($M121,[1]RELAÇÃO!$AP$1:$AP$576,0),32),1))</f>
        <v>-</v>
      </c>
      <c r="G121" s="275" t="str">
        <f>IF(E121=0,"-",INDEX([1]RELAÇÃO!$A$1:$AQ$576,MATCH($M121,[1]RELAÇÃO!$AP$1:$AP$576,0),5))</f>
        <v>-</v>
      </c>
      <c r="H121" s="275" t="str">
        <f>IF(E121=0,"-",INDEX([1]RELAÇÃO!$A$1:$AQ$576,MATCH($M121,[1]RELAÇÃO!$AP$1:$AP$576,0),6))</f>
        <v>-</v>
      </c>
      <c r="I121" s="275" t="str">
        <f>IF(E121=0,"-",INDEX([1]RELAÇÃO!$A$1:$AQ$576,MATCH($M121,[1]RELAÇÃO!$AP$1:$AP$576,0),12)&amp;INDEX([1]RELAÇÃO!$A$1:$AQ$576,MATCH($M121,[1]RELAÇÃO!$AP$1:$AP$576,0),13)&amp;", de "&amp;INDEX([1]RELAÇÃO!$A$1:$AQ$576,MATCH($M121,[1]RELAÇÃO!$AP$1:$AP$576,0),14)&amp;" - "&amp;INDEX([1]RELAÇÃO!$A$1:$AQ$576,MATCH($M121,[1]RELAÇÃO!$AP$1:$AP$576,0),16)&amp;" de "&amp;INDEX([1]RELAÇÃO!$A$1:$AQ$576,MATCH($M121,[1]RELAÇÃO!$AP$1:$AP$576,0),15))</f>
        <v>-</v>
      </c>
      <c r="J121" s="307" t="str">
        <f>INDEX([1]RELAÇÃO!$A$1:$AQ$576,MATCH($N121,[1]RELAÇÃO!$AQ$1:$AQ$576,0),1)</f>
        <v>RENATO DE SOUSA ALVES</v>
      </c>
      <c r="K121" s="308" t="str">
        <f>IF(J121=0,"-",INDEX([1]RELAÇÃO!$A$1:$AQ$576,MATCH($N121,[1]RELAÇÃO!$AQ$1:$AQ$576,0),27)&amp;INDEX([1]RELAÇÃO!$A$1:$AQ$576,MATCH($N121,[1]RELAÇÃO!$AQ$1:$AQ$576,0),28)&amp;", de "&amp;INDEX([1]RELAÇÃO!$A$1:$AQ$576,MATCH($N121,[1]RELAÇÃO!$AQ$1:$AQ$576,0),29)&amp;" - "&amp;INDEX([1]RELAÇÃO!$A$1:$AQ$576,MATCH($N121,[1]RELAÇÃO!$AQ$1:$AQ$576,0),31)&amp;" de "&amp;INDEX([1]RELAÇÃO!$A$1:$AQ$576,MATCH($N121,[1]RELAÇÃO!$AQ$1:$AQ$576,0),30))</f>
        <v>Portaria nº 348, de 01/09/2017 - DOU de 04/09/2017</v>
      </c>
      <c r="L121" s="287" t="str">
        <f>IF($E121=0,"-",IF(INDEX([1]RELAÇÃO!$A$1:$AQ$576,MATCH($M121,[1]RELAÇÃO!$AP$1:$AP$576,0),8)="8.105.110","-",INDEX([1]RELAÇÃO!$A$1:$AQ$576,MATCH($M121,[1]RELAÇÃO!$AP$1:$AP$576,0),7)))</f>
        <v>-</v>
      </c>
      <c r="M121" s="280" t="s">
        <v>389</v>
      </c>
      <c r="N121" s="280" t="s">
        <v>390</v>
      </c>
    </row>
    <row r="122" spans="1:14" ht="23.25" x14ac:dyDescent="0.25">
      <c r="A122" s="292"/>
      <c r="B122" s="405" t="s">
        <v>391</v>
      </c>
      <c r="C122" s="273" t="s">
        <v>392</v>
      </c>
      <c r="D122" s="274" t="s">
        <v>187</v>
      </c>
      <c r="E122" s="275" t="str">
        <f>INDEX([1]RELAÇÃO!$A$1:$AQ$576,MATCH($M122,[1]RELAÇÃO!$AP$1:$AP$576,0),1)</f>
        <v>ALINE DA COSTA PINHEIRO</v>
      </c>
      <c r="F122" s="276" t="str">
        <f>IF(E122=0,"-",LEFT(INDEX([1]RELAÇÃO!$A$1:$AQ$576,MATCH($M122,[1]RELAÇÃO!$AP$1:$AP$576,0),32),1))</f>
        <v>F</v>
      </c>
      <c r="G122" s="275" t="str">
        <f>IF(E122=0,"-",INDEX([1]RELAÇÃO!$A$1:$AQ$576,MATCH($M122,[1]RELAÇÃO!$AP$1:$AP$576,0),5))</f>
        <v>Sem Vínculo</v>
      </c>
      <c r="H122" s="275" t="str">
        <f>IF(E122=0,"-",INDEX([1]RELAÇÃO!$A$1:$AQ$576,MATCH($M122,[1]RELAÇÃO!$AP$1:$AP$576,0),6))</f>
        <v>Sem Vínculo</v>
      </c>
      <c r="I122" s="275" t="str">
        <f>IF(E122=0,"-",INDEX([1]RELAÇÃO!$A$1:$AQ$576,MATCH($M122,[1]RELAÇÃO!$AP$1:$AP$576,0),12)&amp;INDEX([1]RELAÇÃO!$A$1:$AQ$576,MATCH($M122,[1]RELAÇÃO!$AP$1:$AP$576,0),13)&amp;", de "&amp;INDEX([1]RELAÇÃO!$A$1:$AQ$576,MATCH($M122,[1]RELAÇÃO!$AP$1:$AP$576,0),14)&amp;" - "&amp;INDEX([1]RELAÇÃO!$A$1:$AQ$576,MATCH($M122,[1]RELAÇÃO!$AP$1:$AP$576,0),16)&amp;" de "&amp;INDEX([1]RELAÇÃO!$A$1:$AQ$576,MATCH($M122,[1]RELAÇÃO!$AP$1:$AP$576,0),15))</f>
        <v>Portaria nº 296, de 04/08/2017 - DOU de 08/08/2017</v>
      </c>
      <c r="J122" s="307" t="str">
        <f>INDEX([1]RELAÇÃO!$A$1:$AQ$576,MATCH($N122,[1]RELAÇÃO!$AQ$1:$AQ$576,0),1)</f>
        <v>ADÍLIA EVANGELISTA DE SOUSA</v>
      </c>
      <c r="K122" s="308" t="str">
        <f>IF(J122=0,"-",INDEX([1]RELAÇÃO!$A$1:$AQ$576,MATCH($N122,[1]RELAÇÃO!$AQ$1:$AQ$576,0),27)&amp;INDEX([1]RELAÇÃO!$A$1:$AQ$576,MATCH($N122,[1]RELAÇÃO!$AQ$1:$AQ$576,0),28)&amp;", de "&amp;INDEX([1]RELAÇÃO!$A$1:$AQ$576,MATCH($N122,[1]RELAÇÃO!$AQ$1:$AQ$576,0),29)&amp;" - "&amp;INDEX([1]RELAÇÃO!$A$1:$AQ$576,MATCH($N122,[1]RELAÇÃO!$AQ$1:$AQ$576,0),31)&amp;" de "&amp;INDEX([1]RELAÇÃO!$A$1:$AQ$576,MATCH($N122,[1]RELAÇÃO!$AQ$1:$AQ$576,0),30))</f>
        <v>Portaria nº 433, de 27/11/2019 - DOU de 04/12/2019</v>
      </c>
      <c r="L122" s="287" t="str">
        <f>IF($E122=0,"-",IF(INDEX([1]RELAÇÃO!$A$1:$AQ$576,MATCH($M122,[1]RELAÇÃO!$AP$1:$AP$576,0),8)="8.105.110","-",INDEX([1]RELAÇÃO!$A$1:$AQ$576,MATCH($M122,[1]RELAÇÃO!$AP$1:$AP$576,0),7)))</f>
        <v>-</v>
      </c>
      <c r="M122" s="280" t="s">
        <v>393</v>
      </c>
      <c r="N122" s="280" t="s">
        <v>394</v>
      </c>
    </row>
    <row r="123" spans="1:14" ht="23.25" x14ac:dyDescent="0.25">
      <c r="A123" s="292"/>
      <c r="B123" s="405" t="s">
        <v>395</v>
      </c>
      <c r="C123" s="273" t="s">
        <v>392</v>
      </c>
      <c r="D123" s="274" t="s">
        <v>187</v>
      </c>
      <c r="E123" s="275" t="str">
        <f>INDEX([1]RELAÇÃO!$A$1:$AQ$576,MATCH($M123,[1]RELAÇÃO!$AP$1:$AP$576,0),1)</f>
        <v>CUSTÓDIA OLIVEIRA PEREIRA</v>
      </c>
      <c r="F123" s="276" t="str">
        <f>IF(E123=0,"-",LEFT(INDEX([1]RELAÇÃO!$A$1:$AQ$576,MATCH($M123,[1]RELAÇÃO!$AP$1:$AP$576,0),32),1))</f>
        <v>F</v>
      </c>
      <c r="G123" s="275" t="str">
        <f>IF(E123=0,"-",INDEX([1]RELAÇÃO!$A$1:$AQ$576,MATCH($M123,[1]RELAÇÃO!$AP$1:$AP$576,0),5))</f>
        <v>Sem Vínculo</v>
      </c>
      <c r="H123" s="275" t="str">
        <f>IF(E123=0,"-",INDEX([1]RELAÇÃO!$A$1:$AQ$576,MATCH($M123,[1]RELAÇÃO!$AP$1:$AP$576,0),6))</f>
        <v>Sem Vínculo</v>
      </c>
      <c r="I123" s="275" t="str">
        <f>IF(E123=0,"-",INDEX([1]RELAÇÃO!$A$1:$AQ$576,MATCH($M123,[1]RELAÇÃO!$AP$1:$AP$576,0),12)&amp;INDEX([1]RELAÇÃO!$A$1:$AQ$576,MATCH($M123,[1]RELAÇÃO!$AP$1:$AP$576,0),13)&amp;", de "&amp;INDEX([1]RELAÇÃO!$A$1:$AQ$576,MATCH($M123,[1]RELAÇÃO!$AP$1:$AP$576,0),14)&amp;" - "&amp;INDEX([1]RELAÇÃO!$A$1:$AQ$576,MATCH($M123,[1]RELAÇÃO!$AP$1:$AP$576,0),16)&amp;" de "&amp;INDEX([1]RELAÇÃO!$A$1:$AQ$576,MATCH($M123,[1]RELAÇÃO!$AP$1:$AP$576,0),15))</f>
        <v>Portaria nº 297, de 04/08/2017 - DOU de 08/08/2017</v>
      </c>
      <c r="J123" s="307">
        <f>INDEX([1]RELAÇÃO!$A$1:$AQ$576,MATCH($N123,[1]RELAÇÃO!$AQ$1:$AQ$576,0),1)</f>
        <v>0</v>
      </c>
      <c r="K123" s="308" t="str">
        <f>IF(J123=0,"-",INDEX([1]RELAÇÃO!$A$1:$AQ$576,MATCH($N123,[1]RELAÇÃO!$AQ$1:$AQ$576,0),27)&amp;INDEX([1]RELAÇÃO!$A$1:$AQ$576,MATCH($N123,[1]RELAÇÃO!$AQ$1:$AQ$576,0),28)&amp;", de "&amp;INDEX([1]RELAÇÃO!$A$1:$AQ$576,MATCH($N123,[1]RELAÇÃO!$AQ$1:$AQ$576,0),29)&amp;" - "&amp;INDEX([1]RELAÇÃO!$A$1:$AQ$576,MATCH($N123,[1]RELAÇÃO!$AQ$1:$AQ$576,0),31)&amp;" de "&amp;INDEX([1]RELAÇÃO!$A$1:$AQ$576,MATCH($N123,[1]RELAÇÃO!$AQ$1:$AQ$576,0),30))</f>
        <v>-</v>
      </c>
      <c r="L123" s="287" t="str">
        <f>IF($E123=0,"-",IF(INDEX([1]RELAÇÃO!$A$1:$AQ$576,MATCH($M123,[1]RELAÇÃO!$AP$1:$AP$576,0),8)="8.105.110","-",INDEX([1]RELAÇÃO!$A$1:$AQ$576,MATCH($M123,[1]RELAÇÃO!$AP$1:$AP$576,0),7)))</f>
        <v>-</v>
      </c>
      <c r="M123" s="280" t="s">
        <v>396</v>
      </c>
      <c r="N123" s="280" t="s">
        <v>397</v>
      </c>
    </row>
    <row r="124" spans="1:14" ht="23.25" x14ac:dyDescent="0.25">
      <c r="A124" s="292"/>
      <c r="B124" s="333" t="s">
        <v>398</v>
      </c>
      <c r="C124" s="274" t="s">
        <v>325</v>
      </c>
      <c r="D124" s="274" t="s">
        <v>187</v>
      </c>
      <c r="E124" s="275" t="str">
        <f>INDEX([1]RELAÇÃO!$A$1:$AQ$576,MATCH($M124,[1]RELAÇÃO!$AP$1:$AP$576,0),1)</f>
        <v>ALVANIR DA SILVA CARVALHO</v>
      </c>
      <c r="F124" s="276" t="str">
        <f>IF(E124=0,"-",LEFT(INDEX([1]RELAÇÃO!$A$1:$AQ$576,MATCH($M124,[1]RELAÇÃO!$AP$1:$AP$576,0),32),1))</f>
        <v>M</v>
      </c>
      <c r="G124" s="275" t="str">
        <f>IF(E124=0,"-",INDEX([1]RELAÇÃO!$A$1:$AQ$576,MATCH($M124,[1]RELAÇÃO!$AP$1:$AP$576,0),5))</f>
        <v>Sem Vínculo</v>
      </c>
      <c r="H124" s="275" t="str">
        <f>IF(E124=0,"-",INDEX([1]RELAÇÃO!$A$1:$AQ$576,MATCH($M124,[1]RELAÇÃO!$AP$1:$AP$576,0),6))</f>
        <v>Sem Vínculo</v>
      </c>
      <c r="I124" s="275" t="str">
        <f>IF(E124=0,"-",INDEX([1]RELAÇÃO!$A$1:$AQ$576,MATCH($M124,[1]RELAÇÃO!$AP$1:$AP$576,0),12)&amp;INDEX([1]RELAÇÃO!$A$1:$AQ$576,MATCH($M124,[1]RELAÇÃO!$AP$1:$AP$576,0),13)&amp;", de "&amp;INDEX([1]RELAÇÃO!$A$1:$AQ$576,MATCH($M124,[1]RELAÇÃO!$AP$1:$AP$576,0),14)&amp;" - "&amp;INDEX([1]RELAÇÃO!$A$1:$AQ$576,MATCH($M124,[1]RELAÇÃO!$AP$1:$AP$576,0),16)&amp;" de "&amp;INDEX([1]RELAÇÃO!$A$1:$AQ$576,MATCH($M124,[1]RELAÇÃO!$AP$1:$AP$576,0),15))</f>
        <v>Portaria nº 524, de 03/11/2016 - BPE de 04/11/2016</v>
      </c>
      <c r="J124" s="307" t="str">
        <f>INDEX([1]RELAÇÃO!$A$1:$AQ$576,MATCH($N124,[1]RELAÇÃO!$AQ$1:$AQ$576,0),1)</f>
        <v>MARCIA ALVES DE FIGUEIREDO</v>
      </c>
      <c r="K124" s="308" t="str">
        <f>IF(J124=0,"-",INDEX([1]RELAÇÃO!$A$1:$AQ$576,MATCH($N124,[1]RELAÇÃO!$AQ$1:$AQ$576,0),27)&amp;INDEX([1]RELAÇÃO!$A$1:$AQ$576,MATCH($N124,[1]RELAÇÃO!$AQ$1:$AQ$576,0),28)&amp;", de "&amp;INDEX([1]RELAÇÃO!$A$1:$AQ$576,MATCH($N124,[1]RELAÇÃO!$AQ$1:$AQ$576,0),29)&amp;" - "&amp;INDEX([1]RELAÇÃO!$A$1:$AQ$576,MATCH($N124,[1]RELAÇÃO!$AQ$1:$AQ$576,0),31)&amp;" de "&amp;INDEX([1]RELAÇÃO!$A$1:$AQ$576,MATCH($N124,[1]RELAÇÃO!$AQ$1:$AQ$576,0),30))</f>
        <v>Portaria nº 137, de 16/04/2015 - DOU de 17/04/2015</v>
      </c>
      <c r="L124" s="287" t="str">
        <f>IF($E124=0,"-",IF(INDEX([1]RELAÇÃO!$A$1:$AQ$576,MATCH($M124,[1]RELAÇÃO!$AP$1:$AP$576,0),8)="8.105.120","-",INDEX([1]RELAÇÃO!$A$1:$AQ$576,MATCH($M124,[1]RELAÇÃO!$AP$1:$AP$576,0),7)))</f>
        <v>-</v>
      </c>
      <c r="M124" s="280" t="s">
        <v>399</v>
      </c>
      <c r="N124" s="280" t="s">
        <v>400</v>
      </c>
    </row>
    <row r="125" spans="1:14" ht="23.25" x14ac:dyDescent="0.25">
      <c r="A125" s="292"/>
      <c r="B125" s="405" t="s">
        <v>401</v>
      </c>
      <c r="C125" s="273" t="s">
        <v>392</v>
      </c>
      <c r="D125" s="274" t="s">
        <v>187</v>
      </c>
      <c r="E125" s="275" t="str">
        <f>INDEX([1]RELAÇÃO!$A$1:$AQ$576,MATCH($M125,[1]RELAÇÃO!$AP$1:$AP$576,0),1)</f>
        <v>GLEYSIELEN CARDOSO NEVES</v>
      </c>
      <c r="F125" s="276" t="str">
        <f>IF(E125=0,"-",LEFT(INDEX([1]RELAÇÃO!$A$1:$AQ$576,MATCH($M125,[1]RELAÇÃO!$AP$1:$AP$576,0),32),1))</f>
        <v>F</v>
      </c>
      <c r="G125" s="275" t="str">
        <f>IF(E125=0,"-",INDEX([1]RELAÇÃO!$A$1:$AQ$576,MATCH($M125,[1]RELAÇÃO!$AP$1:$AP$576,0),5))</f>
        <v>Sem Vínculo</v>
      </c>
      <c r="H125" s="275" t="str">
        <f>IF(E125=0,"-",INDEX([1]RELAÇÃO!$A$1:$AQ$576,MATCH($M125,[1]RELAÇÃO!$AP$1:$AP$576,0),6))</f>
        <v>Sem Vínculo</v>
      </c>
      <c r="I125" s="275" t="str">
        <f>IF(E125=0,"-",INDEX([1]RELAÇÃO!$A$1:$AQ$576,MATCH($M125,[1]RELAÇÃO!$AP$1:$AP$576,0),12)&amp;INDEX([1]RELAÇÃO!$A$1:$AQ$576,MATCH($M125,[1]RELAÇÃO!$AP$1:$AP$576,0),13)&amp;", de "&amp;INDEX([1]RELAÇÃO!$A$1:$AQ$576,MATCH($M125,[1]RELAÇÃO!$AP$1:$AP$576,0),14)&amp;" - "&amp;INDEX([1]RELAÇÃO!$A$1:$AQ$576,MATCH($M125,[1]RELAÇÃO!$AP$1:$AP$576,0),16)&amp;" de "&amp;INDEX([1]RELAÇÃO!$A$1:$AQ$576,MATCH($M125,[1]RELAÇÃO!$AP$1:$AP$576,0),15))</f>
        <v>Portaria nº 549, de 03/11/2016 - DOU de 04/11/2016</v>
      </c>
      <c r="J125" s="307" t="str">
        <f>INDEX([1]RELAÇÃO!$A$1:$AQ$576,MATCH($N125,[1]RELAÇÃO!$AQ$1:$AQ$576,0),1)</f>
        <v>MARIA SELMI ALVES DA SILVA</v>
      </c>
      <c r="K125" s="308" t="str">
        <f>IF(J125=0,"-",INDEX([1]RELAÇÃO!$A$1:$AQ$576,MATCH($N125,[1]RELAÇÃO!$AQ$1:$AQ$576,0),27)&amp;INDEX([1]RELAÇÃO!$A$1:$AQ$576,MATCH($N125,[1]RELAÇÃO!$AQ$1:$AQ$576,0),28)&amp;", de "&amp;INDEX([1]RELAÇÃO!$A$1:$AQ$576,MATCH($N125,[1]RELAÇÃO!$AQ$1:$AQ$576,0),29)&amp;" - "&amp;INDEX([1]RELAÇÃO!$A$1:$AQ$576,MATCH($N125,[1]RELAÇÃO!$AQ$1:$AQ$576,0),31)&amp;" de "&amp;INDEX([1]RELAÇÃO!$A$1:$AQ$576,MATCH($N125,[1]RELAÇÃO!$AQ$1:$AQ$576,0),30))</f>
        <v>Portaria nº 347, de 01/09/2017 - DOU de 04/09/2017</v>
      </c>
      <c r="L125" s="287" t="str">
        <f>IF($E125=0,"-",IF(INDEX([1]RELAÇÃO!$A$1:$AQ$576,MATCH($M125,[1]RELAÇÃO!$AP$1:$AP$576,0),8)="8.105.120","-",INDEX([1]RELAÇÃO!$A$1:$AQ$576,MATCH($M125,[1]RELAÇÃO!$AP$1:$AP$576,0),7)))</f>
        <v>-</v>
      </c>
      <c r="M125" s="280" t="s">
        <v>402</v>
      </c>
      <c r="N125" s="280" t="s">
        <v>403</v>
      </c>
    </row>
    <row r="126" spans="1:14" ht="23.25" x14ac:dyDescent="0.25">
      <c r="A126" s="292"/>
      <c r="B126" s="405" t="s">
        <v>404</v>
      </c>
      <c r="C126" s="273" t="s">
        <v>392</v>
      </c>
      <c r="D126" s="274" t="s">
        <v>187</v>
      </c>
      <c r="E126" s="275" t="str">
        <f>INDEX([1]RELAÇÃO!$A$1:$AQ$576,MATCH($M126,[1]RELAÇÃO!$AP$1:$AP$576,0),1)</f>
        <v>TERENCIO TONHA BRANDAO JUNIOR</v>
      </c>
      <c r="F126" s="276" t="str">
        <f>IF(E126=0,"-",LEFT(INDEX([1]RELAÇÃO!$A$1:$AQ$576,MATCH($M126,[1]RELAÇÃO!$AP$1:$AP$576,0),32),1))</f>
        <v>M</v>
      </c>
      <c r="G126" s="275" t="str">
        <f>IF(E126=0,"-",INDEX([1]RELAÇÃO!$A$1:$AQ$576,MATCH($M126,[1]RELAÇÃO!$AP$1:$AP$576,0),5))</f>
        <v>Sem Vínculo</v>
      </c>
      <c r="H126" s="275" t="str">
        <f>IF(E126=0,"-",INDEX([1]RELAÇÃO!$A$1:$AQ$576,MATCH($M126,[1]RELAÇÃO!$AP$1:$AP$576,0),6))</f>
        <v>Sem Vínculo</v>
      </c>
      <c r="I126" s="275" t="str">
        <f>IF(E126=0,"-",INDEX([1]RELAÇÃO!$A$1:$AQ$576,MATCH($M126,[1]RELAÇÃO!$AP$1:$AP$576,0),12)&amp;INDEX([1]RELAÇÃO!$A$1:$AQ$576,MATCH($M126,[1]RELAÇÃO!$AP$1:$AP$576,0),13)&amp;", de "&amp;INDEX([1]RELAÇÃO!$A$1:$AQ$576,MATCH($M126,[1]RELAÇÃO!$AP$1:$AP$576,0),14)&amp;" - "&amp;INDEX([1]RELAÇÃO!$A$1:$AQ$576,MATCH($M126,[1]RELAÇÃO!$AP$1:$AP$576,0),16)&amp;" de "&amp;INDEX([1]RELAÇÃO!$A$1:$AQ$576,MATCH($M126,[1]RELAÇÃO!$AP$1:$AP$576,0),15))</f>
        <v>Portaria nº 388, de 14/09/2018 - DOU de 17/09/2018</v>
      </c>
      <c r="J126" s="307" t="str">
        <f>INDEX([1]RELAÇÃO!$A$1:$AQ$576,MATCH($N126,[1]RELAÇÃO!$AQ$1:$AQ$576,0),1)</f>
        <v>WASHINGTON CAVALCANTE VERAS DINIZ</v>
      </c>
      <c r="K126" s="308" t="str">
        <f>IF(J126=0,"-",INDEX([1]RELAÇÃO!$A$1:$AQ$576,MATCH($N126,[1]RELAÇÃO!$AQ$1:$AQ$576,0),27)&amp;INDEX([1]RELAÇÃO!$A$1:$AQ$576,MATCH($N126,[1]RELAÇÃO!$AQ$1:$AQ$576,0),28)&amp;", de "&amp;INDEX([1]RELAÇÃO!$A$1:$AQ$576,MATCH($N126,[1]RELAÇÃO!$AQ$1:$AQ$576,0),29)&amp;" - "&amp;INDEX([1]RELAÇÃO!$A$1:$AQ$576,MATCH($N126,[1]RELAÇÃO!$AQ$1:$AQ$576,0),31)&amp;" de "&amp;INDEX([1]RELAÇÃO!$A$1:$AQ$576,MATCH($N126,[1]RELAÇÃO!$AQ$1:$AQ$576,0),30))</f>
        <v>Portaria nº 466, de 16/09/2016 - DOU de 19/09/2016</v>
      </c>
      <c r="L126" s="287" t="str">
        <f>IF($E126=0,"-",IF(INDEX([1]RELAÇÃO!$A$1:$AQ$576,MATCH($M126,[1]RELAÇÃO!$AP$1:$AP$576,0),8)="8.105.120","-",INDEX([1]RELAÇÃO!$A$1:$AQ$576,MATCH($M126,[1]RELAÇÃO!$AP$1:$AP$576,0),7)))</f>
        <v>-</v>
      </c>
      <c r="M126" s="280" t="s">
        <v>405</v>
      </c>
      <c r="N126" s="280" t="s">
        <v>406</v>
      </c>
    </row>
    <row r="127" spans="1:14" ht="23.25" x14ac:dyDescent="0.25">
      <c r="A127" s="292"/>
      <c r="B127" s="326" t="s">
        <v>407</v>
      </c>
      <c r="C127" s="327" t="s">
        <v>408</v>
      </c>
      <c r="D127" s="327"/>
      <c r="E127" s="328" t="s">
        <v>333</v>
      </c>
      <c r="F127" s="329"/>
      <c r="G127" s="330"/>
      <c r="H127" s="331"/>
      <c r="I127" s="332"/>
      <c r="J127" s="313"/>
      <c r="K127" s="313"/>
      <c r="L127" s="329"/>
      <c r="M127" s="313"/>
      <c r="N127" s="313"/>
    </row>
    <row r="128" spans="1:14" ht="23.25" x14ac:dyDescent="0.25">
      <c r="A128" s="292"/>
      <c r="B128" s="333" t="s">
        <v>409</v>
      </c>
      <c r="C128" s="273" t="s">
        <v>392</v>
      </c>
      <c r="D128" s="273" t="s">
        <v>187</v>
      </c>
      <c r="E128" s="275" t="str">
        <f>INDEX([1]RELAÇÃO!$A$1:$AQ$576,MATCH($M128,[1]RELAÇÃO!$AP$1:$AP$576,0),1)</f>
        <v>MARCIA ALVES DE FIGUEIREDO</v>
      </c>
      <c r="F128" s="276" t="str">
        <f>IF(E128=0,"-",LEFT(INDEX([1]RELAÇÃO!$A$1:$AQ$576,MATCH($M128,[1]RELAÇÃO!$AP$1:$AP$576,0),32),1))</f>
        <v>F</v>
      </c>
      <c r="G128" s="275" t="str">
        <f>IF(E128=0,"-",INDEX([1]RELAÇÃO!$A$1:$AQ$576,MATCH($M128,[1]RELAÇÃO!$AP$1:$AP$576,0),5))</f>
        <v>Anistiado MME</v>
      </c>
      <c r="H128" s="275" t="str">
        <f>IF(E128=0,"-",INDEX([1]RELAÇÃO!$A$1:$AQ$576,MATCH($M128,[1]RELAÇÃO!$AP$1:$AP$576,0),6))</f>
        <v>MME - Ministério de Minas e Energia</v>
      </c>
      <c r="I128" s="275" t="str">
        <f>IF(E128=0,"-",INDEX([1]RELAÇÃO!$A$1:$AQ$576,MATCH($M128,[1]RELAÇÃO!$AP$1:$AP$576,0),12)&amp;INDEX([1]RELAÇÃO!$A$1:$AQ$576,MATCH($M128,[1]RELAÇÃO!$AP$1:$AP$576,0),13)&amp;", de "&amp;INDEX([1]RELAÇÃO!$A$1:$AQ$576,MATCH($M128,[1]RELAÇÃO!$AP$1:$AP$576,0),14)&amp;" - "&amp;INDEX([1]RELAÇÃO!$A$1:$AQ$576,MATCH($M128,[1]RELAÇÃO!$AP$1:$AP$576,0),16)&amp;" de "&amp;INDEX([1]RELAÇÃO!$A$1:$AQ$576,MATCH($M128,[1]RELAÇÃO!$AP$1:$AP$576,0),15))</f>
        <v>Portaria nº 524, de 03/11/2016 - BPE de 04/11/2016</v>
      </c>
      <c r="J128" s="307" t="str">
        <f>INDEX([1]RELAÇÃO!$A$1:$AQ$576,MATCH($N128,[1]RELAÇÃO!$AQ$1:$AQ$576,0),1)</f>
        <v>MIGUEL DOS SANTOS</v>
      </c>
      <c r="K128" s="308" t="str">
        <f>IF(J128=0,"-",INDEX([1]RELAÇÃO!$A$1:$AQ$576,MATCH($N128,[1]RELAÇÃO!$AQ$1:$AQ$576,0),27)&amp;INDEX([1]RELAÇÃO!$A$1:$AQ$576,MATCH($N128,[1]RELAÇÃO!$AQ$1:$AQ$576,0),28)&amp;", de "&amp;INDEX([1]RELAÇÃO!$A$1:$AQ$576,MATCH($N128,[1]RELAÇÃO!$AQ$1:$AQ$576,0),29)&amp;" - "&amp;INDEX([1]RELAÇÃO!$A$1:$AQ$576,MATCH($N128,[1]RELAÇÃO!$AQ$1:$AQ$576,0),31)&amp;" de "&amp;INDEX([1]RELAÇÃO!$A$1:$AQ$576,MATCH($N128,[1]RELAÇÃO!$AQ$1:$AQ$576,0),30))</f>
        <v>Portaria nº 351, de 01/09/2017 - DOU de 04/09/2017</v>
      </c>
      <c r="L128" s="287" t="str">
        <f>IF($E128=0,"-",IF(INDEX([1]RELAÇÃO!$A$1:$AQ$576,MATCH($M128,[1]RELAÇÃO!$AP$1:$AP$576,0),8)="8.105.120","-",INDEX([1]RELAÇÃO!$A$1:$AQ$576,MATCH($M128,[1]RELAÇÃO!$AP$1:$AP$576,0),7)))</f>
        <v>-</v>
      </c>
      <c r="M128" s="280" t="s">
        <v>410</v>
      </c>
      <c r="N128" s="280" t="s">
        <v>411</v>
      </c>
    </row>
    <row r="129" spans="1:14" x14ac:dyDescent="0.25">
      <c r="A129" s="292"/>
      <c r="B129" s="334" t="s">
        <v>412</v>
      </c>
      <c r="C129" s="327" t="s">
        <v>413</v>
      </c>
      <c r="D129" s="327"/>
      <c r="E129" s="328" t="s">
        <v>333</v>
      </c>
      <c r="F129" s="329"/>
      <c r="G129" s="335"/>
      <c r="H129" s="331"/>
      <c r="I129" s="332"/>
      <c r="J129" s="310"/>
      <c r="K129" s="310"/>
      <c r="L129" s="336"/>
      <c r="M129" s="313"/>
      <c r="N129" s="313"/>
    </row>
    <row r="130" spans="1:14" ht="23.25" x14ac:dyDescent="0.25">
      <c r="A130" s="292"/>
      <c r="B130" s="309" t="s">
        <v>247</v>
      </c>
      <c r="C130" s="273" t="s">
        <v>248</v>
      </c>
      <c r="D130" s="273" t="s">
        <v>193</v>
      </c>
      <c r="E130" s="300" t="str">
        <f>INDEX([1]RELAÇÃO!$A$1:$AQ$576,MATCH($M130,[1]RELAÇÃO!$AP$1:$AP$576,0),1)</f>
        <v>MARIA SELMI ALVES DA SILVA</v>
      </c>
      <c r="F130" s="301" t="str">
        <f>IF(E130=0,"-",LEFT(INDEX([1]RELAÇÃO!$A$1:$AQ$576,MATCH($M130,[1]RELAÇÃO!$AP$1:$AP$576,0),32),1))</f>
        <v>F</v>
      </c>
      <c r="G130" s="300" t="str">
        <f>IF(E130=0,"-",INDEX([1]RELAÇÃO!$A$1:$AQ$576,MATCH($M130,[1]RELAÇÃO!$AP$1:$AP$576,0),5))</f>
        <v>Anistiado MME</v>
      </c>
      <c r="H130" s="300" t="str">
        <f>IF(E130=0,"-",INDEX([1]RELAÇÃO!$A$1:$AQ$576,MATCH($M130,[1]RELAÇÃO!$AP$1:$AP$576,0),6))</f>
        <v>MME - Ministério de Minas e Energia</v>
      </c>
      <c r="I130" s="300" t="str">
        <f>IF(E130=0,"-",INDEX([1]RELAÇÃO!$A$1:$AQ$576,MATCH($M130,[1]RELAÇÃO!$AP$1:$AP$576,0),12)&amp;INDEX([1]RELAÇÃO!$A$1:$AQ$576,MATCH($M130,[1]RELAÇÃO!$AP$1:$AP$576,0),13)&amp;", de "&amp;INDEX([1]RELAÇÃO!$A$1:$AQ$576,MATCH($M130,[1]RELAÇÃO!$AP$1:$AP$576,0),14)&amp;" - "&amp;INDEX([1]RELAÇÃO!$A$1:$AQ$576,MATCH($M130,[1]RELAÇÃO!$AP$1:$AP$576,0),16)&amp;" de "&amp;INDEX([1]RELAÇÃO!$A$1:$AQ$576,MATCH($M130,[1]RELAÇÃO!$AP$1:$AP$576,0),15))</f>
        <v>Portaria nº 524, de 03/11/2016 - BPE de 04/11/2016</v>
      </c>
      <c r="J130" s="310"/>
      <c r="K130" s="310"/>
      <c r="L130" s="287" t="str">
        <f>IF($E130=0,"-",IF(INDEX([1]RELAÇÃO!$A$1:$AQ$576,MATCH($M130,[1]RELAÇÃO!$AP$1:$AP$576,0),8)="8.105.120","-",INDEX([1]RELAÇÃO!$A$1:$AQ$576,MATCH($M130,[1]RELAÇÃO!$AP$1:$AP$576,0),7)))</f>
        <v>-</v>
      </c>
      <c r="M130" s="280" t="s">
        <v>414</v>
      </c>
      <c r="N130" s="313"/>
    </row>
    <row r="131" spans="1:14" ht="23.25" x14ac:dyDescent="0.25">
      <c r="A131" s="292"/>
      <c r="B131" s="337" t="s">
        <v>247</v>
      </c>
      <c r="C131" s="338" t="s">
        <v>248</v>
      </c>
      <c r="D131" s="273" t="s">
        <v>193</v>
      </c>
      <c r="E131" s="275" t="str">
        <f>INDEX([1]RELAÇÃO!$A$1:$AQ$576,MATCH($M131,[1]RELAÇÃO!$AP$1:$AP$576,0),1)</f>
        <v>IELAYNE MARIA DA SILVA</v>
      </c>
      <c r="F131" s="276" t="str">
        <f>IF(E131=0,"-",LEFT(INDEX([1]RELAÇÃO!$A$1:$AQ$576,MATCH($M131,[1]RELAÇÃO!$AP$1:$AP$576,0),32),1))</f>
        <v>F</v>
      </c>
      <c r="G131" s="275" t="str">
        <f>IF(E131=0,"-",INDEX([1]RELAÇÃO!$A$1:$AQ$576,MATCH($M131,[1]RELAÇÃO!$AP$1:$AP$576,0),5))</f>
        <v>Sem Vínculo</v>
      </c>
      <c r="H131" s="275" t="str">
        <f>IF(E131=0,"-",INDEX([1]RELAÇÃO!$A$1:$AQ$576,MATCH($M131,[1]RELAÇÃO!$AP$1:$AP$576,0),6))</f>
        <v>Sem Vínculo</v>
      </c>
      <c r="I131" s="275" t="str">
        <f>IF(E131=0,"-",INDEX([1]RELAÇÃO!$A$1:$AQ$576,MATCH($M131,[1]RELAÇÃO!$AP$1:$AP$576,0),12)&amp;INDEX([1]RELAÇÃO!$A$1:$AQ$576,MATCH($M131,[1]RELAÇÃO!$AP$1:$AP$576,0),13)&amp;", de "&amp;INDEX([1]RELAÇÃO!$A$1:$AQ$576,MATCH($M131,[1]RELAÇÃO!$AP$1:$AP$576,0),14)&amp;" - "&amp;INDEX([1]RELAÇÃO!$A$1:$AQ$576,MATCH($M131,[1]RELAÇÃO!$AP$1:$AP$576,0),16)&amp;" de "&amp;INDEX([1]RELAÇÃO!$A$1:$AQ$576,MATCH($M131,[1]RELAÇÃO!$AP$1:$AP$576,0),15))</f>
        <v>Portaria nº 300, de 04/08/2017 - DOU de 08/08/2017</v>
      </c>
      <c r="J131" s="340"/>
      <c r="K131" s="340"/>
      <c r="L131" s="287" t="str">
        <f>IF($E131=0,"-",IF(INDEX([1]RELAÇÃO!$A$1:$AQ$576,MATCH($M131,[1]RELAÇÃO!$AP$1:$AP$576,0),8)="8.105.120","-",INDEX([1]RELAÇÃO!$A$1:$AQ$576,MATCH($M131,[1]RELAÇÃO!$AP$1:$AP$576,0),7)))</f>
        <v>-</v>
      </c>
      <c r="M131" s="280" t="s">
        <v>415</v>
      </c>
      <c r="N131" s="313"/>
    </row>
    <row r="132" spans="1:14" ht="23.25" x14ac:dyDescent="0.25">
      <c r="A132" s="297" t="s">
        <v>128</v>
      </c>
      <c r="B132" s="309" t="s">
        <v>321</v>
      </c>
      <c r="C132" s="273" t="s">
        <v>186</v>
      </c>
      <c r="D132" s="274" t="s">
        <v>187</v>
      </c>
      <c r="E132" s="275" t="str">
        <f>INDEX([1]RELAÇÃO!$A$1:$AQ$576,MATCH($M132,[1]RELAÇÃO!$AP$1:$AP$576,0),1)</f>
        <v>CARLOS EDUARDO MENDES GALVAO</v>
      </c>
      <c r="F132" s="276" t="str">
        <f>IF(E132=0,"-",LEFT(INDEX([1]RELAÇÃO!$A$1:$AQ$576,MATCH($M132,[1]RELAÇÃO!$AP$1:$AP$576,0),32),1))</f>
        <v>M</v>
      </c>
      <c r="G132" s="275" t="str">
        <f>IF(E132=0,"-",INDEX([1]RELAÇÃO!$A$1:$AQ$576,MATCH($M132,[1]RELAÇÃO!$AP$1:$AP$576,0),5))</f>
        <v>Ativo Permanente</v>
      </c>
      <c r="H132" s="275" t="str">
        <f>IF(E132=0,"-",INDEX([1]RELAÇÃO!$A$1:$AQ$576,MATCH($M132,[1]RELAÇÃO!$AP$1:$AP$576,0),6))</f>
        <v>MME - Ministério de Minas e Energia</v>
      </c>
      <c r="I132" s="275" t="str">
        <f>IF(E132=0,"-",INDEX([1]RELAÇÃO!$A$1:$AQ$576,MATCH($M132,[1]RELAÇÃO!$AP$1:$AP$576,0),12)&amp;INDEX([1]RELAÇÃO!$A$1:$AQ$576,MATCH($M132,[1]RELAÇÃO!$AP$1:$AP$576,0),13)&amp;", de "&amp;INDEX([1]RELAÇÃO!$A$1:$AQ$576,MATCH($M132,[1]RELAÇÃO!$AP$1:$AP$576,0),14)&amp;" - "&amp;INDEX([1]RELAÇÃO!$A$1:$AQ$576,MATCH($M132,[1]RELAÇÃO!$AP$1:$AP$576,0),16)&amp;" de "&amp;INDEX([1]RELAÇÃO!$A$1:$AQ$576,MATCH($M132,[1]RELAÇÃO!$AP$1:$AP$576,0),15))</f>
        <v>Portaria nº 524, de 03/11/2016 - BPE de 04/11/2016</v>
      </c>
      <c r="J132" s="287" t="str">
        <f>INDEX([1]RELAÇÃO!$A$1:$AQ$576,MATCH($N132,[1]RELAÇÃO!$AQ$1:$AQ$576,0),1)</f>
        <v>JOSÉ EVANDRO NASCIMENTO CARVALHO</v>
      </c>
      <c r="K132" s="392" t="str">
        <f>IF(J132=0,"-",INDEX([1]RELAÇÃO!$A$1:$AQ$576,MATCH($N132,[1]RELAÇÃO!$AQ$1:$AQ$576,0),27)&amp;INDEX([1]RELAÇÃO!$A$1:$AQ$576,MATCH($N132,[1]RELAÇÃO!$AQ$1:$AQ$576,0),28)&amp;", de "&amp;INDEX([1]RELAÇÃO!$A$1:$AQ$576,MATCH($N132,[1]RELAÇÃO!$AQ$1:$AQ$576,0),29)&amp;" - "&amp;INDEX([1]RELAÇÃO!$A$1:$AQ$576,MATCH($N132,[1]RELAÇÃO!$AQ$1:$AQ$576,0),31)&amp;" de "&amp;INDEX([1]RELAÇÃO!$A$1:$AQ$576,MATCH($N132,[1]RELAÇÃO!$AQ$1:$AQ$576,0),30))</f>
        <v>Portaria nº 140, de 02/04/2008 - DOU de 03/04/2008</v>
      </c>
      <c r="L132" s="287" t="str">
        <f>IF($E132=0,"-",IF(INDEX([1]RELAÇÃO!$A$1:$AQ$576,MATCH($M132,[1]RELAÇÃO!$AP$1:$AP$576,0),8)="8.105.200","-",INDEX([1]RELAÇÃO!$A$1:$AQ$576,MATCH($M132,[1]RELAÇÃO!$AP$1:$AP$576,0),7)))</f>
        <v>-</v>
      </c>
      <c r="M132" s="280" t="s">
        <v>416</v>
      </c>
      <c r="N132" s="280" t="s">
        <v>417</v>
      </c>
    </row>
    <row r="133" spans="1:14" ht="23.25" x14ac:dyDescent="0.25">
      <c r="A133" s="292"/>
      <c r="B133" s="333" t="s">
        <v>418</v>
      </c>
      <c r="C133" s="273" t="s">
        <v>325</v>
      </c>
      <c r="D133" s="274" t="s">
        <v>187</v>
      </c>
      <c r="E133" s="275" t="str">
        <f>INDEX([1]RELAÇÃO!$A$1:$AQ$576,MATCH($M133,[1]RELAÇÃO!$AP$1:$AP$576,0),1)</f>
        <v>JOSÉ EVANDRO NASCIMENTO CARVALHO</v>
      </c>
      <c r="F133" s="276" t="str">
        <f>IF(E133=0,"-",LEFT(INDEX([1]RELAÇÃO!$A$1:$AQ$576,MATCH($M133,[1]RELAÇÃO!$AP$1:$AP$576,0),32),1))</f>
        <v>M</v>
      </c>
      <c r="G133" s="275" t="str">
        <f>IF(E133=0,"-",INDEX([1]RELAÇÃO!$A$1:$AQ$576,MATCH($M133,[1]RELAÇÃO!$AP$1:$AP$576,0),5))</f>
        <v>Ativo Permanente</v>
      </c>
      <c r="H133" s="275" t="str">
        <f>IF(E133=0,"-",INDEX([1]RELAÇÃO!$A$1:$AQ$576,MATCH($M133,[1]RELAÇÃO!$AP$1:$AP$576,0),6))</f>
        <v>MME - Ministério de Minas e Energia</v>
      </c>
      <c r="I133" s="275" t="str">
        <f>IF(E133=0,"-",INDEX([1]RELAÇÃO!$A$1:$AQ$576,MATCH($M133,[1]RELAÇÃO!$AP$1:$AP$576,0),12)&amp;INDEX([1]RELAÇÃO!$A$1:$AQ$576,MATCH($M133,[1]RELAÇÃO!$AP$1:$AP$576,0),13)&amp;", de "&amp;INDEX([1]RELAÇÃO!$A$1:$AQ$576,MATCH($M133,[1]RELAÇÃO!$AP$1:$AP$576,0),14)&amp;" - "&amp;INDEX([1]RELAÇÃO!$A$1:$AQ$576,MATCH($M133,[1]RELAÇÃO!$AP$1:$AP$576,0),16)&amp;" de "&amp;INDEX([1]RELAÇÃO!$A$1:$AQ$576,MATCH($M133,[1]RELAÇÃO!$AP$1:$AP$576,0),15))</f>
        <v>Portaria nº 524, de 03/11/2016 - BPE de 04/11/2016</v>
      </c>
      <c r="J133" s="307" t="str">
        <f>INDEX([1]RELAÇÃO!$A$1:$AQ$576,MATCH($N133,[1]RELAÇÃO!$AQ$1:$AQ$576,0),1)</f>
        <v>FÁBIO SOUSA DO VALE</v>
      </c>
      <c r="K133" s="308" t="str">
        <f>IF(J133=0,"-",INDEX([1]RELAÇÃO!$A$1:$AQ$576,MATCH($N133,[1]RELAÇÃO!$AQ$1:$AQ$576,0),27)&amp;INDEX([1]RELAÇÃO!$A$1:$AQ$576,MATCH($N133,[1]RELAÇÃO!$AQ$1:$AQ$576,0),28)&amp;", de "&amp;INDEX([1]RELAÇÃO!$A$1:$AQ$576,MATCH($N133,[1]RELAÇÃO!$AQ$1:$AQ$576,0),29)&amp;" - "&amp;INDEX([1]RELAÇÃO!$A$1:$AQ$576,MATCH($N133,[1]RELAÇÃO!$AQ$1:$AQ$576,0),31)&amp;" de "&amp;INDEX([1]RELAÇÃO!$A$1:$AQ$576,MATCH($N133,[1]RELAÇÃO!$AQ$1:$AQ$576,0),30))</f>
        <v>Portaria nº 161, de 07/04/2020 - DOU de 13/04/2020</v>
      </c>
      <c r="L133" s="287" t="str">
        <f>IF($E133=0,"-",IF(INDEX([1]RELAÇÃO!$A$1:$AQ$576,MATCH($M133,[1]RELAÇÃO!$AP$1:$AP$576,0),8)="8.105.210","-",INDEX([1]RELAÇÃO!$A$1:$AQ$576,MATCH($M133,[1]RELAÇÃO!$AP$1:$AP$576,0),7)))</f>
        <v>-</v>
      </c>
      <c r="M133" s="280" t="s">
        <v>419</v>
      </c>
      <c r="N133" s="280" t="s">
        <v>420</v>
      </c>
    </row>
    <row r="134" spans="1:14" ht="23.25" x14ac:dyDescent="0.25">
      <c r="A134" s="292"/>
      <c r="B134" s="324" t="s">
        <v>107</v>
      </c>
      <c r="C134" s="273" t="s">
        <v>325</v>
      </c>
      <c r="D134" s="274" t="s">
        <v>187</v>
      </c>
      <c r="E134" s="275" t="str">
        <f>INDEX([1]RELAÇÃO!$A$1:$AQ$576,MATCH($M134,[1]RELAÇÃO!$AP$1:$AP$576,0),1)</f>
        <v>SANDRA MONICA DE ALMEIDA PY</v>
      </c>
      <c r="F134" s="276" t="str">
        <f>IF(E134=0,"-",LEFT(INDEX([1]RELAÇÃO!$A$1:$AQ$576,MATCH($M134,[1]RELAÇÃO!$AP$1:$AP$576,0),32),1))</f>
        <v>F</v>
      </c>
      <c r="G134" s="275" t="str">
        <f>IF(E134=0,"-",INDEX([1]RELAÇÃO!$A$1:$AQ$576,MATCH($M134,[1]RELAÇÃO!$AP$1:$AP$576,0),5))</f>
        <v>Anistiado MME</v>
      </c>
      <c r="H134" s="275" t="str">
        <f>IF(E134=0,"-",INDEX([1]RELAÇÃO!$A$1:$AQ$576,MATCH($M134,[1]RELAÇÃO!$AP$1:$AP$576,0),6))</f>
        <v>MME - Ministério de Minas e Energia</v>
      </c>
      <c r="I134" s="275" t="str">
        <f>IF(E134=0,"-",INDEX([1]RELAÇÃO!$A$1:$AQ$576,MATCH($M134,[1]RELAÇÃO!$AP$1:$AP$576,0),12)&amp;INDEX([1]RELAÇÃO!$A$1:$AQ$576,MATCH($M134,[1]RELAÇÃO!$AP$1:$AP$576,0),13)&amp;", de "&amp;INDEX([1]RELAÇÃO!$A$1:$AQ$576,MATCH($M134,[1]RELAÇÃO!$AP$1:$AP$576,0),14)&amp;" - "&amp;INDEX([1]RELAÇÃO!$A$1:$AQ$576,MATCH($M134,[1]RELAÇÃO!$AP$1:$AP$576,0),16)&amp;" de "&amp;INDEX([1]RELAÇÃO!$A$1:$AQ$576,MATCH($M134,[1]RELAÇÃO!$AP$1:$AP$576,0),15))</f>
        <v>Portaria nº 524, de 03/11/2016 - BPE de 04/11/2016</v>
      </c>
      <c r="J134" s="307" t="str">
        <f>INDEX([1]RELAÇÃO!$A$1:$AQ$576,MATCH($N134,[1]RELAÇÃO!$AQ$1:$AQ$576,0),1)</f>
        <v>ROLIANA DE SOUSA ARAÚJO LEMOS</v>
      </c>
      <c r="K134" s="308" t="str">
        <f>IF(J134=0,"-",INDEX([1]RELAÇÃO!$A$1:$AQ$576,MATCH($N134,[1]RELAÇÃO!$AQ$1:$AQ$576,0),27)&amp;INDEX([1]RELAÇÃO!$A$1:$AQ$576,MATCH($N134,[1]RELAÇÃO!$AQ$1:$AQ$576,0),28)&amp;", de "&amp;INDEX([1]RELAÇÃO!$A$1:$AQ$576,MATCH($N134,[1]RELAÇÃO!$AQ$1:$AQ$576,0),29)&amp;" - "&amp;INDEX([1]RELAÇÃO!$A$1:$AQ$576,MATCH($N134,[1]RELAÇÃO!$AQ$1:$AQ$576,0),31)&amp;" de "&amp;INDEX([1]RELAÇÃO!$A$1:$AQ$576,MATCH($N134,[1]RELAÇÃO!$AQ$1:$AQ$576,0),30))</f>
        <v>Portaria nº 166, de 25/04/2017 - DOU de 27/04/2017</v>
      </c>
      <c r="L134" s="287" t="str">
        <f>IF($E134=0,"-",IF(INDEX([1]RELAÇÃO!$A$1:$AQ$576,MATCH($M134,[1]RELAÇÃO!$AP$1:$AP$576,0),8)="8.105.220","-",INDEX([1]RELAÇÃO!$A$1:$AQ$576,MATCH($M134,[1]RELAÇÃO!$AP$1:$AP$576,0),7)))</f>
        <v>-</v>
      </c>
      <c r="M134" s="280" t="s">
        <v>421</v>
      </c>
      <c r="N134" s="280" t="s">
        <v>422</v>
      </c>
    </row>
    <row r="135" spans="1:14" ht="23.25" x14ac:dyDescent="0.25">
      <c r="A135" s="292"/>
      <c r="B135" s="309" t="s">
        <v>228</v>
      </c>
      <c r="C135" s="273" t="s">
        <v>229</v>
      </c>
      <c r="D135" s="273" t="s">
        <v>193</v>
      </c>
      <c r="E135" s="300" t="str">
        <f>INDEX([1]RELAÇÃO!$A$1:$AQ$576,MATCH($M135,[1]RELAÇÃO!$AP$1:$AP$576,0),1)</f>
        <v>SILVANA SOARES DE GODOI E SOUSA</v>
      </c>
      <c r="F135" s="301" t="str">
        <f>IF(E135=0,"-",LEFT(INDEX([1]RELAÇÃO!$A$1:$AQ$576,MATCH($M135,[1]RELAÇÃO!$AP$1:$AP$576,0),32),1))</f>
        <v>F</v>
      </c>
      <c r="G135" s="300" t="str">
        <f>IF(E135=0,"-",INDEX([1]RELAÇÃO!$A$1:$AQ$576,MATCH($M135,[1]RELAÇÃO!$AP$1:$AP$576,0),5))</f>
        <v>Anistiado MME</v>
      </c>
      <c r="H135" s="300" t="str">
        <f>IF(E135=0,"-",INDEX([1]RELAÇÃO!$A$1:$AQ$576,MATCH($M135,[1]RELAÇÃO!$AP$1:$AP$576,0),6))</f>
        <v>MME - Ministério de Minas e Energia</v>
      </c>
      <c r="I135" s="300" t="str">
        <f>IF(E135=0,"-",INDEX([1]RELAÇÃO!$A$1:$AQ$576,MATCH($M135,[1]RELAÇÃO!$AP$1:$AP$576,0),12)&amp;INDEX([1]RELAÇÃO!$A$1:$AQ$576,MATCH($M135,[1]RELAÇÃO!$AP$1:$AP$576,0),13)&amp;", de "&amp;INDEX([1]RELAÇÃO!$A$1:$AQ$576,MATCH($M135,[1]RELAÇÃO!$AP$1:$AP$576,0),14)&amp;" - "&amp;INDEX([1]RELAÇÃO!$A$1:$AQ$576,MATCH($M135,[1]RELAÇÃO!$AP$1:$AP$576,0),16)&amp;" de "&amp;INDEX([1]RELAÇÃO!$A$1:$AQ$576,MATCH($M135,[1]RELAÇÃO!$AP$1:$AP$576,0),15))</f>
        <v>Portaria nº 524, de 03/11/2016 - BPE de 04/11/2016</v>
      </c>
      <c r="J135" s="312"/>
      <c r="K135" s="312"/>
      <c r="L135" s="302" t="str">
        <f>IF($E135=0,"-",IF(INDEX([1]RELAÇÃO!$A$1:$AQ$576,MATCH($M135,[1]RELAÇÃO!$AP$1:$AP$576,0),8)="8.105.200","-",INDEX([1]RELAÇÃO!$A$1:$AQ$576,MATCH($M135,[1]RELAÇÃO!$AP$1:$AP$576,0),7)))</f>
        <v>-</v>
      </c>
      <c r="M135" s="280" t="s">
        <v>423</v>
      </c>
      <c r="N135" s="313"/>
    </row>
    <row r="136" spans="1:14" ht="23.25" x14ac:dyDescent="0.25">
      <c r="A136" s="292"/>
      <c r="B136" s="309" t="s">
        <v>424</v>
      </c>
      <c r="C136" s="273" t="s">
        <v>392</v>
      </c>
      <c r="D136" s="274" t="s">
        <v>187</v>
      </c>
      <c r="E136" s="275" t="str">
        <f>INDEX([1]RELAÇÃO!$A$1:$AQ$576,MATCH($M136,[1]RELAÇÃO!$AP$1:$AP$576,0),1)</f>
        <v>MARA BETANIA BALTAR GARCIA DA CONCEICAO</v>
      </c>
      <c r="F136" s="276" t="str">
        <f>IF(E136=0,"-",LEFT(INDEX([1]RELAÇÃO!$A$1:$AQ$576,MATCH($M136,[1]RELAÇÃO!$AP$1:$AP$576,0),32),1))</f>
        <v>F</v>
      </c>
      <c r="G136" s="275" t="str">
        <f>IF(E136=0,"-",INDEX([1]RELAÇÃO!$A$1:$AQ$576,MATCH($M136,[1]RELAÇÃO!$AP$1:$AP$576,0),5))</f>
        <v>Anistiado MME</v>
      </c>
      <c r="H136" s="275" t="str">
        <f>IF(E136=0,"-",INDEX([1]RELAÇÃO!$A$1:$AQ$576,MATCH($M136,[1]RELAÇÃO!$AP$1:$AP$576,0),6))</f>
        <v>MME - Ministério de Minas e Energia</v>
      </c>
      <c r="I136" s="275" t="str">
        <f>IF(E136=0,"-",INDEX([1]RELAÇÃO!$A$1:$AQ$576,MATCH($M136,[1]RELAÇÃO!$AP$1:$AP$576,0),12)&amp;INDEX([1]RELAÇÃO!$A$1:$AQ$576,MATCH($M136,[1]RELAÇÃO!$AP$1:$AP$576,0),13)&amp;", de "&amp;INDEX([1]RELAÇÃO!$A$1:$AQ$576,MATCH($M136,[1]RELAÇÃO!$AP$1:$AP$576,0),14)&amp;" - "&amp;INDEX([1]RELAÇÃO!$A$1:$AQ$576,MATCH($M136,[1]RELAÇÃO!$AP$1:$AP$576,0),16)&amp;" de "&amp;INDEX([1]RELAÇÃO!$A$1:$AQ$576,MATCH($M136,[1]RELAÇÃO!$AP$1:$AP$576,0),15))</f>
        <v>Portaria nº 555, de 03/11/2016 - DOU de 04/11/2016</v>
      </c>
      <c r="J136" s="307">
        <f>INDEX([1]RELAÇÃO!$A$1:$AQ$576,MATCH($N136,[1]RELAÇÃO!$AQ$1:$AQ$576,0),1)</f>
        <v>0</v>
      </c>
      <c r="K136" s="308" t="str">
        <f>IF(J136=0,"-",INDEX([1]RELAÇÃO!$A$1:$AQ$576,MATCH($N136,[1]RELAÇÃO!$AQ$1:$AQ$576,0),27)&amp;INDEX([1]RELAÇÃO!$A$1:$AQ$576,MATCH($N136,[1]RELAÇÃO!$AQ$1:$AQ$576,0),28)&amp;", de "&amp;INDEX([1]RELAÇÃO!$A$1:$AQ$576,MATCH($N136,[1]RELAÇÃO!$AQ$1:$AQ$576,0),29)&amp;" - "&amp;INDEX([1]RELAÇÃO!$A$1:$AQ$576,MATCH($N136,[1]RELAÇÃO!$AQ$1:$AQ$576,0),31)&amp;" de "&amp;INDEX([1]RELAÇÃO!$A$1:$AQ$576,MATCH($N136,[1]RELAÇÃO!$AQ$1:$AQ$576,0),30))</f>
        <v>-</v>
      </c>
      <c r="L136" s="287" t="str">
        <f>IF($E136=0,"-",IF(INDEX([1]RELAÇÃO!$A$1:$AQ$576,MATCH($M136,[1]RELAÇÃO!$AP$1:$AP$576,0),8)="8.105.220","-",INDEX([1]RELAÇÃO!$A$1:$AQ$576,MATCH($M136,[1]RELAÇÃO!$AP$1:$AP$576,0),7)))</f>
        <v>-</v>
      </c>
      <c r="M136" s="280" t="s">
        <v>425</v>
      </c>
      <c r="N136" s="280" t="s">
        <v>426</v>
      </c>
    </row>
    <row r="137" spans="1:14" ht="34.5" x14ac:dyDescent="0.25">
      <c r="A137" s="292"/>
      <c r="B137" s="309" t="s">
        <v>427</v>
      </c>
      <c r="C137" s="273" t="s">
        <v>392</v>
      </c>
      <c r="D137" s="274" t="s">
        <v>187</v>
      </c>
      <c r="E137" s="275" t="str">
        <f>INDEX([1]RELAÇÃO!$A$1:$AQ$576,MATCH($M137,[1]RELAÇÃO!$AP$1:$AP$576,0),1)</f>
        <v>MIRIA CRISTINA BERNARDES DE SOUSA</v>
      </c>
      <c r="F137" s="276" t="str">
        <f>IF(E137=0,"-",LEFT(INDEX([1]RELAÇÃO!$A$1:$AQ$576,MATCH($M137,[1]RELAÇÃO!$AP$1:$AP$576,0),32),1))</f>
        <v>F</v>
      </c>
      <c r="G137" s="275" t="str">
        <f>IF(E137=0,"-",INDEX([1]RELAÇÃO!$A$1:$AQ$576,MATCH($M137,[1]RELAÇÃO!$AP$1:$AP$576,0),5))</f>
        <v>Anistiado MME</v>
      </c>
      <c r="H137" s="275" t="str">
        <f>IF(E137=0,"-",INDEX([1]RELAÇÃO!$A$1:$AQ$576,MATCH($M137,[1]RELAÇÃO!$AP$1:$AP$576,0),6))</f>
        <v>MME - Ministério de Minas e Energia</v>
      </c>
      <c r="I137" s="275" t="str">
        <f>IF(E137=0,"-",INDEX([1]RELAÇÃO!$A$1:$AQ$576,MATCH($M137,[1]RELAÇÃO!$AP$1:$AP$576,0),12)&amp;INDEX([1]RELAÇÃO!$A$1:$AQ$576,MATCH($M137,[1]RELAÇÃO!$AP$1:$AP$576,0),13)&amp;", de "&amp;INDEX([1]RELAÇÃO!$A$1:$AQ$576,MATCH($M137,[1]RELAÇÃO!$AP$1:$AP$576,0),14)&amp;" - "&amp;INDEX([1]RELAÇÃO!$A$1:$AQ$576,MATCH($M137,[1]RELAÇÃO!$AP$1:$AP$576,0),16)&amp;" de "&amp;INDEX([1]RELAÇÃO!$A$1:$AQ$576,MATCH($M137,[1]RELAÇÃO!$AP$1:$AP$576,0),15))</f>
        <v>Portaria nº 329, de 21/08/2019 - DOU de 23/08/2019</v>
      </c>
      <c r="J137" s="307" t="str">
        <f>INDEX([1]RELAÇÃO!$A$1:$AQ$576,MATCH($N137,[1]RELAÇÃO!$AQ$1:$AQ$576,0),1)</f>
        <v>MARGARIDA SILVA OLIVEIRA DE FIGUEREDO</v>
      </c>
      <c r="K137" s="308" t="str">
        <f>IF(J137=0,"-",INDEX([1]RELAÇÃO!$A$1:$AQ$576,MATCH($N137,[1]RELAÇÃO!$AQ$1:$AQ$576,0),27)&amp;INDEX([1]RELAÇÃO!$A$1:$AQ$576,MATCH($N137,[1]RELAÇÃO!$AQ$1:$AQ$576,0),28)&amp;", de "&amp;INDEX([1]RELAÇÃO!$A$1:$AQ$576,MATCH($N137,[1]RELAÇÃO!$AQ$1:$AQ$576,0),29)&amp;" - "&amp;INDEX([1]RELAÇÃO!$A$1:$AQ$576,MATCH($N137,[1]RELAÇÃO!$AQ$1:$AQ$576,0),31)&amp;" de "&amp;INDEX([1]RELAÇÃO!$A$1:$AQ$576,MATCH($N137,[1]RELAÇÃO!$AQ$1:$AQ$576,0),30))</f>
        <v>Portaria nº 164, de 25/04/2017 - DOU de 27/04/2017</v>
      </c>
      <c r="L137" s="287" t="str">
        <f>IF($E137=0,"-",IF(INDEX([1]RELAÇÃO!$A$1:$AQ$576,MATCH($M137,[1]RELAÇÃO!$AP$1:$AP$576,0),8)="8.105.210","-",INDEX([1]RELAÇÃO!$A$1:$AQ$576,MATCH($M137,[1]RELAÇÃO!$AP$1:$AP$576,0),7)))</f>
        <v>-</v>
      </c>
      <c r="M137" s="280" t="s">
        <v>428</v>
      </c>
      <c r="N137" s="280" t="s">
        <v>429</v>
      </c>
    </row>
    <row r="138" spans="1:14" ht="34.5" x14ac:dyDescent="0.25">
      <c r="A138" s="292"/>
      <c r="B138" s="309" t="s">
        <v>430</v>
      </c>
      <c r="C138" s="273" t="s">
        <v>392</v>
      </c>
      <c r="D138" s="274" t="s">
        <v>187</v>
      </c>
      <c r="E138" s="275" t="str">
        <f>INDEX([1]RELAÇÃO!$A$1:$AQ$576,MATCH($M138,[1]RELAÇÃO!$AP$1:$AP$576,0),1)</f>
        <v>FÁBIO SOUSA DO VALE</v>
      </c>
      <c r="F138" s="276" t="str">
        <f>IF(E138=0,"-",LEFT(INDEX([1]RELAÇÃO!$A$1:$AQ$576,MATCH($M138,[1]RELAÇÃO!$AP$1:$AP$576,0),32),1))</f>
        <v>M</v>
      </c>
      <c r="G138" s="275" t="str">
        <f>IF(E138=0,"-",INDEX([1]RELAÇÃO!$A$1:$AQ$576,MATCH($M138,[1]RELAÇÃO!$AP$1:$AP$576,0),5))</f>
        <v>Requisitado de Órgãos</v>
      </c>
      <c r="H138" s="275" t="str">
        <f>IF(E138=0,"-",INDEX([1]RELAÇÃO!$A$1:$AQ$576,MATCH($M138,[1]RELAÇÃO!$AP$1:$AP$576,0),6))</f>
        <v>FUB - Fundação Universidade de Brasília</v>
      </c>
      <c r="I138" s="275" t="str">
        <f>IF(E138=0,"-",INDEX([1]RELAÇÃO!$A$1:$AQ$576,MATCH($M138,[1]RELAÇÃO!$AP$1:$AP$576,0),12)&amp;INDEX([1]RELAÇÃO!$A$1:$AQ$576,MATCH($M138,[1]RELAÇÃO!$AP$1:$AP$576,0),13)&amp;", de "&amp;INDEX([1]RELAÇÃO!$A$1:$AQ$576,MATCH($M138,[1]RELAÇÃO!$AP$1:$AP$576,0),14)&amp;" - "&amp;INDEX([1]RELAÇÃO!$A$1:$AQ$576,MATCH($M138,[1]RELAÇÃO!$AP$1:$AP$576,0),16)&amp;" de "&amp;INDEX([1]RELAÇÃO!$A$1:$AQ$576,MATCH($M138,[1]RELAÇÃO!$AP$1:$AP$576,0),15))</f>
        <v>Portaria nº 293, de 23/07/2019 - DOU de 29/07/2019</v>
      </c>
      <c r="J138" s="307" t="str">
        <f>INDEX([1]RELAÇÃO!$A$1:$AQ$576,MATCH($N138,[1]RELAÇÃO!$AQ$1:$AQ$576,0),1)</f>
        <v>LUCIA MARIA DE ALMEIDA MOYSÉS</v>
      </c>
      <c r="K138" s="308" t="str">
        <f>IF(J138=0,"-",INDEX([1]RELAÇÃO!$A$1:$AQ$576,MATCH($N138,[1]RELAÇÃO!$AQ$1:$AQ$576,0),27)&amp;INDEX([1]RELAÇÃO!$A$1:$AQ$576,MATCH($N138,[1]RELAÇÃO!$AQ$1:$AQ$576,0),28)&amp;", de "&amp;INDEX([1]RELAÇÃO!$A$1:$AQ$576,MATCH($N138,[1]RELAÇÃO!$AQ$1:$AQ$576,0),29)&amp;" - "&amp;INDEX([1]RELAÇÃO!$A$1:$AQ$576,MATCH($N138,[1]RELAÇÃO!$AQ$1:$AQ$576,0),31)&amp;" de "&amp;INDEX([1]RELAÇÃO!$A$1:$AQ$576,MATCH($N138,[1]RELAÇÃO!$AQ$1:$AQ$576,0),30))</f>
        <v>Portaria nº 161, de 25/04/2017 - DOU de 27/04/2017</v>
      </c>
      <c r="L138" s="287" t="str">
        <f>IF($E138=0,"-",IF(INDEX([1]RELAÇÃO!$A$1:$AQ$576,MATCH($M138,[1]RELAÇÃO!$AP$1:$AP$576,0),8)="8.105.210","-",INDEX([1]RELAÇÃO!$A$1:$AQ$576,MATCH($M138,[1]RELAÇÃO!$AP$1:$AP$576,0),7)))</f>
        <v>-</v>
      </c>
      <c r="M138" s="280" t="s">
        <v>431</v>
      </c>
      <c r="N138" s="280" t="s">
        <v>432</v>
      </c>
    </row>
    <row r="139" spans="1:14" ht="34.5" x14ac:dyDescent="0.25">
      <c r="A139" s="292"/>
      <c r="B139" s="309" t="s">
        <v>433</v>
      </c>
      <c r="C139" s="273" t="s">
        <v>392</v>
      </c>
      <c r="D139" s="274" t="s">
        <v>187</v>
      </c>
      <c r="E139" s="275" t="str">
        <f>INDEX([1]RELAÇÃO!$A$1:$AQ$576,MATCH($M139,[1]RELAÇÃO!$AP$1:$AP$576,0),1)</f>
        <v>NEIDE DE FATIMA GOMES DE AZEVEDO LOPES</v>
      </c>
      <c r="F139" s="276" t="str">
        <f>IF(E139=0,"-",LEFT(INDEX([1]RELAÇÃO!$A$1:$AQ$576,MATCH($M139,[1]RELAÇÃO!$AP$1:$AP$576,0),32),1))</f>
        <v>F</v>
      </c>
      <c r="G139" s="275" t="str">
        <f>IF(E139=0,"-",INDEX([1]RELAÇÃO!$A$1:$AQ$576,MATCH($M139,[1]RELAÇÃO!$AP$1:$AP$576,0),5))</f>
        <v>Ativo Permanente</v>
      </c>
      <c r="H139" s="275" t="str">
        <f>IF(E139=0,"-",INDEX([1]RELAÇÃO!$A$1:$AQ$576,MATCH($M139,[1]RELAÇÃO!$AP$1:$AP$576,0),6))</f>
        <v>MME - Ministério de Minas e Energia</v>
      </c>
      <c r="I139" s="275" t="str">
        <f>IF(E139=0,"-",INDEX([1]RELAÇÃO!$A$1:$AQ$576,MATCH($M139,[1]RELAÇÃO!$AP$1:$AP$576,0),12)&amp;INDEX([1]RELAÇÃO!$A$1:$AQ$576,MATCH($M139,[1]RELAÇÃO!$AP$1:$AP$576,0),13)&amp;", de "&amp;INDEX([1]RELAÇÃO!$A$1:$AQ$576,MATCH($M139,[1]RELAÇÃO!$AP$1:$AP$576,0),14)&amp;" - "&amp;INDEX([1]RELAÇÃO!$A$1:$AQ$576,MATCH($M139,[1]RELAÇÃO!$AP$1:$AP$576,0),16)&amp;" de "&amp;INDEX([1]RELAÇÃO!$A$1:$AQ$576,MATCH($M139,[1]RELAÇÃO!$AP$1:$AP$576,0),15))</f>
        <v>Portaria nº 552, de 03/11/2016 - DOU de 04/11/2016</v>
      </c>
      <c r="J139" s="307" t="str">
        <f>INDEX([1]RELAÇÃO!$A$1:$AQ$576,MATCH($N139,[1]RELAÇÃO!$AQ$1:$AQ$576,0),1)</f>
        <v>ELIZABETH NOGUEIRA</v>
      </c>
      <c r="K139" s="308" t="str">
        <f>IF(J139=0,"-",INDEX([1]RELAÇÃO!$A$1:$AQ$576,MATCH($N139,[1]RELAÇÃO!$AQ$1:$AQ$576,0),27)&amp;INDEX([1]RELAÇÃO!$A$1:$AQ$576,MATCH($N139,[1]RELAÇÃO!$AQ$1:$AQ$576,0),28)&amp;", de "&amp;INDEX([1]RELAÇÃO!$A$1:$AQ$576,MATCH($N139,[1]RELAÇÃO!$AQ$1:$AQ$576,0),29)&amp;" - "&amp;INDEX([1]RELAÇÃO!$A$1:$AQ$576,MATCH($N139,[1]RELAÇÃO!$AQ$1:$AQ$576,0),31)&amp;" de "&amp;INDEX([1]RELAÇÃO!$A$1:$AQ$576,MATCH($N139,[1]RELAÇÃO!$AQ$1:$AQ$576,0),30))</f>
        <v>Portaria nº 160, de 25/04/2017 - DOU de 27/04/2017</v>
      </c>
      <c r="L139" s="287" t="str">
        <f>IF($E139=0,"-",IF(INDEX([1]RELAÇÃO!$A$1:$AQ$576,MATCH($M139,[1]RELAÇÃO!$AP$1:$AP$576,0),8)="8.105.210","-",INDEX([1]RELAÇÃO!$A$1:$AQ$576,MATCH($M139,[1]RELAÇÃO!$AP$1:$AP$576,0),7)))</f>
        <v>-</v>
      </c>
      <c r="M139" s="280" t="s">
        <v>434</v>
      </c>
      <c r="N139" s="280" t="s">
        <v>435</v>
      </c>
    </row>
    <row r="140" spans="1:14" ht="23.25" x14ac:dyDescent="0.25">
      <c r="A140" s="292"/>
      <c r="B140" s="309" t="s">
        <v>436</v>
      </c>
      <c r="C140" s="273" t="s">
        <v>392</v>
      </c>
      <c r="D140" s="274" t="s">
        <v>187</v>
      </c>
      <c r="E140" s="275" t="str">
        <f>INDEX([1]RELAÇÃO!$A$1:$AQ$576,MATCH($M140,[1]RELAÇÃO!$AP$1:$AP$576,0),1)</f>
        <v>ROLIANA DE SOUSA ARAÚJO LEMOS</v>
      </c>
      <c r="F140" s="276" t="str">
        <f>IF(E140=0,"-",LEFT(INDEX([1]RELAÇÃO!$A$1:$AQ$576,MATCH($M140,[1]RELAÇÃO!$AP$1:$AP$576,0),32),1))</f>
        <v>F</v>
      </c>
      <c r="G140" s="275" t="str">
        <f>IF(E140=0,"-",INDEX([1]RELAÇÃO!$A$1:$AQ$576,MATCH($M140,[1]RELAÇÃO!$AP$1:$AP$576,0),5))</f>
        <v>Anistiado MME</v>
      </c>
      <c r="H140" s="275" t="str">
        <f>IF(E140=0,"-",INDEX([1]RELAÇÃO!$A$1:$AQ$576,MATCH($M140,[1]RELAÇÃO!$AP$1:$AP$576,0),6))</f>
        <v>MME - Ministério de Minas e Energia</v>
      </c>
      <c r="I140" s="275" t="str">
        <f>IF(E140=0,"-",INDEX([1]RELAÇÃO!$A$1:$AQ$576,MATCH($M140,[1]RELAÇÃO!$AP$1:$AP$576,0),12)&amp;INDEX([1]RELAÇÃO!$A$1:$AQ$576,MATCH($M140,[1]RELAÇÃO!$AP$1:$AP$576,0),13)&amp;", de "&amp;INDEX([1]RELAÇÃO!$A$1:$AQ$576,MATCH($M140,[1]RELAÇÃO!$AP$1:$AP$576,0),14)&amp;" - "&amp;INDEX([1]RELAÇÃO!$A$1:$AQ$576,MATCH($M140,[1]RELAÇÃO!$AP$1:$AP$576,0),16)&amp;" de "&amp;INDEX([1]RELAÇÃO!$A$1:$AQ$576,MATCH($M140,[1]RELAÇÃO!$AP$1:$AP$576,0),15))</f>
        <v>Portaria nº 556, de 03/11/2016 - DOU de 04/11/2016</v>
      </c>
      <c r="J140" s="307" t="str">
        <f>INDEX([1]RELAÇÃO!$A$1:$AQ$576,MATCH($N140,[1]RELAÇÃO!$AQ$1:$AQ$576,0),1)</f>
        <v>RENATA SANCHES DE OLIVEIRA MOURA</v>
      </c>
      <c r="K140" s="308" t="str">
        <f>IF(J140=0,"-",INDEX([1]RELAÇÃO!$A$1:$AQ$576,MATCH($N140,[1]RELAÇÃO!$AQ$1:$AQ$576,0),27)&amp;INDEX([1]RELAÇÃO!$A$1:$AQ$576,MATCH($N140,[1]RELAÇÃO!$AQ$1:$AQ$576,0),28)&amp;", de "&amp;INDEX([1]RELAÇÃO!$A$1:$AQ$576,MATCH($N140,[1]RELAÇÃO!$AQ$1:$AQ$576,0),29)&amp;" - "&amp;INDEX([1]RELAÇÃO!$A$1:$AQ$576,MATCH($N140,[1]RELAÇÃO!$AQ$1:$AQ$576,0),31)&amp;" de "&amp;INDEX([1]RELAÇÃO!$A$1:$AQ$576,MATCH($N140,[1]RELAÇÃO!$AQ$1:$AQ$576,0),30))</f>
        <v>Portaria nº 55, de 15/02/2018 - DOU de 19/02/2018</v>
      </c>
      <c r="L140" s="287" t="str">
        <f>IF($E140=0,"-",IF(INDEX([1]RELAÇÃO!$A$1:$AQ$576,MATCH($M140,[1]RELAÇÃO!$AP$1:$AP$576,0),8)="8.105.220","-",INDEX([1]RELAÇÃO!$A$1:$AQ$576,MATCH($M140,[1]RELAÇÃO!$AP$1:$AP$576,0),7)))</f>
        <v>-</v>
      </c>
      <c r="M140" s="280" t="s">
        <v>437</v>
      </c>
      <c r="N140" s="280" t="s">
        <v>438</v>
      </c>
    </row>
    <row r="141" spans="1:14" ht="34.5" x14ac:dyDescent="0.25">
      <c r="A141" s="292"/>
      <c r="B141" s="339" t="s">
        <v>439</v>
      </c>
      <c r="C141" s="327" t="s">
        <v>440</v>
      </c>
      <c r="D141" s="327"/>
      <c r="E141" s="328" t="s">
        <v>333</v>
      </c>
      <c r="F141" s="329"/>
      <c r="G141" s="330"/>
      <c r="H141" s="331"/>
      <c r="I141" s="332"/>
      <c r="J141" s="313"/>
      <c r="K141" s="313"/>
      <c r="L141" s="329"/>
      <c r="M141" s="313"/>
      <c r="N141" s="313"/>
    </row>
    <row r="142" spans="1:14" ht="34.5" x14ac:dyDescent="0.25">
      <c r="A142" s="292"/>
      <c r="B142" s="309" t="s">
        <v>441</v>
      </c>
      <c r="C142" s="296" t="s">
        <v>442</v>
      </c>
      <c r="D142" s="273" t="s">
        <v>187</v>
      </c>
      <c r="E142" s="275" t="str">
        <f>INDEX([1]RELAÇÃO!$A$1:$AQ$576,MATCH($M142,[1]RELAÇÃO!$AP$1:$AP$576,0),1)</f>
        <v>SEVERINO BARBOSA DOS SANTOS</v>
      </c>
      <c r="F142" s="276" t="str">
        <f>IF(E142=0,"-",LEFT(INDEX([1]RELAÇÃO!$A$1:$AQ$576,MATCH($M142,[1]RELAÇÃO!$AP$1:$AP$576,0),32),1))</f>
        <v>M</v>
      </c>
      <c r="G142" s="275" t="str">
        <f>IF(E142=0,"-",INDEX([1]RELAÇÃO!$A$1:$AQ$576,MATCH($M142,[1]RELAÇÃO!$AP$1:$AP$576,0),5))</f>
        <v>Ativo Permanente</v>
      </c>
      <c r="H142" s="275" t="str">
        <f>IF(E142=0,"-",INDEX([1]RELAÇÃO!$A$1:$AQ$576,MATCH($M142,[1]RELAÇÃO!$AP$1:$AP$576,0),6))</f>
        <v>MME - Ministério de Minas e Energia</v>
      </c>
      <c r="I142" s="275" t="str">
        <f>IF(E142=0,"-",INDEX([1]RELAÇÃO!$A$1:$AQ$576,MATCH($M142,[1]RELAÇÃO!$AP$1:$AP$576,0),12)&amp;INDEX([1]RELAÇÃO!$A$1:$AQ$576,MATCH($M142,[1]RELAÇÃO!$AP$1:$AP$576,0),13)&amp;", de "&amp;INDEX([1]RELAÇÃO!$A$1:$AQ$576,MATCH($M142,[1]RELAÇÃO!$AP$1:$AP$576,0),14)&amp;" - "&amp;INDEX([1]RELAÇÃO!$A$1:$AQ$576,MATCH($M142,[1]RELAÇÃO!$AP$1:$AP$576,0),16)&amp;" de "&amp;INDEX([1]RELAÇÃO!$A$1:$AQ$576,MATCH($M142,[1]RELAÇÃO!$AP$1:$AP$576,0),15))</f>
        <v>Portaria nº 524, de 03/11/2016 - BPE de 04/11/2016</v>
      </c>
      <c r="J142" s="307" t="str">
        <f>INDEX([1]RELAÇÃO!$A$1:$AQ$576,MATCH($N142,[1]RELAÇÃO!$AQ$1:$AQ$576,0),1)</f>
        <v>PATRÍCIA DE ALMEIDA MARTINS</v>
      </c>
      <c r="K142" s="395" t="str">
        <f>IF(J142=0,"-",INDEX([1]RELAÇÃO!$A$1:$AQ$576,MATCH($N142,[1]RELAÇÃO!$AQ$1:$AQ$576,0),27)&amp;INDEX([1]RELAÇÃO!$A$1:$AQ$576,MATCH($N142,[1]RELAÇÃO!$AQ$1:$AQ$576,0),28)&amp;", de "&amp;INDEX([1]RELAÇÃO!$A$1:$AQ$576,MATCH($N142,[1]RELAÇÃO!$AQ$1:$AQ$576,0),29)&amp;" - "&amp;INDEX([1]RELAÇÃO!$A$1:$AQ$576,MATCH($N142,[1]RELAÇÃO!$AQ$1:$AQ$576,0),31)&amp;" de "&amp;INDEX([1]RELAÇÃO!$A$1:$AQ$576,MATCH($N142,[1]RELAÇÃO!$AQ$1:$AQ$576,0),30))</f>
        <v>Portaria nº 162, de 07/04/2020 - DOU de 13/04/2020</v>
      </c>
      <c r="L142" s="287" t="str">
        <f>IF($E142=0,"-",IF(INDEX([1]RELAÇÃO!$A$1:$AQ$576,MATCH($M142,[1]RELAÇÃO!$AP$1:$AP$576,0),8)="8.105.210","-",INDEX([1]RELAÇÃO!$A$1:$AQ$576,MATCH($M142,[1]RELAÇÃO!$AP$1:$AP$576,0),7)))</f>
        <v>-</v>
      </c>
      <c r="M142" s="280" t="s">
        <v>443</v>
      </c>
      <c r="N142" s="280" t="s">
        <v>444</v>
      </c>
    </row>
    <row r="143" spans="1:14" ht="23.25" x14ac:dyDescent="0.25">
      <c r="A143" s="292"/>
      <c r="B143" s="309" t="s">
        <v>445</v>
      </c>
      <c r="C143" s="296" t="s">
        <v>442</v>
      </c>
      <c r="D143" s="273" t="s">
        <v>187</v>
      </c>
      <c r="E143" s="300" t="str">
        <f>INDEX([1]RELAÇÃO!$A$1:$AQ$576,MATCH($M143,[1]RELAÇÃO!$AP$1:$AP$576,0),1)</f>
        <v>MIGUEL JOAQUIM DA SILVA</v>
      </c>
      <c r="F143" s="301" t="str">
        <f>IF(E143=0,"-",LEFT(INDEX([1]RELAÇÃO!$A$1:$AQ$576,MATCH($M143,[1]RELAÇÃO!$AP$1:$AP$576,0),32),1))</f>
        <v>M</v>
      </c>
      <c r="G143" s="300" t="str">
        <f>IF(E143=0,"-",INDEX([1]RELAÇÃO!$A$1:$AQ$576,MATCH($M143,[1]RELAÇÃO!$AP$1:$AP$576,0),5))</f>
        <v>Ativo Permanente</v>
      </c>
      <c r="H143" s="300" t="str">
        <f>IF(E143=0,"-",INDEX([1]RELAÇÃO!$A$1:$AQ$576,MATCH($M143,[1]RELAÇÃO!$AP$1:$AP$576,0),6))</f>
        <v>MME - Ministério de Minas e Energia</v>
      </c>
      <c r="I143" s="300" t="str">
        <f>IF(E143=0,"-",INDEX([1]RELAÇÃO!$A$1:$AQ$576,MATCH($M143,[1]RELAÇÃO!$AP$1:$AP$576,0),12)&amp;INDEX([1]RELAÇÃO!$A$1:$AQ$576,MATCH($M143,[1]RELAÇÃO!$AP$1:$AP$576,0),13)&amp;", de "&amp;INDEX([1]RELAÇÃO!$A$1:$AQ$576,MATCH($M143,[1]RELAÇÃO!$AP$1:$AP$576,0),14)&amp;" - "&amp;INDEX([1]RELAÇÃO!$A$1:$AQ$576,MATCH($M143,[1]RELAÇÃO!$AP$1:$AP$576,0),16)&amp;" de "&amp;INDEX([1]RELAÇÃO!$A$1:$AQ$576,MATCH($M143,[1]RELAÇÃO!$AP$1:$AP$576,0),15))</f>
        <v>Portaria nº 524, de 03/11/2016 - BPE de 04/11/2016</v>
      </c>
      <c r="J143" s="307" t="str">
        <f>INDEX([1]RELAÇÃO!$A$1:$AQ$576,MATCH($N143,[1]RELAÇÃO!$AQ$1:$AQ$576,0),1)</f>
        <v>ANA PAULA DE CASTRO</v>
      </c>
      <c r="K143" s="308" t="str">
        <f>IF(J143=0,"-",INDEX([1]RELAÇÃO!$A$1:$AQ$576,MATCH($N143,[1]RELAÇÃO!$AQ$1:$AQ$576,0),27)&amp;INDEX([1]RELAÇÃO!$A$1:$AQ$576,MATCH($N143,[1]RELAÇÃO!$AQ$1:$AQ$576,0),28)&amp;", de "&amp;INDEX([1]RELAÇÃO!$A$1:$AQ$576,MATCH($N143,[1]RELAÇÃO!$AQ$1:$AQ$576,0),29)&amp;" - "&amp;INDEX([1]RELAÇÃO!$A$1:$AQ$576,MATCH($N143,[1]RELAÇÃO!$AQ$1:$AQ$576,0),31)&amp;" de "&amp;INDEX([1]RELAÇÃO!$A$1:$AQ$576,MATCH($N143,[1]RELAÇÃO!$AQ$1:$AQ$576,0),30))</f>
        <v>Portaria nº 163, de 07/04/2020 - DOU de 13/04/2020</v>
      </c>
      <c r="L143" s="287" t="str">
        <f>IF($E143=0,"-",IF(INDEX([1]RELAÇÃO!$A$1:$AQ$576,MATCH($M143,[1]RELAÇÃO!$AP$1:$AP$576,0),8)="8.105.210","-",INDEX([1]RELAÇÃO!$A$1:$AQ$576,MATCH($M143,[1]RELAÇÃO!$AP$1:$AP$576,0),7)))</f>
        <v>-</v>
      </c>
      <c r="M143" s="280" t="s">
        <v>446</v>
      </c>
      <c r="N143" s="280" t="s">
        <v>447</v>
      </c>
    </row>
    <row r="144" spans="1:14" ht="23.25" x14ac:dyDescent="0.25">
      <c r="A144" s="297" t="s">
        <v>448</v>
      </c>
      <c r="B144" s="309" t="s">
        <v>321</v>
      </c>
      <c r="C144" s="273" t="s">
        <v>186</v>
      </c>
      <c r="D144" s="274" t="s">
        <v>187</v>
      </c>
      <c r="E144" s="275" t="str">
        <f>INDEX([1]RELAÇÃO!$A$1:$AQ$576,MATCH($M144,[1]RELAÇÃO!$AP$1:$AP$576,0),1)</f>
        <v>CLAUDIO XAVIER PEREIRA</v>
      </c>
      <c r="F144" s="276" t="str">
        <f>IF(E144=0,"-",LEFT(INDEX([1]RELAÇÃO!$A$1:$AQ$576,MATCH($M144,[1]RELAÇÃO!$AP$1:$AP$576,0),32),1))</f>
        <v>M</v>
      </c>
      <c r="G144" s="275" t="str">
        <f>IF(E144=0,"-",INDEX([1]RELAÇÃO!$A$1:$AQ$576,MATCH($M144,[1]RELAÇÃO!$AP$1:$AP$576,0),5))</f>
        <v>Exercício Descentralizado</v>
      </c>
      <c r="H144" s="275" t="str">
        <f>IF(E144=0,"-",INDEX([1]RELAÇÃO!$A$1:$AQ$576,MATCH($M144,[1]RELAÇÃO!$AP$1:$AP$576,0),6))</f>
        <v>ME - Ministério da Economia</v>
      </c>
      <c r="I144" s="275" t="str">
        <f>IF(E144=0,"-",INDEX([1]RELAÇÃO!$A$1:$AQ$576,MATCH($M144,[1]RELAÇÃO!$AP$1:$AP$576,0),12)&amp;INDEX([1]RELAÇÃO!$A$1:$AQ$576,MATCH($M144,[1]RELAÇÃO!$AP$1:$AP$576,0),13)&amp;", de "&amp;INDEX([1]RELAÇÃO!$A$1:$AQ$576,MATCH($M144,[1]RELAÇÃO!$AP$1:$AP$576,0),14)&amp;" - "&amp;INDEX([1]RELAÇÃO!$A$1:$AQ$576,MATCH($M144,[1]RELAÇÃO!$AP$1:$AP$576,0),16)&amp;" de "&amp;INDEX([1]RELAÇÃO!$A$1:$AQ$576,MATCH($M144,[1]RELAÇÃO!$AP$1:$AP$576,0),15))</f>
        <v>Portaria nº 524, de 03/11/2016 - BPE de 04/11/2016</v>
      </c>
      <c r="J144" s="307" t="str">
        <f>INDEX([1]RELAÇÃO!$A$1:$AQ$576,MATCH($N144,[1]RELAÇÃO!$AQ$1:$AQ$576,0),1)</f>
        <v>LUIZ CARLOS DIAS DA SILVA</v>
      </c>
      <c r="K144" s="395" t="str">
        <f>IF(J144=0,"-",INDEX([1]RELAÇÃO!$A$1:$AQ$576,MATCH($N144,[1]RELAÇÃO!$AQ$1:$AQ$576,0),27)&amp;INDEX([1]RELAÇÃO!$A$1:$AQ$576,MATCH($N144,[1]RELAÇÃO!$AQ$1:$AQ$576,0),28)&amp;", de "&amp;INDEX([1]RELAÇÃO!$A$1:$AQ$576,MATCH($N144,[1]RELAÇÃO!$AQ$1:$AQ$576,0),29)&amp;" - "&amp;INDEX([1]RELAÇÃO!$A$1:$AQ$576,MATCH($N144,[1]RELAÇÃO!$AQ$1:$AQ$576,0),31)&amp;" de "&amp;INDEX([1]RELAÇÃO!$A$1:$AQ$576,MATCH($N144,[1]RELAÇÃO!$AQ$1:$AQ$576,0),30))</f>
        <v>Portaria nº 416, de 18/11/2019 - DOU de 21/11/2019</v>
      </c>
      <c r="L144" s="287" t="str">
        <f>IF($E144=0,"-",IF(INDEX([1]RELAÇÃO!$A$1:$AQ$576,MATCH($M144,[1]RELAÇÃO!$AP$1:$AP$576,0),8)="8.105.500","-",INDEX([1]RELAÇÃO!$A$1:$AQ$576,MATCH($M144,[1]RELAÇÃO!$AP$1:$AP$576,0),7)))</f>
        <v>-</v>
      </c>
      <c r="M144" s="280" t="s">
        <v>449</v>
      </c>
      <c r="N144" s="280" t="s">
        <v>450</v>
      </c>
    </row>
    <row r="145" spans="1:14" ht="23.25" x14ac:dyDescent="0.25">
      <c r="A145" s="292"/>
      <c r="B145" s="309" t="s">
        <v>451</v>
      </c>
      <c r="C145" s="273" t="s">
        <v>325</v>
      </c>
      <c r="D145" s="274" t="s">
        <v>187</v>
      </c>
      <c r="E145" s="275" t="str">
        <f>INDEX([1]RELAÇÃO!$A$1:$AQ$576,MATCH($M145,[1]RELAÇÃO!$AP$1:$AP$576,0),1)</f>
        <v>AMANTINO SOARES DE OLIVEIRA</v>
      </c>
      <c r="F145" s="276" t="str">
        <f>IF(E145=0,"-",LEFT(INDEX([1]RELAÇÃO!$A$1:$AQ$576,MATCH($M145,[1]RELAÇÃO!$AP$1:$AP$576,0),32),1))</f>
        <v>M</v>
      </c>
      <c r="G145" s="275" t="str">
        <f>IF(E145=0,"-",INDEX([1]RELAÇÃO!$A$1:$AQ$576,MATCH($M145,[1]RELAÇÃO!$AP$1:$AP$576,0),5))</f>
        <v>Exercício Descentralizado</v>
      </c>
      <c r="H145" s="275" t="str">
        <f>IF(E145=0,"-",INDEX([1]RELAÇÃO!$A$1:$AQ$576,MATCH($M145,[1]RELAÇÃO!$AP$1:$AP$576,0),6))</f>
        <v>ME - Ministério da Economia</v>
      </c>
      <c r="I145" s="275" t="str">
        <f>IF(E145=0,"-",INDEX([1]RELAÇÃO!$A$1:$AQ$576,MATCH($M145,[1]RELAÇÃO!$AP$1:$AP$576,0),12)&amp;INDEX([1]RELAÇÃO!$A$1:$AQ$576,MATCH($M145,[1]RELAÇÃO!$AP$1:$AP$576,0),13)&amp;", de "&amp;INDEX([1]RELAÇÃO!$A$1:$AQ$576,MATCH($M145,[1]RELAÇÃO!$AP$1:$AP$576,0),14)&amp;" - "&amp;INDEX([1]RELAÇÃO!$A$1:$AQ$576,MATCH($M145,[1]RELAÇÃO!$AP$1:$AP$576,0),16)&amp;" de "&amp;INDEX([1]RELAÇÃO!$A$1:$AQ$576,MATCH($M145,[1]RELAÇÃO!$AP$1:$AP$576,0),15))</f>
        <v>Portaria nº 524, de 03/11/2016 - BPE de 04/11/2016</v>
      </c>
      <c r="J145" s="307" t="str">
        <f>INDEX([1]RELAÇÃO!$A$1:$AQ$576,MATCH($N145,[1]RELAÇÃO!$AQ$1:$AQ$576,0),1)</f>
        <v>ANDERSON DA CRUZ NEVES</v>
      </c>
      <c r="K145" s="395" t="str">
        <f>IF(J145=0,"-",INDEX([1]RELAÇÃO!$A$1:$AQ$576,MATCH($N145,[1]RELAÇÃO!$AQ$1:$AQ$576,0),27)&amp;INDEX([1]RELAÇÃO!$A$1:$AQ$576,MATCH($N145,[1]RELAÇÃO!$AQ$1:$AQ$576,0),28)&amp;", de "&amp;INDEX([1]RELAÇÃO!$A$1:$AQ$576,MATCH($N145,[1]RELAÇÃO!$AQ$1:$AQ$576,0),29)&amp;" - "&amp;INDEX([1]RELAÇÃO!$A$1:$AQ$576,MATCH($N145,[1]RELAÇÃO!$AQ$1:$AQ$576,0),31)&amp;" de "&amp;INDEX([1]RELAÇÃO!$A$1:$AQ$576,MATCH($N145,[1]RELAÇÃO!$AQ$1:$AQ$576,0),30))</f>
        <v>Portaria nº 389, de 04/10/2017 - DOU de 06/10/2017</v>
      </c>
      <c r="L145" s="287" t="str">
        <f>IF($E145=0,"-",IF(INDEX([1]RELAÇÃO!$A$1:$AQ$576,MATCH($M145,[1]RELAÇÃO!$AP$1:$AP$576,0),8)="8.105.510","-",INDEX([1]RELAÇÃO!$A$1:$AQ$576,MATCH($M145,[1]RELAÇÃO!$AP$1:$AP$576,0),7)))</f>
        <v>-</v>
      </c>
      <c r="M145" s="280" t="s">
        <v>452</v>
      </c>
      <c r="N145" s="280" t="s">
        <v>453</v>
      </c>
    </row>
    <row r="146" spans="1:14" ht="23.25" x14ac:dyDescent="0.25">
      <c r="A146" s="292"/>
      <c r="B146" s="309" t="s">
        <v>454</v>
      </c>
      <c r="C146" s="273" t="s">
        <v>325</v>
      </c>
      <c r="D146" s="274" t="s">
        <v>187</v>
      </c>
      <c r="E146" s="275" t="str">
        <f>INDEX([1]RELAÇÃO!$A$1:$AQ$576,MATCH($M146,[1]RELAÇÃO!$AP$1:$AP$576,0),1)</f>
        <v>ELIZANE VELOZO COSTA GUEDES</v>
      </c>
      <c r="F146" s="276" t="str">
        <f>IF(E146=0,"-",LEFT(INDEX([1]RELAÇÃO!$A$1:$AQ$576,MATCH($M146,[1]RELAÇÃO!$AP$1:$AP$576,0),32),1))</f>
        <v>F</v>
      </c>
      <c r="G146" s="275" t="str">
        <f>IF(E146=0,"-",INDEX([1]RELAÇÃO!$A$1:$AQ$576,MATCH($M146,[1]RELAÇÃO!$AP$1:$AP$576,0),5))</f>
        <v>Ativo Permanente</v>
      </c>
      <c r="H146" s="275" t="str">
        <f>IF(E146=0,"-",INDEX([1]RELAÇÃO!$A$1:$AQ$576,MATCH($M146,[1]RELAÇÃO!$AP$1:$AP$576,0),6))</f>
        <v>MME - Ministério de Minas e Energia</v>
      </c>
      <c r="I146" s="275" t="str">
        <f>IF(E146=0,"-",INDEX([1]RELAÇÃO!$A$1:$AQ$576,MATCH($M146,[1]RELAÇÃO!$AP$1:$AP$576,0),12)&amp;INDEX([1]RELAÇÃO!$A$1:$AQ$576,MATCH($M146,[1]RELAÇÃO!$AP$1:$AP$576,0),13)&amp;", de "&amp;INDEX([1]RELAÇÃO!$A$1:$AQ$576,MATCH($M146,[1]RELAÇÃO!$AP$1:$AP$576,0),14)&amp;" - "&amp;INDEX([1]RELAÇÃO!$A$1:$AQ$576,MATCH($M146,[1]RELAÇÃO!$AP$1:$AP$576,0),16)&amp;" de "&amp;INDEX([1]RELAÇÃO!$A$1:$AQ$576,MATCH($M146,[1]RELAÇÃO!$AP$1:$AP$576,0),15))</f>
        <v>Portaria nº 524, de 03/11/2016 - BPE de 04/11/2016</v>
      </c>
      <c r="J146" s="307">
        <f>INDEX([1]RELAÇÃO!$A$1:$AQ$576,MATCH($N146,[1]RELAÇÃO!$AQ$1:$AQ$576,0),1)</f>
        <v>0</v>
      </c>
      <c r="K146" s="395" t="str">
        <f>IF(J146=0,"-",INDEX([1]RELAÇÃO!$A$1:$AQ$576,MATCH($N146,[1]RELAÇÃO!$AQ$1:$AQ$576,0),27)&amp;INDEX([1]RELAÇÃO!$A$1:$AQ$576,MATCH($N146,[1]RELAÇÃO!$AQ$1:$AQ$576,0),28)&amp;", de "&amp;INDEX([1]RELAÇÃO!$A$1:$AQ$576,MATCH($N146,[1]RELAÇÃO!$AQ$1:$AQ$576,0),29)&amp;" - "&amp;INDEX([1]RELAÇÃO!$A$1:$AQ$576,MATCH($N146,[1]RELAÇÃO!$AQ$1:$AQ$576,0),31)&amp;" de "&amp;INDEX([1]RELAÇÃO!$A$1:$AQ$576,MATCH($N146,[1]RELAÇÃO!$AQ$1:$AQ$576,0),30))</f>
        <v>-</v>
      </c>
      <c r="L146" s="287" t="str">
        <f>IF($E146=0,"-",IF(INDEX([1]RELAÇÃO!$A$1:$AQ$576,MATCH($M146,[1]RELAÇÃO!$AP$1:$AP$576,0),8)="8.105.520","-",INDEX([1]RELAÇÃO!$A$1:$AQ$576,MATCH($M146,[1]RELAÇÃO!$AP$1:$AP$576,0),7)))</f>
        <v>-</v>
      </c>
      <c r="M146" s="280" t="s">
        <v>455</v>
      </c>
      <c r="N146" s="280" t="s">
        <v>456</v>
      </c>
    </row>
    <row r="147" spans="1:14" ht="23.25" x14ac:dyDescent="0.25">
      <c r="A147" s="292"/>
      <c r="B147" s="309" t="s">
        <v>457</v>
      </c>
      <c r="C147" s="273" t="s">
        <v>325</v>
      </c>
      <c r="D147" s="274" t="s">
        <v>187</v>
      </c>
      <c r="E147" s="275" t="str">
        <f>INDEX([1]RELAÇÃO!$A$1:$AQ$576,MATCH($M147,[1]RELAÇÃO!$AP$1:$AP$576,0),1)</f>
        <v>LUIZ CARLOS DIAS DA SILVA</v>
      </c>
      <c r="F147" s="276" t="str">
        <f>IF(E147=0,"-",LEFT(INDEX([1]RELAÇÃO!$A$1:$AQ$576,MATCH($M147,[1]RELAÇÃO!$AP$1:$AP$576,0),32),1))</f>
        <v>M</v>
      </c>
      <c r="G147" s="275" t="str">
        <f>IF(E147=0,"-",INDEX([1]RELAÇÃO!$A$1:$AQ$576,MATCH($M147,[1]RELAÇÃO!$AP$1:$AP$576,0),5))</f>
        <v>Exercício Descentralizado</v>
      </c>
      <c r="H147" s="275" t="str">
        <f>IF(E147=0,"-",INDEX([1]RELAÇÃO!$A$1:$AQ$576,MATCH($M147,[1]RELAÇÃO!$AP$1:$AP$576,0),6))</f>
        <v>ME - Ministério da Economia</v>
      </c>
      <c r="I147" s="275" t="str">
        <f>IF(E147=0,"-",INDEX([1]RELAÇÃO!$A$1:$AQ$576,MATCH($M147,[1]RELAÇÃO!$AP$1:$AP$576,0),12)&amp;INDEX([1]RELAÇÃO!$A$1:$AQ$576,MATCH($M147,[1]RELAÇÃO!$AP$1:$AP$576,0),13)&amp;", de "&amp;INDEX([1]RELAÇÃO!$A$1:$AQ$576,MATCH($M147,[1]RELAÇÃO!$AP$1:$AP$576,0),14)&amp;" - "&amp;INDEX([1]RELAÇÃO!$A$1:$AQ$576,MATCH($M147,[1]RELAÇÃO!$AP$1:$AP$576,0),16)&amp;" de "&amp;INDEX([1]RELAÇÃO!$A$1:$AQ$576,MATCH($M147,[1]RELAÇÃO!$AP$1:$AP$576,0),15))</f>
        <v>Portaria nº 376, de 30/09/2019 - DOU de 02/10/2019</v>
      </c>
      <c r="J147" s="307" t="str">
        <f>INDEX([1]RELAÇÃO!$A$1:$AQ$576,MATCH($N147,[1]RELAÇÃO!$AQ$1:$AQ$576,0),1)</f>
        <v>JORGE GABRIEL MOISÉS FILHO</v>
      </c>
      <c r="K147" s="395" t="str">
        <f>IF(J147=0,"-",INDEX([1]RELAÇÃO!$A$1:$AQ$576,MATCH($N147,[1]RELAÇÃO!$AQ$1:$AQ$576,0),27)&amp;INDEX([1]RELAÇÃO!$A$1:$AQ$576,MATCH($N147,[1]RELAÇÃO!$AQ$1:$AQ$576,0),28)&amp;", de "&amp;INDEX([1]RELAÇÃO!$A$1:$AQ$576,MATCH($N147,[1]RELAÇÃO!$AQ$1:$AQ$576,0),29)&amp;" - "&amp;INDEX([1]RELAÇÃO!$A$1:$AQ$576,MATCH($N147,[1]RELAÇÃO!$AQ$1:$AQ$576,0),31)&amp;" de "&amp;INDEX([1]RELAÇÃO!$A$1:$AQ$576,MATCH($N147,[1]RELAÇÃO!$AQ$1:$AQ$576,0),30))</f>
        <v>Portaria nº 452, de 05/12/2019 - DOU de 06/12/2019</v>
      </c>
      <c r="L147" s="287" t="str">
        <f>IF($E147=0,"-",IF(INDEX([1]RELAÇÃO!$A$1:$AQ$576,MATCH($M147,[1]RELAÇÃO!$AP$1:$AP$576,0),8)="8.105.530","-",INDEX([1]RELAÇÃO!$A$1:$AQ$576,MATCH($M147,[1]RELAÇÃO!$AP$1:$AP$576,0),7)))</f>
        <v>-</v>
      </c>
      <c r="M147" s="280" t="s">
        <v>458</v>
      </c>
      <c r="N147" s="280" t="s">
        <v>459</v>
      </c>
    </row>
    <row r="148" spans="1:14" ht="23.25" x14ac:dyDescent="0.25">
      <c r="A148" s="292"/>
      <c r="B148" s="309" t="s">
        <v>228</v>
      </c>
      <c r="C148" s="273" t="s">
        <v>229</v>
      </c>
      <c r="D148" s="273" t="s">
        <v>193</v>
      </c>
      <c r="E148" s="275" t="str">
        <f>INDEX([1]RELAÇÃO!$A$1:$AQ$576,MATCH($M148,[1]RELAÇÃO!$AP$1:$AP$576,0),1)</f>
        <v>MARCIO MITLETON</v>
      </c>
      <c r="F148" s="276" t="str">
        <f>IF(E148=0,"-",LEFT(INDEX([1]RELAÇÃO!$A$1:$AQ$576,MATCH($M148,[1]RELAÇÃO!$AP$1:$AP$576,0),32),1))</f>
        <v>M</v>
      </c>
      <c r="G148" s="275" t="str">
        <f>IF(E148=0,"-",INDEX([1]RELAÇÃO!$A$1:$AQ$576,MATCH($M148,[1]RELAÇÃO!$AP$1:$AP$576,0),5))</f>
        <v>Exercício Descentralizado</v>
      </c>
      <c r="H148" s="275" t="str">
        <f>IF(E148=0,"-",INDEX([1]RELAÇÃO!$A$1:$AQ$576,MATCH($M148,[1]RELAÇÃO!$AP$1:$AP$576,0),6))</f>
        <v>ME - Ministério da Economia</v>
      </c>
      <c r="I148" s="275" t="str">
        <f>IF(E148=0,"-",INDEX([1]RELAÇÃO!$A$1:$AQ$576,MATCH($M148,[1]RELAÇÃO!$AP$1:$AP$576,0),12)&amp;INDEX([1]RELAÇÃO!$A$1:$AQ$576,MATCH($M148,[1]RELAÇÃO!$AP$1:$AP$576,0),13)&amp;", de "&amp;INDEX([1]RELAÇÃO!$A$1:$AQ$576,MATCH($M148,[1]RELAÇÃO!$AP$1:$AP$576,0),14)&amp;" - "&amp;INDEX([1]RELAÇÃO!$A$1:$AQ$576,MATCH($M148,[1]RELAÇÃO!$AP$1:$AP$576,0),16)&amp;" de "&amp;INDEX([1]RELAÇÃO!$A$1:$AQ$576,MATCH($M148,[1]RELAÇÃO!$AP$1:$AP$576,0),15))</f>
        <v>Portaria nº 110, de 06/02/2019 - DOU de 08/02/2019</v>
      </c>
      <c r="J148" s="310"/>
      <c r="K148" s="310"/>
      <c r="L148" s="287" t="str">
        <f>IF($E148=0,"-",IF(INDEX([1]RELAÇÃO!$A$1:$AQ$576,MATCH($M148,[1]RELAÇÃO!$AP$1:$AP$576,0),8)="8.105.520","-",INDEX([1]RELAÇÃO!$A$1:$AQ$576,MATCH($M148,[1]RELAÇÃO!$AP$1:$AP$576,0),7)))</f>
        <v>-</v>
      </c>
      <c r="M148" s="280" t="s">
        <v>460</v>
      </c>
      <c r="N148" s="313"/>
    </row>
    <row r="149" spans="1:14" ht="23.25" x14ac:dyDescent="0.25">
      <c r="A149" s="292"/>
      <c r="B149" s="309" t="s">
        <v>247</v>
      </c>
      <c r="C149" s="273" t="s">
        <v>248</v>
      </c>
      <c r="D149" s="273" t="s">
        <v>193</v>
      </c>
      <c r="E149" s="275" t="str">
        <f>INDEX([1]RELAÇÃO!$A$1:$AQ$576,MATCH($M149,[1]RELAÇÃO!$AP$1:$AP$576,0),1)</f>
        <v>LUCAS GOMES AMORIM</v>
      </c>
      <c r="F149" s="276" t="str">
        <f>IF(E149=0,"-",LEFT(INDEX([1]RELAÇÃO!$A$1:$AQ$576,MATCH($M149,[1]RELAÇÃO!$AP$1:$AP$576,0),32),1))</f>
        <v>M</v>
      </c>
      <c r="G149" s="275" t="str">
        <f>IF(E149=0,"-",INDEX([1]RELAÇÃO!$A$1:$AQ$576,MATCH($M149,[1]RELAÇÃO!$AP$1:$AP$576,0),5))</f>
        <v>Sem Vínculo</v>
      </c>
      <c r="H149" s="275" t="str">
        <f>IF(E149=0,"-",INDEX([1]RELAÇÃO!$A$1:$AQ$576,MATCH($M149,[1]RELAÇÃO!$AP$1:$AP$576,0),6))</f>
        <v>Sem Vínculo</v>
      </c>
      <c r="I149" s="275" t="str">
        <f>IF(E149=0,"-",INDEX([1]RELAÇÃO!$A$1:$AQ$576,MATCH($M149,[1]RELAÇÃO!$AP$1:$AP$576,0),12)&amp;INDEX([1]RELAÇÃO!$A$1:$AQ$576,MATCH($M149,[1]RELAÇÃO!$AP$1:$AP$576,0),13)&amp;", de "&amp;INDEX([1]RELAÇÃO!$A$1:$AQ$576,MATCH($M149,[1]RELAÇÃO!$AP$1:$AP$576,0),14)&amp;" - "&amp;INDEX([1]RELAÇÃO!$A$1:$AQ$576,MATCH($M149,[1]RELAÇÃO!$AP$1:$AP$576,0),16)&amp;" de "&amp;INDEX([1]RELAÇÃO!$A$1:$AQ$576,MATCH($M149,[1]RELAÇÃO!$AP$1:$AP$576,0),15))</f>
        <v>Portaria nº 334, de 15/08/2018 - DOU de 16/08/2018</v>
      </c>
      <c r="J149" s="310"/>
      <c r="K149" s="310"/>
      <c r="L149" s="287" t="str">
        <f>IF($E149=0,"-",IF(INDEX([1]RELAÇÃO!$A$1:$AQ$576,MATCH($M149,[1]RELAÇÃO!$AP$1:$AP$576,0),8)="8.105.530","-",INDEX([1]RELAÇÃO!$A$1:$AQ$576,MATCH($M149,[1]RELAÇÃO!$AP$1:$AP$576,0),7)))</f>
        <v>GM / ASSESSORIA TÉCNICA E ADMINISTRATIVA - ASTAD</v>
      </c>
      <c r="M149" s="280" t="s">
        <v>461</v>
      </c>
      <c r="N149" s="313"/>
    </row>
    <row r="150" spans="1:14" ht="23.25" x14ac:dyDescent="0.25">
      <c r="A150" s="292"/>
      <c r="B150" s="309" t="s">
        <v>247</v>
      </c>
      <c r="C150" s="296" t="s">
        <v>250</v>
      </c>
      <c r="D150" s="273" t="s">
        <v>193</v>
      </c>
      <c r="E150" s="275" t="str">
        <f>INDEX([1]RELAÇÃO!$A$1:$AQ$576,MATCH($M150,[1]RELAÇÃO!$AP$1:$AP$576,0),1)</f>
        <v>LUCIANO DE MENDONCA FONSECA</v>
      </c>
      <c r="F150" s="276" t="str">
        <f>IF(E150=0,"-",LEFT(INDEX([1]RELAÇÃO!$A$1:$AQ$576,MATCH($M150,[1]RELAÇÃO!$AP$1:$AP$576,0),32),1))</f>
        <v>M</v>
      </c>
      <c r="G150" s="275" t="str">
        <f>IF(E150=0,"-",INDEX([1]RELAÇÃO!$A$1:$AQ$576,MATCH($M150,[1]RELAÇÃO!$AP$1:$AP$576,0),5))</f>
        <v>Exercício Descentralizado</v>
      </c>
      <c r="H150" s="275" t="str">
        <f>IF(E150=0,"-",INDEX([1]RELAÇÃO!$A$1:$AQ$576,MATCH($M150,[1]RELAÇÃO!$AP$1:$AP$576,0),6))</f>
        <v>ME - Ministério da Economia</v>
      </c>
      <c r="I150" s="275" t="str">
        <f>IF(E150=0,"-",INDEX([1]RELAÇÃO!$A$1:$AQ$576,MATCH($M150,[1]RELAÇÃO!$AP$1:$AP$576,0),12)&amp;INDEX([1]RELAÇÃO!$A$1:$AQ$576,MATCH($M150,[1]RELAÇÃO!$AP$1:$AP$576,0),13)&amp;", de "&amp;INDEX([1]RELAÇÃO!$A$1:$AQ$576,MATCH($M150,[1]RELAÇÃO!$AP$1:$AP$576,0),14)&amp;" - "&amp;INDEX([1]RELAÇÃO!$A$1:$AQ$576,MATCH($M150,[1]RELAÇÃO!$AP$1:$AP$576,0),16)&amp;" de "&amp;INDEX([1]RELAÇÃO!$A$1:$AQ$576,MATCH($M150,[1]RELAÇÃO!$AP$1:$AP$576,0),15))</f>
        <v>Portaria nº 63, de 27/02/2020 - DOU de 28/02/2020</v>
      </c>
      <c r="J150" s="310"/>
      <c r="K150" s="310"/>
      <c r="L150" s="287" t="str">
        <f>IF($E150=0,"-",IF(INDEX([1]RELAÇÃO!$A$1:$AQ$576,MATCH($M150,[1]RELAÇÃO!$AP$1:$AP$576,0),8)="8.105.500","-",INDEX([1]RELAÇÃO!$A$1:$AQ$576,MATCH($M150,[1]RELAÇÃO!$AP$1:$AP$576,0),7)))</f>
        <v>-</v>
      </c>
      <c r="M150" s="280" t="s">
        <v>462</v>
      </c>
      <c r="N150" s="313"/>
    </row>
    <row r="151" spans="1:14" ht="23.25" x14ac:dyDescent="0.25">
      <c r="A151" s="292"/>
      <c r="B151" s="309" t="s">
        <v>247</v>
      </c>
      <c r="C151" s="296" t="s">
        <v>250</v>
      </c>
      <c r="D151" s="273" t="s">
        <v>193</v>
      </c>
      <c r="E151" s="300" t="str">
        <f>INDEX([1]RELAÇÃO!$A$1:$AQ$576,MATCH($M151,[1]RELAÇÃO!$AP$1:$AP$576,0),1)</f>
        <v>FRANCISCO GOMES DE MATOS</v>
      </c>
      <c r="F151" s="301" t="str">
        <f>IF(E151=0,"-",LEFT(INDEX([1]RELAÇÃO!$A$1:$AQ$576,MATCH($M151,[1]RELAÇÃO!$AP$1:$AP$576,0),32),1))</f>
        <v>M</v>
      </c>
      <c r="G151" s="300" t="str">
        <f>IF(E151=0,"-",INDEX([1]RELAÇÃO!$A$1:$AQ$576,MATCH($M151,[1]RELAÇÃO!$AP$1:$AP$576,0),5))</f>
        <v>Ativo Permanente</v>
      </c>
      <c r="H151" s="300" t="str">
        <f>IF(E151=0,"-",INDEX([1]RELAÇÃO!$A$1:$AQ$576,MATCH($M151,[1]RELAÇÃO!$AP$1:$AP$576,0),6))</f>
        <v>MME - Ministério de Minas e Energia</v>
      </c>
      <c r="I151" s="300" t="str">
        <f>IF(E151=0,"-",INDEX([1]RELAÇÃO!$A$1:$AQ$576,MATCH($M151,[1]RELAÇÃO!$AP$1:$AP$576,0),12)&amp;INDEX([1]RELAÇÃO!$A$1:$AQ$576,MATCH($M151,[1]RELAÇÃO!$AP$1:$AP$576,0),13)&amp;", de "&amp;INDEX([1]RELAÇÃO!$A$1:$AQ$576,MATCH($M151,[1]RELAÇÃO!$AP$1:$AP$576,0),14)&amp;" - "&amp;INDEX([1]RELAÇÃO!$A$1:$AQ$576,MATCH($M151,[1]RELAÇÃO!$AP$1:$AP$576,0),16)&amp;" de "&amp;INDEX([1]RELAÇÃO!$A$1:$AQ$576,MATCH($M151,[1]RELAÇÃO!$AP$1:$AP$576,0),15))</f>
        <v>Portaria nº 41, de 11/02/2020 - DOU de 13/02/2020</v>
      </c>
      <c r="J151" s="310"/>
      <c r="K151" s="310"/>
      <c r="L151" s="302" t="str">
        <f>IF($E151=0,"-",IF(INDEX([1]RELAÇÃO!$A$1:$AQ$576,MATCH($M151,[1]RELAÇÃO!$AP$1:$AP$576,0),8)="8.105.530","-",INDEX([1]RELAÇÃO!$A$1:$AQ$576,MATCH($M151,[1]RELAÇÃO!$AP$1:$AP$576,0),7)))</f>
        <v>SE / SPOA / CGRL / COORDENAÇÃO DE ATIVIDADES GERAIS - COAGE</v>
      </c>
      <c r="M151" s="280" t="s">
        <v>463</v>
      </c>
      <c r="N151" s="313"/>
    </row>
    <row r="152" spans="1:14" ht="23.25" x14ac:dyDescent="0.25">
      <c r="A152" s="297" t="s">
        <v>464</v>
      </c>
      <c r="B152" s="309" t="s">
        <v>321</v>
      </c>
      <c r="C152" s="273" t="s">
        <v>186</v>
      </c>
      <c r="D152" s="273" t="s">
        <v>187</v>
      </c>
      <c r="E152" s="300" t="str">
        <f>INDEX([1]RELAÇÃO!$A$1:$AQ$576,MATCH($M152,[1]RELAÇÃO!$AP$1:$AP$576,0),1)</f>
        <v>HELITON SABINO BRIGLIA FERREIRA</v>
      </c>
      <c r="F152" s="301" t="str">
        <f>IF(E152=0,"-",LEFT(INDEX([1]RELAÇÃO!$A$1:$AQ$576,MATCH($M152,[1]RELAÇÃO!$AP$1:$AP$576,0),32),1))</f>
        <v>M</v>
      </c>
      <c r="G152" s="300" t="str">
        <f>IF(E152=0,"-",INDEX([1]RELAÇÃO!$A$1:$AQ$576,MATCH($M152,[1]RELAÇÃO!$AP$1:$AP$576,0),5))</f>
        <v>Requisitado Militar</v>
      </c>
      <c r="H152" s="300" t="str">
        <f>IF(E152=0,"-",INDEX([1]RELAÇÃO!$A$1:$AQ$576,MATCH($M152,[1]RELAÇÃO!$AP$1:$AP$576,0),6))</f>
        <v>Marinha</v>
      </c>
      <c r="I152" s="300" t="str">
        <f>IF(E152=0,"-",INDEX([1]RELAÇÃO!$A$1:$AQ$576,MATCH($M152,[1]RELAÇÃO!$AP$1:$AP$576,0),12)&amp;INDEX([1]RELAÇÃO!$A$1:$AQ$576,MATCH($M152,[1]RELAÇÃO!$AP$1:$AP$576,0),13)&amp;", de "&amp;INDEX([1]RELAÇÃO!$A$1:$AQ$576,MATCH($M152,[1]RELAÇÃO!$AP$1:$AP$576,0),14)&amp;" - "&amp;INDEX([1]RELAÇÃO!$A$1:$AQ$576,MATCH($M152,[1]RELAÇÃO!$AP$1:$AP$576,0),16)&amp;" de "&amp;INDEX([1]RELAÇÃO!$A$1:$AQ$576,MATCH($M152,[1]RELAÇÃO!$AP$1:$AP$576,0),15))</f>
        <v>Portaria nº 288, de 19/07/2019 - DOU de 22/07/2019</v>
      </c>
      <c r="J152" s="307" t="str">
        <f>INDEX([1]RELAÇÃO!$A$1:$AQ$576,MATCH($N152,[1]RELAÇÃO!$AQ$1:$AQ$576,0),1)</f>
        <v>WAGNER COELHO SABINO</v>
      </c>
      <c r="K152" s="395" t="str">
        <f>IF(J152=0,"-",INDEX([1]RELAÇÃO!$A$1:$AQ$576,MATCH($N152,[1]RELAÇÃO!$AQ$1:$AQ$576,0),27)&amp;INDEX([1]RELAÇÃO!$A$1:$AQ$576,MATCH($N152,[1]RELAÇÃO!$AQ$1:$AQ$576,0),28)&amp;", de "&amp;INDEX([1]RELAÇÃO!$A$1:$AQ$576,MATCH($N152,[1]RELAÇÃO!$AQ$1:$AQ$576,0),29)&amp;" - "&amp;INDEX([1]RELAÇÃO!$A$1:$AQ$576,MATCH($N152,[1]RELAÇÃO!$AQ$1:$AQ$576,0),31)&amp;" de "&amp;INDEX([1]RELAÇÃO!$A$1:$AQ$576,MATCH($N152,[1]RELAÇÃO!$AQ$1:$AQ$576,0),30))</f>
        <v>Portaria nº 251, de 18/06/2020 - DOU de 19/06/2020</v>
      </c>
      <c r="L152" s="302" t="str">
        <f>IF($E152=0,"-",IF(INDEX([1]RELAÇÃO!$A$1:$AQ$576,MATCH($M152,[1]RELAÇÃO!$AP$1:$AP$576,0),8)="8.105.300","-",INDEX([1]RELAÇÃO!$A$1:$AQ$576,MATCH($M152,[1]RELAÇÃO!$AP$1:$AP$576,0),7)))</f>
        <v>-</v>
      </c>
      <c r="M152" s="280" t="s">
        <v>465</v>
      </c>
      <c r="N152" s="280" t="s">
        <v>466</v>
      </c>
    </row>
    <row r="153" spans="1:14" ht="23.25" x14ac:dyDescent="0.25">
      <c r="A153" s="292"/>
      <c r="B153" s="325" t="s">
        <v>467</v>
      </c>
      <c r="C153" s="274" t="s">
        <v>325</v>
      </c>
      <c r="D153" s="274" t="s">
        <v>187</v>
      </c>
      <c r="E153" s="275" t="str">
        <f>INDEX([1]RELAÇÃO!$A$1:$AQ$576,MATCH($M153,[1]RELAÇÃO!$AP$1:$AP$576,0),1)</f>
        <v>NUBIAN MENDONÇA AMORIM</v>
      </c>
      <c r="F153" s="276" t="str">
        <f>IF(E153=0,"-",LEFT(INDEX([1]RELAÇÃO!$A$1:$AQ$576,MATCH($M153,[1]RELAÇÃO!$AP$1:$AP$576,0),32),1))</f>
        <v>F</v>
      </c>
      <c r="G153" s="275" t="str">
        <f>IF(E153=0,"-",INDEX([1]RELAÇÃO!$A$1:$AQ$576,MATCH($M153,[1]RELAÇÃO!$AP$1:$AP$576,0),5))</f>
        <v>Exercício Descentralizado</v>
      </c>
      <c r="H153" s="275" t="str">
        <f>IF(E153=0,"-",INDEX([1]RELAÇÃO!$A$1:$AQ$576,MATCH($M153,[1]RELAÇÃO!$AP$1:$AP$576,0),6))</f>
        <v>ME - Ministério da Economia</v>
      </c>
      <c r="I153" s="275" t="str">
        <f>IF(E153=0,"-",INDEX([1]RELAÇÃO!$A$1:$AQ$576,MATCH($M153,[1]RELAÇÃO!$AP$1:$AP$576,0),12)&amp;INDEX([1]RELAÇÃO!$A$1:$AQ$576,MATCH($M153,[1]RELAÇÃO!$AP$1:$AP$576,0),13)&amp;", de "&amp;INDEX([1]RELAÇÃO!$A$1:$AQ$576,MATCH($M153,[1]RELAÇÃO!$AP$1:$AP$576,0),14)&amp;" - "&amp;INDEX([1]RELAÇÃO!$A$1:$AQ$576,MATCH($M153,[1]RELAÇÃO!$AP$1:$AP$576,0),16)&amp;" de "&amp;INDEX([1]RELAÇÃO!$A$1:$AQ$576,MATCH($M153,[1]RELAÇÃO!$AP$1:$AP$576,0),15))</f>
        <v>Portaria nº 53, de 16/02/2018 - DOU de 05/03/2018</v>
      </c>
      <c r="J153" s="307" t="str">
        <f>INDEX([1]RELAÇÃO!$A$1:$AQ$576,MATCH($N153,[1]RELAÇÃO!$AQ$1:$AQ$576,0),1)</f>
        <v>ZAIRA ROCHA DE NOVAIS LOBO</v>
      </c>
      <c r="K153" s="395" t="str">
        <f>IF(J153=0,"-",INDEX([1]RELAÇÃO!$A$1:$AQ$576,MATCH($N153,[1]RELAÇÃO!$AQ$1:$AQ$576,0),27)&amp;INDEX([1]RELAÇÃO!$A$1:$AQ$576,MATCH($N153,[1]RELAÇÃO!$AQ$1:$AQ$576,0),28)&amp;", de "&amp;INDEX([1]RELAÇÃO!$A$1:$AQ$576,MATCH($N153,[1]RELAÇÃO!$AQ$1:$AQ$576,0),29)&amp;" - "&amp;INDEX([1]RELAÇÃO!$A$1:$AQ$576,MATCH($N153,[1]RELAÇÃO!$AQ$1:$AQ$576,0),31)&amp;" de "&amp;INDEX([1]RELAÇÃO!$A$1:$AQ$576,MATCH($N153,[1]RELAÇÃO!$AQ$1:$AQ$576,0),30))</f>
        <v>Portaria nº 41, de 08/02/2018 - DOU de 14/02/2018</v>
      </c>
      <c r="L153" s="287" t="str">
        <f>IF($E153=0,"-",IF(INDEX([1]RELAÇÃO!$A$1:$AQ$576,MATCH($M153,[1]RELAÇÃO!$AP$1:$AP$576,0),8)="8.105.310","-",INDEX([1]RELAÇÃO!$A$1:$AQ$576,MATCH($M153,[1]RELAÇÃO!$AP$1:$AP$576,0),7)))</f>
        <v>-</v>
      </c>
      <c r="M153" s="280" t="s">
        <v>468</v>
      </c>
      <c r="N153" s="280" t="s">
        <v>469</v>
      </c>
    </row>
    <row r="154" spans="1:14" ht="23.25" x14ac:dyDescent="0.25">
      <c r="A154" s="292"/>
      <c r="B154" s="309" t="s">
        <v>470</v>
      </c>
      <c r="C154" s="273" t="s">
        <v>325</v>
      </c>
      <c r="D154" s="273" t="s">
        <v>187</v>
      </c>
      <c r="E154" s="275" t="str">
        <f>INDEX([1]RELAÇÃO!$A$1:$AQ$576,MATCH($M154,[1]RELAÇÃO!$AP$1:$AP$576,0),1)</f>
        <v>WAGNER COELHO SABINO</v>
      </c>
      <c r="F154" s="276" t="str">
        <f>IF(E154=0,"-",LEFT(INDEX([1]RELAÇÃO!$A$1:$AQ$576,MATCH($M154,[1]RELAÇÃO!$AP$1:$AP$576,0),32),1))</f>
        <v>M</v>
      </c>
      <c r="G154" s="275" t="str">
        <f>IF(E154=0,"-",INDEX([1]RELAÇÃO!$A$1:$AQ$576,MATCH($M154,[1]RELAÇÃO!$AP$1:$AP$576,0),5))</f>
        <v>Sem Vínculo</v>
      </c>
      <c r="H154" s="275" t="str">
        <f>IF(E154=0,"-",INDEX([1]RELAÇÃO!$A$1:$AQ$576,MATCH($M154,[1]RELAÇÃO!$AP$1:$AP$576,0),6))</f>
        <v>S/VÍNCULO</v>
      </c>
      <c r="I154" s="275" t="str">
        <f>IF(E154=0,"-",INDEX([1]RELAÇÃO!$A$1:$AQ$576,MATCH($M154,[1]RELAÇÃO!$AP$1:$AP$576,0),12)&amp;INDEX([1]RELAÇÃO!$A$1:$AQ$576,MATCH($M154,[1]RELAÇÃO!$AP$1:$AP$576,0),13)&amp;", de "&amp;INDEX([1]RELAÇÃO!$A$1:$AQ$576,MATCH($M154,[1]RELAÇÃO!$AP$1:$AP$576,0),14)&amp;" - "&amp;INDEX([1]RELAÇÃO!$A$1:$AQ$576,MATCH($M154,[1]RELAÇÃO!$AP$1:$AP$576,0),16)&amp;" de "&amp;INDEX([1]RELAÇÃO!$A$1:$AQ$576,MATCH($M154,[1]RELAÇÃO!$AP$1:$AP$576,0),15))</f>
        <v>Portaria nº 137, de 29/03/2020 - DOU de 31/03/2020</v>
      </c>
      <c r="J154" s="307" t="str">
        <f>INDEX([1]RELAÇÃO!$A$1:$AQ$576,MATCH($N154,[1]RELAÇÃO!$AQ$1:$AQ$576,0),1)</f>
        <v>HIRAM COSTA BOTELHO</v>
      </c>
      <c r="K154" s="395" t="str">
        <f>IF(J154=0,"-",INDEX([1]RELAÇÃO!$A$1:$AQ$576,MATCH($N154,[1]RELAÇÃO!$AQ$1:$AQ$576,0),27)&amp;INDEX([1]RELAÇÃO!$A$1:$AQ$576,MATCH($N154,[1]RELAÇÃO!$AQ$1:$AQ$576,0),28)&amp;", de "&amp;INDEX([1]RELAÇÃO!$A$1:$AQ$576,MATCH($N154,[1]RELAÇÃO!$AQ$1:$AQ$576,0),29)&amp;" - "&amp;INDEX([1]RELAÇÃO!$A$1:$AQ$576,MATCH($N154,[1]RELAÇÃO!$AQ$1:$AQ$576,0),31)&amp;" de "&amp;INDEX([1]RELAÇÃO!$A$1:$AQ$576,MATCH($N154,[1]RELAÇÃO!$AQ$1:$AQ$576,0),30))</f>
        <v>Portaria nº 138, de 29/03/2020 - DOU de 31/03/2020</v>
      </c>
      <c r="L154" s="287" t="str">
        <f>IF($E154=0,"-",IF(INDEX([1]RELAÇÃO!$A$1:$AQ$576,MATCH($M154,[1]RELAÇÃO!$AP$1:$AP$576,0),8)="8.105.320","-",INDEX([1]RELAÇÃO!$A$1:$AQ$576,MATCH($M154,[1]RELAÇÃO!$AP$1:$AP$576,0),7)))</f>
        <v>-</v>
      </c>
      <c r="M154" s="280" t="s">
        <v>471</v>
      </c>
      <c r="N154" s="280" t="s">
        <v>472</v>
      </c>
    </row>
    <row r="155" spans="1:14" ht="23.25" x14ac:dyDescent="0.25">
      <c r="A155" s="292"/>
      <c r="B155" s="309" t="s">
        <v>228</v>
      </c>
      <c r="C155" s="273" t="s">
        <v>229</v>
      </c>
      <c r="D155" s="273" t="s">
        <v>193</v>
      </c>
      <c r="E155" s="275" t="str">
        <f>INDEX([1]RELAÇÃO!$A$1:$AQ$576,MATCH($M155,[1]RELAÇÃO!$AP$1:$AP$576,0),1)</f>
        <v>FRANCISCO ALEXANDRE STECHER DE OLIVEIRA</v>
      </c>
      <c r="F155" s="276" t="str">
        <f>IF(E155=0,"-",LEFT(INDEX([1]RELAÇÃO!$A$1:$AQ$576,MATCH($M155,[1]RELAÇÃO!$AP$1:$AP$576,0),32),1))</f>
        <v>M</v>
      </c>
      <c r="G155" s="275" t="str">
        <f>IF(E155=0,"-",INDEX([1]RELAÇÃO!$A$1:$AQ$576,MATCH($M155,[1]RELAÇÃO!$AP$1:$AP$576,0),5))</f>
        <v>Anistiado MME</v>
      </c>
      <c r="H155" s="275" t="str">
        <f>IF(E155=0,"-",INDEX([1]RELAÇÃO!$A$1:$AQ$576,MATCH($M155,[1]RELAÇÃO!$AP$1:$AP$576,0),6))</f>
        <v>MME - Ministério de Minas e Energia</v>
      </c>
      <c r="I155" s="275" t="str">
        <f>IF(E155=0,"-",INDEX([1]RELAÇÃO!$A$1:$AQ$576,MATCH($M155,[1]RELAÇÃO!$AP$1:$AP$576,0),12)&amp;INDEX([1]RELAÇÃO!$A$1:$AQ$576,MATCH($M155,[1]RELAÇÃO!$AP$1:$AP$576,0),13)&amp;", de "&amp;INDEX([1]RELAÇÃO!$A$1:$AQ$576,MATCH($M155,[1]RELAÇÃO!$AP$1:$AP$576,0),14)&amp;" - "&amp;INDEX([1]RELAÇÃO!$A$1:$AQ$576,MATCH($M155,[1]RELAÇÃO!$AP$1:$AP$576,0),16)&amp;" de "&amp;INDEX([1]RELAÇÃO!$A$1:$AQ$576,MATCH($M155,[1]RELAÇÃO!$AP$1:$AP$576,0),15))</f>
        <v>Portaria nº 45, de 13/02/2020 - DOU de 14/02/2020</v>
      </c>
      <c r="J155" s="310"/>
      <c r="K155" s="310"/>
      <c r="L155" s="287" t="str">
        <f>IF($E155=0,"-",IF(INDEX([1]RELAÇÃO!$A$1:$AQ$576,MATCH($M155,[1]RELAÇÃO!$AP$1:$AP$576,0),8)="8.105.300","-",INDEX([1]RELAÇÃO!$A$1:$AQ$576,MATCH($M155,[1]RELAÇÃO!$AP$1:$AP$576,0),7)))</f>
        <v xml:space="preserve">SE / SPOA / CGTI / COORDENAÇÃO DE INFRAESTRUTURA TECNOLÓGICA - </v>
      </c>
      <c r="M155" s="280" t="s">
        <v>473</v>
      </c>
      <c r="N155" s="313"/>
    </row>
    <row r="156" spans="1:14" ht="23.25" x14ac:dyDescent="0.25">
      <c r="A156" s="292"/>
      <c r="B156" s="309" t="s">
        <v>228</v>
      </c>
      <c r="C156" s="273" t="s">
        <v>229</v>
      </c>
      <c r="D156" s="273" t="s">
        <v>193</v>
      </c>
      <c r="E156" s="275" t="str">
        <f>INDEX([1]RELAÇÃO!$A$1:$AQ$576,MATCH($M156,[1]RELAÇÃO!$AP$1:$AP$576,0),1)</f>
        <v>ZAIRA ROCHA DE NOVAIS LOBO</v>
      </c>
      <c r="F156" s="276" t="str">
        <f>IF(E156=0,"-",LEFT(INDEX([1]RELAÇÃO!$A$1:$AQ$576,MATCH($M156,[1]RELAÇÃO!$AP$1:$AP$576,0),32),1))</f>
        <v>F</v>
      </c>
      <c r="G156" s="275" t="str">
        <f>IF(E156=0,"-",INDEX([1]RELAÇÃO!$A$1:$AQ$576,MATCH($M156,[1]RELAÇÃO!$AP$1:$AP$576,0),5))</f>
        <v>Ativo Permanente</v>
      </c>
      <c r="H156" s="275" t="str">
        <f>IF(E156=0,"-",INDEX([1]RELAÇÃO!$A$1:$AQ$576,MATCH($M156,[1]RELAÇÃO!$AP$1:$AP$576,0),6))</f>
        <v>MME - Ministério de Minas e Energia</v>
      </c>
      <c r="I156" s="275" t="str">
        <f>IF(E156=0,"-",INDEX([1]RELAÇÃO!$A$1:$AQ$576,MATCH($M156,[1]RELAÇÃO!$AP$1:$AP$576,0),12)&amp;INDEX([1]RELAÇÃO!$A$1:$AQ$576,MATCH($M156,[1]RELAÇÃO!$AP$1:$AP$576,0),13)&amp;", de "&amp;INDEX([1]RELAÇÃO!$A$1:$AQ$576,MATCH($M156,[1]RELAÇÃO!$AP$1:$AP$576,0),14)&amp;" - "&amp;INDEX([1]RELAÇÃO!$A$1:$AQ$576,MATCH($M156,[1]RELAÇÃO!$AP$1:$AP$576,0),16)&amp;" de "&amp;INDEX([1]RELAÇÃO!$A$1:$AQ$576,MATCH($M156,[1]RELAÇÃO!$AP$1:$AP$576,0),15))</f>
        <v>Portaria nº 138, de 20/04/2018 - DOU de 23/04/2018</v>
      </c>
      <c r="J156" s="340"/>
      <c r="K156" s="340"/>
      <c r="L156" s="287" t="str">
        <f>IF($E156=0,"-",IF(INDEX([1]RELAÇÃO!$A$1:$AQ$576,MATCH($M156,[1]RELAÇÃO!$AP$1:$AP$576,0),8)="8.105.300","-",INDEX([1]RELAÇÃO!$A$1:$AQ$576,MATCH($M156,[1]RELAÇÃO!$AP$1:$AP$576,0),7)))</f>
        <v xml:space="preserve">SE / SPOA / CGTI / COORDENAÇÃO DE INFRAESTRUTURA TECNOLÓGICA - </v>
      </c>
      <c r="M156" s="280" t="s">
        <v>474</v>
      </c>
      <c r="N156" s="313"/>
    </row>
    <row r="157" spans="1:14" ht="23.25" x14ac:dyDescent="0.25">
      <c r="A157" s="297" t="s">
        <v>475</v>
      </c>
      <c r="B157" s="309" t="s">
        <v>321</v>
      </c>
      <c r="C157" s="273" t="s">
        <v>186</v>
      </c>
      <c r="D157" s="274" t="s">
        <v>187</v>
      </c>
      <c r="E157" s="275" t="str">
        <f>INDEX([1]RELAÇÃO!$A$1:$AQ$576,MATCH($M157,[1]RELAÇÃO!$AP$1:$AP$576,0),1)</f>
        <v>IARA LEMOS GIANI</v>
      </c>
      <c r="F157" s="276" t="str">
        <f>IF(E157=0,"-",LEFT(INDEX([1]RELAÇÃO!$A$1:$AQ$576,MATCH($M157,[1]RELAÇÃO!$AP$1:$AP$576,0),32),1))</f>
        <v>F</v>
      </c>
      <c r="G157" s="275" t="str">
        <f>IF(E157=0,"-",INDEX([1]RELAÇÃO!$A$1:$AQ$576,MATCH($M157,[1]RELAÇÃO!$AP$1:$AP$576,0),5))</f>
        <v>Sem Vínculo</v>
      </c>
      <c r="H157" s="275" t="str">
        <f>IF(E157=0,"-",INDEX([1]RELAÇÃO!$A$1:$AQ$576,MATCH($M157,[1]RELAÇÃO!$AP$1:$AP$576,0),6))</f>
        <v>Sem Vínculo</v>
      </c>
      <c r="I157" s="275" t="str">
        <f>IF(E157=0,"-",INDEX([1]RELAÇÃO!$A$1:$AQ$576,MATCH($M157,[1]RELAÇÃO!$AP$1:$AP$576,0),12)&amp;INDEX([1]RELAÇÃO!$A$1:$AQ$576,MATCH($M157,[1]RELAÇÃO!$AP$1:$AP$576,0),13)&amp;", de "&amp;INDEX([1]RELAÇÃO!$A$1:$AQ$576,MATCH($M157,[1]RELAÇÃO!$AP$1:$AP$576,0),14)&amp;" - "&amp;INDEX([1]RELAÇÃO!$A$1:$AQ$576,MATCH($M157,[1]RELAÇÃO!$AP$1:$AP$576,0),16)&amp;" de "&amp;INDEX([1]RELAÇÃO!$A$1:$AQ$576,MATCH($M157,[1]RELAÇÃO!$AP$1:$AP$576,0),15))</f>
        <v>Portaria nº 524, de 03/11/2016 - BPE de 04/11/2016</v>
      </c>
      <c r="J157" s="287" t="str">
        <f>INDEX([1]RELAÇÃO!$A$1:$AQ$576,MATCH($N157,[1]RELAÇÃO!$AQ$1:$AQ$576,0),1)</f>
        <v>CLÁUDIA MOTA MONTEIRO</v>
      </c>
      <c r="K157" s="394" t="str">
        <f>IF(J157=0,"-",INDEX([1]RELAÇÃO!$A$1:$AQ$576,MATCH($N157,[1]RELAÇÃO!$AQ$1:$AQ$576,0),27)&amp;INDEX([1]RELAÇÃO!$A$1:$AQ$576,MATCH($N157,[1]RELAÇÃO!$AQ$1:$AQ$576,0),28)&amp;", de "&amp;INDEX([1]RELAÇÃO!$A$1:$AQ$576,MATCH($N157,[1]RELAÇÃO!$AQ$1:$AQ$576,0),29)&amp;" - "&amp;INDEX([1]RELAÇÃO!$A$1:$AQ$576,MATCH($N157,[1]RELAÇÃO!$AQ$1:$AQ$576,0),31)&amp;" de "&amp;INDEX([1]RELAÇÃO!$A$1:$AQ$576,MATCH($N157,[1]RELAÇÃO!$AQ$1:$AQ$576,0),30))</f>
        <v>Portaria nº 333, de 23/08/2019 - DOU de 29/08/2019</v>
      </c>
      <c r="L157" s="287" t="str">
        <f>IF($E157=0,"-",IF(INDEX([1]RELAÇÃO!$A$1:$AQ$576,MATCH($M157,[1]RELAÇÃO!$AP$1:$AP$576,0),8)="8.105.400","-",INDEX([1]RELAÇÃO!$A$1:$AQ$576,MATCH($M157,[1]RELAÇÃO!$AP$1:$AP$576,0),7)))</f>
        <v>-</v>
      </c>
      <c r="M157" s="280" t="s">
        <v>476</v>
      </c>
      <c r="N157" s="280" t="s">
        <v>477</v>
      </c>
    </row>
    <row r="158" spans="1:14" ht="23.25" x14ac:dyDescent="0.25">
      <c r="A158" s="292"/>
      <c r="B158" s="309" t="s">
        <v>478</v>
      </c>
      <c r="C158" s="273" t="s">
        <v>325</v>
      </c>
      <c r="D158" s="273" t="s">
        <v>187</v>
      </c>
      <c r="E158" s="300" t="str">
        <f>INDEX([1]RELAÇÃO!$A$1:$AQ$576,MATCH($M158,[1]RELAÇÃO!$AP$1:$AP$576,0),1)</f>
        <v>CLÁUDIA MOTA MONTEIRO</v>
      </c>
      <c r="F158" s="301" t="str">
        <f>IF(E158=0,"-",LEFT(INDEX([1]RELAÇÃO!$A$1:$AQ$576,MATCH($M158,[1]RELAÇÃO!$AP$1:$AP$576,0),32),1))</f>
        <v>F</v>
      </c>
      <c r="G158" s="300" t="str">
        <f>IF(E158=0,"-",INDEX([1]RELAÇÃO!$A$1:$AQ$576,MATCH($M158,[1]RELAÇÃO!$AP$1:$AP$576,0),5))</f>
        <v>Ativo Permanente</v>
      </c>
      <c r="H158" s="300" t="str">
        <f>IF(E158=0,"-",INDEX([1]RELAÇÃO!$A$1:$AQ$576,MATCH($M158,[1]RELAÇÃO!$AP$1:$AP$576,0),6))</f>
        <v>MME - Ministério de Minas e Energia</v>
      </c>
      <c r="I158" s="300" t="str">
        <f>IF(E158=0,"-",INDEX([1]RELAÇÃO!$A$1:$AQ$576,MATCH($M158,[1]RELAÇÃO!$AP$1:$AP$576,0),12)&amp;INDEX([1]RELAÇÃO!$A$1:$AQ$576,MATCH($M158,[1]RELAÇÃO!$AP$1:$AP$576,0),13)&amp;", de "&amp;INDEX([1]RELAÇÃO!$A$1:$AQ$576,MATCH($M158,[1]RELAÇÃO!$AP$1:$AP$576,0),14)&amp;" - "&amp;INDEX([1]RELAÇÃO!$A$1:$AQ$576,MATCH($M158,[1]RELAÇÃO!$AP$1:$AP$576,0),16)&amp;" de "&amp;INDEX([1]RELAÇÃO!$A$1:$AQ$576,MATCH($M158,[1]RELAÇÃO!$AP$1:$AP$576,0),15))</f>
        <v>Portaria nº 201, de 15/04/2019 - DOU de 16/04/2019</v>
      </c>
      <c r="J158" s="307" t="str">
        <f>INDEX([1]RELAÇÃO!$A$1:$AQ$576,MATCH($N158,[1]RELAÇÃO!$AQ$1:$AQ$576,0),1)</f>
        <v>CLEUSA COSTA DE JESUS</v>
      </c>
      <c r="K158" s="395" t="str">
        <f>IF(J158=0,"-",INDEX([1]RELAÇÃO!$A$1:$AQ$576,MATCH($N158,[1]RELAÇÃO!$AQ$1:$AQ$576,0),27)&amp;INDEX([1]RELAÇÃO!$A$1:$AQ$576,MATCH($N158,[1]RELAÇÃO!$AQ$1:$AQ$576,0),28)&amp;", de "&amp;INDEX([1]RELAÇÃO!$A$1:$AQ$576,MATCH($N158,[1]RELAÇÃO!$AQ$1:$AQ$576,0),29)&amp;" - "&amp;INDEX([1]RELAÇÃO!$A$1:$AQ$576,MATCH($N158,[1]RELAÇÃO!$AQ$1:$AQ$576,0),31)&amp;" de "&amp;INDEX([1]RELAÇÃO!$A$1:$AQ$576,MATCH($N158,[1]RELAÇÃO!$AQ$1:$AQ$576,0),30))</f>
        <v>Portaria nº 257, de 18/06/2019 - DOU de 19/06/2019</v>
      </c>
      <c r="L158" s="287" t="str">
        <f>IF($E158=0,"-",IF(INDEX([1]RELAÇÃO!$A$1:$AQ$576,MATCH($M158,[1]RELAÇÃO!$AP$1:$AP$576,0),8)="8.105.410","-",INDEX([1]RELAÇÃO!$A$1:$AQ$576,MATCH($M158,[1]RELAÇÃO!$AP$1:$AP$576,0),7)))</f>
        <v>-</v>
      </c>
      <c r="M158" s="280" t="s">
        <v>479</v>
      </c>
      <c r="N158" s="280" t="s">
        <v>480</v>
      </c>
    </row>
    <row r="159" spans="1:14" ht="23.25" x14ac:dyDescent="0.25">
      <c r="A159" s="292"/>
      <c r="B159" s="309" t="s">
        <v>481</v>
      </c>
      <c r="C159" s="273" t="s">
        <v>325</v>
      </c>
      <c r="D159" s="274" t="s">
        <v>187</v>
      </c>
      <c r="E159" s="275">
        <f>INDEX([1]RELAÇÃO!$A$1:$AQ$576,MATCH($M159,[1]RELAÇÃO!$AP$1:$AP$576,0),1)</f>
        <v>0</v>
      </c>
      <c r="F159" s="276" t="str">
        <f>IF(E159=0,"-",LEFT(INDEX([1]RELAÇÃO!$A$1:$AQ$576,MATCH($M159,[1]RELAÇÃO!$AP$1:$AP$576,0),32),1))</f>
        <v>-</v>
      </c>
      <c r="G159" s="275" t="str">
        <f>IF(E159=0,"-",INDEX([1]RELAÇÃO!$A$1:$AQ$576,MATCH($M159,[1]RELAÇÃO!$AP$1:$AP$576,0),5))</f>
        <v>-</v>
      </c>
      <c r="H159" s="275" t="str">
        <f>IF(E159=0,"-",INDEX([1]RELAÇÃO!$A$1:$AQ$576,MATCH($M159,[1]RELAÇÃO!$AP$1:$AP$576,0),6))</f>
        <v>-</v>
      </c>
      <c r="I159" s="275" t="str">
        <f>IF(E159=0,"-",INDEX([1]RELAÇÃO!$A$1:$AQ$576,MATCH($M159,[1]RELAÇÃO!$AP$1:$AP$576,0),12)&amp;INDEX([1]RELAÇÃO!$A$1:$AQ$576,MATCH($M159,[1]RELAÇÃO!$AP$1:$AP$576,0),13)&amp;", de "&amp;INDEX([1]RELAÇÃO!$A$1:$AQ$576,MATCH($M159,[1]RELAÇÃO!$AP$1:$AP$576,0),14)&amp;" - "&amp;INDEX([1]RELAÇÃO!$A$1:$AQ$576,MATCH($M159,[1]RELAÇÃO!$AP$1:$AP$576,0),16)&amp;" de "&amp;INDEX([1]RELAÇÃO!$A$1:$AQ$576,MATCH($M159,[1]RELAÇÃO!$AP$1:$AP$576,0),15))</f>
        <v>-</v>
      </c>
      <c r="J159" s="307" t="str">
        <f>INDEX([1]RELAÇÃO!$A$1:$AQ$576,MATCH($N159,[1]RELAÇÃO!$AQ$1:$AQ$576,0),1)</f>
        <v>RAIMUNDA ALVES DE SOUSA OLIVEIRA</v>
      </c>
      <c r="K159" s="395" t="str">
        <f>IF(J159=0,"-",INDEX([1]RELAÇÃO!$A$1:$AQ$576,MATCH($N159,[1]RELAÇÃO!$AQ$1:$AQ$576,0),27)&amp;INDEX([1]RELAÇÃO!$A$1:$AQ$576,MATCH($N159,[1]RELAÇÃO!$AQ$1:$AQ$576,0),28)&amp;", de "&amp;INDEX([1]RELAÇÃO!$A$1:$AQ$576,MATCH($N159,[1]RELAÇÃO!$AQ$1:$AQ$576,0),29)&amp;" - "&amp;INDEX([1]RELAÇÃO!$A$1:$AQ$576,MATCH($N159,[1]RELAÇÃO!$AQ$1:$AQ$576,0),31)&amp;" de "&amp;INDEX([1]RELAÇÃO!$A$1:$AQ$576,MATCH($N159,[1]RELAÇÃO!$AQ$1:$AQ$576,0),30))</f>
        <v>Portaria nº 393, de 09/10/2017 - DOU de 11/10/2017</v>
      </c>
      <c r="L159" s="287" t="str">
        <f>IF($E159=0,"-",IF(INDEX([1]RELAÇÃO!$A$1:$AQ$576,MATCH($M159,[1]RELAÇÃO!$AP$1:$AP$576,0),8)="8.105.420","-",INDEX([1]RELAÇÃO!$A$1:$AQ$576,MATCH($M159,[1]RELAÇÃO!$AP$1:$AP$576,0),7)))</f>
        <v>-</v>
      </c>
      <c r="M159" s="280" t="s">
        <v>482</v>
      </c>
      <c r="N159" s="280" t="s">
        <v>483</v>
      </c>
    </row>
    <row r="160" spans="1:14" ht="23.25" x14ac:dyDescent="0.25">
      <c r="A160" s="292"/>
      <c r="B160" s="309" t="s">
        <v>228</v>
      </c>
      <c r="C160" s="273" t="s">
        <v>229</v>
      </c>
      <c r="D160" s="273" t="s">
        <v>193</v>
      </c>
      <c r="E160" s="275" t="str">
        <f>INDEX([1]RELAÇÃO!$A$1:$AQ$576,MATCH($M160,[1]RELAÇÃO!$AP$1:$AP$576,0),1)</f>
        <v>PEDRO EVANGELISTA HONORATO</v>
      </c>
      <c r="F160" s="276" t="str">
        <f>IF(E160=0,"-",LEFT(INDEX([1]RELAÇÃO!$A$1:$AQ$576,MATCH($M160,[1]RELAÇÃO!$AP$1:$AP$576,0),32),1))</f>
        <v>M</v>
      </c>
      <c r="G160" s="275" t="str">
        <f>IF(E160=0,"-",INDEX([1]RELAÇÃO!$A$1:$AQ$576,MATCH($M160,[1]RELAÇÃO!$AP$1:$AP$576,0),5))</f>
        <v>Anistiado MME</v>
      </c>
      <c r="H160" s="275" t="str">
        <f>IF(E160=0,"-",INDEX([1]RELAÇÃO!$A$1:$AQ$576,MATCH($M160,[1]RELAÇÃO!$AP$1:$AP$576,0),6))</f>
        <v>MME - Ministério de Minas e Energia</v>
      </c>
      <c r="I160" s="275" t="str">
        <f>IF(E160=0,"-",INDEX([1]RELAÇÃO!$A$1:$AQ$576,MATCH($M160,[1]RELAÇÃO!$AP$1:$AP$576,0),12)&amp;INDEX([1]RELAÇÃO!$A$1:$AQ$576,MATCH($M160,[1]RELAÇÃO!$AP$1:$AP$576,0),13)&amp;", de "&amp;INDEX([1]RELAÇÃO!$A$1:$AQ$576,MATCH($M160,[1]RELAÇÃO!$AP$1:$AP$576,0),14)&amp;" - "&amp;INDEX([1]RELAÇÃO!$A$1:$AQ$576,MATCH($M160,[1]RELAÇÃO!$AP$1:$AP$576,0),16)&amp;" de "&amp;INDEX([1]RELAÇÃO!$A$1:$AQ$576,MATCH($M160,[1]RELAÇÃO!$AP$1:$AP$576,0),15))</f>
        <v>Portaria nº 524, de 03/11/2016 - BPE de 04/11/2016</v>
      </c>
      <c r="J160" s="310"/>
      <c r="K160" s="310"/>
      <c r="L160" s="287" t="str">
        <f>IF($E160=0,"-",IF(INDEX([1]RELAÇÃO!$A$1:$AQ$576,MATCH($M160,[1]RELAÇÃO!$AP$1:$AP$576,0),8)="8.105.400","-",INDEX([1]RELAÇÃO!$A$1:$AQ$576,MATCH($M160,[1]RELAÇÃO!$AP$1:$AP$576,0),7)))</f>
        <v>SGM / DEPARTAMENTO DE GEOLOGIA E PRODUÇÃO MINERAL - DGPM</v>
      </c>
      <c r="M160" s="280" t="s">
        <v>484</v>
      </c>
      <c r="N160" s="313"/>
    </row>
    <row r="161" spans="1:14" ht="23.25" x14ac:dyDescent="0.25">
      <c r="A161" s="292"/>
      <c r="B161" s="309" t="s">
        <v>228</v>
      </c>
      <c r="C161" s="273" t="s">
        <v>229</v>
      </c>
      <c r="D161" s="273" t="s">
        <v>193</v>
      </c>
      <c r="E161" s="275" t="str">
        <f>INDEX([1]RELAÇÃO!$A$1:$AQ$576,MATCH($M161,[1]RELAÇÃO!$AP$1:$AP$576,0),1)</f>
        <v>ERIKA TAVARES AGUIRRES</v>
      </c>
      <c r="F161" s="276" t="str">
        <f>IF(E161=0,"-",LEFT(INDEX([1]RELAÇÃO!$A$1:$AQ$576,MATCH($M161,[1]RELAÇÃO!$AP$1:$AP$576,0),32),1))</f>
        <v>F</v>
      </c>
      <c r="G161" s="275" t="str">
        <f>IF(E161=0,"-",INDEX([1]RELAÇÃO!$A$1:$AQ$576,MATCH($M161,[1]RELAÇÃO!$AP$1:$AP$576,0),5))</f>
        <v>Sem Vínculo</v>
      </c>
      <c r="H161" s="275" t="str">
        <f>IF(E161=0,"-",INDEX([1]RELAÇÃO!$A$1:$AQ$576,MATCH($M161,[1]RELAÇÃO!$AP$1:$AP$576,0),6))</f>
        <v>Sem Vínculo</v>
      </c>
      <c r="I161" s="275" t="str">
        <f>IF(E161=0,"-",INDEX([1]RELAÇÃO!$A$1:$AQ$576,MATCH($M161,[1]RELAÇÃO!$AP$1:$AP$576,0),12)&amp;INDEX([1]RELAÇÃO!$A$1:$AQ$576,MATCH($M161,[1]RELAÇÃO!$AP$1:$AP$576,0),13)&amp;", de "&amp;INDEX([1]RELAÇÃO!$A$1:$AQ$576,MATCH($M161,[1]RELAÇÃO!$AP$1:$AP$576,0),14)&amp;" - "&amp;INDEX([1]RELAÇÃO!$A$1:$AQ$576,MATCH($M161,[1]RELAÇÃO!$AP$1:$AP$576,0),16)&amp;" de "&amp;INDEX([1]RELAÇÃO!$A$1:$AQ$576,MATCH($M161,[1]RELAÇÃO!$AP$1:$AP$576,0),15))</f>
        <v>Portaria nº 336, de 23/08/2017 - DOU de 24/08/2017</v>
      </c>
      <c r="J161" s="310"/>
      <c r="K161" s="310"/>
      <c r="L161" s="287" t="str">
        <f>IF($E161=0,"-",IF(INDEX([1]RELAÇÃO!$A$1:$AQ$576,MATCH($M161,[1]RELAÇÃO!$AP$1:$AP$576,0),8)="8.105.400","-",INDEX([1]RELAÇÃO!$A$1:$AQ$576,MATCH($M161,[1]RELAÇÃO!$AP$1:$AP$576,0),7)))</f>
        <v>SE / SPOA / CGCC / COORDENAÇÃO DE ADMINISTRAÇÃO DE CONTRATOS - CAC</v>
      </c>
      <c r="M161" s="280" t="s">
        <v>485</v>
      </c>
      <c r="N161" s="313"/>
    </row>
    <row r="162" spans="1:14" x14ac:dyDescent="0.25">
      <c r="A162" s="292"/>
      <c r="B162" s="339" t="s">
        <v>228</v>
      </c>
      <c r="C162" s="327" t="s">
        <v>486</v>
      </c>
      <c r="D162" s="327"/>
      <c r="E162" s="328" t="s">
        <v>333</v>
      </c>
      <c r="F162" s="329"/>
      <c r="G162" s="335"/>
      <c r="H162" s="331"/>
      <c r="I162" s="341"/>
      <c r="J162" s="310"/>
      <c r="K162" s="310"/>
      <c r="L162" s="329"/>
      <c r="M162" s="313"/>
      <c r="N162" s="313"/>
    </row>
    <row r="163" spans="1:14" ht="23.25" x14ac:dyDescent="0.25">
      <c r="A163" s="292"/>
      <c r="B163" s="309" t="s">
        <v>228</v>
      </c>
      <c r="C163" s="296" t="s">
        <v>231</v>
      </c>
      <c r="D163" s="273" t="s">
        <v>193</v>
      </c>
      <c r="E163" s="275" t="str">
        <f>INDEX([1]RELAÇÃO!$A$1:$AQ$576,MATCH($M163,[1]RELAÇÃO!$AP$1:$AP$576,0),1)</f>
        <v>JOAQUIM SOUSA NETO</v>
      </c>
      <c r="F163" s="276" t="str">
        <f>IF(E163=0,"-",LEFT(INDEX([1]RELAÇÃO!$A$1:$AQ$576,MATCH($M163,[1]RELAÇÃO!$AP$1:$AP$576,0),32),1))</f>
        <v>M</v>
      </c>
      <c r="G163" s="275" t="str">
        <f>IF(E163=0,"-",INDEX([1]RELAÇÃO!$A$1:$AQ$576,MATCH($M163,[1]RELAÇÃO!$AP$1:$AP$576,0),5))</f>
        <v>Ativo Permanente</v>
      </c>
      <c r="H163" s="275" t="str">
        <f>IF(E163=0,"-",INDEX([1]RELAÇÃO!$A$1:$AQ$576,MATCH($M163,[1]RELAÇÃO!$AP$1:$AP$576,0),6))</f>
        <v>MME - Ministério de Minas e Energia</v>
      </c>
      <c r="I163" s="275" t="str">
        <f>IF(E163=0,"-",INDEX([1]RELAÇÃO!$A$1:$AQ$576,MATCH($M163,[1]RELAÇÃO!$AP$1:$AP$576,0),12)&amp;INDEX([1]RELAÇÃO!$A$1:$AQ$576,MATCH($M163,[1]RELAÇÃO!$AP$1:$AP$576,0),13)&amp;", de "&amp;INDEX([1]RELAÇÃO!$A$1:$AQ$576,MATCH($M163,[1]RELAÇÃO!$AP$1:$AP$576,0),14)&amp;" - "&amp;INDEX([1]RELAÇÃO!$A$1:$AQ$576,MATCH($M163,[1]RELAÇÃO!$AP$1:$AP$576,0),16)&amp;" de "&amp;INDEX([1]RELAÇÃO!$A$1:$AQ$576,MATCH($M163,[1]RELAÇÃO!$AP$1:$AP$576,0),15))</f>
        <v>Portaria nº 369, de 28/08/2018 - DOU de 30/08/2018</v>
      </c>
      <c r="J163" s="310"/>
      <c r="K163" s="310"/>
      <c r="L163" s="287" t="str">
        <f>IF($E163=0,"-",IF(INDEX([1]RELAÇÃO!$A$1:$AQ$576,MATCH($M163,[1]RELAÇÃO!$AP$1:$AP$576,0),8)="8.105.400","-",INDEX([1]RELAÇÃO!$A$1:$AQ$576,MATCH($M163,[1]RELAÇÃO!$AP$1:$AP$576,0),7)))</f>
        <v>SE / SPOA / CGRL / COORDENAÇÃO DE ATIVIDADES GERAIS - COAGE</v>
      </c>
      <c r="M163" s="280" t="s">
        <v>487</v>
      </c>
      <c r="N163" s="313"/>
    </row>
    <row r="164" spans="1:14" ht="23.25" x14ac:dyDescent="0.25">
      <c r="A164" s="292"/>
      <c r="B164" s="309" t="s">
        <v>228</v>
      </c>
      <c r="C164" s="296" t="s">
        <v>231</v>
      </c>
      <c r="D164" s="273" t="s">
        <v>193</v>
      </c>
      <c r="E164" s="275" t="str">
        <f>INDEX([1]RELAÇÃO!$A$1:$AQ$576,MATCH($M164,[1]RELAÇÃO!$AP$1:$AP$576,0),1)</f>
        <v>OSIMAR ALVES DE SOUZA</v>
      </c>
      <c r="F164" s="276" t="str">
        <f>IF(E164=0,"-",LEFT(INDEX([1]RELAÇÃO!$A$1:$AQ$576,MATCH($M164,[1]RELAÇÃO!$AP$1:$AP$576,0),32),1))</f>
        <v>M</v>
      </c>
      <c r="G164" s="275" t="str">
        <f>IF(E164=0,"-",INDEX([1]RELAÇÃO!$A$1:$AQ$576,MATCH($M164,[1]RELAÇÃO!$AP$1:$AP$576,0),5))</f>
        <v>Ativo Permanente</v>
      </c>
      <c r="H164" s="275" t="str">
        <f>IF(E164=0,"-",INDEX([1]RELAÇÃO!$A$1:$AQ$576,MATCH($M164,[1]RELAÇÃO!$AP$1:$AP$576,0),6))</f>
        <v>MME - Ministério de Minas e Energia</v>
      </c>
      <c r="I164" s="275" t="str">
        <f>IF(E164=0,"-",INDEX([1]RELAÇÃO!$A$1:$AQ$576,MATCH($M164,[1]RELAÇÃO!$AP$1:$AP$576,0),12)&amp;INDEX([1]RELAÇÃO!$A$1:$AQ$576,MATCH($M164,[1]RELAÇÃO!$AP$1:$AP$576,0),13)&amp;", de "&amp;INDEX([1]RELAÇÃO!$A$1:$AQ$576,MATCH($M164,[1]RELAÇÃO!$AP$1:$AP$576,0),14)&amp;" - "&amp;INDEX([1]RELAÇÃO!$A$1:$AQ$576,MATCH($M164,[1]RELAÇÃO!$AP$1:$AP$576,0),16)&amp;" de "&amp;INDEX([1]RELAÇÃO!$A$1:$AQ$576,MATCH($M164,[1]RELAÇÃO!$AP$1:$AP$576,0),15))</f>
        <v>Portaria nº 102, de 13/03/2017 - DOU de 15/03/2017</v>
      </c>
      <c r="J164" s="310"/>
      <c r="K164" s="310"/>
      <c r="L164" s="287" t="str">
        <f>IF($E164=0,"-",IF(INDEX([1]RELAÇÃO!$A$1:$AQ$576,MATCH($M164,[1]RELAÇÃO!$AP$1:$AP$576,0),8)="8.105.400","-",INDEX([1]RELAÇÃO!$A$1:$AQ$576,MATCH($M164,[1]RELAÇÃO!$AP$1:$AP$576,0),7)))</f>
        <v>SE / SPOA / CGRL / COORDENAÇÃO DE ATIVIDADES GERAIS - COAGE</v>
      </c>
      <c r="M164" s="280" t="s">
        <v>488</v>
      </c>
      <c r="N164" s="313"/>
    </row>
    <row r="165" spans="1:14" x14ac:dyDescent="0.25">
      <c r="A165" s="305"/>
      <c r="B165" s="309" t="s">
        <v>247</v>
      </c>
      <c r="C165" s="273" t="s">
        <v>248</v>
      </c>
      <c r="D165" s="273" t="s">
        <v>193</v>
      </c>
      <c r="E165" s="275">
        <f>INDEX([1]RELAÇÃO!$A$1:$AQ$576,MATCH($M165,[1]RELAÇÃO!$AP$1:$AP$576,0),1)</f>
        <v>0</v>
      </c>
      <c r="F165" s="276" t="str">
        <f>IF(E165=0,"-",LEFT(INDEX([1]RELAÇÃO!$A$1:$AQ$576,MATCH($M165,[1]RELAÇÃO!$AP$1:$AP$576,0),32),1))</f>
        <v>-</v>
      </c>
      <c r="G165" s="275" t="str">
        <f>IF(E165=0,"-",INDEX([1]RELAÇÃO!$A$1:$AQ$576,MATCH($M165,[1]RELAÇÃO!$AP$1:$AP$576,0),5))</f>
        <v>-</v>
      </c>
      <c r="H165" s="275" t="str">
        <f>IF(E165=0,"-",INDEX([1]RELAÇÃO!$A$1:$AQ$576,MATCH($M165,[1]RELAÇÃO!$AP$1:$AP$576,0),6))</f>
        <v>-</v>
      </c>
      <c r="I165" s="275" t="str">
        <f>IF(E165=0,"-",INDEX([1]RELAÇÃO!$A$1:$AQ$576,MATCH($M165,[1]RELAÇÃO!$AP$1:$AP$576,0),12)&amp;INDEX([1]RELAÇÃO!$A$1:$AQ$576,MATCH($M165,[1]RELAÇÃO!$AP$1:$AP$576,0),13)&amp;", de "&amp;INDEX([1]RELAÇÃO!$A$1:$AQ$576,MATCH($M165,[1]RELAÇÃO!$AP$1:$AP$576,0),14)&amp;" - "&amp;INDEX([1]RELAÇÃO!$A$1:$AQ$576,MATCH($M165,[1]RELAÇÃO!$AP$1:$AP$576,0),16)&amp;" de "&amp;INDEX([1]RELAÇÃO!$A$1:$AQ$576,MATCH($M165,[1]RELAÇÃO!$AP$1:$AP$576,0),15))</f>
        <v>-</v>
      </c>
      <c r="J165" s="340"/>
      <c r="K165" s="340"/>
      <c r="L165" s="287" t="str">
        <f>IF($E165=0,"-",IF(INDEX([1]RELAÇÃO!$A$1:$AQ$576,MATCH($M165,[1]RELAÇÃO!$AP$1:$AP$576,0),8)="8.105.400","-",INDEX([1]RELAÇÃO!$A$1:$AQ$576,MATCH($M165,[1]RELAÇÃO!$AP$1:$AP$576,0),7)))</f>
        <v>-</v>
      </c>
      <c r="M165" s="280" t="s">
        <v>489</v>
      </c>
      <c r="N165" s="313"/>
    </row>
    <row r="166" spans="1:14" x14ac:dyDescent="0.25"/>
    <row r="167" spans="1:14" ht="18.75" x14ac:dyDescent="0.3">
      <c r="A167" s="526" t="s">
        <v>800</v>
      </c>
      <c r="B167" s="526"/>
      <c r="C167" s="526"/>
      <c r="D167" s="526"/>
      <c r="E167" s="526"/>
      <c r="F167" s="526"/>
      <c r="G167" s="526"/>
      <c r="H167" s="526"/>
      <c r="I167" s="526"/>
      <c r="J167" s="526"/>
      <c r="K167" s="526"/>
      <c r="L167" s="526"/>
      <c r="M167" s="526"/>
      <c r="N167" s="526"/>
    </row>
    <row r="168" spans="1:14" ht="22.5" x14ac:dyDescent="0.25">
      <c r="A168" s="397" t="s">
        <v>170</v>
      </c>
      <c r="B168" s="398" t="s">
        <v>171</v>
      </c>
      <c r="C168" s="398" t="s">
        <v>172</v>
      </c>
      <c r="D168" s="398" t="s">
        <v>173</v>
      </c>
      <c r="E168" s="397" t="s">
        <v>174</v>
      </c>
      <c r="F168" s="397" t="s">
        <v>175</v>
      </c>
      <c r="G168" s="397" t="s">
        <v>176</v>
      </c>
      <c r="H168" s="397" t="s">
        <v>177</v>
      </c>
      <c r="I168" s="397" t="s">
        <v>178</v>
      </c>
      <c r="J168" s="397" t="s">
        <v>179</v>
      </c>
      <c r="K168" s="397" t="s">
        <v>180</v>
      </c>
      <c r="L168" s="398" t="s">
        <v>181</v>
      </c>
      <c r="M168" s="398" t="s">
        <v>182</v>
      </c>
      <c r="N168" s="398" t="s">
        <v>183</v>
      </c>
    </row>
    <row r="169" spans="1:14" ht="23.25" x14ac:dyDescent="0.25">
      <c r="A169" s="342" t="s">
        <v>490</v>
      </c>
      <c r="B169" s="343" t="s">
        <v>491</v>
      </c>
      <c r="C169" s="274" t="s">
        <v>206</v>
      </c>
      <c r="D169" s="274" t="s">
        <v>187</v>
      </c>
      <c r="E169" s="275" t="str">
        <f>INDEX([1]RELAÇÃO!$A$1:$AQ$576,MATCH($M169,[1]RELAÇÃO!$AP$1:$AP$576,0),1)</f>
        <v>THAIS MARCIA FERNANDES MATANO LACERDA</v>
      </c>
      <c r="F169" s="276" t="str">
        <f>IF(E169=0,"-",LEFT(INDEX([1]RELAÇÃO!$A$1:$AQ$576,MATCH($M169,[1]RELAÇÃO!$AP$1:$AP$576,0),32),1))</f>
        <v>F</v>
      </c>
      <c r="G169" s="275" t="str">
        <f>IF(E169=0,"-",INDEX([1]RELAÇÃO!$A$1:$AQ$576,MATCH($M169,[1]RELAÇÃO!$AP$1:$AP$576,0),5))</f>
        <v>Sem Vínculo</v>
      </c>
      <c r="H169" s="275" t="str">
        <f>IF(E169=0,"-",INDEX([1]RELAÇÃO!$A$1:$AQ$576,MATCH($M169,[1]RELAÇÃO!$AP$1:$AP$576,0),6))</f>
        <v>Sem Vínculo</v>
      </c>
      <c r="I169" s="275" t="str">
        <f>IF(E169=0,"-",INDEX([1]RELAÇÃO!$A$1:$AQ$576,MATCH($M169,[1]RELAÇÃO!$AP$1:$AP$576,0),12)&amp;INDEX([1]RELAÇÃO!$A$1:$AQ$576,MATCH($M169,[1]RELAÇÃO!$AP$1:$AP$576,0),13)&amp;", de "&amp;INDEX([1]RELAÇÃO!$A$1:$AQ$576,MATCH($M169,[1]RELAÇÃO!$AP$1:$AP$576,0),14)&amp;" - "&amp;INDEX([1]RELAÇÃO!$A$1:$AQ$576,MATCH($M169,[1]RELAÇÃO!$AP$1:$AP$576,0),16)&amp;" de "&amp;INDEX([1]RELAÇÃO!$A$1:$AQ$576,MATCH($M169,[1]RELAÇÃO!$AP$1:$AP$576,0),15))</f>
        <v>Portaria nº 1352, de 28/02/2019 - DOU de 01/03/2019</v>
      </c>
      <c r="J169" s="307" t="str">
        <f>INDEX([1]RELAÇÃO!$A$1:$AQ$576,MATCH($N169,[1]RELAÇÃO!$AQ$1:$AQ$576,0),1)</f>
        <v>THIAGO DE FREITAS BENEVENUTO</v>
      </c>
      <c r="K169" s="395" t="str">
        <f>IF(J169=0,"-",INDEX([1]RELAÇÃO!$A$1:$AQ$576,MATCH($N169,[1]RELAÇÃO!$AQ$1:$AQ$576,0),27)&amp;INDEX([1]RELAÇÃO!$A$1:$AQ$576,MATCH($N169,[1]RELAÇÃO!$AQ$1:$AQ$576,0),28)&amp;", de "&amp;INDEX([1]RELAÇÃO!$A$1:$AQ$576,MATCH($N169,[1]RELAÇÃO!$AQ$1:$AQ$576,0),29)&amp;" - "&amp;INDEX([1]RELAÇÃO!$A$1:$AQ$576,MATCH($N169,[1]RELAÇÃO!$AQ$1:$AQ$576,0),31)&amp;" de "&amp;INDEX([1]RELAÇÃO!$A$1:$AQ$576,MATCH($N169,[1]RELAÇÃO!$AQ$1:$AQ$576,0),30))</f>
        <v>Portaria nº 410, de 24/09/2018 - DOU de 26/09/2018</v>
      </c>
      <c r="L169" s="287" t="str">
        <f>IF($E169=0,"-",IF(INDEX([1]RELAÇÃO!$A$1:$AQ$576,MATCH($M169,[1]RELAÇÃO!$AP$1:$AP$576,0),8)="4.000.000","-",INDEX([1]RELAÇÃO!$A$1:$AQ$576,MATCH($M169,[1]RELAÇÃO!$AP$1:$AP$576,0),7)))</f>
        <v>CONSULTORIA JURÍDICA - CONJUR</v>
      </c>
      <c r="M169" s="280" t="s">
        <v>492</v>
      </c>
      <c r="N169" s="280" t="s">
        <v>493</v>
      </c>
    </row>
    <row r="170" spans="1:14" ht="23.25" x14ac:dyDescent="0.25">
      <c r="A170" s="344"/>
      <c r="B170" s="345" t="s">
        <v>211</v>
      </c>
      <c r="C170" s="273" t="s">
        <v>212</v>
      </c>
      <c r="D170" s="273" t="s">
        <v>193</v>
      </c>
      <c r="E170" s="275" t="str">
        <f>INDEX([1]RELAÇÃO!$A$1:$AQ$576,MATCH($M170,[1]RELAÇÃO!$AP$1:$AP$576,0),1)</f>
        <v>MAURO HENRIQUE MOREIRA SOUSA</v>
      </c>
      <c r="F170" s="276" t="str">
        <f>IF(E170=0,"-",LEFT(INDEX([1]RELAÇÃO!$A$1:$AQ$576,MATCH($M170,[1]RELAÇÃO!$AP$1:$AP$576,0),32),1))</f>
        <v>M</v>
      </c>
      <c r="G170" s="275" t="str">
        <f>IF(E170=0,"-",INDEX([1]RELAÇÃO!$A$1:$AQ$576,MATCH($M170,[1]RELAÇÃO!$AP$1:$AP$576,0),5))</f>
        <v>Exercício Descentralizado</v>
      </c>
      <c r="H170" s="275" t="str">
        <f>IF(E170=0,"-",INDEX([1]RELAÇÃO!$A$1:$AQ$576,MATCH($M170,[1]RELAÇÃO!$AP$1:$AP$576,0),6))</f>
        <v>AGU - Advocacia Geral da União</v>
      </c>
      <c r="I170" s="275" t="str">
        <f>IF(E170=0,"-",INDEX([1]RELAÇÃO!$A$1:$AQ$576,MATCH($M170,[1]RELAÇÃO!$AP$1:$AP$576,0),12)&amp;INDEX([1]RELAÇÃO!$A$1:$AQ$576,MATCH($M170,[1]RELAÇÃO!$AP$1:$AP$576,0),13)&amp;", de "&amp;INDEX([1]RELAÇÃO!$A$1:$AQ$576,MATCH($M170,[1]RELAÇÃO!$AP$1:$AP$576,0),14)&amp;" - "&amp;INDEX([1]RELAÇÃO!$A$1:$AQ$576,MATCH($M170,[1]RELAÇÃO!$AP$1:$AP$576,0),16)&amp;" de "&amp;INDEX([1]RELAÇÃO!$A$1:$AQ$576,MATCH($M170,[1]RELAÇÃO!$AP$1:$AP$576,0),15))</f>
        <v>Portaria nº 377, de 21/09/2017 - DOU de 22/09/2017</v>
      </c>
      <c r="J170" s="310"/>
      <c r="K170" s="310"/>
      <c r="L170" s="346" t="s">
        <v>188</v>
      </c>
      <c r="M170" s="280" t="s">
        <v>494</v>
      </c>
      <c r="N170" s="288"/>
    </row>
    <row r="171" spans="1:14" ht="23.25" x14ac:dyDescent="0.25">
      <c r="A171" s="344"/>
      <c r="B171" s="345" t="s">
        <v>191</v>
      </c>
      <c r="C171" s="296" t="s">
        <v>239</v>
      </c>
      <c r="D171" s="273" t="s">
        <v>193</v>
      </c>
      <c r="E171" s="275" t="str">
        <f>INDEX([1]RELAÇÃO!$A$1:$AQ$576,MATCH($M171,[1]RELAÇÃO!$AP$1:$AP$576,0),1)</f>
        <v>DARIO SPEGIORIN SILVEIRA</v>
      </c>
      <c r="F171" s="276" t="str">
        <f>IF(E171=0,"-",LEFT(INDEX([1]RELAÇÃO!$A$1:$AQ$576,MATCH($M171,[1]RELAÇÃO!$AP$1:$AP$576,0),32),1))</f>
        <v>M</v>
      </c>
      <c r="G171" s="275" t="str">
        <f>IF(E171=0,"-",INDEX([1]RELAÇÃO!$A$1:$AQ$576,MATCH($M171,[1]RELAÇÃO!$AP$1:$AP$576,0),5))</f>
        <v>Exercício Descentralizado</v>
      </c>
      <c r="H171" s="275" t="str">
        <f>IF(E171=0,"-",INDEX([1]RELAÇÃO!$A$1:$AQ$576,MATCH($M171,[1]RELAÇÃO!$AP$1:$AP$576,0),6))</f>
        <v>AGU - Advocacia Geral da União</v>
      </c>
      <c r="I171" s="275" t="str">
        <f>IF(E171=0,"-",INDEX([1]RELAÇÃO!$A$1:$AQ$576,MATCH($M171,[1]RELAÇÃO!$AP$1:$AP$576,0),12)&amp;INDEX([1]RELAÇÃO!$A$1:$AQ$576,MATCH($M171,[1]RELAÇÃO!$AP$1:$AP$576,0),13)&amp;", de "&amp;INDEX([1]RELAÇÃO!$A$1:$AQ$576,MATCH($M171,[1]RELAÇÃO!$AP$1:$AP$576,0),14)&amp;" - "&amp;INDEX([1]RELAÇÃO!$A$1:$AQ$576,MATCH($M171,[1]RELAÇÃO!$AP$1:$AP$576,0),16)&amp;" de "&amp;INDEX([1]RELAÇÃO!$A$1:$AQ$576,MATCH($M171,[1]RELAÇÃO!$AP$1:$AP$576,0),15))</f>
        <v>Portaria nº 537, de 03/11/2016 - DOU de 04/11/2016</v>
      </c>
      <c r="J171" s="310"/>
      <c r="K171" s="310"/>
      <c r="L171" s="346" t="s">
        <v>188</v>
      </c>
      <c r="M171" s="280" t="s">
        <v>495</v>
      </c>
      <c r="N171" s="288"/>
    </row>
    <row r="172" spans="1:14" ht="23.25" x14ac:dyDescent="0.25">
      <c r="A172" s="344"/>
      <c r="B172" s="345" t="s">
        <v>228</v>
      </c>
      <c r="C172" s="296" t="s">
        <v>231</v>
      </c>
      <c r="D172" s="273" t="s">
        <v>193</v>
      </c>
      <c r="E172" s="275" t="str">
        <f>INDEX([1]RELAÇÃO!$A$1:$AQ$576,MATCH($M172,[1]RELAÇÃO!$AP$1:$AP$576,0),1)</f>
        <v>LÁZARA GOMES DOS SANTOS</v>
      </c>
      <c r="F172" s="276" t="str">
        <f>IF(E172=0,"-",LEFT(INDEX([1]RELAÇÃO!$A$1:$AQ$576,MATCH($M172,[1]RELAÇÃO!$AP$1:$AP$576,0),32),1))</f>
        <v>F</v>
      </c>
      <c r="G172" s="275" t="str">
        <f>IF(E172=0,"-",INDEX([1]RELAÇÃO!$A$1:$AQ$576,MATCH($M172,[1]RELAÇÃO!$AP$1:$AP$576,0),5))</f>
        <v>Exercício Descentralizado</v>
      </c>
      <c r="H172" s="275" t="str">
        <f>IF(E172=0,"-",INDEX([1]RELAÇÃO!$A$1:$AQ$576,MATCH($M172,[1]RELAÇÃO!$AP$1:$AP$576,0),6))</f>
        <v>AGU - Advocacia Geral da União</v>
      </c>
      <c r="I172" s="275" t="str">
        <f>IF(E172=0,"-",INDEX([1]RELAÇÃO!$A$1:$AQ$576,MATCH($M172,[1]RELAÇÃO!$AP$1:$AP$576,0),12)&amp;INDEX([1]RELAÇÃO!$A$1:$AQ$576,MATCH($M172,[1]RELAÇÃO!$AP$1:$AP$576,0),13)&amp;", de "&amp;INDEX([1]RELAÇÃO!$A$1:$AQ$576,MATCH($M172,[1]RELAÇÃO!$AP$1:$AP$576,0),14)&amp;" - "&amp;INDEX([1]RELAÇÃO!$A$1:$AQ$576,MATCH($M172,[1]RELAÇÃO!$AP$1:$AP$576,0),16)&amp;" de "&amp;INDEX([1]RELAÇÃO!$A$1:$AQ$576,MATCH($M172,[1]RELAÇÃO!$AP$1:$AP$576,0),15))</f>
        <v>Portaria nº 538, de 03/11/2016 - DOU de 04/11/2016</v>
      </c>
      <c r="J172" s="310"/>
      <c r="K172" s="310"/>
      <c r="L172" s="346" t="s">
        <v>188</v>
      </c>
      <c r="M172" s="280" t="s">
        <v>496</v>
      </c>
      <c r="N172" s="288"/>
    </row>
    <row r="173" spans="1:14" ht="23.25" x14ac:dyDescent="0.25">
      <c r="A173" s="344"/>
      <c r="B173" s="345" t="s">
        <v>228</v>
      </c>
      <c r="C173" s="273" t="s">
        <v>229</v>
      </c>
      <c r="D173" s="273" t="s">
        <v>193</v>
      </c>
      <c r="E173" s="275" t="str">
        <f>INDEX([1]RELAÇÃO!$A$1:$AQ$576,MATCH($M173,[1]RELAÇÃO!$AP$1:$AP$576,0),1)</f>
        <v>ELIZABETH TAYLOR SOUSA MENESES DE AGUIAR</v>
      </c>
      <c r="F173" s="276" t="str">
        <f>IF(E173=0,"-",LEFT(INDEX([1]RELAÇÃO!$A$1:$AQ$576,MATCH($M173,[1]RELAÇÃO!$AP$1:$AP$576,0),32),1))</f>
        <v>F</v>
      </c>
      <c r="G173" s="275" t="str">
        <f>IF(E173=0,"-",INDEX([1]RELAÇÃO!$A$1:$AQ$576,MATCH($M173,[1]RELAÇÃO!$AP$1:$AP$576,0),5))</f>
        <v>Sem Vínculo</v>
      </c>
      <c r="H173" s="275" t="str">
        <f>IF(E173=0,"-",INDEX([1]RELAÇÃO!$A$1:$AQ$576,MATCH($M173,[1]RELAÇÃO!$AP$1:$AP$576,0),6))</f>
        <v>Sem Vínculo</v>
      </c>
      <c r="I173" s="275" t="str">
        <f>IF(E173=0,"-",INDEX([1]RELAÇÃO!$A$1:$AQ$576,MATCH($M173,[1]RELAÇÃO!$AP$1:$AP$576,0),12)&amp;INDEX([1]RELAÇÃO!$A$1:$AQ$576,MATCH($M173,[1]RELAÇÃO!$AP$1:$AP$576,0),13)&amp;", de "&amp;INDEX([1]RELAÇÃO!$A$1:$AQ$576,MATCH($M173,[1]RELAÇÃO!$AP$1:$AP$576,0),14)&amp;" - "&amp;INDEX([1]RELAÇÃO!$A$1:$AQ$576,MATCH($M173,[1]RELAÇÃO!$AP$1:$AP$576,0),16)&amp;" de "&amp;INDEX([1]RELAÇÃO!$A$1:$AQ$576,MATCH($M173,[1]RELAÇÃO!$AP$1:$AP$576,0),15))</f>
        <v>Portaria nº 524, de 03/11/2016 - BPE de 04/11/2016</v>
      </c>
      <c r="J173" s="310"/>
      <c r="K173" s="310"/>
      <c r="L173" s="346" t="s">
        <v>188</v>
      </c>
      <c r="M173" s="280" t="s">
        <v>497</v>
      </c>
      <c r="N173" s="288"/>
    </row>
    <row r="174" spans="1:14" ht="23.25" x14ac:dyDescent="0.25">
      <c r="A174" s="344"/>
      <c r="B174" s="345" t="s">
        <v>228</v>
      </c>
      <c r="C174" s="273" t="s">
        <v>229</v>
      </c>
      <c r="D174" s="273" t="s">
        <v>193</v>
      </c>
      <c r="E174" s="275" t="str">
        <f>INDEX([1]RELAÇÃO!$A$1:$AQ$576,MATCH($M174,[1]RELAÇÃO!$AP$1:$AP$576,0),1)</f>
        <v>ALEXANDRE BRAZ DA SILVA</v>
      </c>
      <c r="F174" s="276" t="str">
        <f>IF(E174=0,"-",LEFT(INDEX([1]RELAÇÃO!$A$1:$AQ$576,MATCH($M174,[1]RELAÇÃO!$AP$1:$AP$576,0),32),1))</f>
        <v>M</v>
      </c>
      <c r="G174" s="275" t="str">
        <f>IF(E174=0,"-",INDEX([1]RELAÇÃO!$A$1:$AQ$576,MATCH($M174,[1]RELAÇÃO!$AP$1:$AP$576,0),5))</f>
        <v>Sem Vínculo</v>
      </c>
      <c r="H174" s="275" t="str">
        <f>IF(E174=0,"-",INDEX([1]RELAÇÃO!$A$1:$AQ$576,MATCH($M174,[1]RELAÇÃO!$AP$1:$AP$576,0),6))</f>
        <v>Sem Vínculo</v>
      </c>
      <c r="I174" s="275" t="str">
        <f>IF(E174=0,"-",INDEX([1]RELAÇÃO!$A$1:$AQ$576,MATCH($M174,[1]RELAÇÃO!$AP$1:$AP$576,0),12)&amp;INDEX([1]RELAÇÃO!$A$1:$AQ$576,MATCH($M174,[1]RELAÇÃO!$AP$1:$AP$576,0),13)&amp;", de "&amp;INDEX([1]RELAÇÃO!$A$1:$AQ$576,MATCH($M174,[1]RELAÇÃO!$AP$1:$AP$576,0),14)&amp;" - "&amp;INDEX([1]RELAÇÃO!$A$1:$AQ$576,MATCH($M174,[1]RELAÇÃO!$AP$1:$AP$576,0),16)&amp;" de "&amp;INDEX([1]RELAÇÃO!$A$1:$AQ$576,MATCH($M174,[1]RELAÇÃO!$AP$1:$AP$576,0),15))</f>
        <v>Portaria nº 524, de 03/11/2016 - BPE de 04/11/2016</v>
      </c>
      <c r="J174" s="310"/>
      <c r="K174" s="310"/>
      <c r="L174" s="346" t="s">
        <v>188</v>
      </c>
      <c r="M174" s="280" t="s">
        <v>498</v>
      </c>
      <c r="N174" s="288"/>
    </row>
    <row r="175" spans="1:14" ht="23.25" x14ac:dyDescent="0.25">
      <c r="A175" s="344"/>
      <c r="B175" s="345" t="s">
        <v>228</v>
      </c>
      <c r="C175" s="273" t="s">
        <v>229</v>
      </c>
      <c r="D175" s="273" t="s">
        <v>193</v>
      </c>
      <c r="E175" s="275" t="str">
        <f>INDEX([1]RELAÇÃO!$A$1:$AQ$576,MATCH($M175,[1]RELAÇÃO!$AP$1:$AP$576,0),1)</f>
        <v>BIANCA MAGALHAES</v>
      </c>
      <c r="F175" s="276" t="str">
        <f>IF(E175=0,"-",LEFT(INDEX([1]RELAÇÃO!$A$1:$AQ$576,MATCH($M175,[1]RELAÇÃO!$AP$1:$AP$576,0),32),1))</f>
        <v>F</v>
      </c>
      <c r="G175" s="275" t="str">
        <f>IF(E175=0,"-",INDEX([1]RELAÇÃO!$A$1:$AQ$576,MATCH($M175,[1]RELAÇÃO!$AP$1:$AP$576,0),5))</f>
        <v>Sem Vínculo</v>
      </c>
      <c r="H175" s="275" t="str">
        <f>IF(E175=0,"-",INDEX([1]RELAÇÃO!$A$1:$AQ$576,MATCH($M175,[1]RELAÇÃO!$AP$1:$AP$576,0),6))</f>
        <v>Sem Vínculo</v>
      </c>
      <c r="I175" s="275" t="str">
        <f>IF(E175=0,"-",INDEX([1]RELAÇÃO!$A$1:$AQ$576,MATCH($M175,[1]RELAÇÃO!$AP$1:$AP$576,0),12)&amp;INDEX([1]RELAÇÃO!$A$1:$AQ$576,MATCH($M175,[1]RELAÇÃO!$AP$1:$AP$576,0),13)&amp;", de "&amp;INDEX([1]RELAÇÃO!$A$1:$AQ$576,MATCH($M175,[1]RELAÇÃO!$AP$1:$AP$576,0),14)&amp;" - "&amp;INDEX([1]RELAÇÃO!$A$1:$AQ$576,MATCH($M175,[1]RELAÇÃO!$AP$1:$AP$576,0),16)&amp;" de "&amp;INDEX([1]RELAÇÃO!$A$1:$AQ$576,MATCH($M175,[1]RELAÇÃO!$AP$1:$AP$576,0),15))</f>
        <v>Portaria nº 524, de 03/11/2016 - BPE de 04/11/2016</v>
      </c>
      <c r="J175" s="310"/>
      <c r="K175" s="310"/>
      <c r="L175" s="346" t="s">
        <v>188</v>
      </c>
      <c r="M175" s="280" t="s">
        <v>499</v>
      </c>
      <c r="N175" s="288"/>
    </row>
    <row r="176" spans="1:14" ht="34.5" x14ac:dyDescent="0.25">
      <c r="A176" s="344"/>
      <c r="B176" s="345" t="s">
        <v>228</v>
      </c>
      <c r="C176" s="273" t="s">
        <v>229</v>
      </c>
      <c r="D176" s="273" t="s">
        <v>193</v>
      </c>
      <c r="E176" s="275" t="str">
        <f>INDEX([1]RELAÇÃO!$A$1:$AQ$576,MATCH($M176,[1]RELAÇÃO!$AP$1:$AP$576,0),1)</f>
        <v>SILVANA ALBUQUERQUE PEIXOTO</v>
      </c>
      <c r="F176" s="276" t="str">
        <f>IF(E176=0,"-",LEFT(INDEX([1]RELAÇÃO!$A$1:$AQ$576,MATCH($M176,[1]RELAÇÃO!$AP$1:$AP$576,0),32),1))</f>
        <v>F</v>
      </c>
      <c r="G176" s="275" t="str">
        <f>IF(E176=0,"-",INDEX([1]RELAÇÃO!$A$1:$AQ$576,MATCH($M176,[1]RELAÇÃO!$AP$1:$AP$576,0),5))</f>
        <v>Sem Vínculo</v>
      </c>
      <c r="H176" s="275" t="str">
        <f>IF(E176=0,"-",INDEX([1]RELAÇÃO!$A$1:$AQ$576,MATCH($M176,[1]RELAÇÃO!$AP$1:$AP$576,0),6))</f>
        <v>Sem Vínculo</v>
      </c>
      <c r="I176" s="275" t="str">
        <f>IF(E176=0,"-",INDEX([1]RELAÇÃO!$A$1:$AQ$576,MATCH($M176,[1]RELAÇÃO!$AP$1:$AP$576,0),12)&amp;INDEX([1]RELAÇÃO!$A$1:$AQ$576,MATCH($M176,[1]RELAÇÃO!$AP$1:$AP$576,0),13)&amp;", de "&amp;INDEX([1]RELAÇÃO!$A$1:$AQ$576,MATCH($M176,[1]RELAÇÃO!$AP$1:$AP$576,0),14)&amp;" - "&amp;INDEX([1]RELAÇÃO!$A$1:$AQ$576,MATCH($M176,[1]RELAÇÃO!$AP$1:$AP$576,0),16)&amp;" de "&amp;INDEX([1]RELAÇÃO!$A$1:$AQ$576,MATCH($M176,[1]RELAÇÃO!$AP$1:$AP$576,0),15))</f>
        <v>Boletim de Pessoal - BP nº 524, de 03/11/2016 - BPE de 04/11/2016</v>
      </c>
      <c r="J176" s="310"/>
      <c r="K176" s="310"/>
      <c r="L176" s="346" t="s">
        <v>188</v>
      </c>
      <c r="M176" s="280" t="s">
        <v>500</v>
      </c>
      <c r="N176" s="288"/>
    </row>
    <row r="177" spans="1:14" ht="23.25" x14ac:dyDescent="0.25">
      <c r="A177" s="344"/>
      <c r="B177" s="345" t="s">
        <v>228</v>
      </c>
      <c r="C177" s="273" t="s">
        <v>229</v>
      </c>
      <c r="D177" s="273" t="s">
        <v>193</v>
      </c>
      <c r="E177" s="275" t="str">
        <f>INDEX([1]RELAÇÃO!$A$1:$AQ$576,MATCH($M177,[1]RELAÇÃO!$AP$1:$AP$576,0),1)</f>
        <v>ROSANGELA DE FREITAS BARBOSA CESAR</v>
      </c>
      <c r="F177" s="276" t="str">
        <f>IF(E177=0,"-",LEFT(INDEX([1]RELAÇÃO!$A$1:$AQ$576,MATCH($M177,[1]RELAÇÃO!$AP$1:$AP$576,0),32),1))</f>
        <v>F</v>
      </c>
      <c r="G177" s="275" t="str">
        <f>IF(E177=0,"-",INDEX([1]RELAÇÃO!$A$1:$AQ$576,MATCH($M177,[1]RELAÇÃO!$AP$1:$AP$576,0),5))</f>
        <v>Sem Vínculo</v>
      </c>
      <c r="H177" s="275" t="str">
        <f>IF(E177=0,"-",INDEX([1]RELAÇÃO!$A$1:$AQ$576,MATCH($M177,[1]RELAÇÃO!$AP$1:$AP$576,0),6))</f>
        <v>Sem Vínculo</v>
      </c>
      <c r="I177" s="275" t="str">
        <f>IF(E177=0,"-",INDEX([1]RELAÇÃO!$A$1:$AQ$576,MATCH($M177,[1]RELAÇÃO!$AP$1:$AP$576,0),12)&amp;INDEX([1]RELAÇÃO!$A$1:$AQ$576,MATCH($M177,[1]RELAÇÃO!$AP$1:$AP$576,0),13)&amp;", de "&amp;INDEX([1]RELAÇÃO!$A$1:$AQ$576,MATCH($M177,[1]RELAÇÃO!$AP$1:$AP$576,0),14)&amp;" - "&amp;INDEX([1]RELAÇÃO!$A$1:$AQ$576,MATCH($M177,[1]RELAÇÃO!$AP$1:$AP$576,0),16)&amp;" de "&amp;INDEX([1]RELAÇÃO!$A$1:$AQ$576,MATCH($M177,[1]RELAÇÃO!$AP$1:$AP$576,0),15))</f>
        <v>Portaria nº 524, de 03/11/2016 - BPE de 04/11/2016</v>
      </c>
      <c r="J177" s="310"/>
      <c r="K177" s="310"/>
      <c r="L177" s="346" t="s">
        <v>188</v>
      </c>
      <c r="M177" s="280" t="s">
        <v>501</v>
      </c>
      <c r="N177" s="288"/>
    </row>
    <row r="178" spans="1:14" ht="23.25" x14ac:dyDescent="0.25">
      <c r="A178" s="347" t="s">
        <v>502</v>
      </c>
      <c r="B178" s="345" t="s">
        <v>321</v>
      </c>
      <c r="C178" s="296" t="s">
        <v>279</v>
      </c>
      <c r="D178" s="274" t="s">
        <v>187</v>
      </c>
      <c r="E178" s="275" t="str">
        <f>INDEX([1]RELAÇÃO!$A$1:$AQ$576,MATCH($M178,[1]RELAÇÃO!$AP$1:$AP$576,0),1)</f>
        <v>THIAGO DE FREITAS BENEVENUTO</v>
      </c>
      <c r="F178" s="276" t="str">
        <f>IF(E178=0,"-",LEFT(INDEX([1]RELAÇÃO!$A$1:$AQ$576,MATCH($M178,[1]RELAÇÃO!$AP$1:$AP$576,0),32),1))</f>
        <v>M</v>
      </c>
      <c r="G178" s="275" t="str">
        <f>IF(E178=0,"-",INDEX([1]RELAÇÃO!$A$1:$AQ$576,MATCH($M178,[1]RELAÇÃO!$AP$1:$AP$576,0),5))</f>
        <v>Exercício Descentralizado</v>
      </c>
      <c r="H178" s="275" t="str">
        <f>IF(E178=0,"-",INDEX([1]RELAÇÃO!$A$1:$AQ$576,MATCH($M178,[1]RELAÇÃO!$AP$1:$AP$576,0),6))</f>
        <v>AGU - Advocacia Geral da União</v>
      </c>
      <c r="I178" s="275" t="str">
        <f>IF(E178=0,"-",INDEX([1]RELAÇÃO!$A$1:$AQ$576,MATCH($M178,[1]RELAÇÃO!$AP$1:$AP$576,0),12)&amp;INDEX([1]RELAÇÃO!$A$1:$AQ$576,MATCH($M178,[1]RELAÇÃO!$AP$1:$AP$576,0),13)&amp;", de "&amp;INDEX([1]RELAÇÃO!$A$1:$AQ$576,MATCH($M178,[1]RELAÇÃO!$AP$1:$AP$576,0),14)&amp;" - "&amp;INDEX([1]RELAÇÃO!$A$1:$AQ$576,MATCH($M178,[1]RELAÇÃO!$AP$1:$AP$576,0),16)&amp;" de "&amp;INDEX([1]RELAÇÃO!$A$1:$AQ$576,MATCH($M178,[1]RELAÇÃO!$AP$1:$AP$576,0),15))</f>
        <v>Portaria nº 140, de 10/04/2017 - DOU de 13/04/2017</v>
      </c>
      <c r="J178" s="277" t="str">
        <f>INDEX([1]RELAÇÃO!$A$1:$AQ$576,MATCH($N178,[1]RELAÇÃO!$AQ$1:$AQ$576,0),1)</f>
        <v>ALEXANDRE LEME FRANCO</v>
      </c>
      <c r="K178" s="395" t="str">
        <f>IF(J178=0,"-",INDEX([1]RELAÇÃO!$A$1:$AQ$576,MATCH($N178,[1]RELAÇÃO!$AQ$1:$AQ$576,0),27)&amp;INDEX([1]RELAÇÃO!$A$1:$AQ$576,MATCH($N178,[1]RELAÇÃO!$AQ$1:$AQ$576,0),28)&amp;", de "&amp;INDEX([1]RELAÇÃO!$A$1:$AQ$576,MATCH($N178,[1]RELAÇÃO!$AQ$1:$AQ$576,0),29)&amp;" - "&amp;INDEX([1]RELAÇÃO!$A$1:$AQ$576,MATCH($N178,[1]RELAÇÃO!$AQ$1:$AQ$576,0),31)&amp;" de "&amp;INDEX([1]RELAÇÃO!$A$1:$AQ$576,MATCH($N178,[1]RELAÇÃO!$AQ$1:$AQ$576,0),30))</f>
        <v>Portaria nº 208, de 30/05/2018 - DOU de 04/06/2018</v>
      </c>
      <c r="L178" s="346" t="s">
        <v>188</v>
      </c>
      <c r="M178" s="280" t="s">
        <v>503</v>
      </c>
      <c r="N178" s="280" t="s">
        <v>504</v>
      </c>
    </row>
    <row r="179" spans="1:14" ht="23.25" x14ac:dyDescent="0.25">
      <c r="A179" s="347" t="s">
        <v>505</v>
      </c>
      <c r="B179" s="345" t="s">
        <v>321</v>
      </c>
      <c r="C179" s="296" t="s">
        <v>279</v>
      </c>
      <c r="D179" s="274" t="s">
        <v>187</v>
      </c>
      <c r="E179" s="275" t="str">
        <f>INDEX([1]RELAÇÃO!$A$1:$AQ$576,MATCH($M179,[1]RELAÇÃO!$AP$1:$AP$576,0),1)</f>
        <v>CANDICE SOUSA COSTA</v>
      </c>
      <c r="F179" s="276" t="str">
        <f>IF(E179=0,"-",LEFT(INDEX([1]RELAÇÃO!$A$1:$AQ$576,MATCH($M179,[1]RELAÇÃO!$AP$1:$AP$576,0),32),1))</f>
        <v>F</v>
      </c>
      <c r="G179" s="275" t="str">
        <f>IF(E179=0,"-",INDEX([1]RELAÇÃO!$A$1:$AQ$576,MATCH($M179,[1]RELAÇÃO!$AP$1:$AP$576,0),5))</f>
        <v>Exercício Descentralizado</v>
      </c>
      <c r="H179" s="275" t="str">
        <f>IF(E179=0,"-",INDEX([1]RELAÇÃO!$A$1:$AQ$576,MATCH($M179,[1]RELAÇÃO!$AP$1:$AP$576,0),6))</f>
        <v>AGU - Advocacia Geral da União</v>
      </c>
      <c r="I179" s="275" t="str">
        <f>IF(E179=0,"-",INDEX([1]RELAÇÃO!$A$1:$AQ$576,MATCH($M179,[1]RELAÇÃO!$AP$1:$AP$576,0),12)&amp;INDEX([1]RELAÇÃO!$A$1:$AQ$576,MATCH($M179,[1]RELAÇÃO!$AP$1:$AP$576,0),13)&amp;", de "&amp;INDEX([1]RELAÇÃO!$A$1:$AQ$576,MATCH($M179,[1]RELAÇÃO!$AP$1:$AP$576,0),14)&amp;" - "&amp;INDEX([1]RELAÇÃO!$A$1:$AQ$576,MATCH($M179,[1]RELAÇÃO!$AP$1:$AP$576,0),16)&amp;" de "&amp;INDEX([1]RELAÇÃO!$A$1:$AQ$576,MATCH($M179,[1]RELAÇÃO!$AP$1:$AP$576,0),15))</f>
        <v>Portaria nº 19, de 09/01/2019 - DOU de 14/01/2019</v>
      </c>
      <c r="J179" s="277" t="str">
        <f>INDEX([1]RELAÇÃO!$A$1:$AQ$576,MATCH($N179,[1]RELAÇÃO!$AQ$1:$AQ$576,0),1)</f>
        <v>RAFAEL ESPERIDIAO DE MELO</v>
      </c>
      <c r="K179" s="395" t="str">
        <f>IF(J179=0,"-",INDEX([1]RELAÇÃO!$A$1:$AQ$576,MATCH($N179,[1]RELAÇÃO!$AQ$1:$AQ$576,0),27)&amp;INDEX([1]RELAÇÃO!$A$1:$AQ$576,MATCH($N179,[1]RELAÇÃO!$AQ$1:$AQ$576,0),28)&amp;", de "&amp;INDEX([1]RELAÇÃO!$A$1:$AQ$576,MATCH($N179,[1]RELAÇÃO!$AQ$1:$AQ$576,0),29)&amp;" - "&amp;INDEX([1]RELAÇÃO!$A$1:$AQ$576,MATCH($N179,[1]RELAÇÃO!$AQ$1:$AQ$576,0),31)&amp;" de "&amp;INDEX([1]RELAÇÃO!$A$1:$AQ$576,MATCH($N179,[1]RELAÇÃO!$AQ$1:$AQ$576,0),30))</f>
        <v>Portaria nº 394, de 29/10/2020 - DOU de 03/11/2020</v>
      </c>
      <c r="L179" s="346" t="s">
        <v>188</v>
      </c>
      <c r="M179" s="280" t="s">
        <v>506</v>
      </c>
      <c r="N179" s="280" t="s">
        <v>507</v>
      </c>
    </row>
    <row r="180" spans="1:14" ht="23.25" x14ac:dyDescent="0.25">
      <c r="A180" s="348" t="s">
        <v>508</v>
      </c>
      <c r="B180" s="345" t="s">
        <v>321</v>
      </c>
      <c r="C180" s="296" t="s">
        <v>279</v>
      </c>
      <c r="D180" s="274" t="s">
        <v>187</v>
      </c>
      <c r="E180" s="275" t="str">
        <f>INDEX([1]RELAÇÃO!$A$1:$AQ$576,MATCH($M180,[1]RELAÇÃO!$AP$1:$AP$576,0),1)</f>
        <v>GUILHERME BRUM DE ALMEIDA</v>
      </c>
      <c r="F180" s="276" t="str">
        <f>IF(E180=0,"-",LEFT(INDEX([1]RELAÇÃO!$A$1:$AQ$576,MATCH($M180,[1]RELAÇÃO!$AP$1:$AP$576,0),32),1))</f>
        <v>M</v>
      </c>
      <c r="G180" s="275" t="str">
        <f>IF(E180=0,"-",INDEX([1]RELAÇÃO!$A$1:$AQ$576,MATCH($M180,[1]RELAÇÃO!$AP$1:$AP$576,0),5))</f>
        <v>Exercício Descentralizado</v>
      </c>
      <c r="H180" s="275" t="str">
        <f>IF(E180=0,"-",INDEX([1]RELAÇÃO!$A$1:$AQ$576,MATCH($M180,[1]RELAÇÃO!$AP$1:$AP$576,0),6))</f>
        <v>AGU - Advocacia Geral da União</v>
      </c>
      <c r="I180" s="275" t="str">
        <f>IF(E180=0,"-",INDEX([1]RELAÇÃO!$A$1:$AQ$576,MATCH($M180,[1]RELAÇÃO!$AP$1:$AP$576,0),12)&amp;INDEX([1]RELAÇÃO!$A$1:$AQ$576,MATCH($M180,[1]RELAÇÃO!$AP$1:$AP$576,0),13)&amp;", de "&amp;INDEX([1]RELAÇÃO!$A$1:$AQ$576,MATCH($M180,[1]RELAÇÃO!$AP$1:$AP$576,0),14)&amp;" - "&amp;INDEX([1]RELAÇÃO!$A$1:$AQ$576,MATCH($M180,[1]RELAÇÃO!$AP$1:$AP$576,0),16)&amp;" de "&amp;INDEX([1]RELAÇÃO!$A$1:$AQ$576,MATCH($M180,[1]RELAÇÃO!$AP$1:$AP$576,0),15))</f>
        <v>Portaria nº 192, de 10/04/2019 - DOU de 12/04/2019</v>
      </c>
      <c r="J180" s="277">
        <f>INDEX([1]RELAÇÃO!$A$1:$AQ$576,MATCH($N180,[1]RELAÇÃO!$AQ$1:$AQ$576,0),1)</f>
        <v>0</v>
      </c>
      <c r="K180" s="395" t="str">
        <f>IF(J180=0,"-",INDEX([1]RELAÇÃO!$A$1:$AQ$576,MATCH($N180,[1]RELAÇÃO!$AQ$1:$AQ$576,0),27)&amp;INDEX([1]RELAÇÃO!$A$1:$AQ$576,MATCH($N180,[1]RELAÇÃO!$AQ$1:$AQ$576,0),28)&amp;", de "&amp;INDEX([1]RELAÇÃO!$A$1:$AQ$576,MATCH($N180,[1]RELAÇÃO!$AQ$1:$AQ$576,0),29)&amp;" - "&amp;INDEX([1]RELAÇÃO!$A$1:$AQ$576,MATCH($N180,[1]RELAÇÃO!$AQ$1:$AQ$576,0),31)&amp;" de "&amp;INDEX([1]RELAÇÃO!$A$1:$AQ$576,MATCH($N180,[1]RELAÇÃO!$AQ$1:$AQ$576,0),30))</f>
        <v>-</v>
      </c>
      <c r="L180" s="346" t="s">
        <v>188</v>
      </c>
      <c r="M180" s="280" t="s">
        <v>509</v>
      </c>
      <c r="N180" s="280" t="s">
        <v>510</v>
      </c>
    </row>
    <row r="181" spans="1:14" ht="23.25" x14ac:dyDescent="0.25">
      <c r="A181" s="349" t="s">
        <v>511</v>
      </c>
      <c r="B181" s="345" t="s">
        <v>242</v>
      </c>
      <c r="C181" s="296" t="s">
        <v>243</v>
      </c>
      <c r="D181" s="274" t="s">
        <v>187</v>
      </c>
      <c r="E181" s="275" t="str">
        <f>INDEX([1]RELAÇÃO!$A$1:$AQ$576,MATCH($M181,[1]RELAÇÃO!$AP$1:$AP$576,0),1)</f>
        <v>JUAREZ DUARTE FRANCO</v>
      </c>
      <c r="F181" s="276" t="str">
        <f>IF(E181=0,"-",LEFT(INDEX([1]RELAÇÃO!$A$1:$AQ$576,MATCH($M181,[1]RELAÇÃO!$AP$1:$AP$576,0),32),1))</f>
        <v>M</v>
      </c>
      <c r="G181" s="275" t="str">
        <f>IF(E181=0,"-",INDEX([1]RELAÇÃO!$A$1:$AQ$576,MATCH($M181,[1]RELAÇÃO!$AP$1:$AP$576,0),5))</f>
        <v>Ativo Permanente</v>
      </c>
      <c r="H181" s="275" t="str">
        <f>IF(E181=0,"-",INDEX([1]RELAÇÃO!$A$1:$AQ$576,MATCH($M181,[1]RELAÇÃO!$AP$1:$AP$576,0),6))</f>
        <v>MME - Ministério de Minas e Energia</v>
      </c>
      <c r="I181" s="275" t="str">
        <f>IF(E181=0,"-",INDEX([1]RELAÇÃO!$A$1:$AQ$576,MATCH($M181,[1]RELAÇÃO!$AP$1:$AP$576,0),12)&amp;INDEX([1]RELAÇÃO!$A$1:$AQ$576,MATCH($M181,[1]RELAÇÃO!$AP$1:$AP$576,0),13)&amp;", de "&amp;INDEX([1]RELAÇÃO!$A$1:$AQ$576,MATCH($M181,[1]RELAÇÃO!$AP$1:$AP$576,0),14)&amp;" - "&amp;INDEX([1]RELAÇÃO!$A$1:$AQ$576,MATCH($M181,[1]RELAÇÃO!$AP$1:$AP$576,0),16)&amp;" de "&amp;INDEX([1]RELAÇÃO!$A$1:$AQ$576,MATCH($M181,[1]RELAÇÃO!$AP$1:$AP$576,0),15))</f>
        <v>Portaria nº 536, de 03/11/2016 - DOU de 04/11/2016</v>
      </c>
      <c r="J181" s="307" t="str">
        <f>INDEX([1]RELAÇÃO!$A$1:$AQ$576,MATCH($N181,[1]RELAÇÃO!$AQ$1:$AQ$576,0),1)</f>
        <v>LÁZARA GOMES DOS SANTOS</v>
      </c>
      <c r="K181" s="395" t="str">
        <f>IF(J181=0,"-",INDEX([1]RELAÇÃO!$A$1:$AQ$576,MATCH($N181,[1]RELAÇÃO!$AQ$1:$AQ$576,0),27)&amp;INDEX([1]RELAÇÃO!$A$1:$AQ$576,MATCH($N181,[1]RELAÇÃO!$AQ$1:$AQ$576,0),28)&amp;", de "&amp;INDEX([1]RELAÇÃO!$A$1:$AQ$576,MATCH($N181,[1]RELAÇÃO!$AQ$1:$AQ$576,0),29)&amp;" - "&amp;INDEX([1]RELAÇÃO!$A$1:$AQ$576,MATCH($N181,[1]RELAÇÃO!$AQ$1:$AQ$576,0),31)&amp;" de "&amp;INDEX([1]RELAÇÃO!$A$1:$AQ$576,MATCH($N181,[1]RELAÇÃO!$AQ$1:$AQ$576,0),30))</f>
        <v>Portaria nº 656, de 30/11/2016 - DOU de 02/12/2016</v>
      </c>
      <c r="L181" s="346" t="s">
        <v>188</v>
      </c>
      <c r="M181" s="280" t="s">
        <v>512</v>
      </c>
      <c r="N181" s="280" t="s">
        <v>513</v>
      </c>
    </row>
    <row r="182" spans="1:14" ht="23.25" x14ac:dyDescent="0.25">
      <c r="A182" s="350"/>
      <c r="B182" s="345" t="s">
        <v>247</v>
      </c>
      <c r="C182" s="273" t="s">
        <v>248</v>
      </c>
      <c r="D182" s="273" t="s">
        <v>193</v>
      </c>
      <c r="E182" s="275" t="str">
        <f>INDEX([1]RELAÇÃO!$A$1:$AQ$576,MATCH($M182,[1]RELAÇÃO!$AP$1:$AP$576,0),1)</f>
        <v>ANA CAROLINA CARVALHO RODRIGUES</v>
      </c>
      <c r="F182" s="276" t="str">
        <f>IF(E182=0,"-",LEFT(INDEX([1]RELAÇÃO!$A$1:$AQ$576,MATCH($M182,[1]RELAÇÃO!$AP$1:$AP$576,0),32),1))</f>
        <v>F</v>
      </c>
      <c r="G182" s="275" t="str">
        <f>IF(E182=0,"-",INDEX([1]RELAÇÃO!$A$1:$AQ$576,MATCH($M182,[1]RELAÇÃO!$AP$1:$AP$576,0),5))</f>
        <v>Sem Vínculo</v>
      </c>
      <c r="H182" s="275" t="str">
        <f>IF(E182=0,"-",INDEX([1]RELAÇÃO!$A$1:$AQ$576,MATCH($M182,[1]RELAÇÃO!$AP$1:$AP$576,0),6))</f>
        <v>Sem Vínculo</v>
      </c>
      <c r="I182" s="275" t="str">
        <f>IF(E182=0,"-",INDEX([1]RELAÇÃO!$A$1:$AQ$576,MATCH($M182,[1]RELAÇÃO!$AP$1:$AP$576,0),12)&amp;INDEX([1]RELAÇÃO!$A$1:$AQ$576,MATCH($M182,[1]RELAÇÃO!$AP$1:$AP$576,0),13)&amp;", de "&amp;INDEX([1]RELAÇÃO!$A$1:$AQ$576,MATCH($M182,[1]RELAÇÃO!$AP$1:$AP$576,0),14)&amp;" - "&amp;INDEX([1]RELAÇÃO!$A$1:$AQ$576,MATCH($M182,[1]RELAÇÃO!$AP$1:$AP$576,0),16)&amp;" de "&amp;INDEX([1]RELAÇÃO!$A$1:$AQ$576,MATCH($M182,[1]RELAÇÃO!$AP$1:$AP$576,0),15))</f>
        <v>Portaria nº 524, de 03/11/2016 - BPE de 04/11/2016</v>
      </c>
      <c r="J182" s="312"/>
      <c r="K182" s="312"/>
      <c r="L182" s="346" t="s">
        <v>188</v>
      </c>
      <c r="M182" s="280" t="s">
        <v>514</v>
      </c>
      <c r="N182" s="288"/>
    </row>
    <row r="183" spans="1:14" x14ac:dyDescent="0.25"/>
    <row r="184" spans="1:14" x14ac:dyDescent="0.25">
      <c r="A184" s="266" t="s">
        <v>799</v>
      </c>
    </row>
    <row r="185" spans="1:14" ht="22.5" x14ac:dyDescent="0.25">
      <c r="A185" s="397" t="s">
        <v>170</v>
      </c>
      <c r="B185" s="398" t="s">
        <v>171</v>
      </c>
      <c r="C185" s="398" t="s">
        <v>172</v>
      </c>
      <c r="D185" s="398" t="s">
        <v>173</v>
      </c>
      <c r="E185" s="397" t="s">
        <v>174</v>
      </c>
      <c r="F185" s="397" t="s">
        <v>175</v>
      </c>
      <c r="G185" s="397" t="s">
        <v>176</v>
      </c>
      <c r="H185" s="397" t="s">
        <v>177</v>
      </c>
      <c r="I185" s="397" t="s">
        <v>178</v>
      </c>
      <c r="J185" s="397" t="s">
        <v>179</v>
      </c>
      <c r="K185" s="397" t="s">
        <v>180</v>
      </c>
      <c r="L185" s="398" t="s">
        <v>181</v>
      </c>
      <c r="M185" s="398" t="s">
        <v>182</v>
      </c>
      <c r="N185" s="398" t="s">
        <v>183</v>
      </c>
    </row>
    <row r="186" spans="1:14" ht="23.25" x14ac:dyDescent="0.25">
      <c r="A186" s="351" t="s">
        <v>515</v>
      </c>
      <c r="B186" s="306" t="s">
        <v>516</v>
      </c>
      <c r="C186" s="274" t="s">
        <v>206</v>
      </c>
      <c r="D186" s="274" t="s">
        <v>187</v>
      </c>
      <c r="E186" s="275" t="str">
        <f>INDEX([1]RELAÇÃO!$A$1:$AQ$576,MATCH($M186,[1]RELAÇÃO!$AP$1:$AP$576,0),1)</f>
        <v>HAILTON MADUREIRA DE ALMEIDA</v>
      </c>
      <c r="F186" s="276" t="str">
        <f>IF(E186=0,"-",LEFT(INDEX([1]RELAÇÃO!$A$1:$AQ$576,MATCH($M186,[1]RELAÇÃO!$AP$1:$AP$576,0),32),1))</f>
        <v>M</v>
      </c>
      <c r="G186" s="275" t="str">
        <f>IF(E186=0,"-",INDEX([1]RELAÇÃO!$A$1:$AQ$576,MATCH($M186,[1]RELAÇÃO!$AP$1:$AP$576,0),5))</f>
        <v>Requisitado de Órgãos</v>
      </c>
      <c r="H186" s="275" t="str">
        <f>IF(E186=0,"-",INDEX([1]RELAÇÃO!$A$1:$AQ$576,MATCH($M186,[1]RELAÇÃO!$AP$1:$AP$576,0),6))</f>
        <v>ME - Ministério da Economia</v>
      </c>
      <c r="I186" s="275" t="str">
        <f>IF(E186=0,"-",INDEX([1]RELAÇÃO!$A$1:$AQ$576,MATCH($M186,[1]RELAÇÃO!$AP$1:$AP$576,0),12)&amp;INDEX([1]RELAÇÃO!$A$1:$AQ$576,MATCH($M186,[1]RELAÇÃO!$AP$1:$AP$576,0),13)&amp;", de "&amp;INDEX([1]RELAÇÃO!$A$1:$AQ$576,MATCH($M186,[1]RELAÇÃO!$AP$1:$AP$576,0),14)&amp;" - "&amp;INDEX([1]RELAÇÃO!$A$1:$AQ$576,MATCH($M186,[1]RELAÇÃO!$AP$1:$AP$576,0),16)&amp;" de "&amp;INDEX([1]RELAÇÃO!$A$1:$AQ$576,MATCH($M186,[1]RELAÇÃO!$AP$1:$AP$576,0),15))</f>
        <v>Portaria nº 322, de 26/08/2020 - DOU de 28/08/2020</v>
      </c>
      <c r="J186" s="307" t="str">
        <f>INDEX([1]RELAÇÃO!$A$1:$AQ$576,MATCH($N186,[1]RELAÇÃO!$AQ$1:$AQ$576,0),1)</f>
        <v>RENATA ROSADA DA SILVA</v>
      </c>
      <c r="K186" s="308" t="str">
        <f>IF(J186=0,"-",INDEX([1]RELAÇÃO!$A$1:$AQ$576,MATCH($N186,[1]RELAÇÃO!$AQ$1:$AQ$576,0),27)&amp;INDEX([1]RELAÇÃO!$A$1:$AQ$576,MATCH($N186,[1]RELAÇÃO!$AQ$1:$AQ$576,0),28)&amp;", de "&amp;INDEX([1]RELAÇÃO!$A$1:$AQ$576,MATCH($N186,[1]RELAÇÃO!$AQ$1:$AQ$576,0),29)&amp;" - "&amp;INDEX([1]RELAÇÃO!$A$1:$AQ$576,MATCH($N186,[1]RELAÇÃO!$AQ$1:$AQ$576,0),31)&amp;" de "&amp;INDEX([1]RELAÇÃO!$A$1:$AQ$576,MATCH($N186,[1]RELAÇÃO!$AQ$1:$AQ$576,0),30))</f>
        <v>Portaria nº 200, de 15/04/2019 - DOU de 17/04/2019</v>
      </c>
      <c r="L186" s="287" t="str">
        <f>IF($E186=0,"-",IF(INDEX([1]RELAÇÃO!$A$1:$AQ$576,MATCH($M186,[1]RELAÇÃO!$AP$1:$AP$576,0),8)="6.000.000","-",INDEX([1]RELAÇÃO!$A$1:$AQ$576,MATCH($M186,[1]RELAÇÃO!$AP$1:$AP$576,0),7)))</f>
        <v>-</v>
      </c>
      <c r="M186" s="280" t="s">
        <v>517</v>
      </c>
      <c r="N186" s="280" t="s">
        <v>518</v>
      </c>
    </row>
    <row r="187" spans="1:14" ht="23.25" x14ac:dyDescent="0.25">
      <c r="A187" s="344"/>
      <c r="B187" s="309" t="s">
        <v>211</v>
      </c>
      <c r="C187" s="273" t="s">
        <v>212</v>
      </c>
      <c r="D187" s="273" t="s">
        <v>193</v>
      </c>
      <c r="E187" s="275" t="str">
        <f>INDEX([1]RELAÇÃO!$A$1:$AQ$576,MATCH($M187,[1]RELAÇÃO!$AP$1:$AP$576,0),1)</f>
        <v>LEILA PRZYTYK</v>
      </c>
      <c r="F187" s="276" t="str">
        <f>IF(E187=0,"-",LEFT(INDEX([1]RELAÇÃO!$A$1:$AQ$576,MATCH($M187,[1]RELAÇÃO!$AP$1:$AP$576,0),32),1))</f>
        <v>F</v>
      </c>
      <c r="G187" s="275" t="str">
        <f>IF(E187=0,"-",INDEX([1]RELAÇÃO!$A$1:$AQ$576,MATCH($M187,[1]RELAÇÃO!$AP$1:$AP$576,0),5))</f>
        <v>Requisitado de Órgãos</v>
      </c>
      <c r="H187" s="275" t="str">
        <f>IF(E187=0,"-",INDEX([1]RELAÇÃO!$A$1:$AQ$576,MATCH($M187,[1]RELAÇÃO!$AP$1:$AP$576,0),6))</f>
        <v>ME - Ministério da Economia</v>
      </c>
      <c r="I187" s="275" t="str">
        <f>IF(E187=0,"-",INDEX([1]RELAÇÃO!$A$1:$AQ$576,MATCH($M187,[1]RELAÇÃO!$AP$1:$AP$576,0),12)&amp;INDEX([1]RELAÇÃO!$A$1:$AQ$576,MATCH($M187,[1]RELAÇÃO!$AP$1:$AP$576,0),13)&amp;", de "&amp;INDEX([1]RELAÇÃO!$A$1:$AQ$576,MATCH($M187,[1]RELAÇÃO!$AP$1:$AP$576,0),14)&amp;" - "&amp;INDEX([1]RELAÇÃO!$A$1:$AQ$576,MATCH($M187,[1]RELAÇÃO!$AP$1:$AP$576,0),16)&amp;" de "&amp;INDEX([1]RELAÇÃO!$A$1:$AQ$576,MATCH($M187,[1]RELAÇÃO!$AP$1:$AP$576,0),15))</f>
        <v>Portaria nº 169, de 19/03/2019 - DOU de 20/03/2019</v>
      </c>
      <c r="J187" s="310"/>
      <c r="K187" s="352"/>
      <c r="L187" s="287" t="str">
        <f>IF($E187=0,"-",IF(INDEX([1]RELAÇÃO!$A$1:$AQ$576,MATCH($M187,[1]RELAÇÃO!$AP$1:$AP$576,0),8)="6.000.000","-",INDEX([1]RELAÇÃO!$A$1:$AQ$576,MATCH($M187,[1]RELAÇÃO!$AP$1:$AP$576,0),7)))</f>
        <v>-</v>
      </c>
      <c r="M187" s="280" t="s">
        <v>519</v>
      </c>
      <c r="N187" s="288"/>
    </row>
    <row r="188" spans="1:14" ht="23.25" x14ac:dyDescent="0.25">
      <c r="A188" s="344"/>
      <c r="B188" s="309" t="s">
        <v>211</v>
      </c>
      <c r="C188" s="273" t="s">
        <v>212</v>
      </c>
      <c r="D188" s="273" t="s">
        <v>193</v>
      </c>
      <c r="E188" s="275" t="str">
        <f>INDEX([1]RELAÇÃO!$A$1:$AQ$576,MATCH($M188,[1]RELAÇÃO!$AP$1:$AP$576,0),1)</f>
        <v>CHRISTIANY SALGADO FARIA</v>
      </c>
      <c r="F188" s="276" t="str">
        <f>IF(E188=0,"-",LEFT(INDEX([1]RELAÇÃO!$A$1:$AQ$576,MATCH($M188,[1]RELAÇÃO!$AP$1:$AP$576,0),32),1))</f>
        <v>F</v>
      </c>
      <c r="G188" s="275" t="str">
        <f>IF(E188=0,"-",INDEX([1]RELAÇÃO!$A$1:$AQ$576,MATCH($M188,[1]RELAÇÃO!$AP$1:$AP$576,0),5))</f>
        <v>Requisitado de Órgãos</v>
      </c>
      <c r="H188" s="275" t="str">
        <f>IF(E188=0,"-",INDEX([1]RELAÇÃO!$A$1:$AQ$576,MATCH($M188,[1]RELAÇÃO!$AP$1:$AP$576,0),6))</f>
        <v>ME - Ministério da Economia</v>
      </c>
      <c r="I188" s="275" t="str">
        <f>IF(E188=0,"-",INDEX([1]RELAÇÃO!$A$1:$AQ$576,MATCH($M188,[1]RELAÇÃO!$AP$1:$AP$576,0),12)&amp;INDEX([1]RELAÇÃO!$A$1:$AQ$576,MATCH($M188,[1]RELAÇÃO!$AP$1:$AP$576,0),13)&amp;", de "&amp;INDEX([1]RELAÇÃO!$A$1:$AQ$576,MATCH($M188,[1]RELAÇÃO!$AP$1:$AP$576,0),14)&amp;" - "&amp;INDEX([1]RELAÇÃO!$A$1:$AQ$576,MATCH($M188,[1]RELAÇÃO!$AP$1:$AP$576,0),16)&amp;" de "&amp;INDEX([1]RELAÇÃO!$A$1:$AQ$576,MATCH($M188,[1]RELAÇÃO!$AP$1:$AP$576,0),15))</f>
        <v>Portaria nº 323, de 26/08/2020 - DOU de 28/08/2020</v>
      </c>
      <c r="J188" s="310"/>
      <c r="K188" s="352"/>
      <c r="L188" s="287" t="str">
        <f>IF($E188=0,"-",IF(INDEX([1]RELAÇÃO!$A$1:$AQ$576,MATCH($M188,[1]RELAÇÃO!$AP$1:$AP$576,0),8)="6.000.000","-",INDEX([1]RELAÇÃO!$A$1:$AQ$576,MATCH($M188,[1]RELAÇÃO!$AP$1:$AP$576,0),7)))</f>
        <v>-</v>
      </c>
      <c r="M188" s="280" t="s">
        <v>520</v>
      </c>
      <c r="N188" s="288"/>
    </row>
    <row r="189" spans="1:14" ht="23.25" x14ac:dyDescent="0.25">
      <c r="A189" s="344"/>
      <c r="B189" s="309" t="s">
        <v>211</v>
      </c>
      <c r="C189" s="273" t="s">
        <v>212</v>
      </c>
      <c r="D189" s="273" t="s">
        <v>193</v>
      </c>
      <c r="E189" s="275" t="str">
        <f>INDEX([1]RELAÇÃO!$A$1:$AQ$576,MATCH($M189,[1]RELAÇÃO!$AP$1:$AP$576,0),1)</f>
        <v>JORGE LUIZ BARBOSA DOS SANTOS</v>
      </c>
      <c r="F189" s="276" t="str">
        <f>IF(E189=0,"-",LEFT(INDEX([1]RELAÇÃO!$A$1:$AQ$576,MATCH($M189,[1]RELAÇÃO!$AP$1:$AP$576,0),32),1))</f>
        <v>M</v>
      </c>
      <c r="G189" s="275" t="str">
        <f>IF(E189=0,"-",INDEX([1]RELAÇÃO!$A$1:$AQ$576,MATCH($M189,[1]RELAÇÃO!$AP$1:$AP$576,0),5))</f>
        <v>Requisitado Militar</v>
      </c>
      <c r="H189" s="275" t="str">
        <f>IF(E189=0,"-",INDEX([1]RELAÇÃO!$A$1:$AQ$576,MATCH($M189,[1]RELAÇÃO!$AP$1:$AP$576,0),6))</f>
        <v>Marinha</v>
      </c>
      <c r="I189" s="275" t="str">
        <f>IF(E189=0,"-",INDEX([1]RELAÇÃO!$A$1:$AQ$576,MATCH($M189,[1]RELAÇÃO!$AP$1:$AP$576,0),12)&amp;INDEX([1]RELAÇÃO!$A$1:$AQ$576,MATCH($M189,[1]RELAÇÃO!$AP$1:$AP$576,0),13)&amp;", de "&amp;INDEX([1]RELAÇÃO!$A$1:$AQ$576,MATCH($M189,[1]RELAÇÃO!$AP$1:$AP$576,0),14)&amp;" - "&amp;INDEX([1]RELAÇÃO!$A$1:$AQ$576,MATCH($M189,[1]RELAÇÃO!$AP$1:$AP$576,0),16)&amp;" de "&amp;INDEX([1]RELAÇÃO!$A$1:$AQ$576,MATCH($M189,[1]RELAÇÃO!$AP$1:$AP$576,0),15))</f>
        <v>Portaria nº 355, de 28/09/2020 - DOU de 30/09/2020</v>
      </c>
      <c r="J189" s="310"/>
      <c r="K189" s="352"/>
      <c r="L189" s="287" t="str">
        <f>IF($E189=0,"-",IF(INDEX([1]RELAÇÃO!$A$1:$AQ$576,MATCH($M189,[1]RELAÇÃO!$AP$1:$AP$576,0),8)="6.000.000","-",INDEX([1]RELAÇÃO!$A$1:$AQ$576,MATCH($M189,[1]RELAÇÃO!$AP$1:$AP$576,0),7)))</f>
        <v>GM / ASSESSORIA DE COMUNICAÇÃO SOCIAL - ASCOM</v>
      </c>
      <c r="M189" s="280" t="s">
        <v>521</v>
      </c>
      <c r="N189" s="288"/>
    </row>
    <row r="190" spans="1:14" ht="23.25" x14ac:dyDescent="0.25">
      <c r="A190" s="344"/>
      <c r="B190" s="309" t="s">
        <v>211</v>
      </c>
      <c r="C190" s="273" t="s">
        <v>212</v>
      </c>
      <c r="D190" s="273" t="s">
        <v>193</v>
      </c>
      <c r="E190" s="275" t="str">
        <f>INDEX([1]RELAÇÃO!$A$1:$AQ$576,MATCH($M190,[1]RELAÇÃO!$AP$1:$AP$576,0),1)</f>
        <v>GUALTER DE CARVALHO MENDES</v>
      </c>
      <c r="F190" s="276" t="str">
        <f>IF(E190=0,"-",LEFT(INDEX([1]RELAÇÃO!$A$1:$AQ$576,MATCH($M190,[1]RELAÇÃO!$AP$1:$AP$576,0),32),1))</f>
        <v>M</v>
      </c>
      <c r="G190" s="275" t="str">
        <f>IF(E190=0,"-",INDEX([1]RELAÇÃO!$A$1:$AQ$576,MATCH($M190,[1]RELAÇÃO!$AP$1:$AP$576,0),5))</f>
        <v>Sem Vínculo</v>
      </c>
      <c r="H190" s="275" t="str">
        <f>IF(E190=0,"-",INDEX([1]RELAÇÃO!$A$1:$AQ$576,MATCH($M190,[1]RELAÇÃO!$AP$1:$AP$576,0),6))</f>
        <v>Sem Vínculo</v>
      </c>
      <c r="I190" s="275" t="str">
        <f>IF(E190=0,"-",INDEX([1]RELAÇÃO!$A$1:$AQ$576,MATCH($M190,[1]RELAÇÃO!$AP$1:$AP$576,0),12)&amp;INDEX([1]RELAÇÃO!$A$1:$AQ$576,MATCH($M190,[1]RELAÇÃO!$AP$1:$AP$576,0),13)&amp;", de "&amp;INDEX([1]RELAÇÃO!$A$1:$AQ$576,MATCH($M190,[1]RELAÇÃO!$AP$1:$AP$576,0),14)&amp;" - "&amp;INDEX([1]RELAÇÃO!$A$1:$AQ$576,MATCH($M190,[1]RELAÇÃO!$AP$1:$AP$576,0),16)&amp;" de "&amp;INDEX([1]RELAÇÃO!$A$1:$AQ$576,MATCH($M190,[1]RELAÇÃO!$AP$1:$AP$576,0),15))</f>
        <v>Portaria nº 117, de 07/02/2019 - DOU de 08/02/2019</v>
      </c>
      <c r="J190" s="310"/>
      <c r="K190" s="352"/>
      <c r="L190" s="287" t="str">
        <f>IF($E190=0,"-",IF(INDEX([1]RELAÇÃO!$A$1:$AQ$576,MATCH($M190,[1]RELAÇÃO!$AP$1:$AP$576,0),8)="6.000.000","-",INDEX([1]RELAÇÃO!$A$1:$AQ$576,MATCH($M190,[1]RELAÇÃO!$AP$1:$AP$576,0),7)))</f>
        <v>SEE / CHEFIA DE GABINETE SEE</v>
      </c>
      <c r="M190" s="280" t="s">
        <v>522</v>
      </c>
      <c r="N190" s="288"/>
    </row>
    <row r="191" spans="1:14" ht="23.25" x14ac:dyDescent="0.25">
      <c r="A191" s="344"/>
      <c r="B191" s="309" t="s">
        <v>211</v>
      </c>
      <c r="C191" s="273" t="s">
        <v>212</v>
      </c>
      <c r="D191" s="273" t="s">
        <v>193</v>
      </c>
      <c r="E191" s="275" t="str">
        <f>INDEX([1]RELAÇÃO!$A$1:$AQ$576,MATCH($M191,[1]RELAÇÃO!$AP$1:$AP$576,0),1)</f>
        <v>INA LUCIA CIPRIANO DE OLIVEIRA</v>
      </c>
      <c r="F191" s="276" t="str">
        <f>IF(E191=0,"-",LEFT(INDEX([1]RELAÇÃO!$A$1:$AQ$576,MATCH($M191,[1]RELAÇÃO!$AP$1:$AP$576,0),32),1))</f>
        <v>F</v>
      </c>
      <c r="G191" s="275" t="str">
        <f>IF(E191=0,"-",INDEX([1]RELAÇÃO!$A$1:$AQ$576,MATCH($M191,[1]RELAÇÃO!$AP$1:$AP$576,0),5))</f>
        <v>Requisitado Militar</v>
      </c>
      <c r="H191" s="275" t="str">
        <f>IF(E191=0,"-",INDEX([1]RELAÇÃO!$A$1:$AQ$576,MATCH($M191,[1]RELAÇÃO!$AP$1:$AP$576,0),6))</f>
        <v>Marinha</v>
      </c>
      <c r="I191" s="275" t="str">
        <f>IF(E191=0,"-",INDEX([1]RELAÇÃO!$A$1:$AQ$576,MATCH($M191,[1]RELAÇÃO!$AP$1:$AP$576,0),12)&amp;INDEX([1]RELAÇÃO!$A$1:$AQ$576,MATCH($M191,[1]RELAÇÃO!$AP$1:$AP$576,0),13)&amp;", de "&amp;INDEX([1]RELAÇÃO!$A$1:$AQ$576,MATCH($M191,[1]RELAÇÃO!$AP$1:$AP$576,0),14)&amp;" - "&amp;INDEX([1]RELAÇÃO!$A$1:$AQ$576,MATCH($M191,[1]RELAÇÃO!$AP$1:$AP$576,0),16)&amp;" de "&amp;INDEX([1]RELAÇÃO!$A$1:$AQ$576,MATCH($M191,[1]RELAÇÃO!$AP$1:$AP$576,0),15))</f>
        <v>Portaria nº 162, de 11/03/2019 - DOU de 15/03/2019</v>
      </c>
      <c r="J191" s="310"/>
      <c r="K191" s="352"/>
      <c r="L191" s="287" t="str">
        <f>IF($E191=0,"-",IF(INDEX([1]RELAÇÃO!$A$1:$AQ$576,MATCH($M191,[1]RELAÇÃO!$AP$1:$AP$576,0),8)="6.000.000","-",INDEX([1]RELAÇÃO!$A$1:$AQ$576,MATCH($M191,[1]RELAÇÃO!$AP$1:$AP$576,0),7)))</f>
        <v>GABINETE DO MINISTRO - GM</v>
      </c>
      <c r="M191" s="280" t="s">
        <v>523</v>
      </c>
      <c r="N191" s="288"/>
    </row>
    <row r="192" spans="1:14" ht="23.25" x14ac:dyDescent="0.25">
      <c r="A192" s="344"/>
      <c r="B192" s="309" t="s">
        <v>191</v>
      </c>
      <c r="C192" s="273" t="s">
        <v>192</v>
      </c>
      <c r="D192" s="273" t="s">
        <v>193</v>
      </c>
      <c r="E192" s="275" t="str">
        <f>INDEX([1]RELAÇÃO!$A$1:$AQ$576,MATCH($M192,[1]RELAÇÃO!$AP$1:$AP$576,0),1)</f>
        <v>PATRICIA MARIA GOMES</v>
      </c>
      <c r="F192" s="276" t="str">
        <f>IF(E192=0,"-",LEFT(INDEX([1]RELAÇÃO!$A$1:$AQ$576,MATCH($M192,[1]RELAÇÃO!$AP$1:$AP$576,0),32),1))</f>
        <v>F</v>
      </c>
      <c r="G192" s="275" t="str">
        <f>IF(E192=0,"-",INDEX([1]RELAÇÃO!$A$1:$AQ$576,MATCH($M192,[1]RELAÇÃO!$AP$1:$AP$576,0),5))</f>
        <v>Sem Vínculo</v>
      </c>
      <c r="H192" s="275" t="str">
        <f>IF(E192=0,"-",INDEX([1]RELAÇÃO!$A$1:$AQ$576,MATCH($M192,[1]RELAÇÃO!$AP$1:$AP$576,0),6))</f>
        <v>Sem Vínculo</v>
      </c>
      <c r="I192" s="275" t="str">
        <f>IF(E192=0,"-",INDEX([1]RELAÇÃO!$A$1:$AQ$576,MATCH($M192,[1]RELAÇÃO!$AP$1:$AP$576,0),12)&amp;INDEX([1]RELAÇÃO!$A$1:$AQ$576,MATCH($M192,[1]RELAÇÃO!$AP$1:$AP$576,0),13)&amp;", de "&amp;INDEX([1]RELAÇÃO!$A$1:$AQ$576,MATCH($M192,[1]RELAÇÃO!$AP$1:$AP$576,0),14)&amp;" - "&amp;INDEX([1]RELAÇÃO!$A$1:$AQ$576,MATCH($M192,[1]RELAÇÃO!$AP$1:$AP$576,0),16)&amp;" de "&amp;INDEX([1]RELAÇÃO!$A$1:$AQ$576,MATCH($M192,[1]RELAÇÃO!$AP$1:$AP$576,0),15))</f>
        <v>Portaria nº 245, de 11/06/2019 - DOU de 14/06/2019</v>
      </c>
      <c r="J192" s="310"/>
      <c r="K192" s="352"/>
      <c r="L192" s="287" t="str">
        <f>IF($E192=0,"-",IF(INDEX([1]RELAÇÃO!$A$1:$AQ$576,MATCH($M192,[1]RELAÇÃO!$AP$1:$AP$576,0),8)="6.000.000","-",INDEX([1]RELAÇÃO!$A$1:$AQ$576,MATCH($M192,[1]RELAÇÃO!$AP$1:$AP$576,0),7)))</f>
        <v>-</v>
      </c>
      <c r="M192" s="280" t="s">
        <v>524</v>
      </c>
      <c r="N192" s="288"/>
    </row>
    <row r="193" spans="1:14" ht="23.25" x14ac:dyDescent="0.25">
      <c r="A193" s="344"/>
      <c r="B193" s="309" t="s">
        <v>191</v>
      </c>
      <c r="C193" s="273" t="s">
        <v>192</v>
      </c>
      <c r="D193" s="273" t="s">
        <v>193</v>
      </c>
      <c r="E193" s="275" t="str">
        <f>INDEX([1]RELAÇÃO!$A$1:$AQ$576,MATCH($M193,[1]RELAÇÃO!$AP$1:$AP$576,0),1)</f>
        <v>JORDANA SANTOS CORDEIRO</v>
      </c>
      <c r="F193" s="276" t="str">
        <f>IF(E193=0,"-",LEFT(INDEX([1]RELAÇÃO!$A$1:$AQ$576,MATCH($M193,[1]RELAÇÃO!$AP$1:$AP$576,0),32),1))</f>
        <v>F</v>
      </c>
      <c r="G193" s="275" t="str">
        <f>IF(E193=0,"-",INDEX([1]RELAÇÃO!$A$1:$AQ$576,MATCH($M193,[1]RELAÇÃO!$AP$1:$AP$576,0),5))</f>
        <v>Sem Vínculo</v>
      </c>
      <c r="H193" s="275" t="str">
        <f>IF(E193=0,"-",INDEX([1]RELAÇÃO!$A$1:$AQ$576,MATCH($M193,[1]RELAÇÃO!$AP$1:$AP$576,0),6))</f>
        <v>Sem Vínculo</v>
      </c>
      <c r="I193" s="275" t="str">
        <f>IF(E193=0,"-",INDEX([1]RELAÇÃO!$A$1:$AQ$576,MATCH($M193,[1]RELAÇÃO!$AP$1:$AP$576,0),12)&amp;INDEX([1]RELAÇÃO!$A$1:$AQ$576,MATCH($M193,[1]RELAÇÃO!$AP$1:$AP$576,0),13)&amp;", de "&amp;INDEX([1]RELAÇÃO!$A$1:$AQ$576,MATCH($M193,[1]RELAÇÃO!$AP$1:$AP$576,0),14)&amp;" - "&amp;INDEX([1]RELAÇÃO!$A$1:$AQ$576,MATCH($M193,[1]RELAÇÃO!$AP$1:$AP$576,0),16)&amp;" de "&amp;INDEX([1]RELAÇÃO!$A$1:$AQ$576,MATCH($M193,[1]RELAÇÃO!$AP$1:$AP$576,0),15))</f>
        <v>Portaria nº 139, de 18/02/2019 - DOU de 22/02/2019</v>
      </c>
      <c r="J193" s="310"/>
      <c r="K193" s="352"/>
      <c r="L193" s="287" t="str">
        <f>IF($E193=0,"-",IF(INDEX([1]RELAÇÃO!$A$1:$AQ$576,MATCH($M193,[1]RELAÇÃO!$AP$1:$AP$576,0),8)="6.000.000","-",INDEX([1]RELAÇÃO!$A$1:$AQ$576,MATCH($M193,[1]RELAÇÃO!$AP$1:$AP$576,0),7)))</f>
        <v>SEE / CHEFIA DE GABINETE SEE</v>
      </c>
      <c r="M193" s="280" t="s">
        <v>525</v>
      </c>
      <c r="N193" s="288"/>
    </row>
    <row r="194" spans="1:14" ht="23.25" x14ac:dyDescent="0.25">
      <c r="A194" s="344"/>
      <c r="B194" s="309" t="s">
        <v>191</v>
      </c>
      <c r="C194" s="273" t="s">
        <v>192</v>
      </c>
      <c r="D194" s="273" t="s">
        <v>193</v>
      </c>
      <c r="E194" s="275" t="str">
        <f>INDEX([1]RELAÇÃO!$A$1:$AQ$576,MATCH($M194,[1]RELAÇÃO!$AP$1:$AP$576,0),1)</f>
        <v>TATIELE LIMA GUIMARAES</v>
      </c>
      <c r="F194" s="276" t="str">
        <f>IF(E194=0,"-",LEFT(INDEX([1]RELAÇÃO!$A$1:$AQ$576,MATCH($M194,[1]RELAÇÃO!$AP$1:$AP$576,0),32),1))</f>
        <v>F</v>
      </c>
      <c r="G194" s="275" t="str">
        <f>IF(E194=0,"-",INDEX([1]RELAÇÃO!$A$1:$AQ$576,MATCH($M194,[1]RELAÇÃO!$AP$1:$AP$576,0),5))</f>
        <v>Sem Vínculo</v>
      </c>
      <c r="H194" s="275" t="str">
        <f>IF(E194=0,"-",INDEX([1]RELAÇÃO!$A$1:$AQ$576,MATCH($M194,[1]RELAÇÃO!$AP$1:$AP$576,0),6))</f>
        <v>Sem Vínculo</v>
      </c>
      <c r="I194" s="275" t="str">
        <f>IF(E194=0,"-",INDEX([1]RELAÇÃO!$A$1:$AQ$576,MATCH($M194,[1]RELAÇÃO!$AP$1:$AP$576,0),12)&amp;INDEX([1]RELAÇÃO!$A$1:$AQ$576,MATCH($M194,[1]RELAÇÃO!$AP$1:$AP$576,0),13)&amp;", de "&amp;INDEX([1]RELAÇÃO!$A$1:$AQ$576,MATCH($M194,[1]RELAÇÃO!$AP$1:$AP$576,0),14)&amp;" - "&amp;INDEX([1]RELAÇÃO!$A$1:$AQ$576,MATCH($M194,[1]RELAÇÃO!$AP$1:$AP$576,0),16)&amp;" de "&amp;INDEX([1]RELAÇÃO!$A$1:$AQ$576,MATCH($M194,[1]RELAÇÃO!$AP$1:$AP$576,0),15))</f>
        <v>Portaria nº 177, de 26/03/2019 - DOU de 28/03/2019</v>
      </c>
      <c r="J194" s="310"/>
      <c r="K194" s="352"/>
      <c r="L194" s="287" t="str">
        <f>IF($E194=0,"-",IF(INDEX([1]RELAÇÃO!$A$1:$AQ$576,MATCH($M194,[1]RELAÇÃO!$AP$1:$AP$576,0),8)="6.000.000","-",INDEX([1]RELAÇÃO!$A$1:$AQ$576,MATCH($M194,[1]RELAÇÃO!$AP$1:$AP$576,0),7)))</f>
        <v>GM / ASSESSORIA PARLAMENTAR - ASPAR</v>
      </c>
      <c r="M194" s="280" t="s">
        <v>526</v>
      </c>
      <c r="N194" s="288"/>
    </row>
    <row r="195" spans="1:14" x14ac:dyDescent="0.25">
      <c r="A195" s="350"/>
      <c r="B195" s="339" t="s">
        <v>247</v>
      </c>
      <c r="C195" s="327" t="s">
        <v>248</v>
      </c>
      <c r="D195" s="327"/>
      <c r="E195" s="353" t="s">
        <v>527</v>
      </c>
      <c r="F195" s="354"/>
      <c r="G195" s="354"/>
      <c r="H195" s="331"/>
      <c r="I195" s="341"/>
      <c r="J195" s="340"/>
      <c r="K195" s="415"/>
      <c r="L195" s="329"/>
      <c r="M195" s="288"/>
      <c r="N195" s="288"/>
    </row>
    <row r="196" spans="1:14" x14ac:dyDescent="0.25"/>
    <row r="197" spans="1:14" ht="18.75" x14ac:dyDescent="0.3">
      <c r="A197" s="526" t="s">
        <v>798</v>
      </c>
      <c r="B197" s="526"/>
      <c r="C197" s="526"/>
      <c r="D197" s="526"/>
      <c r="E197" s="526"/>
      <c r="F197" s="526"/>
      <c r="G197" s="526"/>
      <c r="H197" s="526"/>
      <c r="I197" s="526"/>
      <c r="J197" s="526"/>
      <c r="K197" s="526"/>
      <c r="L197" s="526"/>
      <c r="M197" s="526"/>
      <c r="N197" s="526"/>
    </row>
    <row r="198" spans="1:14" ht="22.5" x14ac:dyDescent="0.25">
      <c r="A198" s="397" t="s">
        <v>170</v>
      </c>
      <c r="B198" s="398" t="s">
        <v>171</v>
      </c>
      <c r="C198" s="398" t="s">
        <v>172</v>
      </c>
      <c r="D198" s="398" t="s">
        <v>173</v>
      </c>
      <c r="E198" s="397" t="s">
        <v>174</v>
      </c>
      <c r="F198" s="397" t="s">
        <v>175</v>
      </c>
      <c r="G198" s="397" t="s">
        <v>176</v>
      </c>
      <c r="H198" s="397" t="s">
        <v>177</v>
      </c>
      <c r="I198" s="397" t="s">
        <v>178</v>
      </c>
      <c r="J198" s="397" t="s">
        <v>179</v>
      </c>
      <c r="K198" s="397" t="s">
        <v>180</v>
      </c>
      <c r="L198" s="398" t="s">
        <v>181</v>
      </c>
      <c r="M198" s="398" t="s">
        <v>182</v>
      </c>
      <c r="N198" s="398" t="s">
        <v>183</v>
      </c>
    </row>
    <row r="199" spans="1:14" ht="23.25" x14ac:dyDescent="0.25">
      <c r="A199" s="348" t="s">
        <v>528</v>
      </c>
      <c r="B199" s="355" t="s">
        <v>529</v>
      </c>
      <c r="C199" s="274" t="s">
        <v>206</v>
      </c>
      <c r="D199" s="274" t="s">
        <v>187</v>
      </c>
      <c r="E199" s="275" t="str">
        <f>INDEX([1]RELAÇÃO!$A$1:$AQ$576,MATCH($M199,[1]RELAÇÃO!$AP$1:$AP$576,0),1)</f>
        <v>CHRISTIAN VARGAS</v>
      </c>
      <c r="F199" s="276" t="str">
        <f>IF(E199=0,"-",LEFT(INDEX([1]RELAÇÃO!$A$1:$AQ$576,MATCH($M199,[1]RELAÇÃO!$AP$1:$AP$576,0),32),1))</f>
        <v>M</v>
      </c>
      <c r="G199" s="275" t="str">
        <f>IF(E199=0,"-",INDEX([1]RELAÇÃO!$A$1:$AQ$576,MATCH($M199,[1]RELAÇÃO!$AP$1:$AP$576,0),5))</f>
        <v>Requisitado de Órgãos</v>
      </c>
      <c r="H199" s="275" t="str">
        <f>IF(E199=0,"-",INDEX([1]RELAÇÃO!$A$1:$AQ$576,MATCH($M199,[1]RELAÇÃO!$AP$1:$AP$576,0),6))</f>
        <v>MRE - Ministério das Relações Exteriores</v>
      </c>
      <c r="I199" s="275" t="str">
        <f>IF(E199=0,"-",INDEX([1]RELAÇÃO!$A$1:$AQ$576,MATCH($M199,[1]RELAÇÃO!$AP$1:$AP$576,0),12)&amp;INDEX([1]RELAÇÃO!$A$1:$AQ$576,MATCH($M199,[1]RELAÇÃO!$AP$1:$AP$576,0),13)&amp;", de "&amp;INDEX([1]RELAÇÃO!$A$1:$AQ$576,MATCH($M199,[1]RELAÇÃO!$AP$1:$AP$576,0),14)&amp;" - "&amp;INDEX([1]RELAÇÃO!$A$1:$AQ$576,MATCH($M199,[1]RELAÇÃO!$AP$1:$AP$576,0),16)&amp;" de "&amp;INDEX([1]RELAÇÃO!$A$1:$AQ$576,MATCH($M199,[1]RELAÇÃO!$AP$1:$AP$576,0),15))</f>
        <v>Portaria nº 357, de 28/09/2020 - DOU de 30/09/2020</v>
      </c>
      <c r="J199" s="307" t="str">
        <f>INDEX([1]RELAÇÃO!$A$1:$AQ$576,MATCH($N199,[1]RELAÇÃO!$AQ$1:$AQ$576,0),1)</f>
        <v>BÁRBARA BÉLKIOR DE SOUZA E SILVA</v>
      </c>
      <c r="K199" s="395" t="str">
        <f>IF(J199=0,"-",INDEX([1]RELAÇÃO!$A$1:$AQ$576,MATCH($N199,[1]RELAÇÃO!$AQ$1:$AQ$576,0),27)&amp;INDEX([1]RELAÇÃO!$A$1:$AQ$576,MATCH($N199,[1]RELAÇÃO!$AQ$1:$AQ$576,0),28)&amp;", de "&amp;INDEX([1]RELAÇÃO!$A$1:$AQ$576,MATCH($N199,[1]RELAÇÃO!$AQ$1:$AQ$576,0),29)&amp;" - "&amp;INDEX([1]RELAÇÃO!$A$1:$AQ$576,MATCH($N199,[1]RELAÇÃO!$AQ$1:$AQ$576,0),31)&amp;" de "&amp;INDEX([1]RELAÇÃO!$A$1:$AQ$576,MATCH($N199,[1]RELAÇÃO!$AQ$1:$AQ$576,0),30))</f>
        <v>Portaria nº 28, de 04/02/2020 - DOU de 10/02/2020</v>
      </c>
      <c r="L199" s="287" t="str">
        <f>IF($E199=0,"-",IF(INDEX([1]RELAÇÃO!$A$1:$AQ$576,MATCH($M199,[1]RELAÇÃO!$AP$1:$AP$576,0),8)="3.000.000","-",INDEX([1]RELAÇÃO!$A$1:$AQ$576,MATCH($M199,[1]RELAÇÃO!$AP$1:$AP$576,0),7)))</f>
        <v>-</v>
      </c>
      <c r="M199" s="280" t="s">
        <v>530</v>
      </c>
      <c r="N199" s="280" t="s">
        <v>531</v>
      </c>
    </row>
    <row r="200" spans="1:14" ht="23.25" x14ac:dyDescent="0.25">
      <c r="A200" s="350"/>
      <c r="B200" s="345" t="s">
        <v>211</v>
      </c>
      <c r="C200" s="274" t="s">
        <v>212</v>
      </c>
      <c r="D200" s="274" t="s">
        <v>193</v>
      </c>
      <c r="E200" s="275" t="str">
        <f>INDEX([1]RELAÇÃO!$A$1:$AQ$576,MATCH($M200,[1]RELAÇÃO!$AP$1:$AP$576,0),1)</f>
        <v>DANIELLE SIMOES GUIMARAES</v>
      </c>
      <c r="F200" s="276" t="str">
        <f>IF(E200=0,"-",LEFT(INDEX([1]RELAÇÃO!$A$1:$AQ$576,MATCH($M200,[1]RELAÇÃO!$AP$1:$AP$576,0),32),1))</f>
        <v>F</v>
      </c>
      <c r="G200" s="275" t="str">
        <f>IF(E200=0,"-",INDEX([1]RELAÇÃO!$A$1:$AQ$576,MATCH($M200,[1]RELAÇÃO!$AP$1:$AP$576,0),5))</f>
        <v>Sem Vínculo</v>
      </c>
      <c r="H200" s="275" t="str">
        <f>IF(E200=0,"-",INDEX([1]RELAÇÃO!$A$1:$AQ$576,MATCH($M200,[1]RELAÇÃO!$AP$1:$AP$576,0),6))</f>
        <v>Sem Vínculo</v>
      </c>
      <c r="I200" s="275" t="str">
        <f>IF(E200=0,"-",INDEX([1]RELAÇÃO!$A$1:$AQ$576,MATCH($M200,[1]RELAÇÃO!$AP$1:$AP$576,0),12)&amp;INDEX([1]RELAÇÃO!$A$1:$AQ$576,MATCH($M200,[1]RELAÇÃO!$AP$1:$AP$576,0),13)&amp;", de "&amp;INDEX([1]RELAÇÃO!$A$1:$AQ$576,MATCH($M200,[1]RELAÇÃO!$AP$1:$AP$576,0),14)&amp;" - "&amp;INDEX([1]RELAÇÃO!$A$1:$AQ$576,MATCH($M200,[1]RELAÇÃO!$AP$1:$AP$576,0),16)&amp;" de "&amp;INDEX([1]RELAÇÃO!$A$1:$AQ$576,MATCH($M200,[1]RELAÇÃO!$AP$1:$AP$576,0),15))</f>
        <v>Portaria nº 524, de 03/11/2016 - BPE de 04/11/2016</v>
      </c>
      <c r="J200" s="286"/>
      <c r="K200" s="290"/>
      <c r="L200" s="287" t="str">
        <f>IF($E200=0,"-",IF(INDEX([1]RELAÇÃO!$A$1:$AQ$576,MATCH($M200,[1]RELAÇÃO!$AP$1:$AP$576,0),8)="3.000.000","-",INDEX([1]RELAÇÃO!$A$1:$AQ$576,MATCH($M200,[1]RELAÇÃO!$AP$1:$AP$576,0),7)))</f>
        <v>-</v>
      </c>
      <c r="M200" s="280" t="s">
        <v>532</v>
      </c>
      <c r="N200" s="288"/>
    </row>
    <row r="201" spans="1:14" ht="23.25" x14ac:dyDescent="0.25">
      <c r="A201" s="344"/>
      <c r="B201" s="345" t="s">
        <v>228</v>
      </c>
      <c r="C201" s="296" t="s">
        <v>231</v>
      </c>
      <c r="D201" s="274" t="s">
        <v>193</v>
      </c>
      <c r="E201" s="275" t="str">
        <f>INDEX([1]RELAÇÃO!$A$1:$AQ$576,MATCH($M201,[1]RELAÇÃO!$AP$1:$AP$576,0),1)</f>
        <v>CLAUDIO OLIMAR INATOMI</v>
      </c>
      <c r="F201" s="276" t="str">
        <f>IF(E201=0,"-",LEFT(INDEX([1]RELAÇÃO!$A$1:$AQ$576,MATCH($M201,[1]RELAÇÃO!$AP$1:$AP$576,0),32),1))</f>
        <v>M</v>
      </c>
      <c r="G201" s="275" t="str">
        <f>IF(E201=0,"-",INDEX([1]RELAÇÃO!$A$1:$AQ$576,MATCH($M201,[1]RELAÇÃO!$AP$1:$AP$576,0),5))</f>
        <v>Ativo Permanente</v>
      </c>
      <c r="H201" s="275" t="str">
        <f>IF(E201=0,"-",INDEX([1]RELAÇÃO!$A$1:$AQ$576,MATCH($M201,[1]RELAÇÃO!$AP$1:$AP$576,0),6))</f>
        <v>MME - Ministério de Minas e Energia</v>
      </c>
      <c r="I201" s="275" t="str">
        <f>IF(E201=0,"-",INDEX([1]RELAÇÃO!$A$1:$AQ$576,MATCH($M201,[1]RELAÇÃO!$AP$1:$AP$576,0),12)&amp;INDEX([1]RELAÇÃO!$A$1:$AQ$576,MATCH($M201,[1]RELAÇÃO!$AP$1:$AP$576,0),13)&amp;", de "&amp;INDEX([1]RELAÇÃO!$A$1:$AQ$576,MATCH($M201,[1]RELAÇÃO!$AP$1:$AP$576,0),14)&amp;" - "&amp;INDEX([1]RELAÇÃO!$A$1:$AQ$576,MATCH($M201,[1]RELAÇÃO!$AP$1:$AP$576,0),16)&amp;" de "&amp;INDEX([1]RELAÇÃO!$A$1:$AQ$576,MATCH($M201,[1]RELAÇÃO!$AP$1:$AP$576,0),15))</f>
        <v>Portaria nº 524, de 03/11/2016 - BPE de 04/11/2016</v>
      </c>
      <c r="J201" s="286"/>
      <c r="K201" s="290"/>
      <c r="L201" s="287" t="str">
        <f>IF($E201=0,"-",IF(INDEX([1]RELAÇÃO!$A$1:$AQ$576,MATCH($M201,[1]RELAÇÃO!$AP$1:$AP$576,0),8)="3.000.000","-",INDEX([1]RELAÇÃO!$A$1:$AQ$576,MATCH($M201,[1]RELAÇÃO!$AP$1:$AP$576,0),7)))</f>
        <v>-</v>
      </c>
      <c r="M201" s="280" t="s">
        <v>533</v>
      </c>
      <c r="N201" s="288"/>
    </row>
    <row r="202" spans="1:14" ht="23.25" x14ac:dyDescent="0.25">
      <c r="A202" s="350"/>
      <c r="B202" s="345" t="s">
        <v>534</v>
      </c>
      <c r="C202" s="273" t="s">
        <v>229</v>
      </c>
      <c r="D202" s="274" t="s">
        <v>193</v>
      </c>
      <c r="E202" s="275" t="str">
        <f>INDEX([1]RELAÇÃO!$A$1:$AQ$576,MATCH($M202,[1]RELAÇÃO!$AP$1:$AP$576,0),1)</f>
        <v>FABIAN DIE MENEZES CARVALHO</v>
      </c>
      <c r="F202" s="276" t="str">
        <f>IF(E202=0,"-",LEFT(INDEX([1]RELAÇÃO!$A$1:$AQ$576,MATCH($M202,[1]RELAÇÃO!$AP$1:$AP$576,0),32),1))</f>
        <v>M</v>
      </c>
      <c r="G202" s="275" t="str">
        <f>IF(E202=0,"-",INDEX([1]RELAÇÃO!$A$1:$AQ$576,MATCH($M202,[1]RELAÇÃO!$AP$1:$AP$576,0),5))</f>
        <v>Sem Vínculo</v>
      </c>
      <c r="H202" s="275" t="str">
        <f>IF(E202=0,"-",INDEX([1]RELAÇÃO!$A$1:$AQ$576,MATCH($M202,[1]RELAÇÃO!$AP$1:$AP$576,0),6))</f>
        <v>Sem Vínculo</v>
      </c>
      <c r="I202" s="275" t="str">
        <f>IF(E202=0,"-",INDEX([1]RELAÇÃO!$A$1:$AQ$576,MATCH($M202,[1]RELAÇÃO!$AP$1:$AP$576,0),12)&amp;INDEX([1]RELAÇÃO!$A$1:$AQ$576,MATCH($M202,[1]RELAÇÃO!$AP$1:$AP$576,0),13)&amp;", de "&amp;INDEX([1]RELAÇÃO!$A$1:$AQ$576,MATCH($M202,[1]RELAÇÃO!$AP$1:$AP$576,0),14)&amp;" - "&amp;INDEX([1]RELAÇÃO!$A$1:$AQ$576,MATCH($M202,[1]RELAÇÃO!$AP$1:$AP$576,0),16)&amp;" de "&amp;INDEX([1]RELAÇÃO!$A$1:$AQ$576,MATCH($M202,[1]RELAÇÃO!$AP$1:$AP$576,0),15))</f>
        <v>Portaria nº 534, de 03/11/2016 - DOU de 04/11/2016</v>
      </c>
      <c r="J202" s="409"/>
      <c r="K202" s="410"/>
      <c r="L202" s="287" t="str">
        <f>IF($E202=0,"-",IF(INDEX([1]RELAÇÃO!$A$1:$AQ$576,MATCH($M202,[1]RELAÇÃO!$AP$1:$AP$576,0),8)="3.000.000","-",INDEX([1]RELAÇÃO!$A$1:$AQ$576,MATCH($M202,[1]RELAÇÃO!$AP$1:$AP$576,0),7)))</f>
        <v>-</v>
      </c>
      <c r="M202" s="280" t="s">
        <v>535</v>
      </c>
      <c r="N202" s="288"/>
    </row>
    <row r="203" spans="1:14" x14ac:dyDescent="0.25"/>
    <row r="204" spans="1:14" ht="18.75" x14ac:dyDescent="0.3">
      <c r="A204" s="526" t="s">
        <v>797</v>
      </c>
      <c r="B204" s="526"/>
      <c r="C204" s="526"/>
      <c r="D204" s="526"/>
      <c r="E204" s="526"/>
      <c r="F204" s="526"/>
      <c r="G204" s="526"/>
      <c r="H204" s="526"/>
      <c r="I204" s="526"/>
      <c r="J204" s="526"/>
      <c r="K204" s="526"/>
      <c r="L204" s="526"/>
      <c r="M204" s="526"/>
      <c r="N204" s="526"/>
    </row>
    <row r="205" spans="1:14" ht="22.5" x14ac:dyDescent="0.25">
      <c r="A205" s="397" t="s">
        <v>170</v>
      </c>
      <c r="B205" s="398" t="s">
        <v>171</v>
      </c>
      <c r="C205" s="398" t="s">
        <v>172</v>
      </c>
      <c r="D205" s="398" t="s">
        <v>173</v>
      </c>
      <c r="E205" s="397" t="s">
        <v>174</v>
      </c>
      <c r="F205" s="397" t="s">
        <v>175</v>
      </c>
      <c r="G205" s="397" t="s">
        <v>176</v>
      </c>
      <c r="H205" s="397" t="s">
        <v>177</v>
      </c>
      <c r="I205" s="397" t="s">
        <v>178</v>
      </c>
      <c r="J205" s="397" t="s">
        <v>179</v>
      </c>
      <c r="K205" s="397" t="s">
        <v>180</v>
      </c>
      <c r="L205" s="398" t="s">
        <v>181</v>
      </c>
      <c r="M205" s="398" t="s">
        <v>182</v>
      </c>
      <c r="N205" s="398" t="s">
        <v>183</v>
      </c>
    </row>
    <row r="206" spans="1:14" ht="23.25" x14ac:dyDescent="0.25">
      <c r="A206" s="356" t="s">
        <v>536</v>
      </c>
      <c r="B206" s="274" t="s">
        <v>537</v>
      </c>
      <c r="C206" s="274" t="s">
        <v>206</v>
      </c>
      <c r="D206" s="274" t="s">
        <v>187</v>
      </c>
      <c r="E206" s="275" t="str">
        <f>INDEX([1]RELAÇÃO!$A$1:$AQ$576,MATCH($M206,[1]RELAÇÃO!$AP$1:$AP$576,0),1)</f>
        <v>SERGIO HENRIQUE LOPES DE SOUSA</v>
      </c>
      <c r="F206" s="276" t="str">
        <f>IF(E206=0,"-",LEFT(INDEX([1]RELAÇÃO!$A$1:$AQ$576,MATCH($M206,[1]RELAÇÃO!$AP$1:$AP$576,0),32),1))</f>
        <v>M</v>
      </c>
      <c r="G206" s="275" t="str">
        <f>IF(E206=0,"-",INDEX([1]RELAÇÃO!$A$1:$AQ$576,MATCH($M206,[1]RELAÇÃO!$AP$1:$AP$576,0),5))</f>
        <v>Sem Vínculo</v>
      </c>
      <c r="H206" s="275" t="str">
        <f>IF(E206=0,"-",INDEX([1]RELAÇÃO!$A$1:$AQ$576,MATCH($M206,[1]RELAÇÃO!$AP$1:$AP$576,0),6))</f>
        <v>Sem Vínculo</v>
      </c>
      <c r="I206" s="275" t="str">
        <f>IF(E206=0,"-",INDEX([1]RELAÇÃO!$A$1:$AQ$576,MATCH($M206,[1]RELAÇÃO!$AP$1:$AP$576,0),12)&amp;INDEX([1]RELAÇÃO!$A$1:$AQ$576,MATCH($M206,[1]RELAÇÃO!$AP$1:$AP$576,0),13)&amp;", de "&amp;INDEX([1]RELAÇÃO!$A$1:$AQ$576,MATCH($M206,[1]RELAÇÃO!$AP$1:$AP$576,0),14)&amp;" - "&amp;INDEX([1]RELAÇÃO!$A$1:$AQ$576,MATCH($M206,[1]RELAÇÃO!$AP$1:$AP$576,0),16)&amp;" de "&amp;INDEX([1]RELAÇÃO!$A$1:$AQ$576,MATCH($M206,[1]RELAÇÃO!$AP$1:$AP$576,0),15))</f>
        <v>Portaria nº 1251, de 19/02/2019 - DOU de 20/02/2019</v>
      </c>
      <c r="J206" s="307" t="str">
        <f>INDEX([1]RELAÇÃO!$A$1:$AQ$576,MATCH($N206,[1]RELAÇÃO!$AQ$1:$AQ$576,0),1)</f>
        <v>INGRID PALMA ARAUJO</v>
      </c>
      <c r="K206" s="395" t="str">
        <f>IF(J206=0,"-",INDEX([1]RELAÇÃO!$A$1:$AQ$576,MATCH($N206,[1]RELAÇÃO!$AQ$1:$AQ$576,0),27)&amp;INDEX([1]RELAÇÃO!$A$1:$AQ$576,MATCH($N206,[1]RELAÇÃO!$AQ$1:$AQ$576,0),28)&amp;", de "&amp;INDEX([1]RELAÇÃO!$A$1:$AQ$576,MATCH($N206,[1]RELAÇÃO!$AQ$1:$AQ$576,0),29)&amp;" - "&amp;INDEX([1]RELAÇÃO!$A$1:$AQ$576,MATCH($N206,[1]RELAÇÃO!$AQ$1:$AQ$576,0),31)&amp;" de "&amp;INDEX([1]RELAÇÃO!$A$1:$AQ$576,MATCH($N206,[1]RELAÇÃO!$AQ$1:$AQ$576,0),30))</f>
        <v>Portaria nº 638, de 23/11/2016 - DOU de 24/11/2016</v>
      </c>
      <c r="L206" s="287" t="str">
        <f>IF($E206=0,"-",IF(INDEX([1]RELAÇÃO!$A$1:$AQ$576,MATCH($M206,[1]RELAÇÃO!$AP$1:$AP$576,0),8)="5.000.000","-",INDEX([1]RELAÇÃO!$A$1:$AQ$576,MATCH($M206,[1]RELAÇÃO!$AP$1:$AP$576,0),7)))</f>
        <v>-</v>
      </c>
      <c r="M206" s="280" t="s">
        <v>538</v>
      </c>
      <c r="N206" s="280" t="s">
        <v>539</v>
      </c>
    </row>
    <row r="207" spans="1:14" ht="23.25" x14ac:dyDescent="0.25">
      <c r="A207" s="357"/>
      <c r="B207" s="345" t="s">
        <v>211</v>
      </c>
      <c r="C207" s="299" t="s">
        <v>540</v>
      </c>
      <c r="D207" s="274" t="s">
        <v>193</v>
      </c>
      <c r="E207" s="275" t="str">
        <f>INDEX([1]RELAÇÃO!$A$1:$AQ$576,MATCH($M207,[1]RELAÇÃO!$AP$1:$AP$576,0),1)</f>
        <v>INGRID PALMA ARAUJO</v>
      </c>
      <c r="F207" s="276" t="str">
        <f>IF(E207=0,"-",LEFT(INDEX([1]RELAÇÃO!$A$1:$AQ$576,MATCH($M207,[1]RELAÇÃO!$AP$1:$AP$576,0),32),1))</f>
        <v>F</v>
      </c>
      <c r="G207" s="275" t="str">
        <f>IF(E207=0,"-",INDEX([1]RELAÇÃO!$A$1:$AQ$576,MATCH($M207,[1]RELAÇÃO!$AP$1:$AP$576,0),5))</f>
        <v>Requisitado de Órgãos</v>
      </c>
      <c r="H207" s="275" t="str">
        <f>IF(E207=0,"-",INDEX([1]RELAÇÃO!$A$1:$AQ$576,MATCH($M207,[1]RELAÇÃO!$AP$1:$AP$576,0),6))</f>
        <v>ME - Ministério da Economia</v>
      </c>
      <c r="I207" s="275" t="str">
        <f>IF(E207=0,"-",INDEX([1]RELAÇÃO!$A$1:$AQ$576,MATCH($M207,[1]RELAÇÃO!$AP$1:$AP$576,0),12)&amp;INDEX([1]RELAÇÃO!$A$1:$AQ$576,MATCH($M207,[1]RELAÇÃO!$AP$1:$AP$576,0),13)&amp;", de "&amp;INDEX([1]RELAÇÃO!$A$1:$AQ$576,MATCH($M207,[1]RELAÇÃO!$AP$1:$AP$576,0),14)&amp;" - "&amp;INDEX([1]RELAÇÃO!$A$1:$AQ$576,MATCH($M207,[1]RELAÇÃO!$AP$1:$AP$576,0),16)&amp;" de "&amp;INDEX([1]RELAÇÃO!$A$1:$AQ$576,MATCH($M207,[1]RELAÇÃO!$AP$1:$AP$576,0),15))</f>
        <v>Portaria nº 524, de 03/11/2016 - BPE de 04/11/2016</v>
      </c>
      <c r="J207" s="286"/>
      <c r="K207" s="290"/>
      <c r="L207" s="287" t="str">
        <f>IF($E207=0,"-",IF(INDEX([1]RELAÇÃO!$A$1:$AQ$576,MATCH($M207,[1]RELAÇÃO!$AP$1:$AP$576,0),8)="5.000.000","-",INDEX([1]RELAÇÃO!$A$1:$AQ$576,MATCH($M207,[1]RELAÇÃO!$AP$1:$AP$576,0),7)))</f>
        <v>-</v>
      </c>
      <c r="M207" s="280" t="s">
        <v>541</v>
      </c>
      <c r="N207" s="288"/>
    </row>
    <row r="208" spans="1:14" ht="23.25" x14ac:dyDescent="0.25">
      <c r="A208" s="358"/>
      <c r="B208" s="345" t="s">
        <v>542</v>
      </c>
      <c r="C208" s="296" t="s">
        <v>231</v>
      </c>
      <c r="D208" s="274" t="s">
        <v>193</v>
      </c>
      <c r="E208" s="275" t="str">
        <f>INDEX([1]RELAÇÃO!$A$1:$AQ$576,MATCH($M208,[1]RELAÇÃO!$AP$1:$AP$576,0),1)</f>
        <v>MARCIA REGINA DE JESUS FIUZA</v>
      </c>
      <c r="F208" s="276" t="str">
        <f>IF(E208=0,"-",LEFT(INDEX([1]RELAÇÃO!$A$1:$AQ$576,MATCH($M208,[1]RELAÇÃO!$AP$1:$AP$576,0),32),1))</f>
        <v>F</v>
      </c>
      <c r="G208" s="275" t="str">
        <f>IF(E208=0,"-",INDEX([1]RELAÇÃO!$A$1:$AQ$576,MATCH($M208,[1]RELAÇÃO!$AP$1:$AP$576,0),5))</f>
        <v>Ativo Permanente</v>
      </c>
      <c r="H208" s="275" t="str">
        <f>IF(E208=0,"-",INDEX([1]RELAÇÃO!$A$1:$AQ$576,MATCH($M208,[1]RELAÇÃO!$AP$1:$AP$576,0),6))</f>
        <v>MME - Ministério de Minas e Energia</v>
      </c>
      <c r="I208" s="275" t="str">
        <f>IF(E208=0,"-",INDEX([1]RELAÇÃO!$A$1:$AQ$576,MATCH($M208,[1]RELAÇÃO!$AP$1:$AP$576,0),12)&amp;INDEX([1]RELAÇÃO!$A$1:$AQ$576,MATCH($M208,[1]RELAÇÃO!$AP$1:$AP$576,0),13)&amp;", de "&amp;INDEX([1]RELAÇÃO!$A$1:$AQ$576,MATCH($M208,[1]RELAÇÃO!$AP$1:$AP$576,0),14)&amp;" - "&amp;INDEX([1]RELAÇÃO!$A$1:$AQ$576,MATCH($M208,[1]RELAÇÃO!$AP$1:$AP$576,0),16)&amp;" de "&amp;INDEX([1]RELAÇÃO!$A$1:$AQ$576,MATCH($M208,[1]RELAÇÃO!$AP$1:$AP$576,0),15))</f>
        <v>Portaria nº 524, de 03/11/2016 - BPE de 04/11/2016</v>
      </c>
      <c r="J208" s="409"/>
      <c r="K208" s="410"/>
      <c r="L208" s="287" t="str">
        <f>IF($E208=0,"-",IF(INDEX([1]RELAÇÃO!$A$1:$AQ$576,MATCH($M208,[1]RELAÇÃO!$AP$1:$AP$576,0),8)="5.000.000","-",INDEX([1]RELAÇÃO!$A$1:$AQ$576,MATCH($M208,[1]RELAÇÃO!$AP$1:$AP$576,0),7)))</f>
        <v>-</v>
      </c>
      <c r="M208" s="280" t="s">
        <v>543</v>
      </c>
      <c r="N208" s="288"/>
    </row>
    <row r="209" spans="1:14" x14ac:dyDescent="0.25"/>
    <row r="210" spans="1:14" ht="18.75" x14ac:dyDescent="0.3">
      <c r="A210" s="526" t="s">
        <v>796</v>
      </c>
      <c r="B210" s="526"/>
      <c r="C210" s="526"/>
      <c r="D210" s="526"/>
      <c r="E210" s="526"/>
      <c r="F210" s="526"/>
      <c r="G210" s="526"/>
      <c r="H210" s="526"/>
      <c r="I210" s="526"/>
      <c r="J210" s="526"/>
      <c r="K210" s="526"/>
      <c r="L210" s="526"/>
      <c r="M210" s="526"/>
      <c r="N210" s="526"/>
    </row>
    <row r="211" spans="1:14" ht="22.5" x14ac:dyDescent="0.25">
      <c r="A211" s="397" t="s">
        <v>170</v>
      </c>
      <c r="B211" s="398" t="s">
        <v>171</v>
      </c>
      <c r="C211" s="398" t="s">
        <v>172</v>
      </c>
      <c r="D211" s="398" t="s">
        <v>173</v>
      </c>
      <c r="E211" s="397" t="s">
        <v>174</v>
      </c>
      <c r="F211" s="397" t="s">
        <v>175</v>
      </c>
      <c r="G211" s="397" t="s">
        <v>176</v>
      </c>
      <c r="H211" s="397" t="s">
        <v>177</v>
      </c>
      <c r="I211" s="397" t="s">
        <v>178</v>
      </c>
      <c r="J211" s="397" t="s">
        <v>179</v>
      </c>
      <c r="K211" s="397" t="s">
        <v>180</v>
      </c>
      <c r="L211" s="398" t="s">
        <v>181</v>
      </c>
      <c r="M211" s="398" t="s">
        <v>182</v>
      </c>
      <c r="N211" s="398" t="s">
        <v>183</v>
      </c>
    </row>
    <row r="212" spans="1:14" ht="23.25" x14ac:dyDescent="0.25">
      <c r="A212" s="527" t="s">
        <v>544</v>
      </c>
      <c r="B212" s="359" t="s">
        <v>537</v>
      </c>
      <c r="C212" s="274" t="s">
        <v>206</v>
      </c>
      <c r="D212" s="274" t="s">
        <v>187</v>
      </c>
      <c r="E212" s="275" t="str">
        <f>INDEX([1]RELAÇÃO!$A$1:$AQ$576,MATCH($M212,[1]RELAÇÃO!$AP$1:$AP$576,0),1)</f>
        <v>ROBERTO PINHEIRO KLEIN JUNIOR</v>
      </c>
      <c r="F212" s="276" t="str">
        <f>IF(E212=0,"-",LEFT(INDEX([1]RELAÇÃO!$A$1:$AQ$576,MATCH($M212,[1]RELAÇÃO!$AP$1:$AP$576,0),32),1))</f>
        <v>M</v>
      </c>
      <c r="G212" s="275" t="str">
        <f>IF(E212=0,"-",INDEX([1]RELAÇÃO!$A$1:$AQ$576,MATCH($M212,[1]RELAÇÃO!$AP$1:$AP$576,0),5))</f>
        <v>Sem Vínculo</v>
      </c>
      <c r="H212" s="275" t="str">
        <f>IF(E212=0,"-",INDEX([1]RELAÇÃO!$A$1:$AQ$576,MATCH($M212,[1]RELAÇÃO!$AP$1:$AP$576,0),6))</f>
        <v>Sem Vínculo</v>
      </c>
      <c r="I212" s="275" t="str">
        <f>IF(E212=0,"-",INDEX([1]RELAÇÃO!$A$1:$AQ$576,MATCH($M212,[1]RELAÇÃO!$AP$1:$AP$576,0),12)&amp;INDEX([1]RELAÇÃO!$A$1:$AQ$576,MATCH($M212,[1]RELAÇÃO!$AP$1:$AP$576,0),13)&amp;", de "&amp;INDEX([1]RELAÇÃO!$A$1:$AQ$576,MATCH($M212,[1]RELAÇÃO!$AP$1:$AP$576,0),14)&amp;" - "&amp;INDEX([1]RELAÇÃO!$A$1:$AQ$576,MATCH($M212,[1]RELAÇÃO!$AP$1:$AP$576,0),16)&amp;" de "&amp;INDEX([1]RELAÇÃO!$A$1:$AQ$576,MATCH($M212,[1]RELAÇÃO!$AP$1:$AP$576,0),15))</f>
        <v>Portaria nº 709, de 21/01/2019 - DOU de 22/01/2019</v>
      </c>
      <c r="J212" s="307" t="str">
        <f>INDEX([1]RELAÇÃO!$A$1:$AQ$576,MATCH($N212,[1]RELAÇÃO!$AQ$1:$AQ$576,0),1)</f>
        <v>JOÃO DE AMORIM LITAIFF JUNIOR</v>
      </c>
      <c r="K212" s="395" t="str">
        <f>IF(J212=0,"-",INDEX([1]RELAÇÃO!$A$1:$AQ$576,MATCH($N212,[1]RELAÇÃO!$AQ$1:$AQ$576,0),27)&amp;INDEX([1]RELAÇÃO!$A$1:$AQ$576,MATCH($N212,[1]RELAÇÃO!$AQ$1:$AQ$576,0),28)&amp;", de "&amp;INDEX([1]RELAÇÃO!$A$1:$AQ$576,MATCH($N212,[1]RELAÇÃO!$AQ$1:$AQ$576,0),29)&amp;" - "&amp;INDEX([1]RELAÇÃO!$A$1:$AQ$576,MATCH($N212,[1]RELAÇÃO!$AQ$1:$AQ$576,0),31)&amp;" de "&amp;INDEX([1]RELAÇÃO!$A$1:$AQ$576,MATCH($N212,[1]RELAÇÃO!$AQ$1:$AQ$576,0),30))</f>
        <v>Portaria nº 441, de 28/11/2019 - DOU de 04/12/2019</v>
      </c>
      <c r="L212" s="287" t="str">
        <f>IF($E212=0,"-",IF(INDEX([1]RELAÇÃO!$A$1:$AQ$576,MATCH($M212,[1]RELAÇÃO!$AP$1:$AP$576,0),8)="4.000.000","-",INDEX([1]RELAÇÃO!$A$1:$AQ$576,MATCH($M212,[1]RELAÇÃO!$AP$1:$AP$576,0),7)))</f>
        <v>-</v>
      </c>
      <c r="M212" s="280" t="s">
        <v>545</v>
      </c>
      <c r="N212" s="280" t="s">
        <v>546</v>
      </c>
    </row>
    <row r="213" spans="1:14" ht="23.25" x14ac:dyDescent="0.25">
      <c r="A213" s="528"/>
      <c r="B213" s="345" t="s">
        <v>211</v>
      </c>
      <c r="C213" s="274" t="s">
        <v>212</v>
      </c>
      <c r="D213" s="274" t="s">
        <v>193</v>
      </c>
      <c r="E213" s="275" t="str">
        <f>INDEX([1]RELAÇÃO!$A$1:$AQ$576,MATCH($M213,[1]RELAÇÃO!$AP$1:$AP$576,0),1)</f>
        <v>FLAMARION SOUZA MATOS</v>
      </c>
      <c r="F213" s="276" t="str">
        <f>IF(E213=0,"-",LEFT(INDEX([1]RELAÇÃO!$A$1:$AQ$576,MATCH($M213,[1]RELAÇÃO!$AP$1:$AP$576,0),32),1))</f>
        <v>M</v>
      </c>
      <c r="G213" s="275" t="str">
        <f>IF(E213=0,"-",INDEX([1]RELAÇÃO!$A$1:$AQ$576,MATCH($M213,[1]RELAÇÃO!$AP$1:$AP$576,0),5))</f>
        <v>Sem Vínculo</v>
      </c>
      <c r="H213" s="275" t="str">
        <f>IF(E213=0,"-",INDEX([1]RELAÇÃO!$A$1:$AQ$576,MATCH($M213,[1]RELAÇÃO!$AP$1:$AP$576,0),6))</f>
        <v>Sem Vínculo</v>
      </c>
      <c r="I213" s="275" t="str">
        <f>IF(E213=0,"-",INDEX([1]RELAÇÃO!$A$1:$AQ$576,MATCH($M213,[1]RELAÇÃO!$AP$1:$AP$576,0),12)&amp;INDEX([1]RELAÇÃO!$A$1:$AQ$576,MATCH($M213,[1]RELAÇÃO!$AP$1:$AP$576,0),13)&amp;", de "&amp;INDEX([1]RELAÇÃO!$A$1:$AQ$576,MATCH($M213,[1]RELAÇÃO!$AP$1:$AP$576,0),14)&amp;" - "&amp;INDEX([1]RELAÇÃO!$A$1:$AQ$576,MATCH($M213,[1]RELAÇÃO!$AP$1:$AP$576,0),16)&amp;" de "&amp;INDEX([1]RELAÇÃO!$A$1:$AQ$576,MATCH($M213,[1]RELAÇÃO!$AP$1:$AP$576,0),15))</f>
        <v>Portaria nº 391, de 15/10/2019 - DOU de 23/10/2019</v>
      </c>
      <c r="J213" s="286"/>
      <c r="K213" s="290"/>
      <c r="L213" s="287" t="str">
        <f>IF($E213=0,"-",IF(INDEX([1]RELAÇÃO!$A$1:$AQ$576,MATCH($M213,[1]RELAÇÃO!$AP$1:$AP$576,0),8)="4.000.000","-",INDEX([1]RELAÇÃO!$A$1:$AQ$576,MATCH($M213,[1]RELAÇÃO!$AP$1:$AP$576,0),7)))</f>
        <v>SEE / DEPARTAMENTO DE POLÍTICAS SOCIAIS E UNIVERSALIZAÇÃO DO ACESSO À ENERGIA ELÉTRICA - DPUE</v>
      </c>
      <c r="M213" s="280" t="s">
        <v>547</v>
      </c>
      <c r="N213" s="288"/>
    </row>
    <row r="214" spans="1:14" ht="23.25" x14ac:dyDescent="0.25">
      <c r="A214" s="528"/>
      <c r="B214" s="345" t="s">
        <v>211</v>
      </c>
      <c r="C214" s="299" t="s">
        <v>540</v>
      </c>
      <c r="D214" s="274" t="s">
        <v>193</v>
      </c>
      <c r="E214" s="275" t="str">
        <f>INDEX([1]RELAÇÃO!$A$1:$AQ$576,MATCH($M214,[1]RELAÇÃO!$AP$1:$AP$576,0),1)</f>
        <v>FREDERICO DE ARAUJO TELES</v>
      </c>
      <c r="F214" s="276" t="str">
        <f>IF(E214=0,"-",LEFT(INDEX([1]RELAÇÃO!$A$1:$AQ$576,MATCH($M214,[1]RELAÇÃO!$AP$1:$AP$576,0),32),1))</f>
        <v>M</v>
      </c>
      <c r="G214" s="275" t="str">
        <f>IF(E214=0,"-",INDEX([1]RELAÇÃO!$A$1:$AQ$576,MATCH($M214,[1]RELAÇÃO!$AP$1:$AP$576,0),5))</f>
        <v>Requisitado de Órgãos</v>
      </c>
      <c r="H214" s="275" t="str">
        <f>IF(E214=0,"-",INDEX([1]RELAÇÃO!$A$1:$AQ$576,MATCH($M214,[1]RELAÇÃO!$AP$1:$AP$576,0),6))</f>
        <v>ANEEL - Agência Nacional de Energia Elétrica</v>
      </c>
      <c r="I214" s="275" t="str">
        <f>IF(E214=0,"-",INDEX([1]RELAÇÃO!$A$1:$AQ$576,MATCH($M214,[1]RELAÇÃO!$AP$1:$AP$576,0),12)&amp;INDEX([1]RELAÇÃO!$A$1:$AQ$576,MATCH($M214,[1]RELAÇÃO!$AP$1:$AP$576,0),13)&amp;", de "&amp;INDEX([1]RELAÇÃO!$A$1:$AQ$576,MATCH($M214,[1]RELAÇÃO!$AP$1:$AP$576,0),14)&amp;" - "&amp;INDEX([1]RELAÇÃO!$A$1:$AQ$576,MATCH($M214,[1]RELAÇÃO!$AP$1:$AP$576,0),16)&amp;" de "&amp;INDEX([1]RELAÇÃO!$A$1:$AQ$576,MATCH($M214,[1]RELAÇÃO!$AP$1:$AP$576,0),15))</f>
        <v>Portaria nº 39, de 18/01/2019 - DOU de 24/01/2019</v>
      </c>
      <c r="J214" s="286"/>
      <c r="K214" s="290"/>
      <c r="L214" s="287" t="str">
        <f>IF($E214=0,"-",IF(INDEX([1]RELAÇÃO!$A$1:$AQ$576,MATCH($M214,[1]RELAÇÃO!$AP$1:$AP$576,0),8)="4.000.000","-",INDEX([1]RELAÇÃO!$A$1:$AQ$576,MATCH($M214,[1]RELAÇÃO!$AP$1:$AP$576,0),7)))</f>
        <v>ASSESSORIA ESPECIAL DE ASSUNTOS ECONÔMICOS - ASSEC</v>
      </c>
      <c r="M214" s="280" t="s">
        <v>548</v>
      </c>
      <c r="N214" s="288"/>
    </row>
    <row r="215" spans="1:14" ht="23.25" x14ac:dyDescent="0.25">
      <c r="A215" s="528"/>
      <c r="B215" s="345" t="s">
        <v>191</v>
      </c>
      <c r="C215" s="273" t="s">
        <v>192</v>
      </c>
      <c r="D215" s="274" t="s">
        <v>193</v>
      </c>
      <c r="E215" s="275" t="str">
        <f>INDEX([1]RELAÇÃO!$A$1:$AQ$576,MATCH($M215,[1]RELAÇÃO!$AP$1:$AP$576,0),1)</f>
        <v>DALTON JOSE DE OLIVEIRA</v>
      </c>
      <c r="F215" s="276" t="str">
        <f>IF(E215=0,"-",LEFT(INDEX([1]RELAÇÃO!$A$1:$AQ$576,MATCH($M215,[1]RELAÇÃO!$AP$1:$AP$576,0),32),1))</f>
        <v>M</v>
      </c>
      <c r="G215" s="275" t="str">
        <f>IF(E215=0,"-",INDEX([1]RELAÇÃO!$A$1:$AQ$576,MATCH($M215,[1]RELAÇÃO!$AP$1:$AP$576,0),5))</f>
        <v>Ativo Permanente</v>
      </c>
      <c r="H215" s="275" t="str">
        <f>IF(E215=0,"-",INDEX([1]RELAÇÃO!$A$1:$AQ$576,MATCH($M215,[1]RELAÇÃO!$AP$1:$AP$576,0),6))</f>
        <v>MME - Ministério de Minas e Energia</v>
      </c>
      <c r="I215" s="275" t="str">
        <f>IF(E215=0,"-",INDEX([1]RELAÇÃO!$A$1:$AQ$576,MATCH($M215,[1]RELAÇÃO!$AP$1:$AP$576,0),12)&amp;INDEX([1]RELAÇÃO!$A$1:$AQ$576,MATCH($M215,[1]RELAÇÃO!$AP$1:$AP$576,0),13)&amp;", de "&amp;INDEX([1]RELAÇÃO!$A$1:$AQ$576,MATCH($M215,[1]RELAÇÃO!$AP$1:$AP$576,0),14)&amp;" - "&amp;INDEX([1]RELAÇÃO!$A$1:$AQ$576,MATCH($M215,[1]RELAÇÃO!$AP$1:$AP$576,0),16)&amp;" de "&amp;INDEX([1]RELAÇÃO!$A$1:$AQ$576,MATCH($M215,[1]RELAÇÃO!$AP$1:$AP$576,0),15))</f>
        <v>Portaria nº 38, de 18/01/2019 - DOU de 24/01/2019</v>
      </c>
      <c r="J215" s="409"/>
      <c r="K215" s="410"/>
      <c r="L215" s="287" t="str">
        <f>IF($E215=0,"-",IF(INDEX([1]RELAÇÃO!$A$1:$AQ$576,MATCH($M215,[1]RELAÇÃO!$AP$1:$AP$576,0),8)="4.000.000","-",INDEX([1]RELAÇÃO!$A$1:$AQ$576,MATCH($M215,[1]RELAÇÃO!$AP$1:$AP$576,0),7)))</f>
        <v>-</v>
      </c>
      <c r="M215" s="280" t="s">
        <v>549</v>
      </c>
      <c r="N215" s="288"/>
    </row>
    <row r="216" spans="1:14" x14ac:dyDescent="0.25"/>
    <row r="217" spans="1:14" ht="18.75" x14ac:dyDescent="0.3">
      <c r="A217" s="526" t="s">
        <v>795</v>
      </c>
      <c r="B217" s="526"/>
      <c r="C217" s="526"/>
      <c r="D217" s="526"/>
      <c r="E217" s="526"/>
      <c r="F217" s="526"/>
      <c r="G217" s="526"/>
      <c r="H217" s="526"/>
      <c r="I217" s="526"/>
      <c r="J217" s="526"/>
      <c r="K217" s="526"/>
      <c r="L217" s="526"/>
      <c r="M217" s="526"/>
      <c r="N217" s="526"/>
    </row>
    <row r="218" spans="1:14" ht="22.5" x14ac:dyDescent="0.25">
      <c r="A218" s="397" t="s">
        <v>170</v>
      </c>
      <c r="B218" s="398" t="s">
        <v>171</v>
      </c>
      <c r="C218" s="398" t="s">
        <v>172</v>
      </c>
      <c r="D218" s="398" t="s">
        <v>173</v>
      </c>
      <c r="E218" s="397" t="s">
        <v>174</v>
      </c>
      <c r="F218" s="397" t="s">
        <v>175</v>
      </c>
      <c r="G218" s="397" t="s">
        <v>176</v>
      </c>
      <c r="H218" s="397" t="s">
        <v>177</v>
      </c>
      <c r="I218" s="397" t="s">
        <v>178</v>
      </c>
      <c r="J218" s="397" t="s">
        <v>179</v>
      </c>
      <c r="K218" s="397" t="s">
        <v>180</v>
      </c>
      <c r="L218" s="398" t="s">
        <v>181</v>
      </c>
      <c r="M218" s="398" t="s">
        <v>182</v>
      </c>
      <c r="N218" s="398" t="s">
        <v>183</v>
      </c>
    </row>
    <row r="219" spans="1:14" ht="33.75" x14ac:dyDescent="0.25">
      <c r="A219" s="360" t="s">
        <v>550</v>
      </c>
      <c r="B219" s="343" t="s">
        <v>551</v>
      </c>
      <c r="C219" s="274" t="s">
        <v>290</v>
      </c>
      <c r="D219" s="274" t="s">
        <v>187</v>
      </c>
      <c r="E219" s="275">
        <f>INDEX([1]RELAÇÃO!$A$1:$AQ$576,MATCH($M219,[1]RELAÇÃO!$AP$1:$AP$576,0),1)</f>
        <v>0</v>
      </c>
      <c r="F219" s="276" t="str">
        <f>IF(E219=0,"-",LEFT(INDEX([1]RELAÇÃO!$A$1:$AQ$576,MATCH($M219,[1]RELAÇÃO!$AP$1:$AP$576,0),32),1))</f>
        <v>-</v>
      </c>
      <c r="G219" s="275" t="str">
        <f>IF(E219=0,"-",INDEX([1]RELAÇÃO!$A$1:$AQ$576,MATCH($M219,[1]RELAÇÃO!$AP$1:$AP$576,0),5))</f>
        <v>-</v>
      </c>
      <c r="H219" s="275" t="str">
        <f>IF(E219=0,"-",INDEX([1]RELAÇÃO!$A$1:$AQ$576,MATCH($M219,[1]RELAÇÃO!$AP$1:$AP$576,0),6))</f>
        <v>-</v>
      </c>
      <c r="I219" s="275" t="str">
        <f>IF(E219=0,"-",INDEX([1]RELAÇÃO!$A$1:$AQ$576,MATCH($M219,[1]RELAÇÃO!$AP$1:$AP$576,0),12)&amp;INDEX([1]RELAÇÃO!$A$1:$AQ$576,MATCH($M219,[1]RELAÇÃO!$AP$1:$AP$576,0),13)&amp;", de "&amp;INDEX([1]RELAÇÃO!$A$1:$AQ$576,MATCH($M219,[1]RELAÇÃO!$AP$1:$AP$576,0),14)&amp;" - "&amp;INDEX([1]RELAÇÃO!$A$1:$AQ$576,MATCH($M219,[1]RELAÇÃO!$AP$1:$AP$576,0),16)&amp;" de "&amp;INDEX([1]RELAÇÃO!$A$1:$AQ$576,MATCH($M219,[1]RELAÇÃO!$AP$1:$AP$576,0),15))</f>
        <v>-</v>
      </c>
      <c r="J219" s="277" t="str">
        <f>INDEX([1]RELAÇÃO!$A$1:$AQ$576,MATCH($N219,[1]RELAÇÃO!$AQ$1:$AQ$576,0),1)</f>
        <v>HÉLVIO NEVES GUERRA</v>
      </c>
      <c r="K219" s="395" t="str">
        <f>IF(J219=0,"-",INDEX([1]RELAÇÃO!$A$1:$AQ$576,MATCH($N219,[1]RELAÇÃO!$AQ$1:$AQ$576,0),27)&amp;INDEX([1]RELAÇÃO!$A$1:$AQ$576,MATCH($N219,[1]RELAÇÃO!$AQ$1:$AQ$576,0),28)&amp;", de "&amp;INDEX([1]RELAÇÃO!$A$1:$AQ$576,MATCH($N219,[1]RELAÇÃO!$AQ$1:$AQ$576,0),29)&amp;" - "&amp;INDEX([1]RELAÇÃO!$A$1:$AQ$576,MATCH($N219,[1]RELAÇÃO!$AQ$1:$AQ$576,0),31)&amp;" de "&amp;INDEX([1]RELAÇÃO!$A$1:$AQ$576,MATCH($N219,[1]RELAÇÃO!$AQ$1:$AQ$576,0),30))</f>
        <v>Portaria nº 108 - Anexo VIII, Art. 19, II do RI da SPE, de 14/03/2017 - DOU de 16/03/2017 - Ret. 17/03/2017</v>
      </c>
      <c r="L219" s="287" t="str">
        <f>IF($E219=0,"-",IF(INDEX([1]RELAÇÃO!$A$1:$AQ$576,MATCH($M219,[1]RELAÇÃO!$AP$1:$AP$576,0),8)="10.000.000","-",INDEX([1]RELAÇÃO!$A$1:$AQ$576,MATCH($M219,[1]RELAÇÃO!$AP$1:$AP$576,0),7)))</f>
        <v>-</v>
      </c>
      <c r="M219" s="280" t="s">
        <v>552</v>
      </c>
      <c r="N219" s="280" t="s">
        <v>553</v>
      </c>
    </row>
    <row r="220" spans="1:14" ht="23.25" x14ac:dyDescent="0.25">
      <c r="A220" s="361"/>
      <c r="B220" s="345" t="s">
        <v>554</v>
      </c>
      <c r="C220" s="273" t="s">
        <v>206</v>
      </c>
      <c r="D220" s="274" t="s">
        <v>187</v>
      </c>
      <c r="E220" s="275" t="str">
        <f>INDEX([1]RELAÇÃO!$A$1:$AQ$576,MATCH($M220,[1]RELAÇÃO!$AP$1:$AP$576,0),1)</f>
        <v>HÉLVIO NEVES GUERRA</v>
      </c>
      <c r="F220" s="276" t="str">
        <f>IF(E220=0,"-",LEFT(INDEX([1]RELAÇÃO!$A$1:$AQ$576,MATCH($M220,[1]RELAÇÃO!$AP$1:$AP$576,0),32),1))</f>
        <v>M</v>
      </c>
      <c r="G220" s="275" t="str">
        <f>IF(E220=0,"-",INDEX([1]RELAÇÃO!$A$1:$AQ$576,MATCH($M220,[1]RELAÇÃO!$AP$1:$AP$576,0),5))</f>
        <v>Sem Vínculo</v>
      </c>
      <c r="H220" s="275" t="str">
        <f>IF(E220=0,"-",INDEX([1]RELAÇÃO!$A$1:$AQ$576,MATCH($M220,[1]RELAÇÃO!$AP$1:$AP$576,0),6))</f>
        <v>Sem Vínculo</v>
      </c>
      <c r="I220" s="275" t="str">
        <f>IF(E220=0,"-",INDEX([1]RELAÇÃO!$A$1:$AQ$576,MATCH($M220,[1]RELAÇÃO!$AP$1:$AP$576,0),12)&amp;INDEX([1]RELAÇÃO!$A$1:$AQ$576,MATCH($M220,[1]RELAÇÃO!$AP$1:$AP$576,0),13)&amp;", de "&amp;INDEX([1]RELAÇÃO!$A$1:$AQ$576,MATCH($M220,[1]RELAÇÃO!$AP$1:$AP$576,0),14)&amp;" - "&amp;INDEX([1]RELAÇÃO!$A$1:$AQ$576,MATCH($M220,[1]RELAÇÃO!$AP$1:$AP$576,0),16)&amp;" de "&amp;INDEX([1]RELAÇÃO!$A$1:$AQ$576,MATCH($M220,[1]RELAÇÃO!$AP$1:$AP$576,0),15))</f>
        <v>Portaria nº 1402, de 11/03/2019 - DOU de 11/03/2019</v>
      </c>
      <c r="J220" s="307">
        <f>INDEX([1]RELAÇÃO!$A$1:$AQ$576,MATCH($N220,[1]RELAÇÃO!$AQ$1:$AQ$576,0),1)</f>
        <v>0</v>
      </c>
      <c r="K220" s="308" t="str">
        <f>IF(J220=0,"-",INDEX([1]RELAÇÃO!$A$1:$AQ$576,MATCH($N220,[1]RELAÇÃO!$AQ$1:$AQ$576,0),27)&amp;INDEX([1]RELAÇÃO!$A$1:$AQ$576,MATCH($N220,[1]RELAÇÃO!$AQ$1:$AQ$576,0),28)&amp;", de "&amp;INDEX([1]RELAÇÃO!$A$1:$AQ$576,MATCH($N220,[1]RELAÇÃO!$AQ$1:$AQ$576,0),29)&amp;" - "&amp;INDEX([1]RELAÇÃO!$A$1:$AQ$576,MATCH($N220,[1]RELAÇÃO!$AQ$1:$AQ$576,0),31)&amp;" de "&amp;INDEX([1]RELAÇÃO!$A$1:$AQ$576,MATCH($N220,[1]RELAÇÃO!$AQ$1:$AQ$576,0),30))</f>
        <v>-</v>
      </c>
      <c r="L220" s="287" t="str">
        <f>IF($E220=0,"-",IF(INDEX([1]RELAÇÃO!$A$1:$AQ$576,MATCH($M220,[1]RELAÇÃO!$AP$1:$AP$576,0),8)="10.000.000","-",INDEX([1]RELAÇÃO!$A$1:$AQ$576,MATCH($M220,[1]RELAÇÃO!$AP$1:$AP$576,0),7)))</f>
        <v>SPE / CHEFIA DE GABINETE SPE</v>
      </c>
      <c r="M220" s="280" t="s">
        <v>555</v>
      </c>
      <c r="N220" s="280" t="s">
        <v>556</v>
      </c>
    </row>
    <row r="221" spans="1:14" ht="23.25" x14ac:dyDescent="0.25">
      <c r="A221" s="361"/>
      <c r="B221" s="345" t="s">
        <v>211</v>
      </c>
      <c r="C221" s="273" t="s">
        <v>212</v>
      </c>
      <c r="D221" s="273" t="s">
        <v>193</v>
      </c>
      <c r="E221" s="275" t="str">
        <f>INDEX([1]RELAÇÃO!$A$1:$AQ$576,MATCH($M221,[1]RELAÇÃO!$AP$1:$AP$576,0),1)</f>
        <v>ANDREA CRISTINA GOMES PEREIRA</v>
      </c>
      <c r="F221" s="276" t="str">
        <f>IF(E221=0,"-",LEFT(INDEX([1]RELAÇÃO!$A$1:$AQ$576,MATCH($M221,[1]RELAÇÃO!$AP$1:$AP$576,0),32),1))</f>
        <v>F</v>
      </c>
      <c r="G221" s="275" t="str">
        <f>IF(E221=0,"-",INDEX([1]RELAÇÃO!$A$1:$AQ$576,MATCH($M221,[1]RELAÇÃO!$AP$1:$AP$576,0),5))</f>
        <v>Sem Vínculo</v>
      </c>
      <c r="H221" s="275" t="str">
        <f>IF(E221=0,"-",INDEX([1]RELAÇÃO!$A$1:$AQ$576,MATCH($M221,[1]RELAÇÃO!$AP$1:$AP$576,0),6))</f>
        <v>Sem Vínculo</v>
      </c>
      <c r="I221" s="275" t="str">
        <f>IF(E221=0,"-",INDEX([1]RELAÇÃO!$A$1:$AQ$576,MATCH($M221,[1]RELAÇÃO!$AP$1:$AP$576,0),12)&amp;INDEX([1]RELAÇÃO!$A$1:$AQ$576,MATCH($M221,[1]RELAÇÃO!$AP$1:$AP$576,0),13)&amp;", de "&amp;INDEX([1]RELAÇÃO!$A$1:$AQ$576,MATCH($M221,[1]RELAÇÃO!$AP$1:$AP$576,0),14)&amp;" - "&amp;INDEX([1]RELAÇÃO!$A$1:$AQ$576,MATCH($M221,[1]RELAÇÃO!$AP$1:$AP$576,0),16)&amp;" de "&amp;INDEX([1]RELAÇÃO!$A$1:$AQ$576,MATCH($M221,[1]RELAÇÃO!$AP$1:$AP$576,0),15))</f>
        <v>Portaria nº 524, de 03/11/2016 - BPE de 04/11/2016</v>
      </c>
      <c r="J221" s="362"/>
      <c r="K221" s="310"/>
      <c r="L221" s="287" t="str">
        <f>IF($E221=0,"-",IF(INDEX([1]RELAÇÃO!$A$1:$AQ$576,MATCH($M221,[1]RELAÇÃO!$AP$1:$AP$576,0),8)="10.000.000","-",INDEX([1]RELAÇÃO!$A$1:$AQ$576,MATCH($M221,[1]RELAÇÃO!$AP$1:$AP$576,0),7)))</f>
        <v>SPE / CHEFIA DE GABINETE SPE</v>
      </c>
      <c r="M221" s="280" t="s">
        <v>557</v>
      </c>
      <c r="N221" s="288"/>
    </row>
    <row r="222" spans="1:14" x14ac:dyDescent="0.25">
      <c r="A222" s="361"/>
      <c r="B222" s="363" t="s">
        <v>211</v>
      </c>
      <c r="C222" s="327" t="s">
        <v>558</v>
      </c>
      <c r="D222" s="327"/>
      <c r="E222" s="328" t="s">
        <v>333</v>
      </c>
      <c r="F222" s="354"/>
      <c r="G222" s="354"/>
      <c r="H222" s="331"/>
      <c r="I222" s="341"/>
      <c r="J222" s="362"/>
      <c r="K222" s="310"/>
      <c r="L222" s="364"/>
      <c r="M222" s="310"/>
      <c r="N222" s="288"/>
    </row>
    <row r="223" spans="1:14" ht="23.25" x14ac:dyDescent="0.25">
      <c r="A223" s="361"/>
      <c r="B223" s="345" t="s">
        <v>211</v>
      </c>
      <c r="C223" s="273" t="s">
        <v>212</v>
      </c>
      <c r="D223" s="273" t="s">
        <v>193</v>
      </c>
      <c r="E223" s="275" t="str">
        <f>INDEX([1]RELAÇÃO!$A$1:$AQ$576,MATCH($M223,[1]RELAÇÃO!$AP$1:$AP$576,0),1)</f>
        <v>VALDIR BORGES SOUZA JUNIOR</v>
      </c>
      <c r="F223" s="276" t="str">
        <f>IF(E223=0,"-",LEFT(INDEX([1]RELAÇÃO!$A$1:$AQ$576,MATCH($M223,[1]RELAÇÃO!$AP$1:$AP$576,0),32),1))</f>
        <v>M</v>
      </c>
      <c r="G223" s="275" t="str">
        <f>IF(E223=0,"-",INDEX([1]RELAÇÃO!$A$1:$AQ$576,MATCH($M223,[1]RELAÇÃO!$AP$1:$AP$576,0),5))</f>
        <v>Requisitado de Órgãos</v>
      </c>
      <c r="H223" s="275" t="str">
        <f>IF(E223=0,"-",INDEX([1]RELAÇÃO!$A$1:$AQ$576,MATCH($M223,[1]RELAÇÃO!$AP$1:$AP$576,0),6))</f>
        <v>ME - Ministério da Economia</v>
      </c>
      <c r="I223" s="275" t="str">
        <f>IF(E223=0,"-",INDEX([1]RELAÇÃO!$A$1:$AQ$576,MATCH($M223,[1]RELAÇÃO!$AP$1:$AP$576,0),12)&amp;INDEX([1]RELAÇÃO!$A$1:$AQ$576,MATCH($M223,[1]RELAÇÃO!$AP$1:$AP$576,0),13)&amp;", de "&amp;INDEX([1]RELAÇÃO!$A$1:$AQ$576,MATCH($M223,[1]RELAÇÃO!$AP$1:$AP$576,0),14)&amp;" - "&amp;INDEX([1]RELAÇÃO!$A$1:$AQ$576,MATCH($M223,[1]RELAÇÃO!$AP$1:$AP$576,0),16)&amp;" de "&amp;INDEX([1]RELAÇÃO!$A$1:$AQ$576,MATCH($M223,[1]RELAÇÃO!$AP$1:$AP$576,0),15))</f>
        <v>Portaria nº 241, de 11/06/2018 - DOU de 14/06/2018</v>
      </c>
      <c r="J223" s="362"/>
      <c r="K223" s="310"/>
      <c r="L223" s="287" t="str">
        <f>IF($E223=0,"-",IF(INDEX([1]RELAÇÃO!$A$1:$AQ$576,MATCH($M223,[1]RELAÇÃO!$AP$1:$AP$576,0),8)="10.000.000","-",INDEX([1]RELAÇÃO!$A$1:$AQ$576,MATCH($M223,[1]RELAÇÃO!$AP$1:$AP$576,0),7)))</f>
        <v>SPE / CHEFIA DE GABINETE SPE</v>
      </c>
      <c r="M223" s="280" t="s">
        <v>559</v>
      </c>
      <c r="N223" s="288"/>
    </row>
    <row r="224" spans="1:14" ht="23.25" x14ac:dyDescent="0.25">
      <c r="A224" s="361"/>
      <c r="B224" s="345" t="s">
        <v>191</v>
      </c>
      <c r="C224" s="296" t="s">
        <v>239</v>
      </c>
      <c r="D224" s="273" t="s">
        <v>193</v>
      </c>
      <c r="E224" s="275" t="str">
        <f>INDEX([1]RELAÇÃO!$A$1:$AQ$576,MATCH($M224,[1]RELAÇÃO!$AP$1:$AP$576,0),1)</f>
        <v>GEVALTER DE FREITAS NEVES</v>
      </c>
      <c r="F224" s="276" t="str">
        <f>IF(E224=0,"-",LEFT(INDEX([1]RELAÇÃO!$A$1:$AQ$576,MATCH($M224,[1]RELAÇÃO!$AP$1:$AP$576,0),32),1))</f>
        <v>M</v>
      </c>
      <c r="G224" s="275" t="str">
        <f>IF(E224=0,"-",INDEX([1]RELAÇÃO!$A$1:$AQ$576,MATCH($M224,[1]RELAÇÃO!$AP$1:$AP$576,0),5))</f>
        <v>Ativo Permanente</v>
      </c>
      <c r="H224" s="275" t="str">
        <f>IF(E224=0,"-",INDEX([1]RELAÇÃO!$A$1:$AQ$576,MATCH($M224,[1]RELAÇÃO!$AP$1:$AP$576,0),6))</f>
        <v>MME - Ministério de Minas e Energia</v>
      </c>
      <c r="I224" s="275" t="str">
        <f>IF(E224=0,"-",INDEX([1]RELAÇÃO!$A$1:$AQ$576,MATCH($M224,[1]RELAÇÃO!$AP$1:$AP$576,0),12)&amp;INDEX([1]RELAÇÃO!$A$1:$AQ$576,MATCH($M224,[1]RELAÇÃO!$AP$1:$AP$576,0),13)&amp;", de "&amp;INDEX([1]RELAÇÃO!$A$1:$AQ$576,MATCH($M224,[1]RELAÇÃO!$AP$1:$AP$576,0),14)&amp;" - "&amp;INDEX([1]RELAÇÃO!$A$1:$AQ$576,MATCH($M224,[1]RELAÇÃO!$AP$1:$AP$576,0),16)&amp;" de "&amp;INDEX([1]RELAÇÃO!$A$1:$AQ$576,MATCH($M224,[1]RELAÇÃO!$AP$1:$AP$576,0),15))</f>
        <v>Portaria nº 572, de 03/11/2016 - DOU de 04/11/2016</v>
      </c>
      <c r="J224" s="362"/>
      <c r="K224" s="310"/>
      <c r="L224" s="287" t="str">
        <f>IF($E224=0,"-",IF(INDEX([1]RELAÇÃO!$A$1:$AQ$576,MATCH($M224,[1]RELAÇÃO!$AP$1:$AP$576,0),8)="10.000.000","-",INDEX([1]RELAÇÃO!$A$1:$AQ$576,MATCH($M224,[1]RELAÇÃO!$AP$1:$AP$576,0),7)))</f>
        <v>SPE / CHEFIA DE GABINETE SPE</v>
      </c>
      <c r="M224" s="280" t="s">
        <v>560</v>
      </c>
      <c r="N224" s="288"/>
    </row>
    <row r="225" spans="1:14" x14ac:dyDescent="0.25">
      <c r="A225" s="361"/>
      <c r="B225" s="363" t="s">
        <v>191</v>
      </c>
      <c r="C225" s="327" t="s">
        <v>561</v>
      </c>
      <c r="D225" s="327"/>
      <c r="E225" s="328" t="s">
        <v>333</v>
      </c>
      <c r="F225" s="354"/>
      <c r="G225" s="354"/>
      <c r="H225" s="331"/>
      <c r="I225" s="365"/>
      <c r="J225" s="362"/>
      <c r="K225" s="310"/>
      <c r="L225" s="364"/>
      <c r="M225" s="310"/>
      <c r="N225" s="288"/>
    </row>
    <row r="226" spans="1:14" ht="23.25" x14ac:dyDescent="0.25">
      <c r="A226" s="361"/>
      <c r="B226" s="345" t="s">
        <v>228</v>
      </c>
      <c r="C226" s="273" t="s">
        <v>229</v>
      </c>
      <c r="D226" s="273" t="s">
        <v>193</v>
      </c>
      <c r="E226" s="275" t="str">
        <f>INDEX([1]RELAÇÃO!$A$1:$AQ$576,MATCH($M226,[1]RELAÇÃO!$AP$1:$AP$576,0),1)</f>
        <v>REGINA DE ARAUJO CALIXTO</v>
      </c>
      <c r="F226" s="276" t="str">
        <f>IF(E226=0,"-",LEFT(INDEX([1]RELAÇÃO!$A$1:$AQ$576,MATCH($M226,[1]RELAÇÃO!$AP$1:$AP$576,0),32),1))</f>
        <v>F</v>
      </c>
      <c r="G226" s="275" t="str">
        <f>IF(E226=0,"-",INDEX([1]RELAÇÃO!$A$1:$AQ$576,MATCH($M226,[1]RELAÇÃO!$AP$1:$AP$576,0),5))</f>
        <v>Sem Vínculo</v>
      </c>
      <c r="H226" s="275" t="str">
        <f>IF(E226=0,"-",INDEX([1]RELAÇÃO!$A$1:$AQ$576,MATCH($M226,[1]RELAÇÃO!$AP$1:$AP$576,0),6))</f>
        <v>Sem Vínculo</v>
      </c>
      <c r="I226" s="275" t="str">
        <f>IF(E226=0,"-",INDEX([1]RELAÇÃO!$A$1:$AQ$576,MATCH($M226,[1]RELAÇÃO!$AP$1:$AP$576,0),12)&amp;INDEX([1]RELAÇÃO!$A$1:$AQ$576,MATCH($M226,[1]RELAÇÃO!$AP$1:$AP$576,0),13)&amp;", de "&amp;INDEX([1]RELAÇÃO!$A$1:$AQ$576,MATCH($M226,[1]RELAÇÃO!$AP$1:$AP$576,0),14)&amp;" - "&amp;INDEX([1]RELAÇÃO!$A$1:$AQ$576,MATCH($M226,[1]RELAÇÃO!$AP$1:$AP$576,0),16)&amp;" de "&amp;INDEX([1]RELAÇÃO!$A$1:$AQ$576,MATCH($M226,[1]RELAÇÃO!$AP$1:$AP$576,0),15))</f>
        <v>Portaria nº 524, de 03/11/2016 - BPE de 04/11/2016</v>
      </c>
      <c r="J226" s="362"/>
      <c r="K226" s="310"/>
      <c r="L226" s="287" t="str">
        <f>IF($E226=0,"-",IF(INDEX([1]RELAÇÃO!$A$1:$AQ$576,MATCH($M226,[1]RELAÇÃO!$AP$1:$AP$576,0),8)="10.000.000","-",INDEX([1]RELAÇÃO!$A$1:$AQ$576,MATCH($M226,[1]RELAÇÃO!$AP$1:$AP$576,0),7)))</f>
        <v>SPE / DEPARTAMENTO DE DESENVOLVIMENTO ENERGÉTICO - DDE</v>
      </c>
      <c r="M226" s="280" t="s">
        <v>562</v>
      </c>
      <c r="N226" s="288"/>
    </row>
    <row r="227" spans="1:14" ht="23.25" x14ac:dyDescent="0.25">
      <c r="A227" s="361"/>
      <c r="B227" s="345" t="s">
        <v>228</v>
      </c>
      <c r="C227" s="273" t="s">
        <v>229</v>
      </c>
      <c r="D227" s="273" t="s">
        <v>193</v>
      </c>
      <c r="E227" s="275" t="str">
        <f>INDEX([1]RELAÇÃO!$A$1:$AQ$576,MATCH($M227,[1]RELAÇÃO!$AP$1:$AP$576,0),1)</f>
        <v>MAYARA DA SILVA CERQUEIRA</v>
      </c>
      <c r="F227" s="276" t="str">
        <f>IF(E227=0,"-",LEFT(INDEX([1]RELAÇÃO!$A$1:$AQ$576,MATCH($M227,[1]RELAÇÃO!$AP$1:$AP$576,0),32),1))</f>
        <v>F</v>
      </c>
      <c r="G227" s="275" t="str">
        <f>IF(E227=0,"-",INDEX([1]RELAÇÃO!$A$1:$AQ$576,MATCH($M227,[1]RELAÇÃO!$AP$1:$AP$576,0),5))</f>
        <v>Sem Vínculo</v>
      </c>
      <c r="H227" s="275" t="str">
        <f>IF(E227=0,"-",INDEX([1]RELAÇÃO!$A$1:$AQ$576,MATCH($M227,[1]RELAÇÃO!$AP$1:$AP$576,0),6))</f>
        <v>Sem Vínculo</v>
      </c>
      <c r="I227" s="275" t="str">
        <f>IF(E227=0,"-",INDEX([1]RELAÇÃO!$A$1:$AQ$576,MATCH($M227,[1]RELAÇÃO!$AP$1:$AP$576,0),12)&amp;INDEX([1]RELAÇÃO!$A$1:$AQ$576,MATCH($M227,[1]RELAÇÃO!$AP$1:$AP$576,0),13)&amp;", de "&amp;INDEX([1]RELAÇÃO!$A$1:$AQ$576,MATCH($M227,[1]RELAÇÃO!$AP$1:$AP$576,0),14)&amp;" - "&amp;INDEX([1]RELAÇÃO!$A$1:$AQ$576,MATCH($M227,[1]RELAÇÃO!$AP$1:$AP$576,0),16)&amp;" de "&amp;INDEX([1]RELAÇÃO!$A$1:$AQ$576,MATCH($M227,[1]RELAÇÃO!$AP$1:$AP$576,0),15))</f>
        <v>Portaria nº 475, de 07/12/2017 - DOU de 08/12/2017</v>
      </c>
      <c r="J227" s="362"/>
      <c r="K227" s="310"/>
      <c r="L227" s="287" t="str">
        <f>IF($E227=0,"-",IF(INDEX([1]RELAÇÃO!$A$1:$AQ$576,MATCH($M227,[1]RELAÇÃO!$AP$1:$AP$576,0),8)="10.000.000","-",INDEX([1]RELAÇÃO!$A$1:$AQ$576,MATCH($M227,[1]RELAÇÃO!$AP$1:$AP$576,0),7)))</f>
        <v>SPE / CHEFIA DE GABINETE SPE</v>
      </c>
      <c r="M227" s="280" t="s">
        <v>563</v>
      </c>
      <c r="N227" s="288"/>
    </row>
    <row r="228" spans="1:14" x14ac:dyDescent="0.25">
      <c r="A228" s="361"/>
      <c r="B228" s="363" t="s">
        <v>228</v>
      </c>
      <c r="C228" s="327" t="s">
        <v>332</v>
      </c>
      <c r="D228" s="327"/>
      <c r="E228" s="328" t="s">
        <v>333</v>
      </c>
      <c r="F228" s="354"/>
      <c r="G228" s="354"/>
      <c r="H228" s="331"/>
      <c r="I228" s="341"/>
      <c r="J228" s="362"/>
      <c r="K228" s="310"/>
      <c r="L228" s="364"/>
      <c r="M228" s="310"/>
      <c r="N228" s="288"/>
    </row>
    <row r="229" spans="1:14" ht="23.25" x14ac:dyDescent="0.25">
      <c r="A229" s="361"/>
      <c r="B229" s="345" t="s">
        <v>228</v>
      </c>
      <c r="C229" s="273" t="s">
        <v>229</v>
      </c>
      <c r="D229" s="273" t="s">
        <v>193</v>
      </c>
      <c r="E229" s="275" t="str">
        <f>INDEX([1]RELAÇÃO!$A$1:$AQ$576,MATCH($M229,[1]RELAÇÃO!$AP$1:$AP$576,0),1)</f>
        <v>BRUNA RODRIGUES DE OLIVEIRA</v>
      </c>
      <c r="F229" s="276" t="str">
        <f>IF(E229=0,"-",LEFT(INDEX([1]RELAÇÃO!$A$1:$AQ$576,MATCH($M229,[1]RELAÇÃO!$AP$1:$AP$576,0),32),1))</f>
        <v>F</v>
      </c>
      <c r="G229" s="275" t="str">
        <f>IF(E229=0,"-",INDEX([1]RELAÇÃO!$A$1:$AQ$576,MATCH($M229,[1]RELAÇÃO!$AP$1:$AP$576,0),5))</f>
        <v>Sem Vínculo</v>
      </c>
      <c r="H229" s="275" t="str">
        <f>IF(E229=0,"-",INDEX([1]RELAÇÃO!$A$1:$AQ$576,MATCH($M229,[1]RELAÇÃO!$AP$1:$AP$576,0),6))</f>
        <v>Sem Vínculo</v>
      </c>
      <c r="I229" s="275" t="str">
        <f>IF(E229=0,"-",INDEX([1]RELAÇÃO!$A$1:$AQ$576,MATCH($M229,[1]RELAÇÃO!$AP$1:$AP$576,0),12)&amp;INDEX([1]RELAÇÃO!$A$1:$AQ$576,MATCH($M229,[1]RELAÇÃO!$AP$1:$AP$576,0),13)&amp;", de "&amp;INDEX([1]RELAÇÃO!$A$1:$AQ$576,MATCH($M229,[1]RELAÇÃO!$AP$1:$AP$576,0),14)&amp;" - "&amp;INDEX([1]RELAÇÃO!$A$1:$AQ$576,MATCH($M229,[1]RELAÇÃO!$AP$1:$AP$576,0),16)&amp;" de "&amp;INDEX([1]RELAÇÃO!$A$1:$AQ$576,MATCH($M229,[1]RELAÇÃO!$AP$1:$AP$576,0),15))</f>
        <v>Portaria nº 566, de 03/11/2016 - DOU de 04/11/2016</v>
      </c>
      <c r="J229" s="362"/>
      <c r="K229" s="310"/>
      <c r="L229" s="287" t="str">
        <f>IF($E229=0,"-",IF(INDEX([1]RELAÇÃO!$A$1:$AQ$576,MATCH($M229,[1]RELAÇÃO!$AP$1:$AP$576,0),8)="10.000.000","-",INDEX([1]RELAÇÃO!$A$1:$AQ$576,MATCH($M229,[1]RELAÇÃO!$AP$1:$AP$576,0),7)))</f>
        <v>SPE / CHEFIA DE GABINETE SPE</v>
      </c>
      <c r="M229" s="280" t="s">
        <v>564</v>
      </c>
      <c r="N229" s="288"/>
    </row>
    <row r="230" spans="1:14" ht="23.25" x14ac:dyDescent="0.25">
      <c r="A230" s="360" t="s">
        <v>565</v>
      </c>
      <c r="B230" s="343" t="s">
        <v>566</v>
      </c>
      <c r="C230" s="274" t="s">
        <v>206</v>
      </c>
      <c r="D230" s="274" t="s">
        <v>187</v>
      </c>
      <c r="E230" s="275" t="str">
        <f>INDEX([1]RELAÇÃO!$A$1:$AQ$576,MATCH($M230,[1]RELAÇÃO!$AP$1:$AP$576,0),1)</f>
        <v>THIAGO GUILHERME FERREIRA PRADO</v>
      </c>
      <c r="F230" s="276" t="str">
        <f>IF(E230=0,"-",LEFT(INDEX([1]RELAÇÃO!$A$1:$AQ$576,MATCH($M230,[1]RELAÇÃO!$AP$1:$AP$576,0),32),1))</f>
        <v>M</v>
      </c>
      <c r="G230" s="275" t="str">
        <f>IF(E230=0,"-",INDEX([1]RELAÇÃO!$A$1:$AQ$576,MATCH($M230,[1]RELAÇÃO!$AP$1:$AP$576,0),5))</f>
        <v>Requisitado de Órgãos</v>
      </c>
      <c r="H230" s="275" t="str">
        <f>IF(E230=0,"-",INDEX([1]RELAÇÃO!$A$1:$AQ$576,MATCH($M230,[1]RELAÇÃO!$AP$1:$AP$576,0),6))</f>
        <v>ANEEL - Agência Nacional de Energia Elétrica</v>
      </c>
      <c r="I230" s="275" t="str">
        <f>IF(E230=0,"-",INDEX([1]RELAÇÃO!$A$1:$AQ$576,MATCH($M230,[1]RELAÇÃO!$AP$1:$AP$576,0),12)&amp;INDEX([1]RELAÇÃO!$A$1:$AQ$576,MATCH($M230,[1]RELAÇÃO!$AP$1:$AP$576,0),13)&amp;", de "&amp;INDEX([1]RELAÇÃO!$A$1:$AQ$576,MATCH($M230,[1]RELAÇÃO!$AP$1:$AP$576,0),14)&amp;" - "&amp;INDEX([1]RELAÇÃO!$A$1:$AQ$576,MATCH($M230,[1]RELAÇÃO!$AP$1:$AP$576,0),16)&amp;" de "&amp;INDEX([1]RELAÇÃO!$A$1:$AQ$576,MATCH($M230,[1]RELAÇÃO!$AP$1:$AP$576,0),15))</f>
        <v>Portaria nº 1358, de 01/03/2019 - DOU de 06/03/2019</v>
      </c>
      <c r="J230" s="277">
        <f>INDEX([1]RELAÇÃO!$A$1:$AQ$576,MATCH($N230,[1]RELAÇÃO!$AQ$1:$AQ$576,0),1)</f>
        <v>0</v>
      </c>
      <c r="K230" s="395" t="str">
        <f>IF(J230=0,"-",INDEX([1]RELAÇÃO!$A$1:$AQ$576,MATCH($N230,[1]RELAÇÃO!$AQ$1:$AQ$576,0),27)&amp;INDEX([1]RELAÇÃO!$A$1:$AQ$576,MATCH($N230,[1]RELAÇÃO!$AQ$1:$AQ$576,0),28)&amp;", de "&amp;INDEX([1]RELAÇÃO!$A$1:$AQ$576,MATCH($N230,[1]RELAÇÃO!$AQ$1:$AQ$576,0),29)&amp;" - "&amp;INDEX([1]RELAÇÃO!$A$1:$AQ$576,MATCH($N230,[1]RELAÇÃO!$AQ$1:$AQ$576,0),31)&amp;" de "&amp;INDEX([1]RELAÇÃO!$A$1:$AQ$576,MATCH($N230,[1]RELAÇÃO!$AQ$1:$AQ$576,0),30))</f>
        <v>-</v>
      </c>
      <c r="L230" s="287" t="str">
        <f>IF($E230=0,"-",IF(INDEX([1]RELAÇÃO!$A$1:$AQ$576,MATCH($M230,[1]RELAÇÃO!$AP$1:$AP$576,0),8)="10.101.000","-",INDEX([1]RELAÇÃO!$A$1:$AQ$576,MATCH($M230,[1]RELAÇÃO!$AP$1:$AP$576,0),7)))</f>
        <v>-</v>
      </c>
      <c r="M230" s="280" t="s">
        <v>567</v>
      </c>
      <c r="N230" s="280" t="s">
        <v>568</v>
      </c>
    </row>
    <row r="231" spans="1:14" ht="23.25" x14ac:dyDescent="0.25">
      <c r="A231" s="361"/>
      <c r="B231" s="345" t="s">
        <v>211</v>
      </c>
      <c r="C231" s="273" t="s">
        <v>212</v>
      </c>
      <c r="D231" s="273" t="s">
        <v>193</v>
      </c>
      <c r="E231" s="275" t="str">
        <f>INDEX([1]RELAÇÃO!$A$1:$AQ$576,MATCH($M231,[1]RELAÇÃO!$AP$1:$AP$576,0),1)</f>
        <v>LORENA MELO SILVA</v>
      </c>
      <c r="F231" s="276" t="str">
        <f>IF(E231=0,"-",LEFT(INDEX([1]RELAÇÃO!$A$1:$AQ$576,MATCH($M231,[1]RELAÇÃO!$AP$1:$AP$576,0),32),1))</f>
        <v>F</v>
      </c>
      <c r="G231" s="275" t="str">
        <f>IF(E231=0,"-",INDEX([1]RELAÇÃO!$A$1:$AQ$576,MATCH($M231,[1]RELAÇÃO!$AP$1:$AP$576,0),5))</f>
        <v>Exercício Descentralizado</v>
      </c>
      <c r="H231" s="275" t="str">
        <f>IF(E231=0,"-",INDEX([1]RELAÇÃO!$A$1:$AQ$576,MATCH($M231,[1]RELAÇÃO!$AP$1:$AP$576,0),6))</f>
        <v>ME - Ministério da Economia</v>
      </c>
      <c r="I231" s="275" t="str">
        <f>IF(E231=0,"-",INDEX([1]RELAÇÃO!$A$1:$AQ$576,MATCH($M231,[1]RELAÇÃO!$AP$1:$AP$576,0),12)&amp;INDEX([1]RELAÇÃO!$A$1:$AQ$576,MATCH($M231,[1]RELAÇÃO!$AP$1:$AP$576,0),13)&amp;", de "&amp;INDEX([1]RELAÇÃO!$A$1:$AQ$576,MATCH($M231,[1]RELAÇÃO!$AP$1:$AP$576,0),14)&amp;" - "&amp;INDEX([1]RELAÇÃO!$A$1:$AQ$576,MATCH($M231,[1]RELAÇÃO!$AP$1:$AP$576,0),16)&amp;" de "&amp;INDEX([1]RELAÇÃO!$A$1:$AQ$576,MATCH($M231,[1]RELAÇÃO!$AP$1:$AP$576,0),15))</f>
        <v>Portaria nº 197, de 12/04/2019 - DOU de 17/04/2019</v>
      </c>
      <c r="J231" s="362"/>
      <c r="K231" s="310"/>
      <c r="L231" s="287" t="str">
        <f>IF($E231=0,"-",IF(INDEX([1]RELAÇÃO!$A$1:$AQ$576,MATCH($M231,[1]RELAÇÃO!$AP$1:$AP$576,0),8)="10.101.000","-",INDEX([1]RELAÇÃO!$A$1:$AQ$576,MATCH($M231,[1]RELAÇÃO!$AP$1:$AP$576,0),7)))</f>
        <v>-</v>
      </c>
      <c r="M231" s="280" t="s">
        <v>569</v>
      </c>
      <c r="N231" s="288"/>
    </row>
    <row r="232" spans="1:14" ht="23.25" x14ac:dyDescent="0.25">
      <c r="A232" s="361"/>
      <c r="B232" s="345" t="s">
        <v>191</v>
      </c>
      <c r="C232" s="273" t="s">
        <v>192</v>
      </c>
      <c r="D232" s="273" t="s">
        <v>193</v>
      </c>
      <c r="E232" s="275" t="str">
        <f>INDEX([1]RELAÇÃO!$A$1:$AQ$576,MATCH($M232,[1]RELAÇÃO!$AP$1:$AP$576,0),1)</f>
        <v>GUILHERME ZANETTI ROSA</v>
      </c>
      <c r="F232" s="276" t="str">
        <f>IF(E232=0,"-",LEFT(INDEX([1]RELAÇÃO!$A$1:$AQ$576,MATCH($M232,[1]RELAÇÃO!$AP$1:$AP$576,0),32),1))</f>
        <v>M</v>
      </c>
      <c r="G232" s="275" t="str">
        <f>IF(E232=0,"-",INDEX([1]RELAÇÃO!$A$1:$AQ$576,MATCH($M232,[1]RELAÇÃO!$AP$1:$AP$576,0),5))</f>
        <v>Exercício Descentralizado</v>
      </c>
      <c r="H232" s="275" t="str">
        <f>IF(E232=0,"-",INDEX([1]RELAÇÃO!$A$1:$AQ$576,MATCH($M232,[1]RELAÇÃO!$AP$1:$AP$576,0),6))</f>
        <v>ME - Ministério da Economia</v>
      </c>
      <c r="I232" s="275" t="str">
        <f>IF(E232=0,"-",INDEX([1]RELAÇÃO!$A$1:$AQ$576,MATCH($M232,[1]RELAÇÃO!$AP$1:$AP$576,0),12)&amp;INDEX([1]RELAÇÃO!$A$1:$AQ$576,MATCH($M232,[1]RELAÇÃO!$AP$1:$AP$576,0),13)&amp;", de "&amp;INDEX([1]RELAÇÃO!$A$1:$AQ$576,MATCH($M232,[1]RELAÇÃO!$AP$1:$AP$576,0),14)&amp;" - "&amp;INDEX([1]RELAÇÃO!$A$1:$AQ$576,MATCH($M232,[1]RELAÇÃO!$AP$1:$AP$576,0),16)&amp;" de "&amp;INDEX([1]RELAÇÃO!$A$1:$AQ$576,MATCH($M232,[1]RELAÇÃO!$AP$1:$AP$576,0),15))</f>
        <v>Portaria nº 32, de 29/01/2018 - DOU de 30/01/2018</v>
      </c>
      <c r="J232" s="362"/>
      <c r="K232" s="310"/>
      <c r="L232" s="287" t="str">
        <f>IF($E232=0,"-",IF(INDEX([1]RELAÇÃO!$A$1:$AQ$576,MATCH($M232,[1]RELAÇÃO!$AP$1:$AP$576,0),8)="10.101.000","-",INDEX([1]RELAÇÃO!$A$1:$AQ$576,MATCH($M232,[1]RELAÇÃO!$AP$1:$AP$576,0),7)))</f>
        <v>SPE / DPE / COORDENAÇÃO GERAL DE PLANEJAMENTO DA TRANSMISSÃO</v>
      </c>
      <c r="M232" s="280" t="s">
        <v>570</v>
      </c>
      <c r="N232" s="288"/>
    </row>
    <row r="233" spans="1:14" ht="23.25" x14ac:dyDescent="0.25">
      <c r="A233" s="361"/>
      <c r="B233" s="345" t="s">
        <v>228</v>
      </c>
      <c r="C233" s="296" t="s">
        <v>231</v>
      </c>
      <c r="D233" s="273" t="s">
        <v>193</v>
      </c>
      <c r="E233" s="275" t="str">
        <f>INDEX([1]RELAÇÃO!$A$1:$AQ$576,MATCH($M233,[1]RELAÇÃO!$AP$1:$AP$576,0),1)</f>
        <v>GILDA MARIA LEITE DA FONSECA</v>
      </c>
      <c r="F233" s="276" t="str">
        <f>IF(E233=0,"-",LEFT(INDEX([1]RELAÇÃO!$A$1:$AQ$576,MATCH($M233,[1]RELAÇÃO!$AP$1:$AP$576,0),32),1))</f>
        <v>F</v>
      </c>
      <c r="G233" s="275" t="str">
        <f>IF(E233=0,"-",INDEX([1]RELAÇÃO!$A$1:$AQ$576,MATCH($M233,[1]RELAÇÃO!$AP$1:$AP$576,0),5))</f>
        <v>Ativo Permanente</v>
      </c>
      <c r="H233" s="275" t="str">
        <f>IF(E233=0,"-",INDEX([1]RELAÇÃO!$A$1:$AQ$576,MATCH($M233,[1]RELAÇÃO!$AP$1:$AP$576,0),6))</f>
        <v>MME - Ministério de Minas e Energia</v>
      </c>
      <c r="I233" s="275" t="str">
        <f>IF(E233=0,"-",INDEX([1]RELAÇÃO!$A$1:$AQ$576,MATCH($M233,[1]RELAÇÃO!$AP$1:$AP$576,0),12)&amp;INDEX([1]RELAÇÃO!$A$1:$AQ$576,MATCH($M233,[1]RELAÇÃO!$AP$1:$AP$576,0),13)&amp;", de "&amp;INDEX([1]RELAÇÃO!$A$1:$AQ$576,MATCH($M233,[1]RELAÇÃO!$AP$1:$AP$576,0),14)&amp;" - "&amp;INDEX([1]RELAÇÃO!$A$1:$AQ$576,MATCH($M233,[1]RELAÇÃO!$AP$1:$AP$576,0),16)&amp;" de "&amp;INDEX([1]RELAÇÃO!$A$1:$AQ$576,MATCH($M233,[1]RELAÇÃO!$AP$1:$AP$576,0),15))</f>
        <v>Portaria nº 524, de 03/11/2016 - BPE de 04/11/2016</v>
      </c>
      <c r="J233" s="362"/>
      <c r="K233" s="310"/>
      <c r="L233" s="287" t="str">
        <f>IF($E233=0,"-",IF(INDEX([1]RELAÇÃO!$A$1:$AQ$576,MATCH($M233,[1]RELAÇÃO!$AP$1:$AP$576,0),8)="10.101.000","-",INDEX([1]RELAÇÃO!$A$1:$AQ$576,MATCH($M233,[1]RELAÇÃO!$AP$1:$AP$576,0),7)))</f>
        <v>-</v>
      </c>
      <c r="M233" s="280" t="s">
        <v>571</v>
      </c>
      <c r="N233" s="288"/>
    </row>
    <row r="234" spans="1:14" ht="23.25" x14ac:dyDescent="0.25">
      <c r="A234" s="366" t="s">
        <v>572</v>
      </c>
      <c r="B234" s="343" t="s">
        <v>321</v>
      </c>
      <c r="C234" s="274" t="s">
        <v>186</v>
      </c>
      <c r="D234" s="274" t="s">
        <v>187</v>
      </c>
      <c r="E234" s="275" t="str">
        <f>INDEX([1]RELAÇÃO!$A$1:$AQ$576,MATCH($M234,[1]RELAÇÃO!$AP$1:$AP$576,0),1)</f>
        <v>ANTONIO ROBERTO COIMBRA</v>
      </c>
      <c r="F234" s="276" t="str">
        <f>IF(E234=0,"-",LEFT(INDEX([1]RELAÇÃO!$A$1:$AQ$576,MATCH($M234,[1]RELAÇÃO!$AP$1:$AP$576,0),32),1))</f>
        <v>M</v>
      </c>
      <c r="G234" s="275" t="str">
        <f>IF(E234=0,"-",INDEX([1]RELAÇÃO!$A$1:$AQ$576,MATCH($M234,[1]RELAÇÃO!$AP$1:$AP$576,0),5))</f>
        <v>Sem Vínculo</v>
      </c>
      <c r="H234" s="275" t="str">
        <f>IF(E234=0,"-",INDEX([1]RELAÇÃO!$A$1:$AQ$576,MATCH($M234,[1]RELAÇÃO!$AP$1:$AP$576,0),6))</f>
        <v>Sem Vínculo</v>
      </c>
      <c r="I234" s="275" t="str">
        <f>IF(E234=0,"-",INDEX([1]RELAÇÃO!$A$1:$AQ$576,MATCH($M234,[1]RELAÇÃO!$AP$1:$AP$576,0),12)&amp;INDEX([1]RELAÇÃO!$A$1:$AQ$576,MATCH($M234,[1]RELAÇÃO!$AP$1:$AP$576,0),13)&amp;", de "&amp;INDEX([1]RELAÇÃO!$A$1:$AQ$576,MATCH($M234,[1]RELAÇÃO!$AP$1:$AP$576,0),14)&amp;" - "&amp;INDEX([1]RELAÇÃO!$A$1:$AQ$576,MATCH($M234,[1]RELAÇÃO!$AP$1:$AP$576,0),16)&amp;" de "&amp;INDEX([1]RELAÇÃO!$A$1:$AQ$576,MATCH($M234,[1]RELAÇÃO!$AP$1:$AP$576,0),15))</f>
        <v>Portaria nº 157, de 07/03/2019 - DOU de 11/03/2019</v>
      </c>
      <c r="J234" s="307" t="str">
        <f>INDEX([1]RELAÇÃO!$A$1:$AQ$576,MATCH($N234,[1]RELAÇÃO!$AQ$1:$AQ$576,0),1)</f>
        <v>PAULO ÉRICO RAMOS DE OLIVEIRA</v>
      </c>
      <c r="K234" s="395" t="str">
        <f>IF(J234=0,"-",INDEX([1]RELAÇÃO!$A$1:$AQ$576,MATCH($N234,[1]RELAÇÃO!$AQ$1:$AQ$576,0),27)&amp;INDEX([1]RELAÇÃO!$A$1:$AQ$576,MATCH($N234,[1]RELAÇÃO!$AQ$1:$AQ$576,0),28)&amp;", de "&amp;INDEX([1]RELAÇÃO!$A$1:$AQ$576,MATCH($N234,[1]RELAÇÃO!$AQ$1:$AQ$576,0),29)&amp;" - "&amp;INDEX([1]RELAÇÃO!$A$1:$AQ$576,MATCH($N234,[1]RELAÇÃO!$AQ$1:$AQ$576,0),31)&amp;" de "&amp;INDEX([1]RELAÇÃO!$A$1:$AQ$576,MATCH($N234,[1]RELAÇÃO!$AQ$1:$AQ$576,0),30))</f>
        <v>Portaria nº 635, de 23/11/2016 - DOU de 24/11/2016</v>
      </c>
      <c r="L234" s="287" t="str">
        <f>IF($E234=0,"-",IF(INDEX([1]RELAÇÃO!$A$1:$AQ$576,MATCH($M234,[1]RELAÇÃO!$AP$1:$AP$576,0),8)="10.101.100","-",INDEX([1]RELAÇÃO!$A$1:$AQ$576,MATCH($M234,[1]RELAÇÃO!$AP$1:$AP$576,0),7)))</f>
        <v>-</v>
      </c>
      <c r="M234" s="280" t="s">
        <v>573</v>
      </c>
      <c r="N234" s="280" t="s">
        <v>574</v>
      </c>
    </row>
    <row r="235" spans="1:14" ht="23.25" x14ac:dyDescent="0.25">
      <c r="A235" s="360" t="s">
        <v>575</v>
      </c>
      <c r="B235" s="345" t="s">
        <v>321</v>
      </c>
      <c r="C235" s="273" t="s">
        <v>186</v>
      </c>
      <c r="D235" s="273" t="s">
        <v>187</v>
      </c>
      <c r="E235" s="300" t="str">
        <f>INDEX([1]RELAÇÃO!$A$1:$AQ$576,MATCH($M235,[1]RELAÇÃO!$AP$1:$AP$576,0),1)</f>
        <v>TARITA DA SILVA COSTA</v>
      </c>
      <c r="F235" s="301" t="str">
        <f>IF(E235=0,"-",LEFT(INDEX([1]RELAÇÃO!$A$1:$AQ$576,MATCH($M235,[1]RELAÇÃO!$AP$1:$AP$576,0),32),1))</f>
        <v>F</v>
      </c>
      <c r="G235" s="300" t="str">
        <f>IF(E235=0,"-",INDEX([1]RELAÇÃO!$A$1:$AQ$576,MATCH($M235,[1]RELAÇÃO!$AP$1:$AP$576,0),5))</f>
        <v>Exercício Descentralizado</v>
      </c>
      <c r="H235" s="300" t="str">
        <f>IF(E235=0,"-",INDEX([1]RELAÇÃO!$A$1:$AQ$576,MATCH($M235,[1]RELAÇÃO!$AP$1:$AP$576,0),6))</f>
        <v>ME - Ministério da Economia</v>
      </c>
      <c r="I235" s="300" t="str">
        <f>IF(E235=0,"-",INDEX([1]RELAÇÃO!$A$1:$AQ$576,MATCH($M235,[1]RELAÇÃO!$AP$1:$AP$576,0),12)&amp;INDEX([1]RELAÇÃO!$A$1:$AQ$576,MATCH($M235,[1]RELAÇÃO!$AP$1:$AP$576,0),13)&amp;", de "&amp;INDEX([1]RELAÇÃO!$A$1:$AQ$576,MATCH($M235,[1]RELAÇÃO!$AP$1:$AP$576,0),14)&amp;" - "&amp;INDEX([1]RELAÇÃO!$A$1:$AQ$576,MATCH($M235,[1]RELAÇÃO!$AP$1:$AP$576,0),16)&amp;" de "&amp;INDEX([1]RELAÇÃO!$A$1:$AQ$576,MATCH($M235,[1]RELAÇÃO!$AP$1:$AP$576,0),15))</f>
        <v>Portaria nº 30, de 29/01/2018 - DOU de 30/01/2018</v>
      </c>
      <c r="J235" s="307" t="str">
        <f>INDEX([1]RELAÇÃO!$A$1:$AQ$576,MATCH($N235,[1]RELAÇÃO!$AQ$1:$AQ$576,0),1)</f>
        <v>LORENA MELO SILVA</v>
      </c>
      <c r="K235" s="395" t="str">
        <f>IF(J235=0,"-",INDEX([1]RELAÇÃO!$A$1:$AQ$576,MATCH($N235,[1]RELAÇÃO!$AQ$1:$AQ$576,0),27)&amp;INDEX([1]RELAÇÃO!$A$1:$AQ$576,MATCH($N235,[1]RELAÇÃO!$AQ$1:$AQ$576,0),28)&amp;", de "&amp;INDEX([1]RELAÇÃO!$A$1:$AQ$576,MATCH($N235,[1]RELAÇÃO!$AQ$1:$AQ$576,0),29)&amp;" - "&amp;INDEX([1]RELAÇÃO!$A$1:$AQ$576,MATCH($N235,[1]RELAÇÃO!$AQ$1:$AQ$576,0),31)&amp;" de "&amp;INDEX([1]RELAÇÃO!$A$1:$AQ$576,MATCH($N235,[1]RELAÇÃO!$AQ$1:$AQ$576,0),30))</f>
        <v>Portaria nº 471, de 17/12/2019 - DOU de 19/12/2019</v>
      </c>
      <c r="L235" s="302" t="str">
        <f>IF($E235=0,"-",IF(INDEX([1]RELAÇÃO!$A$1:$AQ$576,MATCH($M235,[1]RELAÇÃO!$AP$1:$AP$576,0),8)="10.101.200","-",INDEX([1]RELAÇÃO!$A$1:$AQ$576,MATCH($M235,[1]RELAÇÃO!$AP$1:$AP$576,0),7)))</f>
        <v>-</v>
      </c>
      <c r="M235" s="280" t="s">
        <v>576</v>
      </c>
      <c r="N235" s="280" t="s">
        <v>577</v>
      </c>
    </row>
    <row r="236" spans="1:14" ht="23.25" x14ac:dyDescent="0.25">
      <c r="A236" s="360" t="s">
        <v>578</v>
      </c>
      <c r="B236" s="345" t="s">
        <v>321</v>
      </c>
      <c r="C236" s="273" t="s">
        <v>186</v>
      </c>
      <c r="D236" s="273" t="s">
        <v>187</v>
      </c>
      <c r="E236" s="300" t="str">
        <f>INDEX([1]RELAÇÃO!$A$1:$AQ$576,MATCH($M236,[1]RELAÇÃO!$AP$1:$AP$576,0),1)</f>
        <v>CASSIO GIULIANI CARVALHO</v>
      </c>
      <c r="F236" s="301" t="str">
        <f>IF(E236=0,"-",LEFT(INDEX([1]RELAÇÃO!$A$1:$AQ$576,MATCH($M236,[1]RELAÇÃO!$AP$1:$AP$576,0),32),1))</f>
        <v>M</v>
      </c>
      <c r="G236" s="300" t="str">
        <f>IF(E236=0,"-",INDEX([1]RELAÇÃO!$A$1:$AQ$576,MATCH($M236,[1]RELAÇÃO!$AP$1:$AP$576,0),5))</f>
        <v>Requisitado de Órgãos</v>
      </c>
      <c r="H236" s="300" t="str">
        <f>IF(E236=0,"-",INDEX([1]RELAÇÃO!$A$1:$AQ$576,MATCH($M236,[1]RELAÇÃO!$AP$1:$AP$576,0),6))</f>
        <v>ANAC - Agência Nacional de Aviação Civil</v>
      </c>
      <c r="I236" s="300" t="str">
        <f>IF(E236=0,"-",INDEX([1]RELAÇÃO!$A$1:$AQ$576,MATCH($M236,[1]RELAÇÃO!$AP$1:$AP$576,0),12)&amp;INDEX([1]RELAÇÃO!$A$1:$AQ$576,MATCH($M236,[1]RELAÇÃO!$AP$1:$AP$576,0),13)&amp;", de "&amp;INDEX([1]RELAÇÃO!$A$1:$AQ$576,MATCH($M236,[1]RELAÇÃO!$AP$1:$AP$576,0),14)&amp;" - "&amp;INDEX([1]RELAÇÃO!$A$1:$AQ$576,MATCH($M236,[1]RELAÇÃO!$AP$1:$AP$576,0),16)&amp;" de "&amp;INDEX([1]RELAÇÃO!$A$1:$AQ$576,MATCH($M236,[1]RELAÇÃO!$AP$1:$AP$576,0),15))</f>
        <v>Portaria nº 156, de 07/03/2019 - DOU de 11/03/2019</v>
      </c>
      <c r="J236" s="277" t="str">
        <f>INDEX([1]RELAÇÃO!$A$1:$AQ$576,MATCH($N236,[1]RELAÇÃO!$AQ$1:$AQ$576,0),1)</f>
        <v>GUSTAVO CERQUEIRA ATAIDE</v>
      </c>
      <c r="K236" s="395" t="str">
        <f>IF(J236=0,"-",INDEX([1]RELAÇÃO!$A$1:$AQ$576,MATCH($N236,[1]RELAÇÃO!$AQ$1:$AQ$576,0),27)&amp;INDEX([1]RELAÇÃO!$A$1:$AQ$576,MATCH($N236,[1]RELAÇÃO!$AQ$1:$AQ$576,0),28)&amp;", de "&amp;INDEX([1]RELAÇÃO!$A$1:$AQ$576,MATCH($N236,[1]RELAÇÃO!$AQ$1:$AQ$576,0),29)&amp;" - "&amp;INDEX([1]RELAÇÃO!$A$1:$AQ$576,MATCH($N236,[1]RELAÇÃO!$AQ$1:$AQ$576,0),31)&amp;" de "&amp;INDEX([1]RELAÇÃO!$A$1:$AQ$576,MATCH($N236,[1]RELAÇÃO!$AQ$1:$AQ$576,0),30))</f>
        <v>Portaria nº 381, de 21/10/2020 - DOU de 22/10/2020</v>
      </c>
      <c r="L236" s="287" t="str">
        <f>IF($E236=0,"-",IF(INDEX([1]RELAÇÃO!$A$1:$AQ$576,MATCH($M236,[1]RELAÇÃO!$AP$1:$AP$576,0),8)="10.101.300","-",INDEX([1]RELAÇÃO!$A$1:$AQ$576,MATCH($M236,[1]RELAÇÃO!$AP$1:$AP$576,0),7)))</f>
        <v>-</v>
      </c>
      <c r="M236" s="280" t="s">
        <v>579</v>
      </c>
      <c r="N236" s="280" t="s">
        <v>580</v>
      </c>
    </row>
    <row r="237" spans="1:14" ht="23.25" x14ac:dyDescent="0.25">
      <c r="A237" s="360" t="s">
        <v>581</v>
      </c>
      <c r="B237" s="345" t="s">
        <v>566</v>
      </c>
      <c r="C237" s="273" t="s">
        <v>206</v>
      </c>
      <c r="D237" s="273" t="s">
        <v>187</v>
      </c>
      <c r="E237" s="275" t="str">
        <f>INDEX([1]RELAÇÃO!$A$1:$AQ$576,MATCH($M237,[1]RELAÇÃO!$AP$1:$AP$576,0),1)</f>
        <v>CARLOS ALEXANDRE PRINCIPE PIRES</v>
      </c>
      <c r="F237" s="276" t="str">
        <f>IF(E237=0,"-",LEFT(INDEX([1]RELAÇÃO!$A$1:$AQ$576,MATCH($M237,[1]RELAÇÃO!$AP$1:$AP$576,0),32),1))</f>
        <v>M</v>
      </c>
      <c r="G237" s="275" t="str">
        <f>IF(E237=0,"-",INDEX([1]RELAÇÃO!$A$1:$AQ$576,MATCH($M237,[1]RELAÇÃO!$AP$1:$AP$576,0),5))</f>
        <v>Requisitado de Órgãos</v>
      </c>
      <c r="H237" s="275" t="str">
        <f>IF(E237=0,"-",INDEX([1]RELAÇÃO!$A$1:$AQ$576,MATCH($M237,[1]RELAÇÃO!$AP$1:$AP$576,0),6))</f>
        <v>ME - Ministério da Economia</v>
      </c>
      <c r="I237" s="275" t="str">
        <f>IF(E237=0,"-",INDEX([1]RELAÇÃO!$A$1:$AQ$576,MATCH($M237,[1]RELAÇÃO!$AP$1:$AP$576,0),12)&amp;INDEX([1]RELAÇÃO!$A$1:$AQ$576,MATCH($M237,[1]RELAÇÃO!$AP$1:$AP$576,0),13)&amp;", de "&amp;INDEX([1]RELAÇÃO!$A$1:$AQ$576,MATCH($M237,[1]RELAÇÃO!$AP$1:$AP$576,0),14)&amp;" - "&amp;INDEX([1]RELAÇÃO!$A$1:$AQ$576,MATCH($M237,[1]RELAÇÃO!$AP$1:$AP$576,0),16)&amp;" de "&amp;INDEX([1]RELAÇÃO!$A$1:$AQ$576,MATCH($M237,[1]RELAÇÃO!$AP$1:$AP$576,0),15))</f>
        <v>Portaria nº 2234, de 24/11/2016 - DOU de 25/11/2016</v>
      </c>
      <c r="J237" s="277" t="str">
        <f>INDEX([1]RELAÇÃO!$A$1:$AQ$576,MATCH($N237,[1]RELAÇÃO!$AQ$1:$AQ$576,0),1)</f>
        <v>LUIS FERNANDO BADANHAN</v>
      </c>
      <c r="K237" s="395" t="str">
        <f>IF(J237=0,"-",INDEX([1]RELAÇÃO!$A$1:$AQ$576,MATCH($N237,[1]RELAÇÃO!$AQ$1:$AQ$576,0),27)&amp;INDEX([1]RELAÇÃO!$A$1:$AQ$576,MATCH($N237,[1]RELAÇÃO!$AQ$1:$AQ$576,0),28)&amp;", de "&amp;INDEX([1]RELAÇÃO!$A$1:$AQ$576,MATCH($N237,[1]RELAÇÃO!$AQ$1:$AQ$576,0),29)&amp;" - "&amp;INDEX([1]RELAÇÃO!$A$1:$AQ$576,MATCH($N237,[1]RELAÇÃO!$AQ$1:$AQ$576,0),31)&amp;" de "&amp;INDEX([1]RELAÇÃO!$A$1:$AQ$576,MATCH($N237,[1]RELAÇÃO!$AQ$1:$AQ$576,0),30))</f>
        <v>Portaria nº 604, de 09/11/2016 - DOU de 10/11/2016</v>
      </c>
      <c r="L237" s="287" t="str">
        <f>IF($E237=0,"-",IF(INDEX([1]RELAÇÃO!$A$1:$AQ$576,MATCH($M237,[1]RELAÇÃO!$AP$1:$AP$576,0),8)="10.102.000","-",INDEX([1]RELAÇÃO!$A$1:$AQ$576,MATCH($M237,[1]RELAÇÃO!$AP$1:$AP$576,0),7)))</f>
        <v>-</v>
      </c>
      <c r="M237" s="280" t="s">
        <v>582</v>
      </c>
      <c r="N237" s="280" t="s">
        <v>583</v>
      </c>
    </row>
    <row r="238" spans="1:14" ht="23.25" x14ac:dyDescent="0.25">
      <c r="A238" s="361"/>
      <c r="B238" s="345" t="s">
        <v>228</v>
      </c>
      <c r="C238" s="273" t="s">
        <v>229</v>
      </c>
      <c r="D238" s="273" t="s">
        <v>193</v>
      </c>
      <c r="E238" s="275" t="str">
        <f>INDEX([1]RELAÇÃO!$A$1:$AQ$576,MATCH($M238,[1]RELAÇÃO!$AP$1:$AP$576,0),1)</f>
        <v>SANDRA REGINA DE ANDRADE</v>
      </c>
      <c r="F238" s="276" t="str">
        <f>IF(E238=0,"-",LEFT(INDEX([1]RELAÇÃO!$A$1:$AQ$576,MATCH($M238,[1]RELAÇÃO!$AP$1:$AP$576,0),32),1))</f>
        <v>F</v>
      </c>
      <c r="G238" s="275" t="str">
        <f>IF(E238=0,"-",INDEX([1]RELAÇÃO!$A$1:$AQ$576,MATCH($M238,[1]RELAÇÃO!$AP$1:$AP$576,0),5))</f>
        <v>Sem Vínculo</v>
      </c>
      <c r="H238" s="275" t="str">
        <f>IF(E238=0,"-",INDEX([1]RELAÇÃO!$A$1:$AQ$576,MATCH($M238,[1]RELAÇÃO!$AP$1:$AP$576,0),6))</f>
        <v>Sem Vínculo</v>
      </c>
      <c r="I238" s="275" t="str">
        <f>IF(E238=0,"-",INDEX([1]RELAÇÃO!$A$1:$AQ$576,MATCH($M238,[1]RELAÇÃO!$AP$1:$AP$576,0),12)&amp;INDEX([1]RELAÇÃO!$A$1:$AQ$576,MATCH($M238,[1]RELAÇÃO!$AP$1:$AP$576,0),13)&amp;", de "&amp;INDEX([1]RELAÇÃO!$A$1:$AQ$576,MATCH($M238,[1]RELAÇÃO!$AP$1:$AP$576,0),14)&amp;" - "&amp;INDEX([1]RELAÇÃO!$A$1:$AQ$576,MATCH($M238,[1]RELAÇÃO!$AP$1:$AP$576,0),16)&amp;" de "&amp;INDEX([1]RELAÇÃO!$A$1:$AQ$576,MATCH($M238,[1]RELAÇÃO!$AP$1:$AP$576,0),15))</f>
        <v>Portaria nº 567, de 03/11/2016 - DOU de 04/11/2016</v>
      </c>
      <c r="J238" s="362"/>
      <c r="K238" s="310"/>
      <c r="L238" s="287" t="str">
        <f>IF($E238=0,"-",IF(INDEX([1]RELAÇÃO!$A$1:$AQ$576,MATCH($M238,[1]RELAÇÃO!$AP$1:$AP$576,0),8)="10.102.000","-",INDEX([1]RELAÇÃO!$A$1:$AQ$576,MATCH($M238,[1]RELAÇÃO!$AP$1:$AP$576,0),7)))</f>
        <v>SPE / CHEFIA DE GABINETE SPE</v>
      </c>
      <c r="M238" s="280" t="s">
        <v>584</v>
      </c>
      <c r="N238" s="288"/>
    </row>
    <row r="239" spans="1:14" ht="23.25" x14ac:dyDescent="0.25">
      <c r="A239" s="361"/>
      <c r="B239" s="345" t="s">
        <v>228</v>
      </c>
      <c r="C239" s="296" t="s">
        <v>231</v>
      </c>
      <c r="D239" s="273" t="s">
        <v>193</v>
      </c>
      <c r="E239" s="275" t="str">
        <f>INDEX([1]RELAÇÃO!$A$1:$AQ$576,MATCH($M239,[1]RELAÇÃO!$AP$1:$AP$576,0),1)</f>
        <v>MARY PACHECO DE SOUZA</v>
      </c>
      <c r="F239" s="276" t="str">
        <f>IF(E239=0,"-",LEFT(INDEX([1]RELAÇÃO!$A$1:$AQ$576,MATCH($M239,[1]RELAÇÃO!$AP$1:$AP$576,0),32),1))</f>
        <v>F</v>
      </c>
      <c r="G239" s="275" t="str">
        <f>IF(E239=0,"-",INDEX([1]RELAÇÃO!$A$1:$AQ$576,MATCH($M239,[1]RELAÇÃO!$AP$1:$AP$576,0),5))</f>
        <v>Ativo Permanente</v>
      </c>
      <c r="H239" s="275" t="str">
        <f>IF(E239=0,"-",INDEX([1]RELAÇÃO!$A$1:$AQ$576,MATCH($M239,[1]RELAÇÃO!$AP$1:$AP$576,0),6))</f>
        <v>MME - Ministério de Minas e Energia</v>
      </c>
      <c r="I239" s="275" t="str">
        <f>IF(E239=0,"-",INDEX([1]RELAÇÃO!$A$1:$AQ$576,MATCH($M239,[1]RELAÇÃO!$AP$1:$AP$576,0),12)&amp;INDEX([1]RELAÇÃO!$A$1:$AQ$576,MATCH($M239,[1]RELAÇÃO!$AP$1:$AP$576,0),13)&amp;", de "&amp;INDEX([1]RELAÇÃO!$A$1:$AQ$576,MATCH($M239,[1]RELAÇÃO!$AP$1:$AP$576,0),14)&amp;" - "&amp;INDEX([1]RELAÇÃO!$A$1:$AQ$576,MATCH($M239,[1]RELAÇÃO!$AP$1:$AP$576,0),16)&amp;" de "&amp;INDEX([1]RELAÇÃO!$A$1:$AQ$576,MATCH($M239,[1]RELAÇÃO!$AP$1:$AP$576,0),15))</f>
        <v>Portaria nº 137, de 18/02/2019 - DOU de 22/02/2019</v>
      </c>
      <c r="J239" s="362"/>
      <c r="K239" s="310"/>
      <c r="L239" s="287" t="str">
        <f>IF($E239=0,"-",IF(INDEX([1]RELAÇÃO!$A$1:$AQ$576,MATCH($M239,[1]RELAÇÃO!$AP$1:$AP$576,0),8)="10.102.000","-",INDEX([1]RELAÇÃO!$A$1:$AQ$576,MATCH($M239,[1]RELAÇÃO!$AP$1:$AP$576,0),7)))</f>
        <v>SPE / CHEFIA DE GABINETE SPE</v>
      </c>
      <c r="M239" s="280" t="s">
        <v>585</v>
      </c>
      <c r="N239" s="288"/>
    </row>
    <row r="240" spans="1:14" ht="23.25" x14ac:dyDescent="0.25">
      <c r="A240" s="360" t="s">
        <v>586</v>
      </c>
      <c r="B240" s="343" t="s">
        <v>321</v>
      </c>
      <c r="C240" s="274" t="s">
        <v>186</v>
      </c>
      <c r="D240" s="274" t="s">
        <v>187</v>
      </c>
      <c r="E240" s="275" t="str">
        <f>INDEX([1]RELAÇÃO!$A$1:$AQ$576,MATCH($M240,[1]RELAÇÃO!$AP$1:$AP$576,0),1)</f>
        <v>SAMIRA SANA FERNANDES DE SOUSA CARMO</v>
      </c>
      <c r="F240" s="276" t="str">
        <f>IF(E240=0,"-",LEFT(INDEX([1]RELAÇÃO!$A$1:$AQ$576,MATCH($M240,[1]RELAÇÃO!$AP$1:$AP$576,0),32),1))</f>
        <v>F</v>
      </c>
      <c r="G240" s="275" t="str">
        <f>IF(E240=0,"-",INDEX([1]RELAÇÃO!$A$1:$AQ$576,MATCH($M240,[1]RELAÇÃO!$AP$1:$AP$576,0),5))</f>
        <v>Requisitado de Órgãos</v>
      </c>
      <c r="H240" s="275" t="str">
        <f>IF(E240=0,"-",INDEX([1]RELAÇÃO!$A$1:$AQ$576,MATCH($M240,[1]RELAÇÃO!$AP$1:$AP$576,0),6))</f>
        <v>ME - Ministério da Economia</v>
      </c>
      <c r="I240" s="275" t="str">
        <f>IF(E240=0,"-",INDEX([1]RELAÇÃO!$A$1:$AQ$576,MATCH($M240,[1]RELAÇÃO!$AP$1:$AP$576,0),12)&amp;INDEX([1]RELAÇÃO!$A$1:$AQ$576,MATCH($M240,[1]RELAÇÃO!$AP$1:$AP$576,0),13)&amp;", de "&amp;INDEX([1]RELAÇÃO!$A$1:$AQ$576,MATCH($M240,[1]RELAÇÃO!$AP$1:$AP$576,0),14)&amp;" - "&amp;INDEX([1]RELAÇÃO!$A$1:$AQ$576,MATCH($M240,[1]RELAÇÃO!$AP$1:$AP$576,0),16)&amp;" de "&amp;INDEX([1]RELAÇÃO!$A$1:$AQ$576,MATCH($M240,[1]RELAÇÃO!$AP$1:$AP$576,0),15))</f>
        <v>Portaria nº 66, de 01/03/2018 - DOU de 02/03/2018</v>
      </c>
      <c r="J240" s="277" t="str">
        <f>INDEX([1]RELAÇÃO!$A$1:$AQ$576,MATCH($N240,[1]RELAÇÃO!$AQ$1:$AQ$576,0),1)</f>
        <v>ALEXANDRA ALBUQUERQUE MACIEL</v>
      </c>
      <c r="K240" s="395" t="str">
        <f>IF(J240=0,"-",INDEX([1]RELAÇÃO!$A$1:$AQ$576,MATCH($N240,[1]RELAÇÃO!$AQ$1:$AQ$576,0),27)&amp;INDEX([1]RELAÇÃO!$A$1:$AQ$576,MATCH($N240,[1]RELAÇÃO!$AQ$1:$AQ$576,0),28)&amp;", de "&amp;INDEX([1]RELAÇÃO!$A$1:$AQ$576,MATCH($N240,[1]RELAÇÃO!$AQ$1:$AQ$576,0),29)&amp;" - "&amp;INDEX([1]RELAÇÃO!$A$1:$AQ$576,MATCH($N240,[1]RELAÇÃO!$AQ$1:$AQ$576,0),31)&amp;" de "&amp;INDEX([1]RELAÇÃO!$A$1:$AQ$576,MATCH($N240,[1]RELAÇÃO!$AQ$1:$AQ$576,0),30))</f>
        <v>Portaria nº 316, de 14/08/2019 - DOU de 15/08/2019</v>
      </c>
      <c r="L240" s="287" t="str">
        <f>IF($E240=0,"-",IF(INDEX([1]RELAÇÃO!$A$1:$AQ$576,MATCH($M240,[1]RELAÇÃO!$AP$1:$AP$576,0),8)="10.102.100","-",INDEX([1]RELAÇÃO!$A$1:$AQ$576,MATCH($M240,[1]RELAÇÃO!$AP$1:$AP$576,0),7)))</f>
        <v>-</v>
      </c>
      <c r="M240" s="280" t="s">
        <v>587</v>
      </c>
      <c r="N240" s="280" t="s">
        <v>588</v>
      </c>
    </row>
    <row r="241" spans="1:14" ht="23.25" x14ac:dyDescent="0.25">
      <c r="A241" s="360" t="s">
        <v>589</v>
      </c>
      <c r="B241" s="343" t="s">
        <v>321</v>
      </c>
      <c r="C241" s="299" t="s">
        <v>279</v>
      </c>
      <c r="D241" s="274" t="s">
        <v>187</v>
      </c>
      <c r="E241" s="275" t="str">
        <f>INDEX([1]RELAÇÃO!$A$1:$AQ$576,MATCH($M241,[1]RELAÇÃO!$AP$1:$AP$576,0),1)</f>
        <v>LUIS FERNANDO BADANHAN</v>
      </c>
      <c r="F241" s="276" t="str">
        <f>IF(E241=0,"-",LEFT(INDEX([1]RELAÇÃO!$A$1:$AQ$576,MATCH($M241,[1]RELAÇÃO!$AP$1:$AP$576,0),32),1))</f>
        <v>M</v>
      </c>
      <c r="G241" s="275" t="str">
        <f>IF(E241=0,"-",INDEX([1]RELAÇÃO!$A$1:$AQ$576,MATCH($M241,[1]RELAÇÃO!$AP$1:$AP$576,0),5))</f>
        <v>Exercício Descentralizado</v>
      </c>
      <c r="H241" s="275" t="str">
        <f>IF(E241=0,"-",INDEX([1]RELAÇÃO!$A$1:$AQ$576,MATCH($M241,[1]RELAÇÃO!$AP$1:$AP$576,0),6))</f>
        <v>ME - Ministério da Economia</v>
      </c>
      <c r="I241" s="275" t="str">
        <f>IF(E241=0,"-",INDEX([1]RELAÇÃO!$A$1:$AQ$576,MATCH($M241,[1]RELAÇÃO!$AP$1:$AP$576,0),12)&amp;INDEX([1]RELAÇÃO!$A$1:$AQ$576,MATCH($M241,[1]RELAÇÃO!$AP$1:$AP$576,0),13)&amp;", de "&amp;INDEX([1]RELAÇÃO!$A$1:$AQ$576,MATCH($M241,[1]RELAÇÃO!$AP$1:$AP$576,0),14)&amp;" - "&amp;INDEX([1]RELAÇÃO!$A$1:$AQ$576,MATCH($M241,[1]RELAÇÃO!$AP$1:$AP$576,0),16)&amp;" de "&amp;INDEX([1]RELAÇÃO!$A$1:$AQ$576,MATCH($M241,[1]RELAÇÃO!$AP$1:$AP$576,0),15))</f>
        <v>Portaria nº 524, de 03/11/2016 - BPE de 04/11/2016</v>
      </c>
      <c r="J241" s="277" t="str">
        <f>INDEX([1]RELAÇÃO!$A$1:$AQ$576,MATCH($N241,[1]RELAÇÃO!$AQ$1:$AQ$576,0),1)</f>
        <v>VALDIR BORGES SOUZA JUNIOR</v>
      </c>
      <c r="K241" s="395" t="str">
        <f>IF(J241=0,"-",INDEX([1]RELAÇÃO!$A$1:$AQ$576,MATCH($N241,[1]RELAÇÃO!$AQ$1:$AQ$576,0),27)&amp;INDEX([1]RELAÇÃO!$A$1:$AQ$576,MATCH($N241,[1]RELAÇÃO!$AQ$1:$AQ$576,0),28)&amp;", de "&amp;INDEX([1]RELAÇÃO!$A$1:$AQ$576,MATCH($N241,[1]RELAÇÃO!$AQ$1:$AQ$576,0),29)&amp;" - "&amp;INDEX([1]RELAÇÃO!$A$1:$AQ$576,MATCH($N241,[1]RELAÇÃO!$AQ$1:$AQ$576,0),31)&amp;" de "&amp;INDEX([1]RELAÇÃO!$A$1:$AQ$576,MATCH($N241,[1]RELAÇÃO!$AQ$1:$AQ$576,0),30))</f>
        <v>Portaria nº 704, de 13/12/2016 - DOU de 14/12/2016</v>
      </c>
      <c r="L241" s="287" t="str">
        <f>IF($E241=0,"-",IF(INDEX([1]RELAÇÃO!$A$1:$AQ$576,MATCH($M241,[1]RELAÇÃO!$AP$1:$AP$576,0),8)="10.102.200","-",INDEX([1]RELAÇÃO!$A$1:$AQ$576,MATCH($M241,[1]RELAÇÃO!$AP$1:$AP$576,0),7)))</f>
        <v>-</v>
      </c>
      <c r="M241" s="280" t="s">
        <v>590</v>
      </c>
      <c r="N241" s="280" t="s">
        <v>591</v>
      </c>
    </row>
    <row r="242" spans="1:14" ht="23.25" x14ac:dyDescent="0.25">
      <c r="A242" s="360" t="s">
        <v>592</v>
      </c>
      <c r="B242" s="343" t="s">
        <v>321</v>
      </c>
      <c r="C242" s="274" t="s">
        <v>186</v>
      </c>
      <c r="D242" s="274" t="s">
        <v>187</v>
      </c>
      <c r="E242" s="275" t="str">
        <f>INDEX([1]RELAÇÃO!$A$1:$AQ$576,MATCH($M242,[1]RELAÇÃO!$AP$1:$AP$576,0),1)</f>
        <v>LIVIO TEIXEIRA DE ANDRADE FILHO</v>
      </c>
      <c r="F242" s="276" t="str">
        <f>IF(E242=0,"-",LEFT(INDEX([1]RELAÇÃO!$A$1:$AQ$576,MATCH($M242,[1]RELAÇÃO!$AP$1:$AP$576,0),32),1))</f>
        <v>M</v>
      </c>
      <c r="G242" s="275" t="str">
        <f>IF(E242=0,"-",INDEX([1]RELAÇÃO!$A$1:$AQ$576,MATCH($M242,[1]RELAÇÃO!$AP$1:$AP$576,0),5))</f>
        <v>Exercício Descentralizado</v>
      </c>
      <c r="H242" s="275" t="str">
        <f>IF(E242=0,"-",INDEX([1]RELAÇÃO!$A$1:$AQ$576,MATCH($M242,[1]RELAÇÃO!$AP$1:$AP$576,0),6))</f>
        <v>ME - Ministério da Economia</v>
      </c>
      <c r="I242" s="275" t="str">
        <f>IF(E242=0,"-",INDEX([1]RELAÇÃO!$A$1:$AQ$576,MATCH($M242,[1]RELAÇÃO!$AP$1:$AP$576,0),12)&amp;INDEX([1]RELAÇÃO!$A$1:$AQ$576,MATCH($M242,[1]RELAÇÃO!$AP$1:$AP$576,0),13)&amp;", de "&amp;INDEX([1]RELAÇÃO!$A$1:$AQ$576,MATCH($M242,[1]RELAÇÃO!$AP$1:$AP$576,0),14)&amp;" - "&amp;INDEX([1]RELAÇÃO!$A$1:$AQ$576,MATCH($M242,[1]RELAÇÃO!$AP$1:$AP$576,0),16)&amp;" de "&amp;INDEX([1]RELAÇÃO!$A$1:$AQ$576,MATCH($M242,[1]RELAÇÃO!$AP$1:$AP$576,0),15))</f>
        <v>Portaria nº 568, de 03/11/2016 - DOU de 04/11/2016</v>
      </c>
      <c r="J242" s="277">
        <f>INDEX([1]RELAÇÃO!$A$1:$AQ$576,MATCH($N242,[1]RELAÇÃO!$AQ$1:$AQ$576,0),1)</f>
        <v>0</v>
      </c>
      <c r="K242" s="395" t="str">
        <f>IF(J242=0,"-",INDEX([1]RELAÇÃO!$A$1:$AQ$576,MATCH($N242,[1]RELAÇÃO!$AQ$1:$AQ$576,0),27)&amp;INDEX([1]RELAÇÃO!$A$1:$AQ$576,MATCH($N242,[1]RELAÇÃO!$AQ$1:$AQ$576,0),28)&amp;", de "&amp;INDEX([1]RELAÇÃO!$A$1:$AQ$576,MATCH($N242,[1]RELAÇÃO!$AQ$1:$AQ$576,0),29)&amp;" - "&amp;INDEX([1]RELAÇÃO!$A$1:$AQ$576,MATCH($N242,[1]RELAÇÃO!$AQ$1:$AQ$576,0),31)&amp;" de "&amp;INDEX([1]RELAÇÃO!$A$1:$AQ$576,MATCH($N242,[1]RELAÇÃO!$AQ$1:$AQ$576,0),30))</f>
        <v>-</v>
      </c>
      <c r="L242" s="287" t="str">
        <f>IF($E242=0,"-",IF(INDEX([1]RELAÇÃO!$A$1:$AQ$576,MATCH($M242,[1]RELAÇÃO!$AP$1:$AP$576,0),8)="10.102.300","-",INDEX([1]RELAÇÃO!$A$1:$AQ$576,MATCH($M242,[1]RELAÇÃO!$AP$1:$AP$576,0),7)))</f>
        <v>-</v>
      </c>
      <c r="M242" s="280" t="s">
        <v>593</v>
      </c>
      <c r="N242" s="280" t="s">
        <v>594</v>
      </c>
    </row>
    <row r="243" spans="1:14" ht="23.25" x14ac:dyDescent="0.25">
      <c r="A243" s="529" t="s">
        <v>595</v>
      </c>
      <c r="B243" s="343" t="s">
        <v>566</v>
      </c>
      <c r="C243" s="274" t="s">
        <v>206</v>
      </c>
      <c r="D243" s="274" t="s">
        <v>187</v>
      </c>
      <c r="E243" s="275" t="str">
        <f>INDEX([1]RELAÇÃO!$A$1:$AQ$576,MATCH($M243,[1]RELAÇÃO!$AP$1:$AP$576,0),1)</f>
        <v>ANDRE KRAUSS QUEIROZ</v>
      </c>
      <c r="F243" s="276" t="str">
        <f>IF(E243=0,"-",LEFT(INDEX([1]RELAÇÃO!$A$1:$AQ$576,MATCH($M243,[1]RELAÇÃO!$AP$1:$AP$576,0),32),1))</f>
        <v>M</v>
      </c>
      <c r="G243" s="275" t="str">
        <f>IF(E243=0,"-",INDEX([1]RELAÇÃO!$A$1:$AQ$576,MATCH($M243,[1]RELAÇÃO!$AP$1:$AP$576,0),5))</f>
        <v>Exercício Descentralizado</v>
      </c>
      <c r="H243" s="275" t="str">
        <f>IF(E243=0,"-",INDEX([1]RELAÇÃO!$A$1:$AQ$576,MATCH($M243,[1]RELAÇÃO!$AP$1:$AP$576,0),6))</f>
        <v>ME - Ministério da Economia</v>
      </c>
      <c r="I243" s="275" t="str">
        <f>IF(E243=0,"-",INDEX([1]RELAÇÃO!$A$1:$AQ$576,MATCH($M243,[1]RELAÇÃO!$AP$1:$AP$576,0),12)&amp;INDEX([1]RELAÇÃO!$A$1:$AQ$576,MATCH($M243,[1]RELAÇÃO!$AP$1:$AP$576,0),13)&amp;", de "&amp;INDEX([1]RELAÇÃO!$A$1:$AQ$576,MATCH($M243,[1]RELAÇÃO!$AP$1:$AP$576,0),14)&amp;" - "&amp;INDEX([1]RELAÇÃO!$A$1:$AQ$576,MATCH($M243,[1]RELAÇÃO!$AP$1:$AP$576,0),16)&amp;" de "&amp;INDEX([1]RELAÇÃO!$A$1:$AQ$576,MATCH($M243,[1]RELAÇÃO!$AP$1:$AP$576,0),15))</f>
        <v>Portaria nº 1035, de 13/11/2017 - DOU de 14/11/2017</v>
      </c>
      <c r="J243" s="307" t="str">
        <f>INDEX([1]RELAÇÃO!$A$1:$AQ$576,MATCH($N243,[1]RELAÇÃO!$AQ$1:$AQ$576,0),1)</f>
        <v>MAURICIO DE OLIVEIRA ABI CHAIN</v>
      </c>
      <c r="K243" s="395" t="str">
        <f>IF(J243=0,"-",INDEX([1]RELAÇÃO!$A$1:$AQ$576,MATCH($N243,[1]RELAÇÃO!$AQ$1:$AQ$576,0),27)&amp;INDEX([1]RELAÇÃO!$A$1:$AQ$576,MATCH($N243,[1]RELAÇÃO!$AQ$1:$AQ$576,0),28)&amp;", de "&amp;INDEX([1]RELAÇÃO!$A$1:$AQ$576,MATCH($N243,[1]RELAÇÃO!$AQ$1:$AQ$576,0),29)&amp;" - "&amp;INDEX([1]RELAÇÃO!$A$1:$AQ$576,MATCH($N243,[1]RELAÇÃO!$AQ$1:$AQ$576,0),31)&amp;" de "&amp;INDEX([1]RELAÇÃO!$A$1:$AQ$576,MATCH($N243,[1]RELAÇÃO!$AQ$1:$AQ$576,0),30))</f>
        <v>Portaria nº 279, de 26/08/2008 - DOU de 27/08/2008</v>
      </c>
      <c r="L243" s="287" t="str">
        <f>IF($E243=0,"-",IF(INDEX([1]RELAÇÃO!$A$1:$AQ$576,MATCH($M243,[1]RELAÇÃO!$AP$1:$AP$576,0),8)="10.103.000","-",INDEX([1]RELAÇÃO!$A$1:$AQ$576,MATCH($M243,[1]RELAÇÃO!$AP$1:$AP$576,0),7)))</f>
        <v>-</v>
      </c>
      <c r="M243" s="280" t="s">
        <v>596</v>
      </c>
      <c r="N243" s="280" t="s">
        <v>597</v>
      </c>
    </row>
    <row r="244" spans="1:14" ht="23.25" x14ac:dyDescent="0.25">
      <c r="A244" s="530"/>
      <c r="B244" s="345" t="s">
        <v>228</v>
      </c>
      <c r="C244" s="273" t="s">
        <v>229</v>
      </c>
      <c r="D244" s="273" t="s">
        <v>193</v>
      </c>
      <c r="E244" s="275" t="str">
        <f>INDEX([1]RELAÇÃO!$A$1:$AQ$576,MATCH($M244,[1]RELAÇÃO!$AP$1:$AP$576,0),1)</f>
        <v>JULIANA PEREIRA DA SILVA</v>
      </c>
      <c r="F244" s="276" t="str">
        <f>IF(E244=0,"-",LEFT(INDEX([1]RELAÇÃO!$A$1:$AQ$576,MATCH($M244,[1]RELAÇÃO!$AP$1:$AP$576,0),32),1))</f>
        <v>F</v>
      </c>
      <c r="G244" s="275" t="str">
        <f>IF(E244=0,"-",INDEX([1]RELAÇÃO!$A$1:$AQ$576,MATCH($M244,[1]RELAÇÃO!$AP$1:$AP$576,0),5))</f>
        <v>Sem Vínculo</v>
      </c>
      <c r="H244" s="275" t="str">
        <f>IF(E244=0,"-",INDEX([1]RELAÇÃO!$A$1:$AQ$576,MATCH($M244,[1]RELAÇÃO!$AP$1:$AP$576,0),6))</f>
        <v>Sem Vínculo</v>
      </c>
      <c r="I244" s="275" t="str">
        <f>IF(E244=0,"-",INDEX([1]RELAÇÃO!$A$1:$AQ$576,MATCH($M244,[1]RELAÇÃO!$AP$1:$AP$576,0),12)&amp;INDEX([1]RELAÇÃO!$A$1:$AQ$576,MATCH($M244,[1]RELAÇÃO!$AP$1:$AP$576,0),13)&amp;", de "&amp;INDEX([1]RELAÇÃO!$A$1:$AQ$576,MATCH($M244,[1]RELAÇÃO!$AP$1:$AP$576,0),14)&amp;" - "&amp;INDEX([1]RELAÇÃO!$A$1:$AQ$576,MATCH($M244,[1]RELAÇÃO!$AP$1:$AP$576,0),16)&amp;" de "&amp;INDEX([1]RELAÇÃO!$A$1:$AQ$576,MATCH($M244,[1]RELAÇÃO!$AP$1:$AP$576,0),15))</f>
        <v>Portaria nº 524, de 03/11/2016 - BPE de 04/11/2016</v>
      </c>
      <c r="J244" s="362"/>
      <c r="K244" s="310"/>
      <c r="L244" s="287" t="str">
        <f>IF($E244=0,"-",IF(INDEX([1]RELAÇÃO!$A$1:$AQ$576,MATCH($M244,[1]RELAÇÃO!$AP$1:$AP$576,0),8)="10.103.000","-",INDEX([1]RELAÇÃO!$A$1:$AQ$576,MATCH($M244,[1]RELAÇÃO!$AP$1:$AP$576,0),7)))</f>
        <v>-</v>
      </c>
      <c r="M244" s="280" t="s">
        <v>598</v>
      </c>
      <c r="N244" s="288"/>
    </row>
    <row r="245" spans="1:14" ht="23.25" x14ac:dyDescent="0.25">
      <c r="A245" s="361"/>
      <c r="B245" s="345" t="s">
        <v>228</v>
      </c>
      <c r="C245" s="296" t="s">
        <v>231</v>
      </c>
      <c r="D245" s="273" t="s">
        <v>193</v>
      </c>
      <c r="E245" s="275" t="str">
        <f>INDEX([1]RELAÇÃO!$A$1:$AQ$576,MATCH($M245,[1]RELAÇÃO!$AP$1:$AP$576,0),1)</f>
        <v>ROGÉRIO GUEDES DA SILVA</v>
      </c>
      <c r="F245" s="276" t="str">
        <f>IF(E245=0,"-",LEFT(INDEX([1]RELAÇÃO!$A$1:$AQ$576,MATCH($M245,[1]RELAÇÃO!$AP$1:$AP$576,0),32),1))</f>
        <v>M</v>
      </c>
      <c r="G245" s="275" t="str">
        <f>IF(E245=0,"-",INDEX([1]RELAÇÃO!$A$1:$AQ$576,MATCH($M245,[1]RELAÇÃO!$AP$1:$AP$576,0),5))</f>
        <v>Exercício Descentralizado</v>
      </c>
      <c r="H245" s="275" t="str">
        <f>IF(E245=0,"-",INDEX([1]RELAÇÃO!$A$1:$AQ$576,MATCH($M245,[1]RELAÇÃO!$AP$1:$AP$576,0),6))</f>
        <v>ME - Ministério da Economia</v>
      </c>
      <c r="I245" s="275" t="str">
        <f>IF(E245=0,"-",INDEX([1]RELAÇÃO!$A$1:$AQ$576,MATCH($M245,[1]RELAÇÃO!$AP$1:$AP$576,0),12)&amp;INDEX([1]RELAÇÃO!$A$1:$AQ$576,MATCH($M245,[1]RELAÇÃO!$AP$1:$AP$576,0),13)&amp;", de "&amp;INDEX([1]RELAÇÃO!$A$1:$AQ$576,MATCH($M245,[1]RELAÇÃO!$AP$1:$AP$576,0),14)&amp;" - "&amp;INDEX([1]RELAÇÃO!$A$1:$AQ$576,MATCH($M245,[1]RELAÇÃO!$AP$1:$AP$576,0),16)&amp;" de "&amp;INDEX([1]RELAÇÃO!$A$1:$AQ$576,MATCH($M245,[1]RELAÇÃO!$AP$1:$AP$576,0),15))</f>
        <v>Portaria nº 455, de 23/11/2017 - DOU de 27/11/2017</v>
      </c>
      <c r="J245" s="362"/>
      <c r="K245" s="310"/>
      <c r="L245" s="287" t="str">
        <f>IF($E245=0,"-",IF(INDEX([1]RELAÇÃO!$A$1:$AQ$576,MATCH($M245,[1]RELAÇÃO!$AP$1:$AP$576,0),8)="10.103.000","-",INDEX([1]RELAÇÃO!$A$1:$AQ$576,MATCH($M245,[1]RELAÇÃO!$AP$1:$AP$576,0),7)))</f>
        <v>SPE / DOC / COORDENAÇÃO GERAL DE OUTORGAS DE SERVIÇOS DE TRANSMISSÃO E DISTRIBUIÇÃO DE ENERGIA</v>
      </c>
      <c r="M245" s="280" t="s">
        <v>599</v>
      </c>
      <c r="N245" s="288"/>
    </row>
    <row r="246" spans="1:14" ht="23.25" x14ac:dyDescent="0.25">
      <c r="A246" s="360" t="s">
        <v>600</v>
      </c>
      <c r="B246" s="343" t="s">
        <v>321</v>
      </c>
      <c r="C246" s="274" t="s">
        <v>186</v>
      </c>
      <c r="D246" s="274" t="s">
        <v>187</v>
      </c>
      <c r="E246" s="275" t="str">
        <f>INDEX([1]RELAÇÃO!$A$1:$AQ$576,MATCH($M246,[1]RELAÇÃO!$AP$1:$AP$576,0),1)</f>
        <v>ROGERIO SOUZA TAVARES</v>
      </c>
      <c r="F246" s="276" t="str">
        <f>IF(E246=0,"-",LEFT(INDEX([1]RELAÇÃO!$A$1:$AQ$576,MATCH($M246,[1]RELAÇÃO!$AP$1:$AP$576,0),32),1))</f>
        <v>M</v>
      </c>
      <c r="G246" s="275" t="str">
        <f>IF(E246=0,"-",INDEX([1]RELAÇÃO!$A$1:$AQ$576,MATCH($M246,[1]RELAÇÃO!$AP$1:$AP$576,0),5))</f>
        <v>Exercício Descentralizado</v>
      </c>
      <c r="H246" s="275" t="str">
        <f>IF(E246=0,"-",INDEX([1]RELAÇÃO!$A$1:$AQ$576,MATCH($M246,[1]RELAÇÃO!$AP$1:$AP$576,0),6))</f>
        <v>ME - Ministério da Economia</v>
      </c>
      <c r="I246" s="275" t="str">
        <f>IF(E246=0,"-",INDEX([1]RELAÇÃO!$A$1:$AQ$576,MATCH($M246,[1]RELAÇÃO!$AP$1:$AP$576,0),12)&amp;INDEX([1]RELAÇÃO!$A$1:$AQ$576,MATCH($M246,[1]RELAÇÃO!$AP$1:$AP$576,0),13)&amp;", de "&amp;INDEX([1]RELAÇÃO!$A$1:$AQ$576,MATCH($M246,[1]RELAÇÃO!$AP$1:$AP$576,0),14)&amp;" - "&amp;INDEX([1]RELAÇÃO!$A$1:$AQ$576,MATCH($M246,[1]RELAÇÃO!$AP$1:$AP$576,0),16)&amp;" de "&amp;INDEX([1]RELAÇÃO!$A$1:$AQ$576,MATCH($M246,[1]RELAÇÃO!$AP$1:$AP$576,0),15))</f>
        <v>Portaria nº 4, de 08/01/2018 - DOU de 10/01/2018</v>
      </c>
      <c r="J246" s="277" t="str">
        <f>INDEX([1]RELAÇÃO!$A$1:$AQ$576,MATCH($N246,[1]RELAÇÃO!$AQ$1:$AQ$576,0),1)</f>
        <v>ANTONIO DANTAS DE ALENCAR</v>
      </c>
      <c r="K246" s="395" t="str">
        <f>IF(J246=0,"-",INDEX([1]RELAÇÃO!$A$1:$AQ$576,MATCH($N246,[1]RELAÇÃO!$AQ$1:$AQ$576,0),27)&amp;INDEX([1]RELAÇÃO!$A$1:$AQ$576,MATCH($N246,[1]RELAÇÃO!$AQ$1:$AQ$576,0),28)&amp;", de "&amp;INDEX([1]RELAÇÃO!$A$1:$AQ$576,MATCH($N246,[1]RELAÇÃO!$AQ$1:$AQ$576,0),29)&amp;" - "&amp;INDEX([1]RELAÇÃO!$A$1:$AQ$576,MATCH($N246,[1]RELAÇÃO!$AQ$1:$AQ$576,0),31)&amp;" de "&amp;INDEX([1]RELAÇÃO!$A$1:$AQ$576,MATCH($N246,[1]RELAÇÃO!$AQ$1:$AQ$576,0),30))</f>
        <v>Portaria nº 327, de 10/08/2018 - DOU de 15/08/2018</v>
      </c>
      <c r="L246" s="287" t="str">
        <f>IF($E246=0,"-",IF(INDEX([1]RELAÇÃO!$A$1:$AQ$576,MATCH($M246,[1]RELAÇÃO!$AP$1:$AP$576,0),8)="10.103.100","-",INDEX([1]RELAÇÃO!$A$1:$AQ$576,MATCH($M246,[1]RELAÇÃO!$AP$1:$AP$576,0),7)))</f>
        <v>-</v>
      </c>
      <c r="M246" s="280" t="s">
        <v>601</v>
      </c>
      <c r="N246" s="280" t="s">
        <v>602</v>
      </c>
    </row>
    <row r="247" spans="1:14" ht="34.5" x14ac:dyDescent="0.25">
      <c r="A247" s="360" t="s">
        <v>603</v>
      </c>
      <c r="B247" s="343" t="s">
        <v>321</v>
      </c>
      <c r="C247" s="274" t="s">
        <v>186</v>
      </c>
      <c r="D247" s="274" t="s">
        <v>187</v>
      </c>
      <c r="E247" s="275" t="str">
        <f>INDEX([1]RELAÇÃO!$A$1:$AQ$576,MATCH($M247,[1]RELAÇÃO!$AP$1:$AP$576,0),1)</f>
        <v>MAURICIO DE OLIVEIRA ABI CHAIN</v>
      </c>
      <c r="F247" s="276" t="str">
        <f>IF(E247=0,"-",LEFT(INDEX([1]RELAÇÃO!$A$1:$AQ$576,MATCH($M247,[1]RELAÇÃO!$AP$1:$AP$576,0),32),1))</f>
        <v>M</v>
      </c>
      <c r="G247" s="275" t="str">
        <f>IF(E247=0,"-",INDEX([1]RELAÇÃO!$A$1:$AQ$576,MATCH($M247,[1]RELAÇÃO!$AP$1:$AP$576,0),5))</f>
        <v>Exercício Descentralizado</v>
      </c>
      <c r="H247" s="275" t="str">
        <f>IF(E247=0,"-",INDEX([1]RELAÇÃO!$A$1:$AQ$576,MATCH($M247,[1]RELAÇÃO!$AP$1:$AP$576,0),6))</f>
        <v>ME - Ministério da Economia</v>
      </c>
      <c r="I247" s="275" t="str">
        <f>IF(E247=0,"-",INDEX([1]RELAÇÃO!$A$1:$AQ$576,MATCH($M247,[1]RELAÇÃO!$AP$1:$AP$576,0),12)&amp;INDEX([1]RELAÇÃO!$A$1:$AQ$576,MATCH($M247,[1]RELAÇÃO!$AP$1:$AP$576,0),13)&amp;", de "&amp;INDEX([1]RELAÇÃO!$A$1:$AQ$576,MATCH($M247,[1]RELAÇÃO!$AP$1:$AP$576,0),14)&amp;" - "&amp;INDEX([1]RELAÇÃO!$A$1:$AQ$576,MATCH($M247,[1]RELAÇÃO!$AP$1:$AP$576,0),16)&amp;" de "&amp;INDEX([1]RELAÇÃO!$A$1:$AQ$576,MATCH($M247,[1]RELAÇÃO!$AP$1:$AP$576,0),15))</f>
        <v>Portaria nº 524, de 03/11/2016 - BPE de 04/11/2016</v>
      </c>
      <c r="J247" s="277" t="str">
        <f>INDEX([1]RELAÇÃO!$A$1:$AQ$576,MATCH($N247,[1]RELAÇÃO!$AQ$1:$AQ$576,0),1)</f>
        <v>ROGÉRIO GUEDES DA SILVA</v>
      </c>
      <c r="K247" s="395" t="str">
        <f>IF(J247=0,"-",INDEX([1]RELAÇÃO!$A$1:$AQ$576,MATCH($N247,[1]RELAÇÃO!$AQ$1:$AQ$576,0),27)&amp;INDEX([1]RELAÇÃO!$A$1:$AQ$576,MATCH($N247,[1]RELAÇÃO!$AQ$1:$AQ$576,0),28)&amp;", de "&amp;INDEX([1]RELAÇÃO!$A$1:$AQ$576,MATCH($N247,[1]RELAÇÃO!$AQ$1:$AQ$576,0),29)&amp;" - "&amp;INDEX([1]RELAÇÃO!$A$1:$AQ$576,MATCH($N247,[1]RELAÇÃO!$AQ$1:$AQ$576,0),31)&amp;" de "&amp;INDEX([1]RELAÇÃO!$A$1:$AQ$576,MATCH($N247,[1]RELAÇÃO!$AQ$1:$AQ$576,0),30))</f>
        <v>Portaria nº 279, de 05/07/2019 - DOU de 11/07/2019</v>
      </c>
      <c r="L247" s="287" t="str">
        <f>IF($E247=0,"-",IF(INDEX([1]RELAÇÃO!$A$1:$AQ$576,MATCH($M247,[1]RELAÇÃO!$AP$1:$AP$576,0),8)="10.103.200","-",INDEX([1]RELAÇÃO!$A$1:$AQ$576,MATCH($M247,[1]RELAÇÃO!$AP$1:$AP$576,0),7)))</f>
        <v>-</v>
      </c>
      <c r="M247" s="280" t="s">
        <v>604</v>
      </c>
      <c r="N247" s="280" t="s">
        <v>605</v>
      </c>
    </row>
    <row r="248" spans="1:14" ht="23.25" x14ac:dyDescent="0.25">
      <c r="A248" s="367" t="s">
        <v>606</v>
      </c>
      <c r="B248" s="343" t="s">
        <v>566</v>
      </c>
      <c r="C248" s="274" t="s">
        <v>206</v>
      </c>
      <c r="D248" s="274" t="s">
        <v>187</v>
      </c>
      <c r="E248" s="275" t="str">
        <f>INDEX([1]RELAÇÃO!$A$1:$AQ$576,MATCH($M248,[1]RELAÇÃO!$AP$1:$AP$576,0),1)</f>
        <v>ANDRE LUIZ RODRIGUES OSORIO</v>
      </c>
      <c r="F248" s="276" t="str">
        <f>IF(E248=0,"-",LEFT(INDEX([1]RELAÇÃO!$A$1:$AQ$576,MATCH($M248,[1]RELAÇÃO!$AP$1:$AP$576,0),32),1))</f>
        <v>M</v>
      </c>
      <c r="G248" s="275" t="str">
        <f>IF(E248=0,"-",INDEX([1]RELAÇÃO!$A$1:$AQ$576,MATCH($M248,[1]RELAÇÃO!$AP$1:$AP$576,0),5))</f>
        <v>Requisitado de Órgãos</v>
      </c>
      <c r="H248" s="275" t="str">
        <f>IF(E248=0,"-",INDEX([1]RELAÇÃO!$A$1:$AQ$576,MATCH($M248,[1]RELAÇÃO!$AP$1:$AP$576,0),6))</f>
        <v>EPE - Empresa de Pesquisa Energética</v>
      </c>
      <c r="I248" s="275" t="str">
        <f>IF(E248=0,"-",INDEX([1]RELAÇÃO!$A$1:$AQ$576,MATCH($M248,[1]RELAÇÃO!$AP$1:$AP$576,0),12)&amp;INDEX([1]RELAÇÃO!$A$1:$AQ$576,MATCH($M248,[1]RELAÇÃO!$AP$1:$AP$576,0),13)&amp;", de "&amp;INDEX([1]RELAÇÃO!$A$1:$AQ$576,MATCH($M248,[1]RELAÇÃO!$AP$1:$AP$576,0),14)&amp;" - "&amp;INDEX([1]RELAÇÃO!$A$1:$AQ$576,MATCH($M248,[1]RELAÇÃO!$AP$1:$AP$576,0),16)&amp;" de "&amp;INDEX([1]RELAÇÃO!$A$1:$AQ$576,MATCH($M248,[1]RELAÇÃO!$AP$1:$AP$576,0),15))</f>
        <v>Portaria nº 1552, de 11/04/2019 - DOU de 12/04/2019</v>
      </c>
      <c r="J248" s="307" t="str">
        <f>INDEX([1]RELAÇÃO!$A$1:$AQ$576,MATCH($N248,[1]RELAÇÃO!$AQ$1:$AQ$576,0),1)</f>
        <v>RODOLFO ZAMIAN DANILOW</v>
      </c>
      <c r="K248" s="395" t="str">
        <f>IF(J248=0,"-",INDEX([1]RELAÇÃO!$A$1:$AQ$576,MATCH($N248,[1]RELAÇÃO!$AQ$1:$AQ$576,0),27)&amp;INDEX([1]RELAÇÃO!$A$1:$AQ$576,MATCH($N248,[1]RELAÇÃO!$AQ$1:$AQ$576,0),28)&amp;", de "&amp;INDEX([1]RELAÇÃO!$A$1:$AQ$576,MATCH($N248,[1]RELAÇÃO!$AQ$1:$AQ$576,0),29)&amp;" - "&amp;INDEX([1]RELAÇÃO!$A$1:$AQ$576,MATCH($N248,[1]RELAÇÃO!$AQ$1:$AQ$576,0),31)&amp;" de "&amp;INDEX([1]RELAÇÃO!$A$1:$AQ$576,MATCH($N248,[1]RELAÇÃO!$AQ$1:$AQ$576,0),30))</f>
        <v>Portaria nº 308, de 02/08/2019 - DOU de 09/08/2019</v>
      </c>
      <c r="L248" s="287" t="str">
        <f>IF($E248=0,"-",IF(INDEX([1]RELAÇÃO!$A$1:$AQ$576,MATCH($M248,[1]RELAÇÃO!$AP$1:$AP$576,0),8)="10.104.000","-",INDEX([1]RELAÇÃO!$A$1:$AQ$576,MATCH($M248,[1]RELAÇÃO!$AP$1:$AP$576,0),7)))</f>
        <v>-</v>
      </c>
      <c r="M248" s="280" t="s">
        <v>607</v>
      </c>
      <c r="N248" s="280" t="s">
        <v>608</v>
      </c>
    </row>
    <row r="249" spans="1:14" ht="23.25" x14ac:dyDescent="0.25">
      <c r="A249" s="368"/>
      <c r="B249" s="343" t="s">
        <v>228</v>
      </c>
      <c r="C249" s="274" t="s">
        <v>229</v>
      </c>
      <c r="D249" s="273" t="s">
        <v>193</v>
      </c>
      <c r="E249" s="275" t="str">
        <f>INDEX([1]RELAÇÃO!$A$1:$AQ$576,MATCH($M249,[1]RELAÇÃO!$AP$1:$AP$576,0),1)</f>
        <v>MONICA CAROLINE MANHAES DOS SANTOS</v>
      </c>
      <c r="F249" s="276" t="str">
        <f>IF(E249=0,"-",LEFT(INDEX([1]RELAÇÃO!$A$1:$AQ$576,MATCH($M249,[1]RELAÇÃO!$AP$1:$AP$576,0),32),1))</f>
        <v>F</v>
      </c>
      <c r="G249" s="275" t="str">
        <f>IF(E249=0,"-",INDEX([1]RELAÇÃO!$A$1:$AQ$576,MATCH($M249,[1]RELAÇÃO!$AP$1:$AP$576,0),5))</f>
        <v>Sem Vínculo</v>
      </c>
      <c r="H249" s="275" t="str">
        <f>IF(E249=0,"-",INDEX([1]RELAÇÃO!$A$1:$AQ$576,MATCH($M249,[1]RELAÇÃO!$AP$1:$AP$576,0),6))</f>
        <v>Sem Vínculo</v>
      </c>
      <c r="I249" s="275" t="str">
        <f>IF(E249=0,"-",INDEX([1]RELAÇÃO!$A$1:$AQ$576,MATCH($M249,[1]RELAÇÃO!$AP$1:$AP$576,0),12)&amp;INDEX([1]RELAÇÃO!$A$1:$AQ$576,MATCH($M249,[1]RELAÇÃO!$AP$1:$AP$576,0),13)&amp;", de "&amp;INDEX([1]RELAÇÃO!$A$1:$AQ$576,MATCH($M249,[1]RELAÇÃO!$AP$1:$AP$576,0),14)&amp;" - "&amp;INDEX([1]RELAÇÃO!$A$1:$AQ$576,MATCH($M249,[1]RELAÇÃO!$AP$1:$AP$576,0),16)&amp;" de "&amp;INDEX([1]RELAÇÃO!$A$1:$AQ$576,MATCH($M249,[1]RELAÇÃO!$AP$1:$AP$576,0),15))</f>
        <v>Portaria nº 524, de 03/11/2016 - BPE de 04/11/2016</v>
      </c>
      <c r="J249" s="362"/>
      <c r="K249" s="310"/>
      <c r="L249" s="287" t="str">
        <f>IF($E249=0,"-",IF(INDEX([1]RELAÇÃO!$A$1:$AQ$576,MATCH($M249,[1]RELAÇÃO!$AP$1:$AP$576,0),8)="10.104.000","-",INDEX([1]RELAÇÃO!$A$1:$AQ$576,MATCH($M249,[1]RELAÇÃO!$AP$1:$AP$576,0),7)))</f>
        <v>-</v>
      </c>
      <c r="M249" s="280" t="s">
        <v>609</v>
      </c>
      <c r="N249" s="288"/>
    </row>
    <row r="250" spans="1:14" ht="23.25" x14ac:dyDescent="0.25">
      <c r="A250" s="369" t="s">
        <v>610</v>
      </c>
      <c r="B250" s="343" t="s">
        <v>321</v>
      </c>
      <c r="C250" s="274" t="s">
        <v>186</v>
      </c>
      <c r="D250" s="274" t="s">
        <v>187</v>
      </c>
      <c r="E250" s="275" t="str">
        <f>INDEX([1]RELAÇÃO!$A$1:$AQ$576,MATCH($M250,[1]RELAÇÃO!$AP$1:$AP$576,0),1)</f>
        <v>RODOLFO ZAMIAN DANILOW</v>
      </c>
      <c r="F250" s="276" t="str">
        <f>IF(E250=0,"-",LEFT(INDEX([1]RELAÇÃO!$A$1:$AQ$576,MATCH($M250,[1]RELAÇÃO!$AP$1:$AP$576,0),32),1))</f>
        <v>M</v>
      </c>
      <c r="G250" s="275" t="str">
        <f>IF(E250=0,"-",INDEX([1]RELAÇÃO!$A$1:$AQ$576,MATCH($M250,[1]RELAÇÃO!$AP$1:$AP$576,0),5))</f>
        <v>Sem Vínculo</v>
      </c>
      <c r="H250" s="275" t="str">
        <f>IF(E250=0,"-",INDEX([1]RELAÇÃO!$A$1:$AQ$576,MATCH($M250,[1]RELAÇÃO!$AP$1:$AP$576,0),6))</f>
        <v>Sem Vínculo</v>
      </c>
      <c r="I250" s="275" t="str">
        <f>IF(E250=0,"-",INDEX([1]RELAÇÃO!$A$1:$AQ$576,MATCH($M250,[1]RELAÇÃO!$AP$1:$AP$576,0),12)&amp;INDEX([1]RELAÇÃO!$A$1:$AQ$576,MATCH($M250,[1]RELAÇÃO!$AP$1:$AP$576,0),13)&amp;", de "&amp;INDEX([1]RELAÇÃO!$A$1:$AQ$576,MATCH($M250,[1]RELAÇÃO!$AP$1:$AP$576,0),14)&amp;" - "&amp;INDEX([1]RELAÇÃO!$A$1:$AQ$576,MATCH($M250,[1]RELAÇÃO!$AP$1:$AP$576,0),16)&amp;" de "&amp;INDEX([1]RELAÇÃO!$A$1:$AQ$576,MATCH($M250,[1]RELAÇÃO!$AP$1:$AP$576,0),15))</f>
        <v>Portaria nº 249, de 13/06/2019 - DOU de 14/06/2019</v>
      </c>
      <c r="J250" s="307">
        <f>INDEX([1]RELAÇÃO!$A$1:$AQ$576,MATCH($N250,[1]RELAÇÃO!$AQ$1:$AQ$576,0),1)</f>
        <v>0</v>
      </c>
      <c r="K250" s="395" t="str">
        <f>IF(J250=0,"-",INDEX([1]RELAÇÃO!$A$1:$AQ$576,MATCH($N250,[1]RELAÇÃO!$AQ$1:$AQ$576,0),27)&amp;INDEX([1]RELAÇÃO!$A$1:$AQ$576,MATCH($N250,[1]RELAÇÃO!$AQ$1:$AQ$576,0),28)&amp;", de "&amp;INDEX([1]RELAÇÃO!$A$1:$AQ$576,MATCH($N250,[1]RELAÇÃO!$AQ$1:$AQ$576,0),29)&amp;" - "&amp;INDEX([1]RELAÇÃO!$A$1:$AQ$576,MATCH($N250,[1]RELAÇÃO!$AQ$1:$AQ$576,0),31)&amp;" de "&amp;INDEX([1]RELAÇÃO!$A$1:$AQ$576,MATCH($N250,[1]RELAÇÃO!$AQ$1:$AQ$576,0),30))</f>
        <v>-</v>
      </c>
      <c r="L250" s="287" t="str">
        <f>IF($E250=0,"-",IF(INDEX([1]RELAÇÃO!$A$1:$AQ$576,MATCH($M250,[1]RELAÇÃO!$AP$1:$AP$576,0),8)="10.104.100","-",INDEX([1]RELAÇÃO!$A$1:$AQ$576,MATCH($M250,[1]RELAÇÃO!$AP$1:$AP$576,0),7)))</f>
        <v>-</v>
      </c>
      <c r="M250" s="280" t="s">
        <v>611</v>
      </c>
      <c r="N250" s="280" t="s">
        <v>612</v>
      </c>
    </row>
    <row r="251" spans="1:14" ht="23.25" x14ac:dyDescent="0.25">
      <c r="A251" s="370"/>
      <c r="B251" s="345" t="s">
        <v>191</v>
      </c>
      <c r="C251" s="273" t="s">
        <v>192</v>
      </c>
      <c r="D251" s="273" t="s">
        <v>193</v>
      </c>
      <c r="E251" s="275" t="str">
        <f>INDEX([1]RELAÇÃO!$A$1:$AQ$576,MATCH($M251,[1]RELAÇÃO!$AP$1:$AP$576,0),1)</f>
        <v>DANIELE DE OLIVEIRA BANDEIRA</v>
      </c>
      <c r="F251" s="276" t="str">
        <f>IF(E251=0,"-",LEFT(INDEX([1]RELAÇÃO!$A$1:$AQ$576,MATCH($M251,[1]RELAÇÃO!$AP$1:$AP$576,0),32),1))</f>
        <v>F</v>
      </c>
      <c r="G251" s="275" t="str">
        <f>IF(E251=0,"-",INDEX([1]RELAÇÃO!$A$1:$AQ$576,MATCH($M251,[1]RELAÇÃO!$AP$1:$AP$576,0),5))</f>
        <v>Sem Vínculo</v>
      </c>
      <c r="H251" s="275" t="str">
        <f>IF(E251=0,"-",INDEX([1]RELAÇÃO!$A$1:$AQ$576,MATCH($M251,[1]RELAÇÃO!$AP$1:$AP$576,0),6))</f>
        <v>Sem Vínculo</v>
      </c>
      <c r="I251" s="275" t="str">
        <f>IF(E251=0,"-",INDEX([1]RELAÇÃO!$A$1:$AQ$576,MATCH($M251,[1]RELAÇÃO!$AP$1:$AP$576,0),12)&amp;INDEX([1]RELAÇÃO!$A$1:$AQ$576,MATCH($M251,[1]RELAÇÃO!$AP$1:$AP$576,0),13)&amp;", de "&amp;INDEX([1]RELAÇÃO!$A$1:$AQ$576,MATCH($M251,[1]RELAÇÃO!$AP$1:$AP$576,0),14)&amp;" - "&amp;INDEX([1]RELAÇÃO!$A$1:$AQ$576,MATCH($M251,[1]RELAÇÃO!$AP$1:$AP$576,0),16)&amp;" de "&amp;INDEX([1]RELAÇÃO!$A$1:$AQ$576,MATCH($M251,[1]RELAÇÃO!$AP$1:$AP$576,0),15))</f>
        <v>Portaria nº 570, de 03/11/2016 - DOU de 04/11/2016</v>
      </c>
      <c r="J251" s="362"/>
      <c r="K251" s="310"/>
      <c r="L251" s="287" t="str">
        <f>IF($E251=0,"-",IF(INDEX([1]RELAÇÃO!$A$1:$AQ$576,MATCH($M251,[1]RELAÇÃO!$AP$1:$AP$576,0),8)="10.104.100","-",INDEX([1]RELAÇÃO!$A$1:$AQ$576,MATCH($M251,[1]RELAÇÃO!$AP$1:$AP$576,0),7)))</f>
        <v>-</v>
      </c>
      <c r="M251" s="280" t="s">
        <v>613</v>
      </c>
      <c r="N251" s="288"/>
    </row>
    <row r="252" spans="1:14" x14ac:dyDescent="0.25"/>
    <row r="253" spans="1:14" ht="18.75" x14ac:dyDescent="0.3">
      <c r="A253" s="526" t="s">
        <v>794</v>
      </c>
      <c r="B253" s="526"/>
      <c r="C253" s="526"/>
      <c r="D253" s="526"/>
      <c r="E253" s="526"/>
      <c r="F253" s="526"/>
      <c r="G253" s="526"/>
      <c r="H253" s="526"/>
      <c r="I253" s="526"/>
      <c r="J253" s="526"/>
      <c r="K253" s="526"/>
      <c r="L253" s="526"/>
      <c r="M253" s="526"/>
      <c r="N253" s="526"/>
    </row>
    <row r="254" spans="1:14" ht="22.5" x14ac:dyDescent="0.25">
      <c r="A254" s="397" t="s">
        <v>170</v>
      </c>
      <c r="B254" s="398" t="s">
        <v>171</v>
      </c>
      <c r="C254" s="398" t="s">
        <v>172</v>
      </c>
      <c r="D254" s="398" t="s">
        <v>173</v>
      </c>
      <c r="E254" s="397" t="s">
        <v>174</v>
      </c>
      <c r="F254" s="397" t="s">
        <v>175</v>
      </c>
      <c r="G254" s="397" t="s">
        <v>176</v>
      </c>
      <c r="H254" s="397" t="s">
        <v>177</v>
      </c>
      <c r="I254" s="397" t="s">
        <v>178</v>
      </c>
      <c r="J254" s="397" t="s">
        <v>179</v>
      </c>
      <c r="K254" s="397" t="s">
        <v>180</v>
      </c>
      <c r="L254" s="398" t="s">
        <v>181</v>
      </c>
      <c r="M254" s="398" t="s">
        <v>182</v>
      </c>
      <c r="N254" s="398" t="s">
        <v>183</v>
      </c>
    </row>
    <row r="255" spans="1:14" ht="33.75" x14ac:dyDescent="0.25">
      <c r="A255" s="360" t="s">
        <v>614</v>
      </c>
      <c r="B255" s="343" t="s">
        <v>551</v>
      </c>
      <c r="C255" s="274" t="s">
        <v>290</v>
      </c>
      <c r="D255" s="274" t="s">
        <v>187</v>
      </c>
      <c r="E255" s="275" t="str">
        <f>INDEX([1]RELAÇÃO!$A$1:$AQ$576,MATCH($M255,[1]RELAÇÃO!$AP$1:$AP$576,0),1)</f>
        <v>RODRIGO LIMP NASCIMENTO</v>
      </c>
      <c r="F255" s="276" t="str">
        <f>IF(E255=0,"-",LEFT(INDEX([1]RELAÇÃO!$A$1:$AQ$576,MATCH($M255,[1]RELAÇÃO!$AP$1:$AP$576,0),32),1))</f>
        <v>M</v>
      </c>
      <c r="G255" s="275" t="str">
        <f>IF(E255=0,"-",INDEX([1]RELAÇÃO!$A$1:$AQ$576,MATCH($M255,[1]RELAÇÃO!$AP$1:$AP$576,0),5))</f>
        <v>Requisitado de Órgãos</v>
      </c>
      <c r="H255" s="275" t="str">
        <f>IF(E255=0,"-",INDEX([1]RELAÇÃO!$A$1:$AQ$576,MATCH($M255,[1]RELAÇÃO!$AP$1:$AP$576,0),6))</f>
        <v xml:space="preserve">Câmara dos Deputados </v>
      </c>
      <c r="I255" s="275" t="str">
        <f>IF(E255=0,"-",INDEX([1]RELAÇÃO!$A$1:$AQ$576,MATCH($M255,[1]RELAÇÃO!$AP$1:$AP$576,0),12)&amp;INDEX([1]RELAÇÃO!$A$1:$AQ$576,MATCH($M255,[1]RELAÇÃO!$AP$1:$AP$576,0),13)&amp;", de "&amp;INDEX([1]RELAÇÃO!$A$1:$AQ$576,MATCH($M255,[1]RELAÇÃO!$AP$1:$AP$576,0),14)&amp;" - "&amp;INDEX([1]RELAÇÃO!$A$1:$AQ$576,MATCH($M255,[1]RELAÇÃO!$AP$1:$AP$576,0),16)&amp;" de "&amp;INDEX([1]RELAÇÃO!$A$1:$AQ$576,MATCH($M255,[1]RELAÇÃO!$AP$1:$AP$576,0),15))</f>
        <v>Portaria nº 119, de 16/03/2020 - DOU de 17/03/2020</v>
      </c>
      <c r="J255" s="277" t="str">
        <f>INDEX([1]RELAÇÃO!$A$1:$AQ$576,MATCH($N255,[1]RELAÇÃO!$AQ$1:$AQ$576,0),1)</f>
        <v>DOMINGOS ROMEU ANDREATTA</v>
      </c>
      <c r="K255" s="395" t="str">
        <f>IF(J255=0,"-",INDEX([1]RELAÇÃO!$A$1:$AQ$576,MATCH($N255,[1]RELAÇÃO!$AQ$1:$AQ$576,0),27)&amp;INDEX([1]RELAÇÃO!$A$1:$AQ$576,MATCH($N255,[1]RELAÇÃO!$AQ$1:$AQ$576,0),28)&amp;", de "&amp;INDEX([1]RELAÇÃO!$A$1:$AQ$576,MATCH($N255,[1]RELAÇÃO!$AQ$1:$AQ$576,0),29)&amp;" - "&amp;INDEX([1]RELAÇÃO!$A$1:$AQ$576,MATCH($N255,[1]RELAÇÃO!$AQ$1:$AQ$576,0),31)&amp;" de "&amp;INDEX([1]RELAÇÃO!$A$1:$AQ$576,MATCH($N255,[1]RELAÇÃO!$AQ$1:$AQ$576,0),30))</f>
        <v>Portaria nº 108 - Anexo IX, Art. 18, II do RI da SEE, de 14/03/2017 - DOU de 16/03/2017 - Ret. 17/03/2017</v>
      </c>
      <c r="L255" s="287" t="str">
        <f>IF($E255=0,"-",IF(INDEX([1]RELAÇÃO!$A$1:$AQ$576,MATCH($M255,[1]RELAÇÃO!$AP$1:$AP$576,0),8)="12.000.000","-",INDEX([1]RELAÇÃO!$A$1:$AQ$576,MATCH($M255,[1]RELAÇÃO!$AP$1:$AP$576,0),7)))</f>
        <v>-</v>
      </c>
      <c r="M255" s="280" t="s">
        <v>615</v>
      </c>
      <c r="N255" s="280" t="s">
        <v>616</v>
      </c>
    </row>
    <row r="256" spans="1:14" ht="23.25" x14ac:dyDescent="0.25">
      <c r="A256" s="361"/>
      <c r="B256" s="345" t="s">
        <v>554</v>
      </c>
      <c r="C256" s="273" t="s">
        <v>206</v>
      </c>
      <c r="D256" s="274" t="s">
        <v>187</v>
      </c>
      <c r="E256" s="275" t="str">
        <f>INDEX([1]RELAÇÃO!$A$1:$AQ$576,MATCH($M256,[1]RELAÇÃO!$AP$1:$AP$576,0),1)</f>
        <v>DOMINGOS ROMEU ANDREATTA</v>
      </c>
      <c r="F256" s="276" t="str">
        <f>IF(E256=0,"-",LEFT(INDEX([1]RELAÇÃO!$A$1:$AQ$576,MATCH($M256,[1]RELAÇÃO!$AP$1:$AP$576,0),32),1))</f>
        <v>M</v>
      </c>
      <c r="G256" s="275" t="str">
        <f>IF(E256=0,"-",INDEX([1]RELAÇÃO!$A$1:$AQ$576,MATCH($M256,[1]RELAÇÃO!$AP$1:$AP$576,0),5))</f>
        <v>Requisitado de Empresa</v>
      </c>
      <c r="H256" s="275" t="str">
        <f>IF(E256=0,"-",INDEX([1]RELAÇÃO!$A$1:$AQ$576,MATCH($M256,[1]RELAÇÃO!$AP$1:$AP$576,0),6))</f>
        <v>ELETROSUL - Companhia de Geração e Transmissão de Energia Elétrica do Sul do Brasil</v>
      </c>
      <c r="I256" s="275" t="str">
        <f>IF(E256=0,"-",INDEX([1]RELAÇÃO!$A$1:$AQ$576,MATCH($M256,[1]RELAÇÃO!$AP$1:$AP$576,0),12)&amp;INDEX([1]RELAÇÃO!$A$1:$AQ$576,MATCH($M256,[1]RELAÇÃO!$AP$1:$AP$576,0),13)&amp;", de "&amp;INDEX([1]RELAÇÃO!$A$1:$AQ$576,MATCH($M256,[1]RELAÇÃO!$AP$1:$AP$576,0),14)&amp;" - "&amp;INDEX([1]RELAÇÃO!$A$1:$AQ$576,MATCH($M256,[1]RELAÇÃO!$AP$1:$AP$576,0),16)&amp;" de "&amp;INDEX([1]RELAÇÃO!$A$1:$AQ$576,MATCH($M256,[1]RELAÇÃO!$AP$1:$AP$576,0),15))</f>
        <v>Portaria nº 569, de 01/06/2018 - DOU de 04/06/2018</v>
      </c>
      <c r="J256" s="277" t="str">
        <f>INDEX([1]RELAÇÃO!$A$1:$AQ$576,MATCH($N256,[1]RELAÇÃO!$AQ$1:$AQ$576,0),1)</f>
        <v>GUALTER DE CARVALHO MENDES</v>
      </c>
      <c r="K256" s="395" t="str">
        <f>IF(J256=0,"-",INDEX([1]RELAÇÃO!$A$1:$AQ$576,MATCH($N256,[1]RELAÇÃO!$AQ$1:$AQ$576,0),27)&amp;INDEX([1]RELAÇÃO!$A$1:$AQ$576,MATCH($N256,[1]RELAÇÃO!$AQ$1:$AQ$576,0),28)&amp;", de "&amp;INDEX([1]RELAÇÃO!$A$1:$AQ$576,MATCH($N256,[1]RELAÇÃO!$AQ$1:$AQ$576,0),29)&amp;" - "&amp;INDEX([1]RELAÇÃO!$A$1:$AQ$576,MATCH($N256,[1]RELAÇÃO!$AQ$1:$AQ$576,0),31)&amp;" de "&amp;INDEX([1]RELAÇÃO!$A$1:$AQ$576,MATCH($N256,[1]RELAÇÃO!$AQ$1:$AQ$576,0),30))</f>
        <v>Portaria nº 432, de 27/11/2019 - DOU de 29/11/2019</v>
      </c>
      <c r="L256" s="287" t="str">
        <f>IF($E256=0,"-",IF(INDEX([1]RELAÇÃO!$A$1:$AQ$576,MATCH($M256,[1]RELAÇÃO!$AP$1:$AP$576,0),8)="12.000.000","-",INDEX([1]RELAÇÃO!$A$1:$AQ$576,MATCH($M256,[1]RELAÇÃO!$AP$1:$AP$576,0),7)))</f>
        <v>SEE / CHEFIA DE GABINETE SEE</v>
      </c>
      <c r="M256" s="280" t="s">
        <v>617</v>
      </c>
      <c r="N256" s="280" t="s">
        <v>618</v>
      </c>
    </row>
    <row r="257" spans="1:14" ht="23.25" x14ac:dyDescent="0.25">
      <c r="A257" s="361"/>
      <c r="B257" s="345" t="s">
        <v>205</v>
      </c>
      <c r="C257" s="273" t="s">
        <v>206</v>
      </c>
      <c r="D257" s="274" t="s">
        <v>187</v>
      </c>
      <c r="E257" s="275" t="str">
        <f>INDEX([1]RELAÇÃO!$A$1:$AQ$576,MATCH($M257,[1]RELAÇÃO!$AP$1:$AP$576,0),1)</f>
        <v>RODRIGO DANIEL MENDES FORNARI</v>
      </c>
      <c r="F257" s="276" t="str">
        <f>IF(E257=0,"-",LEFT(INDEX([1]RELAÇÃO!$A$1:$AQ$576,MATCH($M257,[1]RELAÇÃO!$AP$1:$AP$576,0),32),1))</f>
        <v>M</v>
      </c>
      <c r="G257" s="275" t="str">
        <f>IF(E257=0,"-",INDEX([1]RELAÇÃO!$A$1:$AQ$576,MATCH($M257,[1]RELAÇÃO!$AP$1:$AP$576,0),5))</f>
        <v>Requisitado de Empresa</v>
      </c>
      <c r="H257" s="275" t="str">
        <f>IF(E257=0,"-",INDEX([1]RELAÇÃO!$A$1:$AQ$576,MATCH($M257,[1]RELAÇÃO!$AP$1:$AP$576,0),6))</f>
        <v>ELETROSUL - Companhia de Geração e Transmissão de Energia Elétrica do Sul do Brasil</v>
      </c>
      <c r="I257" s="275" t="str">
        <f>IF(E257=0,"-",INDEX([1]RELAÇÃO!$A$1:$AQ$576,MATCH($M257,[1]RELAÇÃO!$AP$1:$AP$576,0),12)&amp;INDEX([1]RELAÇÃO!$A$1:$AQ$576,MATCH($M257,[1]RELAÇÃO!$AP$1:$AP$576,0),13)&amp;", de "&amp;INDEX([1]RELAÇÃO!$A$1:$AQ$576,MATCH($M257,[1]RELAÇÃO!$AP$1:$AP$576,0),14)&amp;" - "&amp;INDEX([1]RELAÇÃO!$A$1:$AQ$576,MATCH($M257,[1]RELAÇÃO!$AP$1:$AP$576,0),16)&amp;" de "&amp;INDEX([1]RELAÇÃO!$A$1:$AQ$576,MATCH($M257,[1]RELAÇÃO!$AP$1:$AP$576,0),15))</f>
        <v>Portaria nº 1331, de 26/02/2019 - DOU de 27/02/2019</v>
      </c>
      <c r="J257" s="307" t="str">
        <f>INDEX([1]RELAÇÃO!$A$1:$AQ$576,MATCH($N257,[1]RELAÇÃO!$AQ$1:$AQ$576,0),1)</f>
        <v>ANDRÉ GROBÉRIO LOPES PERIM</v>
      </c>
      <c r="K257" s="395" t="str">
        <f>IF(J257=0,"-",INDEX([1]RELAÇÃO!$A$1:$AQ$576,MATCH($N257,[1]RELAÇÃO!$AQ$1:$AQ$576,0),27)&amp;INDEX([1]RELAÇÃO!$A$1:$AQ$576,MATCH($N257,[1]RELAÇÃO!$AQ$1:$AQ$576,0),28)&amp;", de "&amp;INDEX([1]RELAÇÃO!$A$1:$AQ$576,MATCH($N257,[1]RELAÇÃO!$AQ$1:$AQ$576,0),29)&amp;" - "&amp;INDEX([1]RELAÇÃO!$A$1:$AQ$576,MATCH($N257,[1]RELAÇÃO!$AQ$1:$AQ$576,0),31)&amp;" de "&amp;INDEX([1]RELAÇÃO!$A$1:$AQ$576,MATCH($N257,[1]RELAÇÃO!$AQ$1:$AQ$576,0),30))</f>
        <v xml:space="preserve">Portaria nº 451, de  - DOU de </v>
      </c>
      <c r="L257" s="287" t="str">
        <f>IF($E257=0,"-",IF(INDEX([1]RELAÇÃO!$A$1:$AQ$576,MATCH($M257,[1]RELAÇÃO!$AP$1:$AP$576,0),8)="12.000.000","-",INDEX([1]RELAÇÃO!$A$1:$AQ$576,MATCH($M257,[1]RELAÇÃO!$AP$1:$AP$576,0),7)))</f>
        <v>SEE / CHEFIA DE GABINETE SEE</v>
      </c>
      <c r="M257" s="280" t="s">
        <v>619</v>
      </c>
      <c r="N257" s="280" t="s">
        <v>620</v>
      </c>
    </row>
    <row r="258" spans="1:14" x14ac:dyDescent="0.25">
      <c r="A258" s="361"/>
      <c r="B258" s="363" t="s">
        <v>211</v>
      </c>
      <c r="C258" s="327" t="s">
        <v>558</v>
      </c>
      <c r="D258" s="371"/>
      <c r="E258" s="372" t="s">
        <v>333</v>
      </c>
      <c r="F258" s="373"/>
      <c r="G258" s="373"/>
      <c r="H258" s="331"/>
      <c r="I258" s="365"/>
      <c r="J258" s="362"/>
      <c r="K258" s="310"/>
      <c r="L258" s="364"/>
      <c r="M258" s="288"/>
      <c r="N258" s="288"/>
    </row>
    <row r="259" spans="1:14" ht="23.25" x14ac:dyDescent="0.25">
      <c r="A259" s="361"/>
      <c r="B259" s="345" t="s">
        <v>211</v>
      </c>
      <c r="C259" s="273" t="s">
        <v>212</v>
      </c>
      <c r="D259" s="273" t="s">
        <v>193</v>
      </c>
      <c r="E259" s="275" t="str">
        <f>INDEX([1]RELAÇÃO!$A$1:$AQ$576,MATCH($M259,[1]RELAÇÃO!$AP$1:$AP$576,0),1)</f>
        <v>JUAN LUIS DANILO CATALAN ZAMUDIO</v>
      </c>
      <c r="F259" s="276" t="str">
        <f>IF(E259=0,"-",LEFT(INDEX([1]RELAÇÃO!$A$1:$AQ$576,MATCH($M259,[1]RELAÇÃO!$AP$1:$AP$576,0),32),1))</f>
        <v>M</v>
      </c>
      <c r="G259" s="275" t="str">
        <f>IF(E259=0,"-",INDEX([1]RELAÇÃO!$A$1:$AQ$576,MATCH($M259,[1]RELAÇÃO!$AP$1:$AP$576,0),5))</f>
        <v>Requisitado de Empresa</v>
      </c>
      <c r="H259" s="275" t="str">
        <f>IF(E259=0,"-",INDEX([1]RELAÇÃO!$A$1:$AQ$576,MATCH($M259,[1]RELAÇÃO!$AP$1:$AP$576,0),6))</f>
        <v>DATAPREV - Empresa de Tecnologia e Informações da Previdência</v>
      </c>
      <c r="I259" s="275" t="str">
        <f>IF(E259=0,"-",INDEX([1]RELAÇÃO!$A$1:$AQ$576,MATCH($M259,[1]RELAÇÃO!$AP$1:$AP$576,0),12)&amp;INDEX([1]RELAÇÃO!$A$1:$AQ$576,MATCH($M259,[1]RELAÇÃO!$AP$1:$AP$576,0),13)&amp;", de "&amp;INDEX([1]RELAÇÃO!$A$1:$AQ$576,MATCH($M259,[1]RELAÇÃO!$AP$1:$AP$576,0),14)&amp;" - "&amp;INDEX([1]RELAÇÃO!$A$1:$AQ$576,MATCH($M259,[1]RELAÇÃO!$AP$1:$AP$576,0),16)&amp;" de "&amp;INDEX([1]RELAÇÃO!$A$1:$AQ$576,MATCH($M259,[1]RELAÇÃO!$AP$1:$AP$576,0),15))</f>
        <v>Portaria nº 574, de 03/11/2016 - DOU de 04/11/2016</v>
      </c>
      <c r="J259" s="362"/>
      <c r="K259" s="310"/>
      <c r="L259" s="287" t="str">
        <f>IF($E259=0,"-",IF(INDEX([1]RELAÇÃO!$A$1:$AQ$576,MATCH($M259,[1]RELAÇÃO!$AP$1:$AP$576,0),8)="12.000.000","-",INDEX([1]RELAÇÃO!$A$1:$AQ$576,MATCH($M259,[1]RELAÇÃO!$AP$1:$AP$576,0),7)))</f>
        <v>SEE / CHEFIA DE GABINETE SEE</v>
      </c>
      <c r="M259" s="280" t="s">
        <v>621</v>
      </c>
      <c r="N259" s="288"/>
    </row>
    <row r="260" spans="1:14" ht="23.25" x14ac:dyDescent="0.25">
      <c r="A260" s="361"/>
      <c r="B260" s="345" t="s">
        <v>191</v>
      </c>
      <c r="C260" s="374" t="s">
        <v>239</v>
      </c>
      <c r="D260" s="273" t="s">
        <v>193</v>
      </c>
      <c r="E260" s="275" t="str">
        <f>INDEX([1]RELAÇÃO!$A$1:$AQ$576,MATCH($M260,[1]RELAÇÃO!$AP$1:$AP$576,0),1)</f>
        <v>ANDRÉ LUIS GONÇALVES DE OLIVEIRA</v>
      </c>
      <c r="F260" s="276" t="str">
        <f>IF(E260=0,"-",LEFT(INDEX([1]RELAÇÃO!$A$1:$AQ$576,MATCH($M260,[1]RELAÇÃO!$AP$1:$AP$576,0),32),1))</f>
        <v>M</v>
      </c>
      <c r="G260" s="275" t="str">
        <f>IF(E260=0,"-",INDEX([1]RELAÇÃO!$A$1:$AQ$576,MATCH($M260,[1]RELAÇÃO!$AP$1:$AP$576,0),5))</f>
        <v>Exercício Descentralizado</v>
      </c>
      <c r="H260" s="275" t="str">
        <f>IF(E260=0,"-",INDEX([1]RELAÇÃO!$A$1:$AQ$576,MATCH($M260,[1]RELAÇÃO!$AP$1:$AP$576,0),6))</f>
        <v>ME - Ministério da Economia</v>
      </c>
      <c r="I260" s="275" t="str">
        <f>IF(E260=0,"-",INDEX([1]RELAÇÃO!$A$1:$AQ$576,MATCH($M260,[1]RELAÇÃO!$AP$1:$AP$576,0),12)&amp;INDEX([1]RELAÇÃO!$A$1:$AQ$576,MATCH($M260,[1]RELAÇÃO!$AP$1:$AP$576,0),13)&amp;", de "&amp;INDEX([1]RELAÇÃO!$A$1:$AQ$576,MATCH($M260,[1]RELAÇÃO!$AP$1:$AP$576,0),14)&amp;" - "&amp;INDEX([1]RELAÇÃO!$A$1:$AQ$576,MATCH($M260,[1]RELAÇÃO!$AP$1:$AP$576,0),16)&amp;" de "&amp;INDEX([1]RELAÇÃO!$A$1:$AQ$576,MATCH($M260,[1]RELAÇÃO!$AP$1:$AP$576,0),15))</f>
        <v>Portaria nº 365, de 01/10/2020 - DOU de 02/10/2020</v>
      </c>
      <c r="J260" s="362"/>
      <c r="K260" s="310"/>
      <c r="L260" s="287" t="str">
        <f>IF($E260=0,"-",IF(INDEX([1]RELAÇÃO!$A$1:$AQ$576,MATCH($M260,[1]RELAÇÃO!$AP$1:$AP$576,0),8)="12.000.000","-",INDEX([1]RELAÇÃO!$A$1:$AQ$576,MATCH($M260,[1]RELAÇÃO!$AP$1:$AP$576,0),7)))</f>
        <v>SEE / CHEFIA DE GABINETE SEE</v>
      </c>
      <c r="M260" s="280" t="s">
        <v>622</v>
      </c>
      <c r="N260" s="288"/>
    </row>
    <row r="261" spans="1:14" ht="23.25" x14ac:dyDescent="0.25">
      <c r="A261" s="361"/>
      <c r="B261" s="345" t="s">
        <v>228</v>
      </c>
      <c r="C261" s="273" t="s">
        <v>229</v>
      </c>
      <c r="D261" s="273" t="s">
        <v>193</v>
      </c>
      <c r="E261" s="275" t="str">
        <f>INDEX([1]RELAÇÃO!$A$1:$AQ$576,MATCH($M261,[1]RELAÇÃO!$AP$1:$AP$576,0),1)</f>
        <v>JANAINA DO VALE LIMA</v>
      </c>
      <c r="F261" s="276" t="str">
        <f>IF(E261=0,"-",LEFT(INDEX([1]RELAÇÃO!$A$1:$AQ$576,MATCH($M261,[1]RELAÇÃO!$AP$1:$AP$576,0),32),1))</f>
        <v>F</v>
      </c>
      <c r="G261" s="275" t="str">
        <f>IF(E261=0,"-",INDEX([1]RELAÇÃO!$A$1:$AQ$576,MATCH($M261,[1]RELAÇÃO!$AP$1:$AP$576,0),5))</f>
        <v>Sem Vínculo</v>
      </c>
      <c r="H261" s="275" t="str">
        <f>IF(E261=0,"-",INDEX([1]RELAÇÃO!$A$1:$AQ$576,MATCH($M261,[1]RELAÇÃO!$AP$1:$AP$576,0),6))</f>
        <v>Sem Vínculo</v>
      </c>
      <c r="I261" s="275" t="str">
        <f>IF(E261=0,"-",INDEX([1]RELAÇÃO!$A$1:$AQ$576,MATCH($M261,[1]RELAÇÃO!$AP$1:$AP$576,0),12)&amp;INDEX([1]RELAÇÃO!$A$1:$AQ$576,MATCH($M261,[1]RELAÇÃO!$AP$1:$AP$576,0),13)&amp;", de "&amp;INDEX([1]RELAÇÃO!$A$1:$AQ$576,MATCH($M261,[1]RELAÇÃO!$AP$1:$AP$576,0),14)&amp;" - "&amp;INDEX([1]RELAÇÃO!$A$1:$AQ$576,MATCH($M261,[1]RELAÇÃO!$AP$1:$AP$576,0),16)&amp;" de "&amp;INDEX([1]RELAÇÃO!$A$1:$AQ$576,MATCH($M261,[1]RELAÇÃO!$AP$1:$AP$576,0),15))</f>
        <v>Portaria nº 524, de 03/11/2016 - BPE de 04/11/2016</v>
      </c>
      <c r="J261" s="362"/>
      <c r="K261" s="310"/>
      <c r="L261" s="287" t="str">
        <f>IF($E261=0,"-",IF(INDEX([1]RELAÇÃO!$A$1:$AQ$576,MATCH($M261,[1]RELAÇÃO!$AP$1:$AP$576,0),8)="12.000.000","-",INDEX([1]RELAÇÃO!$A$1:$AQ$576,MATCH($M261,[1]RELAÇÃO!$AP$1:$AP$576,0),7)))</f>
        <v>SEE / CHEFIA DE GABINETE SEE</v>
      </c>
      <c r="M261" s="280" t="s">
        <v>623</v>
      </c>
      <c r="N261" s="288"/>
    </row>
    <row r="262" spans="1:14" ht="23.25" x14ac:dyDescent="0.25">
      <c r="A262" s="361"/>
      <c r="B262" s="345" t="s">
        <v>228</v>
      </c>
      <c r="C262" s="273" t="s">
        <v>229</v>
      </c>
      <c r="D262" s="273" t="s">
        <v>193</v>
      </c>
      <c r="E262" s="275" t="str">
        <f>INDEX([1]RELAÇÃO!$A$1:$AQ$576,MATCH($M262,[1]RELAÇÃO!$AP$1:$AP$576,0),1)</f>
        <v>ALDAIDES CAVALCANTE MAGALHAES</v>
      </c>
      <c r="F262" s="276" t="str">
        <f>IF(E262=0,"-",LEFT(INDEX([1]RELAÇÃO!$A$1:$AQ$576,MATCH($M262,[1]RELAÇÃO!$AP$1:$AP$576,0),32),1))</f>
        <v>F</v>
      </c>
      <c r="G262" s="275" t="str">
        <f>IF(E262=0,"-",INDEX([1]RELAÇÃO!$A$1:$AQ$576,MATCH($M262,[1]RELAÇÃO!$AP$1:$AP$576,0),5))</f>
        <v>Sem Vínculo</v>
      </c>
      <c r="H262" s="275" t="str">
        <f>IF(E262=0,"-",INDEX([1]RELAÇÃO!$A$1:$AQ$576,MATCH($M262,[1]RELAÇÃO!$AP$1:$AP$576,0),6))</f>
        <v>Sem Vínculo</v>
      </c>
      <c r="I262" s="275" t="str">
        <f>IF(E262=0,"-",INDEX([1]RELAÇÃO!$A$1:$AQ$576,MATCH($M262,[1]RELAÇÃO!$AP$1:$AP$576,0),12)&amp;INDEX([1]RELAÇÃO!$A$1:$AQ$576,MATCH($M262,[1]RELAÇÃO!$AP$1:$AP$576,0),13)&amp;", de "&amp;INDEX([1]RELAÇÃO!$A$1:$AQ$576,MATCH($M262,[1]RELAÇÃO!$AP$1:$AP$576,0),14)&amp;" - "&amp;INDEX([1]RELAÇÃO!$A$1:$AQ$576,MATCH($M262,[1]RELAÇÃO!$AP$1:$AP$576,0),16)&amp;" de "&amp;INDEX([1]RELAÇÃO!$A$1:$AQ$576,MATCH($M262,[1]RELAÇÃO!$AP$1:$AP$576,0),15))</f>
        <v>Portaria nº 524, de 03/11/2016 - BPE de 04/11/2016</v>
      </c>
      <c r="J262" s="362"/>
      <c r="K262" s="310"/>
      <c r="L262" s="287" t="str">
        <f>IF($E262=0,"-",IF(INDEX([1]RELAÇÃO!$A$1:$AQ$576,MATCH($M262,[1]RELAÇÃO!$AP$1:$AP$576,0),8)="12.000.000","-",INDEX([1]RELAÇÃO!$A$1:$AQ$576,MATCH($M262,[1]RELAÇÃO!$AP$1:$AP$576,0),7)))</f>
        <v>SEE / CHEFIA DE GABINETE SEE</v>
      </c>
      <c r="M262" s="280" t="s">
        <v>624</v>
      </c>
      <c r="N262" s="288"/>
    </row>
    <row r="263" spans="1:14" x14ac:dyDescent="0.25">
      <c r="A263" s="361"/>
      <c r="B263" s="363" t="s">
        <v>228</v>
      </c>
      <c r="C263" s="327" t="s">
        <v>332</v>
      </c>
      <c r="D263" s="371"/>
      <c r="E263" s="372" t="s">
        <v>333</v>
      </c>
      <c r="F263" s="329"/>
      <c r="G263" s="329"/>
      <c r="H263" s="331"/>
      <c r="I263" s="341"/>
      <c r="J263" s="362"/>
      <c r="K263" s="310"/>
      <c r="L263" s="364"/>
      <c r="M263" s="288"/>
      <c r="N263" s="288"/>
    </row>
    <row r="264" spans="1:14" x14ac:dyDescent="0.25">
      <c r="A264" s="361"/>
      <c r="B264" s="363" t="s">
        <v>228</v>
      </c>
      <c r="C264" s="327" t="s">
        <v>332</v>
      </c>
      <c r="D264" s="371"/>
      <c r="E264" s="372" t="s">
        <v>333</v>
      </c>
      <c r="F264" s="354"/>
      <c r="G264" s="354"/>
      <c r="H264" s="331"/>
      <c r="I264" s="341"/>
      <c r="J264" s="362"/>
      <c r="K264" s="310"/>
      <c r="L264" s="364"/>
      <c r="M264" s="288"/>
      <c r="N264" s="288"/>
    </row>
    <row r="265" spans="1:14" ht="23.25" x14ac:dyDescent="0.25">
      <c r="A265" s="361"/>
      <c r="B265" s="345" t="s">
        <v>228</v>
      </c>
      <c r="C265" s="273" t="s">
        <v>229</v>
      </c>
      <c r="D265" s="273" t="s">
        <v>193</v>
      </c>
      <c r="E265" s="275" t="str">
        <f>INDEX([1]RELAÇÃO!$A$1:$AQ$576,MATCH($M265,[1]RELAÇÃO!$AP$1:$AP$576,0),1)</f>
        <v>TATIANNA GOMES BEZERRA PEREIRA</v>
      </c>
      <c r="F265" s="276" t="str">
        <f>IF(E265=0,"-",LEFT(INDEX([1]RELAÇÃO!$A$1:$AQ$576,MATCH($M265,[1]RELAÇÃO!$AP$1:$AP$576,0),32),1))</f>
        <v>F</v>
      </c>
      <c r="G265" s="275" t="str">
        <f>IF(E265=0,"-",INDEX([1]RELAÇÃO!$A$1:$AQ$576,MATCH($M265,[1]RELAÇÃO!$AP$1:$AP$576,0),5))</f>
        <v>Sem Vínculo</v>
      </c>
      <c r="H265" s="275" t="str">
        <f>IF(E265=0,"-",INDEX([1]RELAÇÃO!$A$1:$AQ$576,MATCH($M265,[1]RELAÇÃO!$AP$1:$AP$576,0),6))</f>
        <v>Sem Vínculo</v>
      </c>
      <c r="I265" s="275" t="str">
        <f>IF(E265=0,"-",INDEX([1]RELAÇÃO!$A$1:$AQ$576,MATCH($M265,[1]RELAÇÃO!$AP$1:$AP$576,0),12)&amp;INDEX([1]RELAÇÃO!$A$1:$AQ$576,MATCH($M265,[1]RELAÇÃO!$AP$1:$AP$576,0),13)&amp;", de "&amp;INDEX([1]RELAÇÃO!$A$1:$AQ$576,MATCH($M265,[1]RELAÇÃO!$AP$1:$AP$576,0),14)&amp;" - "&amp;INDEX([1]RELAÇÃO!$A$1:$AQ$576,MATCH($M265,[1]RELAÇÃO!$AP$1:$AP$576,0),16)&amp;" de "&amp;INDEX([1]RELAÇÃO!$A$1:$AQ$576,MATCH($M265,[1]RELAÇÃO!$AP$1:$AP$576,0),15))</f>
        <v>Portaria nº 524, de 03/11/2016 - BPE de 04/11/2016</v>
      </c>
      <c r="J265" s="362"/>
      <c r="K265" s="310"/>
      <c r="L265" s="287" t="str">
        <f>IF($E265=0,"-",IF(INDEX([1]RELAÇÃO!$A$1:$AQ$576,MATCH($M265,[1]RELAÇÃO!$AP$1:$AP$576,0),8)="12.000.000","-",INDEX([1]RELAÇÃO!$A$1:$AQ$576,MATCH($M265,[1]RELAÇÃO!$AP$1:$AP$576,0),7)))</f>
        <v>SEE / CHEFIA DE GABINETE SEE</v>
      </c>
      <c r="M265" s="280" t="s">
        <v>625</v>
      </c>
      <c r="N265" s="288"/>
    </row>
    <row r="266" spans="1:14" ht="23.25" x14ac:dyDescent="0.25">
      <c r="A266" s="361"/>
      <c r="B266" s="345" t="s">
        <v>228</v>
      </c>
      <c r="C266" s="273" t="s">
        <v>229</v>
      </c>
      <c r="D266" s="273" t="s">
        <v>193</v>
      </c>
      <c r="E266" s="275" t="str">
        <f>INDEX([1]RELAÇÃO!$A$1:$AQ$576,MATCH($M266,[1]RELAÇÃO!$AP$1:$AP$576,0),1)</f>
        <v>MARCOS JOSE ANTONIO PINHEIRO</v>
      </c>
      <c r="F266" s="276" t="str">
        <f>IF(E266=0,"-",LEFT(INDEX([1]RELAÇÃO!$A$1:$AQ$576,MATCH($M266,[1]RELAÇÃO!$AP$1:$AP$576,0),32),1))</f>
        <v>M</v>
      </c>
      <c r="G266" s="275" t="str">
        <f>IF(E266=0,"-",INDEX([1]RELAÇÃO!$A$1:$AQ$576,MATCH($M266,[1]RELAÇÃO!$AP$1:$AP$576,0),5))</f>
        <v>Sem Vínculo</v>
      </c>
      <c r="H266" s="275" t="str">
        <f>IF(E266=0,"-",INDEX([1]RELAÇÃO!$A$1:$AQ$576,MATCH($M266,[1]RELAÇÃO!$AP$1:$AP$576,0),6))</f>
        <v>Sem Vínculo</v>
      </c>
      <c r="I266" s="275" t="str">
        <f>IF(E266=0,"-",INDEX([1]RELAÇÃO!$A$1:$AQ$576,MATCH($M266,[1]RELAÇÃO!$AP$1:$AP$576,0),12)&amp;INDEX([1]RELAÇÃO!$A$1:$AQ$576,MATCH($M266,[1]RELAÇÃO!$AP$1:$AP$576,0),13)&amp;", de "&amp;INDEX([1]RELAÇÃO!$A$1:$AQ$576,MATCH($M266,[1]RELAÇÃO!$AP$1:$AP$576,0),14)&amp;" - "&amp;INDEX([1]RELAÇÃO!$A$1:$AQ$576,MATCH($M266,[1]RELAÇÃO!$AP$1:$AP$576,0),16)&amp;" de "&amp;INDEX([1]RELAÇÃO!$A$1:$AQ$576,MATCH($M266,[1]RELAÇÃO!$AP$1:$AP$576,0),15))</f>
        <v>Portaria nº 524, de 03/11/2016 - BPE de 04/11/2016</v>
      </c>
      <c r="J266" s="362"/>
      <c r="K266" s="310"/>
      <c r="L266" s="287" t="str">
        <f>IF($E266=0,"-",IF(INDEX([1]RELAÇÃO!$A$1:$AQ$576,MATCH($M266,[1]RELAÇÃO!$AP$1:$AP$576,0),8)="12.000.000","-",INDEX([1]RELAÇÃO!$A$1:$AQ$576,MATCH($M266,[1]RELAÇÃO!$AP$1:$AP$576,0),7)))</f>
        <v>SEE / CHEFIA DE GABINETE SEE</v>
      </c>
      <c r="M266" s="280" t="s">
        <v>626</v>
      </c>
      <c r="N266" s="288"/>
    </row>
    <row r="267" spans="1:14" ht="23.25" x14ac:dyDescent="0.25">
      <c r="A267" s="360" t="s">
        <v>627</v>
      </c>
      <c r="B267" s="343" t="s">
        <v>566</v>
      </c>
      <c r="C267" s="274" t="s">
        <v>206</v>
      </c>
      <c r="D267" s="274" t="s">
        <v>187</v>
      </c>
      <c r="E267" s="275" t="str">
        <f>INDEX([1]RELAÇÃO!$A$1:$AQ$576,MATCH($M267,[1]RELAÇÃO!$AP$1:$AP$576,0),1)</f>
        <v>FABIANA GAZZONI CEPEDA</v>
      </c>
      <c r="F267" s="276" t="str">
        <f>IF(E267=0,"-",LEFT(INDEX([1]RELAÇÃO!$A$1:$AQ$576,MATCH($M267,[1]RELAÇÃO!$AP$1:$AP$576,0),32),1))</f>
        <v>F</v>
      </c>
      <c r="G267" s="275" t="str">
        <f>IF(E267=0,"-",INDEX([1]RELAÇÃO!$A$1:$AQ$576,MATCH($M267,[1]RELAÇÃO!$AP$1:$AP$576,0),5))</f>
        <v>Exercício Descentralizado</v>
      </c>
      <c r="H267" s="275" t="str">
        <f>IF(E267=0,"-",INDEX([1]RELAÇÃO!$A$1:$AQ$576,MATCH($M267,[1]RELAÇÃO!$AP$1:$AP$576,0),6))</f>
        <v>ME - Ministério da Economia</v>
      </c>
      <c r="I267" s="300" t="str">
        <f>IF(E267=0,"-",INDEX([1]RELAÇÃO!$A$1:$AQ$576,MATCH($M267,[1]RELAÇÃO!$AP$1:$AP$576,0),12)&amp;INDEX([1]RELAÇÃO!$A$1:$AQ$576,MATCH($M267,[1]RELAÇÃO!$AP$1:$AP$576,0),13)&amp;", de "&amp;INDEX([1]RELAÇÃO!$A$1:$AQ$576,MATCH($M267,[1]RELAÇÃO!$AP$1:$AP$576,0),14)&amp;" - "&amp;INDEX([1]RELAÇÃO!$A$1:$AQ$576,MATCH($M267,[1]RELAÇÃO!$AP$1:$AP$576,0),16)&amp;" de "&amp;INDEX([1]RELAÇÃO!$A$1:$AQ$576,MATCH($M267,[1]RELAÇÃO!$AP$1:$AP$576,0),15))</f>
        <v>Portaria nº 50, de 18/01/2018 - DOU de 19/01/2018</v>
      </c>
      <c r="J267" s="307" t="str">
        <f>INDEX([1]RELAÇÃO!$A$1:$AQ$576,MATCH($N267,[1]RELAÇÃO!$AQ$1:$AQ$576,0),1)</f>
        <v>FABRÍCIO DAIREL DE CAMPOS LACERDA</v>
      </c>
      <c r="K267" s="395" t="str">
        <f>IF(J267=0,"-",INDEX([1]RELAÇÃO!$A$1:$AQ$576,MATCH($N267,[1]RELAÇÃO!$AQ$1:$AQ$576,0),27)&amp;INDEX([1]RELAÇÃO!$A$1:$AQ$576,MATCH($N267,[1]RELAÇÃO!$AQ$1:$AQ$576,0),28)&amp;", de "&amp;INDEX([1]RELAÇÃO!$A$1:$AQ$576,MATCH($N267,[1]RELAÇÃO!$AQ$1:$AQ$576,0),29)&amp;" - "&amp;INDEX([1]RELAÇÃO!$A$1:$AQ$576,MATCH($N267,[1]RELAÇÃO!$AQ$1:$AQ$576,0),31)&amp;" de "&amp;INDEX([1]RELAÇÃO!$A$1:$AQ$576,MATCH($N267,[1]RELAÇÃO!$AQ$1:$AQ$576,0),30))</f>
        <v>Portaria nº 167, de 18/03/2019 - DOU de 20/03/2019</v>
      </c>
      <c r="L267" s="287" t="str">
        <f>IF($E267=0,"-",IF(INDEX([1]RELAÇÃO!$A$1:$AQ$576,MATCH($M267,[1]RELAÇÃO!$AP$1:$AP$576,0),8)="12.101.000","-",INDEX([1]RELAÇÃO!$A$1:$AQ$576,MATCH($M267,[1]RELAÇÃO!$AP$1:$AP$576,0),7)))</f>
        <v>-</v>
      </c>
      <c r="M267" s="280" t="s">
        <v>628</v>
      </c>
      <c r="N267" s="280" t="s">
        <v>629</v>
      </c>
    </row>
    <row r="268" spans="1:14" ht="23.25" x14ac:dyDescent="0.25">
      <c r="A268" s="375" t="s">
        <v>630</v>
      </c>
      <c r="B268" s="376" t="s">
        <v>321</v>
      </c>
      <c r="C268" s="371" t="s">
        <v>631</v>
      </c>
      <c r="D268" s="371"/>
      <c r="E268" s="372" t="s">
        <v>333</v>
      </c>
      <c r="F268" s="354"/>
      <c r="G268" s="354"/>
      <c r="H268" s="331"/>
      <c r="I268" s="341"/>
      <c r="J268" s="377"/>
      <c r="K268" s="377"/>
      <c r="L268" s="364"/>
      <c r="M268" s="288"/>
      <c r="N268" s="288"/>
    </row>
    <row r="269" spans="1:14" ht="23.25" x14ac:dyDescent="0.25">
      <c r="A269" s="378"/>
      <c r="B269" s="345" t="s">
        <v>228</v>
      </c>
      <c r="C269" s="273" t="s">
        <v>229</v>
      </c>
      <c r="D269" s="273" t="s">
        <v>193</v>
      </c>
      <c r="E269" s="300" t="str">
        <f>INDEX([1]RELAÇÃO!$A$1:$AQ$576,MATCH($M269,[1]RELAÇÃO!$AP$1:$AP$576,0),1)</f>
        <v>PATRICIA SALLES MERGULHAO</v>
      </c>
      <c r="F269" s="301" t="str">
        <f>IF(E269=0,"-",LEFT(INDEX([1]RELAÇÃO!$A$1:$AQ$576,MATCH($M269,[1]RELAÇÃO!$AP$1:$AP$576,0),32),1))</f>
        <v>F</v>
      </c>
      <c r="G269" s="300" t="str">
        <f>IF(E269=0,"-",INDEX([1]RELAÇÃO!$A$1:$AQ$576,MATCH($M269,[1]RELAÇÃO!$AP$1:$AP$576,0),5))</f>
        <v>Sem Vínculo</v>
      </c>
      <c r="H269" s="300" t="str">
        <f>IF(E269=0,"-",INDEX([1]RELAÇÃO!$A$1:$AQ$576,MATCH($M269,[1]RELAÇÃO!$AP$1:$AP$576,0),6))</f>
        <v>Sem Vínculo</v>
      </c>
      <c r="I269" s="300" t="str">
        <f>IF(E269=0,"-",INDEX([1]RELAÇÃO!$A$1:$AQ$576,MATCH($M269,[1]RELAÇÃO!$AP$1:$AP$576,0),12)&amp;INDEX([1]RELAÇÃO!$A$1:$AQ$576,MATCH($M269,[1]RELAÇÃO!$AP$1:$AP$576,0),13)&amp;", de "&amp;INDEX([1]RELAÇÃO!$A$1:$AQ$576,MATCH($M269,[1]RELAÇÃO!$AP$1:$AP$576,0),14)&amp;" - "&amp;INDEX([1]RELAÇÃO!$A$1:$AQ$576,MATCH($M269,[1]RELAÇÃO!$AP$1:$AP$576,0),16)&amp;" de "&amp;INDEX([1]RELAÇÃO!$A$1:$AQ$576,MATCH($M269,[1]RELAÇÃO!$AP$1:$AP$576,0),15))</f>
        <v>Portaria nº 524, de 03/11/2016 - BPE de 04/11/2016</v>
      </c>
      <c r="J269" s="379"/>
      <c r="K269" s="312"/>
      <c r="L269" s="302" t="str">
        <f>IF($E269=0,"-",IF(INDEX([1]RELAÇÃO!$A$1:$AQ$576,MATCH($M269,[1]RELAÇÃO!$AP$1:$AP$576,0),8)="12.101.000","-",INDEX([1]RELAÇÃO!$A$1:$AQ$576,MATCH($M269,[1]RELAÇÃO!$AP$1:$AP$576,0),7)))</f>
        <v>SEE / DEPARTAMENTO DE POLÍTICAS SOCIAIS E UNIVERSALIZAÇÃO DO ACESSO À ENERGIA ELÉTRICA - DPUE</v>
      </c>
      <c r="M269" s="280" t="s">
        <v>632</v>
      </c>
      <c r="N269" s="288"/>
    </row>
    <row r="270" spans="1:14" ht="23.25" x14ac:dyDescent="0.25">
      <c r="A270" s="360" t="s">
        <v>633</v>
      </c>
      <c r="B270" s="345" t="s">
        <v>321</v>
      </c>
      <c r="C270" s="273" t="s">
        <v>186</v>
      </c>
      <c r="D270" s="273" t="s">
        <v>187</v>
      </c>
      <c r="E270" s="300" t="str">
        <f>INDEX([1]RELAÇÃO!$A$1:$AQ$576,MATCH($M270,[1]RELAÇÃO!$AP$1:$AP$576,0),1)</f>
        <v>FABRÍCIO DAIREL DE CAMPOS LACERDA</v>
      </c>
      <c r="F270" s="301" t="str">
        <f>IF(E270=0,"-",LEFT(INDEX([1]RELAÇÃO!$A$1:$AQ$576,MATCH($M270,[1]RELAÇÃO!$AP$1:$AP$576,0),32),1))</f>
        <v>M</v>
      </c>
      <c r="G270" s="300" t="str">
        <f>IF(E270=0,"-",INDEX([1]RELAÇÃO!$A$1:$AQ$576,MATCH($M270,[1]RELAÇÃO!$AP$1:$AP$576,0),5))</f>
        <v>Exercício Descentralizado</v>
      </c>
      <c r="H270" s="300" t="str">
        <f>IF(E270=0,"-",INDEX([1]RELAÇÃO!$A$1:$AQ$576,MATCH($M270,[1]RELAÇÃO!$AP$1:$AP$576,0),6))</f>
        <v>ME - Ministério da Economia</v>
      </c>
      <c r="I270" s="300" t="str">
        <f>IF(E270=0,"-",INDEX([1]RELAÇÃO!$A$1:$AQ$576,MATCH($M270,[1]RELAÇÃO!$AP$1:$AP$576,0),12)&amp;INDEX([1]RELAÇÃO!$A$1:$AQ$576,MATCH($M270,[1]RELAÇÃO!$AP$1:$AP$576,0),13)&amp;", de "&amp;INDEX([1]RELAÇÃO!$A$1:$AQ$576,MATCH($M270,[1]RELAÇÃO!$AP$1:$AP$576,0),14)&amp;" - "&amp;INDEX([1]RELAÇÃO!$A$1:$AQ$576,MATCH($M270,[1]RELAÇÃO!$AP$1:$AP$576,0),16)&amp;" de "&amp;INDEX([1]RELAÇÃO!$A$1:$AQ$576,MATCH($M270,[1]RELAÇÃO!$AP$1:$AP$576,0),15))</f>
        <v>Portaria nº 12, de 15/01/2018 - DOU de 16/01/2018</v>
      </c>
      <c r="J270" s="307" t="str">
        <f>INDEX([1]RELAÇÃO!$A$1:$AQ$576,MATCH($N270,[1]RELAÇÃO!$AQ$1:$AQ$576,0),1)</f>
        <v>VANIALUCIA LINS SOUTO</v>
      </c>
      <c r="K270" s="395" t="str">
        <f>IF(J270=0,"-",INDEX([1]RELAÇÃO!$A$1:$AQ$576,MATCH($N270,[1]RELAÇÃO!$AQ$1:$AQ$576,0),27)&amp;INDEX([1]RELAÇÃO!$A$1:$AQ$576,MATCH($N270,[1]RELAÇÃO!$AQ$1:$AQ$576,0),28)&amp;", de "&amp;INDEX([1]RELAÇÃO!$A$1:$AQ$576,MATCH($N270,[1]RELAÇÃO!$AQ$1:$AQ$576,0),29)&amp;" - "&amp;INDEX([1]RELAÇÃO!$A$1:$AQ$576,MATCH($N270,[1]RELAÇÃO!$AQ$1:$AQ$576,0),31)&amp;" de "&amp;INDEX([1]RELAÇÃO!$A$1:$AQ$576,MATCH($N270,[1]RELAÇÃO!$AQ$1:$AQ$576,0),30))</f>
        <v>Portaria nº 397, de 03/11/2020 - DOU de 04/11/2020</v>
      </c>
      <c r="L270" s="302" t="str">
        <f>IF($E270=0,"-",IF(INDEX([1]RELAÇÃO!$A$1:$AQ$576,MATCH($M270,[1]RELAÇÃO!$AP$1:$AP$576,0),8)="12.101.100","-",INDEX([1]RELAÇÃO!$A$1:$AQ$576,MATCH($M270,[1]RELAÇÃO!$AP$1:$AP$576,0),7)))</f>
        <v>-</v>
      </c>
      <c r="M270" s="280" t="s">
        <v>634</v>
      </c>
      <c r="N270" s="280" t="s">
        <v>635</v>
      </c>
    </row>
    <row r="271" spans="1:14" ht="23.25" x14ac:dyDescent="0.25">
      <c r="A271" s="370"/>
      <c r="B271" s="345" t="s">
        <v>228</v>
      </c>
      <c r="C271" s="273" t="s">
        <v>229</v>
      </c>
      <c r="D271" s="273" t="s">
        <v>193</v>
      </c>
      <c r="E271" s="275" t="str">
        <f>INDEX([1]RELAÇÃO!$A$1:$AQ$576,MATCH($M271,[1]RELAÇÃO!$AP$1:$AP$576,0),1)</f>
        <v>VANIALUCIA LINS SOUTO</v>
      </c>
      <c r="F271" s="276" t="str">
        <f>IF(E271=0,"-",LEFT(INDEX([1]RELAÇÃO!$A$1:$AQ$576,MATCH($M271,[1]RELAÇÃO!$AP$1:$AP$576,0),32),1))</f>
        <v>F</v>
      </c>
      <c r="G271" s="275" t="str">
        <f>IF(E271=0,"-",INDEX([1]RELAÇÃO!$A$1:$AQ$576,MATCH($M271,[1]RELAÇÃO!$AP$1:$AP$576,0),5))</f>
        <v>Exercício Descentralizado</v>
      </c>
      <c r="H271" s="275" t="str">
        <f>IF(E271=0,"-",INDEX([1]RELAÇÃO!$A$1:$AQ$576,MATCH($M271,[1]RELAÇÃO!$AP$1:$AP$576,0),6))</f>
        <v>ME - Ministério da Economia</v>
      </c>
      <c r="I271" s="275" t="str">
        <f>IF(E271=0,"-",INDEX([1]RELAÇÃO!$A$1:$AQ$576,MATCH($M271,[1]RELAÇÃO!$AP$1:$AP$576,0),12)&amp;INDEX([1]RELAÇÃO!$A$1:$AQ$576,MATCH($M271,[1]RELAÇÃO!$AP$1:$AP$576,0),13)&amp;", de "&amp;INDEX([1]RELAÇÃO!$A$1:$AQ$576,MATCH($M271,[1]RELAÇÃO!$AP$1:$AP$576,0),14)&amp;" - "&amp;INDEX([1]RELAÇÃO!$A$1:$AQ$576,MATCH($M271,[1]RELAÇÃO!$AP$1:$AP$576,0),16)&amp;" de "&amp;INDEX([1]RELAÇÃO!$A$1:$AQ$576,MATCH($M271,[1]RELAÇÃO!$AP$1:$AP$576,0),15))</f>
        <v>Portaria nº 373, de 08/10/2020 - DOU de 13/10/2020</v>
      </c>
      <c r="J271" s="379"/>
      <c r="K271" s="312"/>
      <c r="L271" s="287" t="str">
        <f>IF($E271=0,"-",IF(INDEX([1]RELAÇÃO!$A$1:$AQ$576,MATCH($M271,[1]RELAÇÃO!$AP$1:$AP$576,0),8)="12.101.100","-",INDEX([1]RELAÇÃO!$A$1:$AQ$576,MATCH($M271,[1]RELAÇÃO!$AP$1:$AP$576,0),7)))</f>
        <v>-</v>
      </c>
      <c r="M271" s="280" t="s">
        <v>636</v>
      </c>
      <c r="N271" s="288"/>
    </row>
    <row r="272" spans="1:14" ht="23.25" x14ac:dyDescent="0.25">
      <c r="A272" s="360" t="s">
        <v>637</v>
      </c>
      <c r="B272" s="345" t="s">
        <v>321</v>
      </c>
      <c r="C272" s="273" t="s">
        <v>186</v>
      </c>
      <c r="D272" s="273" t="s">
        <v>187</v>
      </c>
      <c r="E272" s="275" t="str">
        <f>INDEX([1]RELAÇÃO!$A$1:$AQ$576,MATCH($M272,[1]RELAÇÃO!$AP$1:$AP$576,0),1)</f>
        <v>ADRIMAR VENANCIO DO NASCIMENTO</v>
      </c>
      <c r="F272" s="276" t="str">
        <f>IF(E272=0,"-",LEFT(INDEX([1]RELAÇÃO!$A$1:$AQ$576,MATCH($M272,[1]RELAÇÃO!$AP$1:$AP$576,0),32),1))</f>
        <v>M</v>
      </c>
      <c r="G272" s="275" t="str">
        <f>IF(E272=0,"-",INDEX([1]RELAÇÃO!$A$1:$AQ$576,MATCH($M272,[1]RELAÇÃO!$AP$1:$AP$576,0),5))</f>
        <v>Exercício Descentralizado</v>
      </c>
      <c r="H272" s="275" t="str">
        <f>IF(E272=0,"-",INDEX([1]RELAÇÃO!$A$1:$AQ$576,MATCH($M272,[1]RELAÇÃO!$AP$1:$AP$576,0),6))</f>
        <v>ME - Ministério da Economia</v>
      </c>
      <c r="I272" s="275" t="str">
        <f>IF(E272=0,"-",INDEX([1]RELAÇÃO!$A$1:$AQ$576,MATCH($M272,[1]RELAÇÃO!$AP$1:$AP$576,0),12)&amp;INDEX([1]RELAÇÃO!$A$1:$AQ$576,MATCH($M272,[1]RELAÇÃO!$AP$1:$AP$576,0),13)&amp;", de "&amp;INDEX([1]RELAÇÃO!$A$1:$AQ$576,MATCH($M272,[1]RELAÇÃO!$AP$1:$AP$576,0),14)&amp;" - "&amp;INDEX([1]RELAÇÃO!$A$1:$AQ$576,MATCH($M272,[1]RELAÇÃO!$AP$1:$AP$576,0),16)&amp;" de "&amp;INDEX([1]RELAÇÃO!$A$1:$AQ$576,MATCH($M272,[1]RELAÇÃO!$AP$1:$AP$576,0),15))</f>
        <v>Portaria nº 290, de 22/07/2019 - DOU de 25/07/2019</v>
      </c>
      <c r="J272" s="307">
        <f>INDEX([1]RELAÇÃO!$A$1:$AQ$576,MATCH($N272,[1]RELAÇÃO!$AQ$1:$AQ$576,0),1)</f>
        <v>0</v>
      </c>
      <c r="K272" s="395" t="str">
        <f>IF(J272=0,"-",INDEX([1]RELAÇÃO!$A$1:$AQ$576,MATCH($N272,[1]RELAÇÃO!$AQ$1:$AQ$576,0),27)&amp;INDEX([1]RELAÇÃO!$A$1:$AQ$576,MATCH($N272,[1]RELAÇÃO!$AQ$1:$AQ$576,0),28)&amp;", de "&amp;INDEX([1]RELAÇÃO!$A$1:$AQ$576,MATCH($N272,[1]RELAÇÃO!$AQ$1:$AQ$576,0),29)&amp;" - "&amp;INDEX([1]RELAÇÃO!$A$1:$AQ$576,MATCH($N272,[1]RELAÇÃO!$AQ$1:$AQ$576,0),31)&amp;" de "&amp;INDEX([1]RELAÇÃO!$A$1:$AQ$576,MATCH($N272,[1]RELAÇÃO!$AQ$1:$AQ$576,0),30))</f>
        <v>-</v>
      </c>
      <c r="L272" s="287" t="str">
        <f>IF($E272=0,"-",IF(INDEX([1]RELAÇÃO!$A$1:$AQ$576,MATCH($M272,[1]RELAÇÃO!$AP$1:$AP$576,0),8)="12.101.200","-",INDEX([1]RELAÇÃO!$A$1:$AQ$576,MATCH($M272,[1]RELAÇÃO!$AP$1:$AP$576,0),7)))</f>
        <v>-</v>
      </c>
      <c r="M272" s="280" t="s">
        <v>638</v>
      </c>
      <c r="N272" s="280" t="s">
        <v>639</v>
      </c>
    </row>
    <row r="273" spans="1:14" ht="23.25" x14ac:dyDescent="0.25">
      <c r="A273" s="361"/>
      <c r="B273" s="345" t="s">
        <v>191</v>
      </c>
      <c r="C273" s="374" t="s">
        <v>239</v>
      </c>
      <c r="D273" s="273" t="s">
        <v>193</v>
      </c>
      <c r="E273" s="275" t="str">
        <f>INDEX([1]RELAÇÃO!$A$1:$AQ$576,MATCH($M273,[1]RELAÇÃO!$AP$1:$AP$576,0),1)</f>
        <v>ANDRÉ LUIZ DIAS DE OLIVEIRA</v>
      </c>
      <c r="F273" s="276" t="str">
        <f>IF(E273=0,"-",LEFT(INDEX([1]RELAÇÃO!$A$1:$AQ$576,MATCH($M273,[1]RELAÇÃO!$AP$1:$AP$576,0),32),1))</f>
        <v>M</v>
      </c>
      <c r="G273" s="275" t="str">
        <f>IF(E273=0,"-",INDEX([1]RELAÇÃO!$A$1:$AQ$576,MATCH($M273,[1]RELAÇÃO!$AP$1:$AP$576,0),5))</f>
        <v>Exercício Descentralizado</v>
      </c>
      <c r="H273" s="275" t="str">
        <f>IF(E273=0,"-",INDEX([1]RELAÇÃO!$A$1:$AQ$576,MATCH($M273,[1]RELAÇÃO!$AP$1:$AP$576,0),6))</f>
        <v>ME - Ministério da Economia</v>
      </c>
      <c r="I273" s="275" t="str">
        <f>IF(E273=0,"-",INDEX([1]RELAÇÃO!$A$1:$AQ$576,MATCH($M273,[1]RELAÇÃO!$AP$1:$AP$576,0),12)&amp;INDEX([1]RELAÇÃO!$A$1:$AQ$576,MATCH($M273,[1]RELAÇÃO!$AP$1:$AP$576,0),13)&amp;", de "&amp;INDEX([1]RELAÇÃO!$A$1:$AQ$576,MATCH($M273,[1]RELAÇÃO!$AP$1:$AP$576,0),14)&amp;" - "&amp;INDEX([1]RELAÇÃO!$A$1:$AQ$576,MATCH($M273,[1]RELAÇÃO!$AP$1:$AP$576,0),16)&amp;" de "&amp;INDEX([1]RELAÇÃO!$A$1:$AQ$576,MATCH($M273,[1]RELAÇÃO!$AP$1:$AP$576,0),15))</f>
        <v>Portaria nº 260, de 29/06/2020 - DOU de 30/06/2020</v>
      </c>
      <c r="J273" s="362"/>
      <c r="K273" s="310"/>
      <c r="L273" s="287" t="str">
        <f>IF($E273=0,"-",IF(INDEX([1]RELAÇÃO!$A$1:$AQ$576,MATCH($M273,[1]RELAÇÃO!$AP$1:$AP$576,0),8)="12.101.200","-",INDEX([1]RELAÇÃO!$A$1:$AQ$576,MATCH($M273,[1]RELAÇÃO!$AP$1:$AP$576,0),7)))</f>
        <v>-</v>
      </c>
      <c r="M273" s="280" t="s">
        <v>640</v>
      </c>
      <c r="N273" s="288"/>
    </row>
    <row r="274" spans="1:14" ht="23.25" x14ac:dyDescent="0.25">
      <c r="A274" s="360" t="s">
        <v>641</v>
      </c>
      <c r="B274" s="343" t="s">
        <v>566</v>
      </c>
      <c r="C274" s="274" t="s">
        <v>206</v>
      </c>
      <c r="D274" s="274" t="s">
        <v>187</v>
      </c>
      <c r="E274" s="275" t="str">
        <f>INDEX([1]RELAÇÃO!$A$1:$AQ$576,MATCH($M274,[1]RELAÇÃO!$AP$1:$AP$576,0),1)</f>
        <v>GUILHERME SILVA DE GODOI</v>
      </c>
      <c r="F274" s="276" t="str">
        <f>IF(E274=0,"-",LEFT(INDEX([1]RELAÇÃO!$A$1:$AQ$576,MATCH($M274,[1]RELAÇÃO!$AP$1:$AP$576,0),32),1))</f>
        <v>M</v>
      </c>
      <c r="G274" s="275" t="str">
        <f>IF(E274=0,"-",INDEX([1]RELAÇÃO!$A$1:$AQ$576,MATCH($M274,[1]RELAÇÃO!$AP$1:$AP$576,0),5))</f>
        <v>Exercício Descentralizado</v>
      </c>
      <c r="H274" s="275" t="str">
        <f>IF(E274=0,"-",INDEX([1]RELAÇÃO!$A$1:$AQ$576,MATCH($M274,[1]RELAÇÃO!$AP$1:$AP$576,0),6))</f>
        <v>ME - Ministério da Economia</v>
      </c>
      <c r="I274" s="275" t="str">
        <f>IF(E274=0,"-",INDEX([1]RELAÇÃO!$A$1:$AQ$576,MATCH($M274,[1]RELAÇÃO!$AP$1:$AP$576,0),12)&amp;INDEX([1]RELAÇÃO!$A$1:$AQ$576,MATCH($M274,[1]RELAÇÃO!$AP$1:$AP$576,0),13)&amp;", de "&amp;INDEX([1]RELAÇÃO!$A$1:$AQ$576,MATCH($M274,[1]RELAÇÃO!$AP$1:$AP$576,0),14)&amp;" - "&amp;INDEX([1]RELAÇÃO!$A$1:$AQ$576,MATCH($M274,[1]RELAÇÃO!$AP$1:$AP$576,0),16)&amp;" de "&amp;INDEX([1]RELAÇÃO!$A$1:$AQ$576,MATCH($M274,[1]RELAÇÃO!$AP$1:$AP$576,0),15))</f>
        <v>Portaria nº 570, de 01/06/2018 - DOU de 04/06/2018</v>
      </c>
      <c r="J274" s="277" t="str">
        <f>INDEX([1]RELAÇÃO!$A$1:$AQ$576,MATCH($N274,[1]RELAÇÃO!$AQ$1:$AQ$576,0),1)</f>
        <v>IGOR SOUZA RIBEIRO</v>
      </c>
      <c r="K274" s="395" t="str">
        <f>IF(J274=0,"-",INDEX([1]RELAÇÃO!$A$1:$AQ$576,MATCH($N274,[1]RELAÇÃO!$AQ$1:$AQ$576,0),27)&amp;INDEX([1]RELAÇÃO!$A$1:$AQ$576,MATCH($N274,[1]RELAÇÃO!$AQ$1:$AQ$576,0),28)&amp;", de "&amp;INDEX([1]RELAÇÃO!$A$1:$AQ$576,MATCH($N274,[1]RELAÇÃO!$AQ$1:$AQ$576,0),29)&amp;" - "&amp;INDEX([1]RELAÇÃO!$A$1:$AQ$576,MATCH($N274,[1]RELAÇÃO!$AQ$1:$AQ$576,0),31)&amp;" de "&amp;INDEX([1]RELAÇÃO!$A$1:$AQ$576,MATCH($N274,[1]RELAÇÃO!$AQ$1:$AQ$576,0),30))</f>
        <v>Portaria nº 224, de 27/05/2020 - DOU de 02/06/2020</v>
      </c>
      <c r="L274" s="287" t="str">
        <f>IF($E274=0,"-",IF(INDEX([1]RELAÇÃO!$A$1:$AQ$576,MATCH($M274,[1]RELAÇÃO!$AP$1:$AP$576,0),8)="12.102.000","-",INDEX([1]RELAÇÃO!$A$1:$AQ$576,MATCH($M274,[1]RELAÇÃO!$AP$1:$AP$576,0),7)))</f>
        <v>-</v>
      </c>
      <c r="M274" s="280" t="s">
        <v>642</v>
      </c>
      <c r="N274" s="280" t="s">
        <v>643</v>
      </c>
    </row>
    <row r="275" spans="1:14" x14ac:dyDescent="0.25">
      <c r="A275" s="361"/>
      <c r="B275" s="363" t="s">
        <v>644</v>
      </c>
      <c r="C275" s="327" t="s">
        <v>631</v>
      </c>
      <c r="D275" s="371"/>
      <c r="E275" s="372" t="s">
        <v>333</v>
      </c>
      <c r="F275" s="329"/>
      <c r="G275" s="329"/>
      <c r="H275" s="331"/>
      <c r="I275" s="365"/>
      <c r="J275" s="362"/>
      <c r="K275" s="310"/>
      <c r="L275" s="364"/>
      <c r="M275" s="288"/>
      <c r="N275" s="288"/>
    </row>
    <row r="276" spans="1:14" ht="23.25" x14ac:dyDescent="0.25">
      <c r="A276" s="361"/>
      <c r="B276" s="345" t="s">
        <v>228</v>
      </c>
      <c r="C276" s="273" t="s">
        <v>229</v>
      </c>
      <c r="D276" s="273" t="s">
        <v>193</v>
      </c>
      <c r="E276" s="275" t="str">
        <f>INDEX([1]RELAÇÃO!$A$1:$AQ$576,MATCH($M276,[1]RELAÇÃO!$AP$1:$AP$576,0),1)</f>
        <v>BEATRIZ BARBOSA DE MELO</v>
      </c>
      <c r="F276" s="276" t="str">
        <f>IF(E276=0,"-",LEFT(INDEX([1]RELAÇÃO!$A$1:$AQ$576,MATCH($M276,[1]RELAÇÃO!$AP$1:$AP$576,0),32),1))</f>
        <v>F</v>
      </c>
      <c r="G276" s="275" t="str">
        <f>IF(E276=0,"-",INDEX([1]RELAÇÃO!$A$1:$AQ$576,MATCH($M276,[1]RELAÇÃO!$AP$1:$AP$576,0),5))</f>
        <v>Sem Vínculo</v>
      </c>
      <c r="H276" s="275" t="str">
        <f>IF(E276=0,"-",INDEX([1]RELAÇÃO!$A$1:$AQ$576,MATCH($M276,[1]RELAÇÃO!$AP$1:$AP$576,0),6))</f>
        <v>Sem Vínculo</v>
      </c>
      <c r="I276" s="275" t="str">
        <f>IF(E276=0,"-",INDEX([1]RELAÇÃO!$A$1:$AQ$576,MATCH($M276,[1]RELAÇÃO!$AP$1:$AP$576,0),12)&amp;INDEX([1]RELAÇÃO!$A$1:$AQ$576,MATCH($M276,[1]RELAÇÃO!$AP$1:$AP$576,0),13)&amp;", de "&amp;INDEX([1]RELAÇÃO!$A$1:$AQ$576,MATCH($M276,[1]RELAÇÃO!$AP$1:$AP$576,0),14)&amp;" - "&amp;INDEX([1]RELAÇÃO!$A$1:$AQ$576,MATCH($M276,[1]RELAÇÃO!$AP$1:$AP$576,0),16)&amp;" de "&amp;INDEX([1]RELAÇÃO!$A$1:$AQ$576,MATCH($M276,[1]RELAÇÃO!$AP$1:$AP$576,0),15))</f>
        <v>Portaria nº 524, de 03/11/2016 - BPE de 04/11/2016</v>
      </c>
      <c r="J276" s="362"/>
      <c r="K276" s="310"/>
      <c r="L276" s="287" t="str">
        <f>IF($E276=0,"-",IF(INDEX([1]RELAÇÃO!$A$1:$AQ$576,MATCH($M276,[1]RELAÇÃO!$AP$1:$AP$576,0),8)="12.102.000","-",INDEX([1]RELAÇÃO!$A$1:$AQ$576,MATCH($M276,[1]RELAÇÃO!$AP$1:$AP$576,0),7)))</f>
        <v>-</v>
      </c>
      <c r="M276" s="280" t="s">
        <v>645</v>
      </c>
      <c r="N276" s="288"/>
    </row>
    <row r="277" spans="1:14" ht="23.25" x14ac:dyDescent="0.25">
      <c r="A277" s="361"/>
      <c r="B277" s="345" t="s">
        <v>228</v>
      </c>
      <c r="C277" s="273" t="s">
        <v>229</v>
      </c>
      <c r="D277" s="273" t="s">
        <v>193</v>
      </c>
      <c r="E277" s="275" t="str">
        <f>INDEX([1]RELAÇÃO!$A$1:$AQ$576,MATCH($M277,[1]RELAÇÃO!$AP$1:$AP$576,0),1)</f>
        <v>FABIANA ANGELICA AIRES</v>
      </c>
      <c r="F277" s="276" t="str">
        <f>IF(E277=0,"-",LEFT(INDEX([1]RELAÇÃO!$A$1:$AQ$576,MATCH($M277,[1]RELAÇÃO!$AP$1:$AP$576,0),32),1))</f>
        <v>F</v>
      </c>
      <c r="G277" s="275" t="str">
        <f>IF(E277=0,"-",INDEX([1]RELAÇÃO!$A$1:$AQ$576,MATCH($M277,[1]RELAÇÃO!$AP$1:$AP$576,0),5))</f>
        <v>Sem Vínculo</v>
      </c>
      <c r="H277" s="275" t="str">
        <f>IF(E277=0,"-",INDEX([1]RELAÇÃO!$A$1:$AQ$576,MATCH($M277,[1]RELAÇÃO!$AP$1:$AP$576,0),6))</f>
        <v>Sem Vínculo</v>
      </c>
      <c r="I277" s="275" t="str">
        <f>IF(E277=0,"-",INDEX([1]RELAÇÃO!$A$1:$AQ$576,MATCH($M277,[1]RELAÇÃO!$AP$1:$AP$576,0),12)&amp;INDEX([1]RELAÇÃO!$A$1:$AQ$576,MATCH($M277,[1]RELAÇÃO!$AP$1:$AP$576,0),13)&amp;", de "&amp;INDEX([1]RELAÇÃO!$A$1:$AQ$576,MATCH($M277,[1]RELAÇÃO!$AP$1:$AP$576,0),14)&amp;" - "&amp;INDEX([1]RELAÇÃO!$A$1:$AQ$576,MATCH($M277,[1]RELAÇÃO!$AP$1:$AP$576,0),16)&amp;" de "&amp;INDEX([1]RELAÇÃO!$A$1:$AQ$576,MATCH($M277,[1]RELAÇÃO!$AP$1:$AP$576,0),15))</f>
        <v>Portaria nº 524, de 03/11/2016 - BPE de 04/11/2016</v>
      </c>
      <c r="J277" s="362"/>
      <c r="K277" s="310"/>
      <c r="L277" s="287" t="str">
        <f>IF($E277=0,"-",IF(INDEX([1]RELAÇÃO!$A$1:$AQ$576,MATCH($M277,[1]RELAÇÃO!$AP$1:$AP$576,0),8)="12.102.000","-",INDEX([1]RELAÇÃO!$A$1:$AQ$576,MATCH($M277,[1]RELAÇÃO!$AP$1:$AP$576,0),7)))</f>
        <v>-</v>
      </c>
      <c r="M277" s="280" t="s">
        <v>646</v>
      </c>
      <c r="N277" s="288"/>
    </row>
    <row r="278" spans="1:14" ht="23.25" x14ac:dyDescent="0.25">
      <c r="A278" s="360" t="s">
        <v>647</v>
      </c>
      <c r="B278" s="345" t="s">
        <v>321</v>
      </c>
      <c r="C278" s="273" t="s">
        <v>186</v>
      </c>
      <c r="D278" s="274" t="s">
        <v>187</v>
      </c>
      <c r="E278" s="287" t="str">
        <f>INDEX([1]RELAÇÃO!$A$1:$AQ$576,MATCH($M278,[1]RELAÇÃO!$AP$1:$AP$576,0),1)</f>
        <v>BIANCA MARIA MATOS DE ALENCAR BRAGA</v>
      </c>
      <c r="F278" s="276" t="str">
        <f>IF(E278=0,"-",LEFT(INDEX([1]RELAÇÃO!$A$1:$AQ$576,MATCH($M278,[1]RELAÇÃO!$AP$1:$AP$576,0),32),1))</f>
        <v>F</v>
      </c>
      <c r="G278" s="275" t="str">
        <f>IF(E278=0,"-",INDEX([1]RELAÇÃO!$A$1:$AQ$576,MATCH($M278,[1]RELAÇÃO!$AP$1:$AP$576,0),5))</f>
        <v>Exercício Descentralizado</v>
      </c>
      <c r="H278" s="275" t="str">
        <f>IF(E278=0,"-",INDEX([1]RELAÇÃO!$A$1:$AQ$576,MATCH($M278,[1]RELAÇÃO!$AP$1:$AP$576,0),6))</f>
        <v>ME - Ministério da Economia</v>
      </c>
      <c r="I278" s="275" t="str">
        <f>IF(E278=0,"-",INDEX([1]RELAÇÃO!$A$1:$AQ$576,MATCH($M278,[1]RELAÇÃO!$AP$1:$AP$576,0),12)&amp;INDEX([1]RELAÇÃO!$A$1:$AQ$576,MATCH($M278,[1]RELAÇÃO!$AP$1:$AP$576,0),13)&amp;", de "&amp;INDEX([1]RELAÇÃO!$A$1:$AQ$576,MATCH($M278,[1]RELAÇÃO!$AP$1:$AP$576,0),14)&amp;" - "&amp;INDEX([1]RELAÇÃO!$A$1:$AQ$576,MATCH($M278,[1]RELAÇÃO!$AP$1:$AP$576,0),16)&amp;" de "&amp;INDEX([1]RELAÇÃO!$A$1:$AQ$576,MATCH($M278,[1]RELAÇÃO!$AP$1:$AP$576,0),15))</f>
        <v>Portaria nº 242, de 12/06/2020 - DOU de 15/06/2020</v>
      </c>
      <c r="J278" s="277" t="str">
        <f>INDEX([1]RELAÇÃO!$A$1:$AQ$576,MATCH($N278,[1]RELAÇÃO!$AQ$1:$AQ$576,0),1)</f>
        <v>TARCISIO TADEU DE CASTRO</v>
      </c>
      <c r="K278" s="395" t="str">
        <f>IF(J278=0,"-",INDEX([1]RELAÇÃO!$A$1:$AQ$576,MATCH($N278,[1]RELAÇÃO!$AQ$1:$AQ$576,0),27)&amp;INDEX([1]RELAÇÃO!$A$1:$AQ$576,MATCH($N278,[1]RELAÇÃO!$AQ$1:$AQ$576,0),28)&amp;", de "&amp;INDEX([1]RELAÇÃO!$A$1:$AQ$576,MATCH($N278,[1]RELAÇÃO!$AQ$1:$AQ$576,0),29)&amp;" - "&amp;INDEX([1]RELAÇÃO!$A$1:$AQ$576,MATCH($N278,[1]RELAÇÃO!$AQ$1:$AQ$576,0),31)&amp;" de "&amp;INDEX([1]RELAÇÃO!$A$1:$AQ$576,MATCH($N278,[1]RELAÇÃO!$AQ$1:$AQ$576,0),30))</f>
        <v>Portaria nº 259, de 26/06/2020 - DOU de 30/06/2020</v>
      </c>
      <c r="L278" s="287" t="str">
        <f>IF($E278=0,"-",IF(INDEX([1]RELAÇÃO!$A$1:$AQ$576,MATCH($M278,[1]RELAÇÃO!$AP$1:$AP$576,0),8)="12.102.000","-",INDEX([1]RELAÇÃO!$A$1:$AQ$576,MATCH($M278,[1]RELAÇÃO!$AP$1:$AP$576,0),7)))</f>
        <v>SEE / DMSE / COORDENAÇÃO GERAL DE MONITORAMENTO DO DESEMPENHO DO SISTEMA ELÉTRICO</v>
      </c>
      <c r="M278" s="280" t="s">
        <v>648</v>
      </c>
      <c r="N278" s="280" t="s">
        <v>649</v>
      </c>
    </row>
    <row r="279" spans="1:14" ht="23.25" x14ac:dyDescent="0.25">
      <c r="A279" s="368"/>
      <c r="B279" s="343" t="s">
        <v>644</v>
      </c>
      <c r="C279" s="274" t="s">
        <v>186</v>
      </c>
      <c r="D279" s="274" t="s">
        <v>187</v>
      </c>
      <c r="E279" s="275" t="str">
        <f>INDEX([1]RELAÇÃO!$A$1:$AQ$576,MATCH($M279,[1]RELAÇÃO!$AP$1:$AP$576,0),1)</f>
        <v>FERNANDO ANTONIO GIFFONI NORONHA LUZ</v>
      </c>
      <c r="F279" s="276" t="str">
        <f>IF(E279=0,"-",LEFT(INDEX([1]RELAÇÃO!$A$1:$AQ$576,MATCH($M279,[1]RELAÇÃO!$AP$1:$AP$576,0),32),1))</f>
        <v>M</v>
      </c>
      <c r="G279" s="275" t="str">
        <f>IF(E279=0,"-",INDEX([1]RELAÇÃO!$A$1:$AQ$576,MATCH($M279,[1]RELAÇÃO!$AP$1:$AP$576,0),5))</f>
        <v>Sem Vínculo</v>
      </c>
      <c r="H279" s="275" t="str">
        <f>IF(E279=0,"-",INDEX([1]RELAÇÃO!$A$1:$AQ$576,MATCH($M279,[1]RELAÇÃO!$AP$1:$AP$576,0),6))</f>
        <v>Sem Vínculo</v>
      </c>
      <c r="I279" s="275" t="str">
        <f>IF(E279=0,"-",INDEX([1]RELAÇÃO!$A$1:$AQ$576,MATCH($M279,[1]RELAÇÃO!$AP$1:$AP$576,0),12)&amp;INDEX([1]RELAÇÃO!$A$1:$AQ$576,MATCH($M279,[1]RELAÇÃO!$AP$1:$AP$576,0),13)&amp;", de "&amp;INDEX([1]RELAÇÃO!$A$1:$AQ$576,MATCH($M279,[1]RELAÇÃO!$AP$1:$AP$576,0),14)&amp;" - "&amp;INDEX([1]RELAÇÃO!$A$1:$AQ$576,MATCH($M279,[1]RELAÇÃO!$AP$1:$AP$576,0),16)&amp;" de "&amp;INDEX([1]RELAÇÃO!$A$1:$AQ$576,MATCH($M279,[1]RELAÇÃO!$AP$1:$AP$576,0),15))</f>
        <v>Portaria nº 578, de 03/11/2016 - DOU de 04/11/2016</v>
      </c>
      <c r="J279" s="307">
        <f>INDEX([1]RELAÇÃO!$A$1:$AQ$576,MATCH($N279,[1]RELAÇÃO!$AQ$1:$AQ$576,0),1)</f>
        <v>0</v>
      </c>
      <c r="K279" s="395" t="str">
        <f>IF(J279=0,"-",INDEX([1]RELAÇÃO!$A$1:$AQ$576,MATCH($N279,[1]RELAÇÃO!$AQ$1:$AQ$576,0),27)&amp;INDEX([1]RELAÇÃO!$A$1:$AQ$576,MATCH($N279,[1]RELAÇÃO!$AQ$1:$AQ$576,0),28)&amp;", de "&amp;INDEX([1]RELAÇÃO!$A$1:$AQ$576,MATCH($N279,[1]RELAÇÃO!$AQ$1:$AQ$576,0),29)&amp;" - "&amp;INDEX([1]RELAÇÃO!$A$1:$AQ$576,MATCH($N279,[1]RELAÇÃO!$AQ$1:$AQ$576,0),31)&amp;" de "&amp;INDEX([1]RELAÇÃO!$A$1:$AQ$576,MATCH($N279,[1]RELAÇÃO!$AQ$1:$AQ$576,0),30))</f>
        <v>-</v>
      </c>
      <c r="L279" s="287" t="str">
        <f>IF($E279=0,"-",IF(INDEX([1]RELAÇÃO!$A$1:$AQ$576,MATCH($M279,[1]RELAÇÃO!$AP$1:$AP$576,0),8)="12.102.100","-",INDEX([1]RELAÇÃO!$A$1:$AQ$576,MATCH($M279,[1]RELAÇÃO!$AP$1:$AP$576,0),7)))</f>
        <v>-</v>
      </c>
      <c r="M279" s="280" t="s">
        <v>650</v>
      </c>
      <c r="N279" s="280" t="s">
        <v>651</v>
      </c>
    </row>
    <row r="280" spans="1:14" ht="23.25" x14ac:dyDescent="0.25">
      <c r="A280" s="380"/>
      <c r="B280" s="345" t="s">
        <v>228</v>
      </c>
      <c r="C280" s="273" t="s">
        <v>229</v>
      </c>
      <c r="D280" s="273" t="s">
        <v>193</v>
      </c>
      <c r="E280" s="275" t="str">
        <f>INDEX([1]RELAÇÃO!$A$1:$AQ$576,MATCH($M280,[1]RELAÇÃO!$AP$1:$AP$576,0),1)</f>
        <v>LUIZ AUGUSTO GOMES DE OLIVEIRA</v>
      </c>
      <c r="F280" s="276" t="str">
        <f>IF(E280=0,"-",LEFT(INDEX([1]RELAÇÃO!$A$1:$AQ$576,MATCH($M280,[1]RELAÇÃO!$AP$1:$AP$576,0),32),1))</f>
        <v>M</v>
      </c>
      <c r="G280" s="275" t="str">
        <f>IF(E280=0,"-",INDEX([1]RELAÇÃO!$A$1:$AQ$576,MATCH($M280,[1]RELAÇÃO!$AP$1:$AP$576,0),5))</f>
        <v>Sem Vínculo</v>
      </c>
      <c r="H280" s="275" t="str">
        <f>IF(E280=0,"-",INDEX([1]RELAÇÃO!$A$1:$AQ$576,MATCH($M280,[1]RELAÇÃO!$AP$1:$AP$576,0),6))</f>
        <v>Sem Vínculo</v>
      </c>
      <c r="I280" s="275" t="str">
        <f>IF(E280=0,"-",INDEX([1]RELAÇÃO!$A$1:$AQ$576,MATCH($M280,[1]RELAÇÃO!$AP$1:$AP$576,0),12)&amp;INDEX([1]RELAÇÃO!$A$1:$AQ$576,MATCH($M280,[1]RELAÇÃO!$AP$1:$AP$576,0),13)&amp;", de "&amp;INDEX([1]RELAÇÃO!$A$1:$AQ$576,MATCH($M280,[1]RELAÇÃO!$AP$1:$AP$576,0),14)&amp;" - "&amp;INDEX([1]RELAÇÃO!$A$1:$AQ$576,MATCH($M280,[1]RELAÇÃO!$AP$1:$AP$576,0),16)&amp;" de "&amp;INDEX([1]RELAÇÃO!$A$1:$AQ$576,MATCH($M280,[1]RELAÇÃO!$AP$1:$AP$576,0),15))</f>
        <v>Portaria nº 524, de 03/11/2016 - BPE de 04/11/2016</v>
      </c>
      <c r="J280" s="362"/>
      <c r="K280" s="310"/>
      <c r="L280" s="287" t="str">
        <f>IF($E280=0,"-",IF(INDEX([1]RELAÇÃO!$A$1:$AQ$576,MATCH($M280,[1]RELAÇÃO!$AP$1:$AP$576,0),8)="12.102.100","-",INDEX([1]RELAÇÃO!$A$1:$AQ$576,MATCH($M280,[1]RELAÇÃO!$AP$1:$AP$576,0),7)))</f>
        <v>-</v>
      </c>
      <c r="M280" s="280" t="s">
        <v>652</v>
      </c>
      <c r="N280" s="288"/>
    </row>
    <row r="281" spans="1:14" ht="23.25" x14ac:dyDescent="0.25">
      <c r="A281" s="369" t="s">
        <v>653</v>
      </c>
      <c r="B281" s="343" t="s">
        <v>321</v>
      </c>
      <c r="C281" s="381" t="s">
        <v>654</v>
      </c>
      <c r="D281" s="274" t="s">
        <v>187</v>
      </c>
      <c r="E281" s="275" t="str">
        <f>INDEX([1]RELAÇÃO!$A$1:$AQ$576,MATCH($M281,[1]RELAÇÃO!$AP$1:$AP$576,0),1)</f>
        <v>ANDRÉ GROBÉRIO LOPES PERIM</v>
      </c>
      <c r="F281" s="276" t="str">
        <f>IF(E281=0,"-",LEFT(INDEX([1]RELAÇÃO!$A$1:$AQ$576,MATCH($M281,[1]RELAÇÃO!$AP$1:$AP$576,0),32),1))</f>
        <v>M</v>
      </c>
      <c r="G281" s="275" t="str">
        <f>IF(E281=0,"-",INDEX([1]RELAÇÃO!$A$1:$AQ$576,MATCH($M281,[1]RELAÇÃO!$AP$1:$AP$576,0),5))</f>
        <v>Exercício Descentralizado</v>
      </c>
      <c r="H281" s="275" t="str">
        <f>IF(E281=0,"-",INDEX([1]RELAÇÃO!$A$1:$AQ$576,MATCH($M281,[1]RELAÇÃO!$AP$1:$AP$576,0),6))</f>
        <v>ME - Ministério da Economia</v>
      </c>
      <c r="I281" s="275" t="str">
        <f>IF(E281=0,"-",INDEX([1]RELAÇÃO!$A$1:$AQ$576,MATCH($M281,[1]RELAÇÃO!$AP$1:$AP$576,0),12)&amp;INDEX([1]RELAÇÃO!$A$1:$AQ$576,MATCH($M281,[1]RELAÇÃO!$AP$1:$AP$576,0),13)&amp;", de "&amp;INDEX([1]RELAÇÃO!$A$1:$AQ$576,MATCH($M281,[1]RELAÇÃO!$AP$1:$AP$576,0),14)&amp;" - "&amp;INDEX([1]RELAÇÃO!$A$1:$AQ$576,MATCH($M281,[1]RELAÇÃO!$AP$1:$AP$576,0),16)&amp;" de "&amp;INDEX([1]RELAÇÃO!$A$1:$AQ$576,MATCH($M281,[1]RELAÇÃO!$AP$1:$AP$576,0),15))</f>
        <v>Portaria nº 170, de 19/03/2019 - DOU de 20/03/2019</v>
      </c>
      <c r="J281" s="307" t="str">
        <f>INDEX([1]RELAÇÃO!$A$1:$AQ$576,MATCH($N281,[1]RELAÇÃO!$AQ$1:$AQ$576,0),1)</f>
        <v>JOÃO ALOÍSIO VIEIRA</v>
      </c>
      <c r="K281" s="395" t="str">
        <f>IF(J281=0,"-",INDEX([1]RELAÇÃO!$A$1:$AQ$576,MATCH($N281,[1]RELAÇÃO!$AQ$1:$AQ$576,0),27)&amp;INDEX([1]RELAÇÃO!$A$1:$AQ$576,MATCH($N281,[1]RELAÇÃO!$AQ$1:$AQ$576,0),28)&amp;", de "&amp;INDEX([1]RELAÇÃO!$A$1:$AQ$576,MATCH($N281,[1]RELAÇÃO!$AQ$1:$AQ$576,0),29)&amp;" - "&amp;INDEX([1]RELAÇÃO!$A$1:$AQ$576,MATCH($N281,[1]RELAÇÃO!$AQ$1:$AQ$576,0),31)&amp;" de "&amp;INDEX([1]RELAÇÃO!$A$1:$AQ$576,MATCH($N281,[1]RELAÇÃO!$AQ$1:$AQ$576,0),30))</f>
        <v>Portaria nº 350, de 10/09/2019 - DOU de 13/09/2019</v>
      </c>
      <c r="L281" s="287" t="str">
        <f>IF($E281=0,"-",IF(INDEX([1]RELAÇÃO!$A$1:$AQ$576,MATCH($M281,[1]RELAÇÃO!$AP$1:$AP$576,0),8)="12.102.200","-",INDEX([1]RELAÇÃO!$A$1:$AQ$576,MATCH($M281,[1]RELAÇÃO!$AP$1:$AP$576,0),7)))</f>
        <v>-</v>
      </c>
      <c r="M281" s="280" t="s">
        <v>655</v>
      </c>
      <c r="N281" s="280" t="s">
        <v>656</v>
      </c>
    </row>
    <row r="282" spans="1:14" ht="23.25" x14ac:dyDescent="0.25">
      <c r="A282" s="368"/>
      <c r="B282" s="343" t="s">
        <v>191</v>
      </c>
      <c r="C282" s="274" t="s">
        <v>192</v>
      </c>
      <c r="D282" s="273" t="s">
        <v>193</v>
      </c>
      <c r="E282" s="275" t="str">
        <f>INDEX([1]RELAÇÃO!$A$1:$AQ$576,MATCH($M282,[1]RELAÇÃO!$AP$1:$AP$576,0),1)</f>
        <v>EMANOELLE DE OLIVEIRA LIMA</v>
      </c>
      <c r="F282" s="276" t="str">
        <f>IF(E282=0,"-",LEFT(INDEX([1]RELAÇÃO!$A$1:$AQ$576,MATCH($M282,[1]RELAÇÃO!$AP$1:$AP$576,0),32),1))</f>
        <v>F</v>
      </c>
      <c r="G282" s="275" t="str">
        <f>IF(E282=0,"-",INDEX([1]RELAÇÃO!$A$1:$AQ$576,MATCH($M282,[1]RELAÇÃO!$AP$1:$AP$576,0),5))</f>
        <v>Sem Vínculo</v>
      </c>
      <c r="H282" s="275" t="str">
        <f>IF(E282=0,"-",INDEX([1]RELAÇÃO!$A$1:$AQ$576,MATCH($M282,[1]RELAÇÃO!$AP$1:$AP$576,0),6))</f>
        <v>Sem Vínculo</v>
      </c>
      <c r="I282" s="275" t="str">
        <f>IF(E282=0,"-",INDEX([1]RELAÇÃO!$A$1:$AQ$576,MATCH($M282,[1]RELAÇÃO!$AP$1:$AP$576,0),12)&amp;INDEX([1]RELAÇÃO!$A$1:$AQ$576,MATCH($M282,[1]RELAÇÃO!$AP$1:$AP$576,0),13)&amp;", de "&amp;INDEX([1]RELAÇÃO!$A$1:$AQ$576,MATCH($M282,[1]RELAÇÃO!$AP$1:$AP$576,0),14)&amp;" - "&amp;INDEX([1]RELAÇÃO!$A$1:$AQ$576,MATCH($M282,[1]RELAÇÃO!$AP$1:$AP$576,0),16)&amp;" de "&amp;INDEX([1]RELAÇÃO!$A$1:$AQ$576,MATCH($M282,[1]RELAÇÃO!$AP$1:$AP$576,0),15))</f>
        <v>Portaria nº 524, de 03/11/2016 - BPE de 04/11/2016</v>
      </c>
      <c r="J282" s="362"/>
      <c r="K282" s="310"/>
      <c r="L282" s="287" t="str">
        <f>IF($E282=0,"-",IF(INDEX([1]RELAÇÃO!$A$1:$AQ$576,MATCH($M282,[1]RELAÇÃO!$AP$1:$AP$576,0),8)="12.102.200","-",INDEX([1]RELAÇÃO!$A$1:$AQ$576,MATCH($M282,[1]RELAÇÃO!$AP$1:$AP$576,0),7)))</f>
        <v>-</v>
      </c>
      <c r="M282" s="280" t="s">
        <v>657</v>
      </c>
      <c r="N282" s="288"/>
    </row>
    <row r="283" spans="1:14" ht="23.25" x14ac:dyDescent="0.25">
      <c r="A283" s="366" t="s">
        <v>658</v>
      </c>
      <c r="B283" s="345" t="s">
        <v>321</v>
      </c>
      <c r="C283" s="273" t="s">
        <v>186</v>
      </c>
      <c r="D283" s="273" t="s">
        <v>187</v>
      </c>
      <c r="E283" s="300" t="str">
        <f>INDEX([1]RELAÇÃO!$A$1:$AQ$576,MATCH($M283,[1]RELAÇÃO!$AP$1:$AP$576,0),1)</f>
        <v>VICTOR PROTAZIO DA SILVA</v>
      </c>
      <c r="F283" s="301" t="str">
        <f>IF(E283=0,"-",LEFT(INDEX([1]RELAÇÃO!$A$1:$AQ$576,MATCH($M283,[1]RELAÇÃO!$AP$1:$AP$576,0),32),1))</f>
        <v>M</v>
      </c>
      <c r="G283" s="300" t="str">
        <f>IF(E283=0,"-",INDEX([1]RELAÇÃO!$A$1:$AQ$576,MATCH($M283,[1]RELAÇÃO!$AP$1:$AP$576,0),5))</f>
        <v>Exercício Descentralizado</v>
      </c>
      <c r="H283" s="300" t="str">
        <f>IF(E283=0,"-",INDEX([1]RELAÇÃO!$A$1:$AQ$576,MATCH($M283,[1]RELAÇÃO!$AP$1:$AP$576,0),6))</f>
        <v>ME - Ministério da Economia</v>
      </c>
      <c r="I283" s="300" t="str">
        <f>IF(E283=0,"-",INDEX([1]RELAÇÃO!$A$1:$AQ$576,MATCH($M283,[1]RELAÇÃO!$AP$1:$AP$576,0),12)&amp;INDEX([1]RELAÇÃO!$A$1:$AQ$576,MATCH($M283,[1]RELAÇÃO!$AP$1:$AP$576,0),13)&amp;", de "&amp;INDEX([1]RELAÇÃO!$A$1:$AQ$576,MATCH($M283,[1]RELAÇÃO!$AP$1:$AP$576,0),14)&amp;" - "&amp;INDEX([1]RELAÇÃO!$A$1:$AQ$576,MATCH($M283,[1]RELAÇÃO!$AP$1:$AP$576,0),16)&amp;" de "&amp;INDEX([1]RELAÇÃO!$A$1:$AQ$576,MATCH($M283,[1]RELAÇÃO!$AP$1:$AP$576,0),15))</f>
        <v>Portaria nº 53, de 17/02/2020 - DOU de 20/02/2020</v>
      </c>
      <c r="J283" s="307" t="str">
        <f>INDEX([1]RELAÇÃO!$A$1:$AQ$576,MATCH($N283,[1]RELAÇÃO!$AQ$1:$AQ$576,0),1)</f>
        <v>EUCIMAR KWIATKOWSKI AUGUSTINHAK</v>
      </c>
      <c r="K283" s="395" t="str">
        <f>IF(J283=0,"-",INDEX([1]RELAÇÃO!$A$1:$AQ$576,MATCH($N283,[1]RELAÇÃO!$AQ$1:$AQ$576,0),27)&amp;INDEX([1]RELAÇÃO!$A$1:$AQ$576,MATCH($N283,[1]RELAÇÃO!$AQ$1:$AQ$576,0),28)&amp;", de "&amp;INDEX([1]RELAÇÃO!$A$1:$AQ$576,MATCH($N283,[1]RELAÇÃO!$AQ$1:$AQ$576,0),29)&amp;" - "&amp;INDEX([1]RELAÇÃO!$A$1:$AQ$576,MATCH($N283,[1]RELAÇÃO!$AQ$1:$AQ$576,0),31)&amp;" de "&amp;INDEX([1]RELAÇÃO!$A$1:$AQ$576,MATCH($N283,[1]RELAÇÃO!$AQ$1:$AQ$576,0),30))</f>
        <v>Portaria nº 256, de 24/06/2020 - DOU de 25/06/2020</v>
      </c>
      <c r="L283" s="302" t="str">
        <f>IF($E283=0,"-",IF(INDEX([1]RELAÇÃO!$A$1:$AQ$576,MATCH($M283,[1]RELAÇÃO!$AP$1:$AP$576,0),8)="12.102.300","-",INDEX([1]RELAÇÃO!$A$1:$AQ$576,MATCH($M283,[1]RELAÇÃO!$AP$1:$AP$576,0),7)))</f>
        <v>-</v>
      </c>
      <c r="M283" s="280" t="s">
        <v>659</v>
      </c>
      <c r="N283" s="280" t="s">
        <v>660</v>
      </c>
    </row>
    <row r="284" spans="1:14" ht="23.25" x14ac:dyDescent="0.25">
      <c r="A284" s="360" t="s">
        <v>661</v>
      </c>
      <c r="B284" s="343" t="s">
        <v>321</v>
      </c>
      <c r="C284" s="381" t="s">
        <v>662</v>
      </c>
      <c r="D284" s="274" t="s">
        <v>187</v>
      </c>
      <c r="E284" s="275" t="str">
        <f>INDEX([1]RELAÇÃO!$A$1:$AQ$576,MATCH($M284,[1]RELAÇÃO!$AP$1:$AP$576,0),1)</f>
        <v>IGOR SOUZA RIBEIRO</v>
      </c>
      <c r="F284" s="276" t="str">
        <f>IF(E284=0,"-",LEFT(INDEX([1]RELAÇÃO!$A$1:$AQ$576,MATCH($M284,[1]RELAÇÃO!$AP$1:$AP$576,0),32),1))</f>
        <v>M</v>
      </c>
      <c r="G284" s="275" t="str">
        <f>IF(E284=0,"-",INDEX([1]RELAÇÃO!$A$1:$AQ$576,MATCH($M284,[1]RELAÇÃO!$AP$1:$AP$576,0),5))</f>
        <v>Exercício Descentralizado</v>
      </c>
      <c r="H284" s="275" t="str">
        <f>IF(E284=0,"-",INDEX([1]RELAÇÃO!$A$1:$AQ$576,MATCH($M284,[1]RELAÇÃO!$AP$1:$AP$576,0),6))</f>
        <v>ME - Ministério da Economia</v>
      </c>
      <c r="I284" s="275" t="str">
        <f>IF(E284=0,"-",INDEX([1]RELAÇÃO!$A$1:$AQ$576,MATCH($M284,[1]RELAÇÃO!$AP$1:$AP$576,0),12)&amp;INDEX([1]RELAÇÃO!$A$1:$AQ$576,MATCH($M284,[1]RELAÇÃO!$AP$1:$AP$576,0),13)&amp;", de "&amp;INDEX([1]RELAÇÃO!$A$1:$AQ$576,MATCH($M284,[1]RELAÇÃO!$AP$1:$AP$576,0),14)&amp;" - "&amp;INDEX([1]RELAÇÃO!$A$1:$AQ$576,MATCH($M284,[1]RELAÇÃO!$AP$1:$AP$576,0),16)&amp;" de "&amp;INDEX([1]RELAÇÃO!$A$1:$AQ$576,MATCH($M284,[1]RELAÇÃO!$AP$1:$AP$576,0),15))</f>
        <v>Portaria nº 218, de 04/06/2018 - DOU de 06/06/2018</v>
      </c>
      <c r="J284" s="277" t="str">
        <f>INDEX([1]RELAÇÃO!$A$1:$AQ$576,MATCH($N284,[1]RELAÇÃO!$AQ$1:$AQ$576,0),1)</f>
        <v>MARLIAN LEAO DE OLIVEIRA</v>
      </c>
      <c r="K284" s="395" t="str">
        <f>IF(J284=0,"-",INDEX([1]RELAÇÃO!$A$1:$AQ$576,MATCH($N284,[1]RELAÇÃO!$AQ$1:$AQ$576,0),27)&amp;INDEX([1]RELAÇÃO!$A$1:$AQ$576,MATCH($N284,[1]RELAÇÃO!$AQ$1:$AQ$576,0),28)&amp;", de "&amp;INDEX([1]RELAÇÃO!$A$1:$AQ$576,MATCH($N284,[1]RELAÇÃO!$AQ$1:$AQ$576,0),29)&amp;" - "&amp;INDEX([1]RELAÇÃO!$A$1:$AQ$576,MATCH($N284,[1]RELAÇÃO!$AQ$1:$AQ$576,0),31)&amp;" de "&amp;INDEX([1]RELAÇÃO!$A$1:$AQ$576,MATCH($N284,[1]RELAÇÃO!$AQ$1:$AQ$576,0),30))</f>
        <v>Portaria nº 329, de 03/09/2020 - DOU de 08/09/2020</v>
      </c>
      <c r="L284" s="302" t="str">
        <f>IF($E284=0,"-",IF(INDEX([1]RELAÇÃO!$A$1:$AQ$576,MATCH($M284,[1]RELAÇÃO!$AP$1:$AP$576,0),8)="12.102.400","-",INDEX([1]RELAÇÃO!$A$1:$AQ$576,MATCH($M284,[1]RELAÇÃO!$AP$1:$AP$576,0),7)))</f>
        <v>-</v>
      </c>
      <c r="M284" s="280" t="s">
        <v>663</v>
      </c>
      <c r="N284" s="280" t="s">
        <v>664</v>
      </c>
    </row>
    <row r="285" spans="1:14" ht="23.25" x14ac:dyDescent="0.25">
      <c r="A285" s="380"/>
      <c r="B285" s="345" t="s">
        <v>644</v>
      </c>
      <c r="C285" s="273" t="s">
        <v>186</v>
      </c>
      <c r="D285" s="274" t="s">
        <v>187</v>
      </c>
      <c r="E285" s="287" t="str">
        <f>INDEX([1]RELAÇÃO!$A$1:$AQ$576,MATCH($M285,[1]RELAÇÃO!$AP$1:$AP$576,0),1)</f>
        <v>ISAAC PINTO AVERBUCH</v>
      </c>
      <c r="F285" s="276" t="str">
        <f>IF(E285=0,"-",LEFT(INDEX([1]RELAÇÃO!$A$1:$AQ$576,MATCH($M285,[1]RELAÇÃO!$AP$1:$AP$576,0),32),1))</f>
        <v>M</v>
      </c>
      <c r="G285" s="275" t="str">
        <f>IF(E285=0,"-",INDEX([1]RELAÇÃO!$A$1:$AQ$576,MATCH($M285,[1]RELAÇÃO!$AP$1:$AP$576,0),5))</f>
        <v>Exercício Descentralizado</v>
      </c>
      <c r="H285" s="275" t="str">
        <f>IF(E285=0,"-",INDEX([1]RELAÇÃO!$A$1:$AQ$576,MATCH($M285,[1]RELAÇÃO!$AP$1:$AP$576,0),6))</f>
        <v>ME - Ministério da Economia</v>
      </c>
      <c r="I285" s="275" t="str">
        <f>IF(E285=0,"-",INDEX([1]RELAÇÃO!$A$1:$AQ$576,MATCH($M285,[1]RELAÇÃO!$AP$1:$AP$576,0),12)&amp;INDEX([1]RELAÇÃO!$A$1:$AQ$576,MATCH($M285,[1]RELAÇÃO!$AP$1:$AP$576,0),13)&amp;", de "&amp;INDEX([1]RELAÇÃO!$A$1:$AQ$576,MATCH($M285,[1]RELAÇÃO!$AP$1:$AP$576,0),14)&amp;" - "&amp;INDEX([1]RELAÇÃO!$A$1:$AQ$576,MATCH($M285,[1]RELAÇÃO!$AP$1:$AP$576,0),16)&amp;" de "&amp;INDEX([1]RELAÇÃO!$A$1:$AQ$576,MATCH($M285,[1]RELAÇÃO!$AP$1:$AP$576,0),15))</f>
        <v>Portaria nº 227, de 29/05/2020 - DOU de 02/06/2020</v>
      </c>
      <c r="J285" s="307">
        <f>INDEX([1]RELAÇÃO!$A$1:$AQ$576,MATCH($N285,[1]RELAÇÃO!$AQ$1:$AQ$576,0),1)</f>
        <v>0</v>
      </c>
      <c r="K285" s="395" t="str">
        <f>IF(J285=0,"-",INDEX([1]RELAÇÃO!$A$1:$AQ$576,MATCH($N285,[1]RELAÇÃO!$AQ$1:$AQ$576,0),27)&amp;INDEX([1]RELAÇÃO!$A$1:$AQ$576,MATCH($N285,[1]RELAÇÃO!$AQ$1:$AQ$576,0),28)&amp;", de "&amp;INDEX([1]RELAÇÃO!$A$1:$AQ$576,MATCH($N285,[1]RELAÇÃO!$AQ$1:$AQ$576,0),29)&amp;" - "&amp;INDEX([1]RELAÇÃO!$A$1:$AQ$576,MATCH($N285,[1]RELAÇÃO!$AQ$1:$AQ$576,0),31)&amp;" de "&amp;INDEX([1]RELAÇÃO!$A$1:$AQ$576,MATCH($N285,[1]RELAÇÃO!$AQ$1:$AQ$576,0),30))</f>
        <v>-</v>
      </c>
      <c r="L285" s="302" t="str">
        <f>IF($E285=0,"-",IF(INDEX([1]RELAÇÃO!$A$1:$AQ$576,MATCH($M285,[1]RELAÇÃO!$AP$1:$AP$576,0),8)="12.102.400","-",INDEX([1]RELAÇÃO!$A$1:$AQ$576,MATCH($M285,[1]RELAÇÃO!$AP$1:$AP$576,0),7)))</f>
        <v>-</v>
      </c>
      <c r="M285" s="280" t="s">
        <v>665</v>
      </c>
      <c r="N285" s="280" t="s">
        <v>666</v>
      </c>
    </row>
    <row r="286" spans="1:14" ht="23.25" x14ac:dyDescent="0.25">
      <c r="A286" s="360" t="s">
        <v>667</v>
      </c>
      <c r="B286" s="345" t="s">
        <v>566</v>
      </c>
      <c r="C286" s="273" t="s">
        <v>206</v>
      </c>
      <c r="D286" s="273" t="s">
        <v>187</v>
      </c>
      <c r="E286" s="300" t="str">
        <f>INDEX([1]RELAÇÃO!$A$1:$AQ$576,MATCH($M286,[1]RELAÇÃO!$AP$1:$AP$576,0),1)</f>
        <v>RODRIGO SANTANA</v>
      </c>
      <c r="F286" s="301" t="str">
        <f>IF(E286=0,"-",LEFT(INDEX([1]RELAÇÃO!$A$1:$AQ$576,MATCH($M286,[1]RELAÇÃO!$AP$1:$AP$576,0),32),1))</f>
        <v>M</v>
      </c>
      <c r="G286" s="300" t="str">
        <f>IF(E286=0,"-",INDEX([1]RELAÇÃO!$A$1:$AQ$576,MATCH($M286,[1]RELAÇÃO!$AP$1:$AP$576,0),5))</f>
        <v>Requisitado de Órgãos</v>
      </c>
      <c r="H286" s="300" t="str">
        <f>IF(E286=0,"-",INDEX([1]RELAÇÃO!$A$1:$AQ$576,MATCH($M286,[1]RELAÇÃO!$AP$1:$AP$576,0),6))</f>
        <v>ANEEL - Agência Nacional de Energia Elétrica</v>
      </c>
      <c r="I286" s="300" t="str">
        <f>IF(E286=0,"-",INDEX([1]RELAÇÃO!$A$1:$AQ$576,MATCH($M286,[1]RELAÇÃO!$AP$1:$AP$576,0),12)&amp;INDEX([1]RELAÇÃO!$A$1:$AQ$576,MATCH($M286,[1]RELAÇÃO!$AP$1:$AP$576,0),13)&amp;", de "&amp;INDEX([1]RELAÇÃO!$A$1:$AQ$576,MATCH($M286,[1]RELAÇÃO!$AP$1:$AP$576,0),14)&amp;" - "&amp;INDEX([1]RELAÇÃO!$A$1:$AQ$576,MATCH($M286,[1]RELAÇÃO!$AP$1:$AP$576,0),16)&amp;" de "&amp;INDEX([1]RELAÇÃO!$A$1:$AQ$576,MATCH($M286,[1]RELAÇÃO!$AP$1:$AP$576,0),15))</f>
        <v>Portaria nº 197, de 27/04/2020 - DOU de 28/04/2020</v>
      </c>
      <c r="J286" s="307" t="str">
        <f>INDEX([1]RELAÇÃO!$A$1:$AQ$576,MATCH($N286,[1]RELAÇÃO!$AQ$1:$AQ$576,0),1)</f>
        <v>PAULO GONÇALVES CERQUEIRA</v>
      </c>
      <c r="K286" s="395" t="str">
        <f>IF(J286=0,"-",INDEX([1]RELAÇÃO!$A$1:$AQ$576,MATCH($N286,[1]RELAÇÃO!$AQ$1:$AQ$576,0),27)&amp;INDEX([1]RELAÇÃO!$A$1:$AQ$576,MATCH($N286,[1]RELAÇÃO!$AQ$1:$AQ$576,0),28)&amp;", de "&amp;INDEX([1]RELAÇÃO!$A$1:$AQ$576,MATCH($N286,[1]RELAÇÃO!$AQ$1:$AQ$576,0),29)&amp;" - "&amp;INDEX([1]RELAÇÃO!$A$1:$AQ$576,MATCH($N286,[1]RELAÇÃO!$AQ$1:$AQ$576,0),31)&amp;" de "&amp;INDEX([1]RELAÇÃO!$A$1:$AQ$576,MATCH($N286,[1]RELAÇÃO!$AQ$1:$AQ$576,0),30))</f>
        <v>Portaria nº 675, de 05/12/2016 - DOU de 06/12/2016</v>
      </c>
      <c r="L286" s="302" t="str">
        <f>IF($E286=0,"-",IF(INDEX([1]RELAÇÃO!$A$1:$AQ$576,MATCH($M286,[1]RELAÇÃO!$AP$1:$AP$576,0),8)="12.103.000","-",INDEX([1]RELAÇÃO!$A$1:$AQ$576,MATCH($M286,[1]RELAÇÃO!$AP$1:$AP$576,0),7)))</f>
        <v>-</v>
      </c>
      <c r="M286" s="280" t="s">
        <v>668</v>
      </c>
      <c r="N286" s="280" t="s">
        <v>669</v>
      </c>
    </row>
    <row r="287" spans="1:14" x14ac:dyDescent="0.25">
      <c r="A287" s="361"/>
      <c r="B287" s="345" t="s">
        <v>228</v>
      </c>
      <c r="C287" s="273" t="s">
        <v>229</v>
      </c>
      <c r="D287" s="273" t="s">
        <v>193</v>
      </c>
      <c r="E287" s="300">
        <f>INDEX([1]RELAÇÃO!$A$1:$AQ$576,MATCH($M287,[1]RELAÇÃO!$AP$1:$AP$576,0),1)</f>
        <v>0</v>
      </c>
      <c r="F287" s="301" t="str">
        <f>IF(E287=0,"-",LEFT(INDEX([1]RELAÇÃO!$A$1:$AQ$576,MATCH($M287,[1]RELAÇÃO!$AP$1:$AP$576,0),32),1))</f>
        <v>-</v>
      </c>
      <c r="G287" s="300" t="str">
        <f>IF(E287=0,"-",INDEX([1]RELAÇÃO!$A$1:$AQ$576,MATCH($M287,[1]RELAÇÃO!$AP$1:$AP$576,0),5))</f>
        <v>-</v>
      </c>
      <c r="H287" s="300" t="str">
        <f>IF(E287=0,"-",INDEX([1]RELAÇÃO!$A$1:$AQ$576,MATCH($M287,[1]RELAÇÃO!$AP$1:$AP$576,0),6))</f>
        <v>-</v>
      </c>
      <c r="I287" s="300" t="str">
        <f>IF(E287=0,"-",INDEX([1]RELAÇÃO!$A$1:$AQ$576,MATCH($M287,[1]RELAÇÃO!$AP$1:$AP$576,0),12)&amp;INDEX([1]RELAÇÃO!$A$1:$AQ$576,MATCH($M287,[1]RELAÇÃO!$AP$1:$AP$576,0),13)&amp;", de "&amp;INDEX([1]RELAÇÃO!$A$1:$AQ$576,MATCH($M287,[1]RELAÇÃO!$AP$1:$AP$576,0),14)&amp;" - "&amp;INDEX([1]RELAÇÃO!$A$1:$AQ$576,MATCH($M287,[1]RELAÇÃO!$AP$1:$AP$576,0),16)&amp;" de "&amp;INDEX([1]RELAÇÃO!$A$1:$AQ$576,MATCH($M287,[1]RELAÇÃO!$AP$1:$AP$576,0),15))</f>
        <v>-</v>
      </c>
      <c r="J287" s="379"/>
      <c r="K287" s="312"/>
      <c r="L287" s="302" t="str">
        <f>IF($E287=0,"-",IF(INDEX([1]RELAÇÃO!$A$1:$AQ$576,MATCH($M287,[1]RELAÇÃO!$AP$1:$AP$576,0),8)="12.103.000","-",INDEX([1]RELAÇÃO!$A$1:$AQ$576,MATCH($M287,[1]RELAÇÃO!$AP$1:$AP$576,0),7)))</f>
        <v>-</v>
      </c>
      <c r="M287" s="280" t="s">
        <v>670</v>
      </c>
      <c r="N287" s="288"/>
    </row>
    <row r="288" spans="1:14" ht="23.25" x14ac:dyDescent="0.25">
      <c r="A288" s="366" t="s">
        <v>671</v>
      </c>
      <c r="B288" s="345" t="s">
        <v>321</v>
      </c>
      <c r="C288" s="273" t="s">
        <v>186</v>
      </c>
      <c r="D288" s="273" t="s">
        <v>187</v>
      </c>
      <c r="E288" s="275" t="str">
        <f>INDEX([1]RELAÇÃO!$A$1:$AQ$576,MATCH($M288,[1]RELAÇÃO!$AP$1:$AP$576,0),1)</f>
        <v>PAULO GONÇALVES CERQUEIRA</v>
      </c>
      <c r="F288" s="276" t="str">
        <f>IF(E288=0,"-",LEFT(INDEX([1]RELAÇÃO!$A$1:$AQ$576,MATCH($M288,[1]RELAÇÃO!$AP$1:$AP$576,0),32),1))</f>
        <v>M</v>
      </c>
      <c r="G288" s="275" t="str">
        <f>IF(E288=0,"-",INDEX([1]RELAÇÃO!$A$1:$AQ$576,MATCH($M288,[1]RELAÇÃO!$AP$1:$AP$576,0),5))</f>
        <v>Requisitado de Empresa</v>
      </c>
      <c r="H288" s="275" t="str">
        <f>IF(E288=0,"-",INDEX([1]RELAÇÃO!$A$1:$AQ$576,MATCH($M288,[1]RELAÇÃO!$AP$1:$AP$576,0),6))</f>
        <v>FURNAS - Centrais Elétricas S/A</v>
      </c>
      <c r="I288" s="275" t="str">
        <f>IF(E288=0,"-",INDEX([1]RELAÇÃO!$A$1:$AQ$576,MATCH($M288,[1]RELAÇÃO!$AP$1:$AP$576,0),12)&amp;INDEX([1]RELAÇÃO!$A$1:$AQ$576,MATCH($M288,[1]RELAÇÃO!$AP$1:$AP$576,0),13)&amp;", de "&amp;INDEX([1]RELAÇÃO!$A$1:$AQ$576,MATCH($M288,[1]RELAÇÃO!$AP$1:$AP$576,0),14)&amp;" - "&amp;INDEX([1]RELAÇÃO!$A$1:$AQ$576,MATCH($M288,[1]RELAÇÃO!$AP$1:$AP$576,0),16)&amp;" de "&amp;INDEX([1]RELAÇÃO!$A$1:$AQ$576,MATCH($M288,[1]RELAÇÃO!$AP$1:$AP$576,0),15))</f>
        <v>Portaria nº 524, de 03/11/2016 - BPE de 04/11/2016</v>
      </c>
      <c r="J288" s="277" t="str">
        <f>INDEX([1]RELAÇÃO!$A$1:$AQ$576,MATCH($N288,[1]RELAÇÃO!$AQ$1:$AQ$576,0),1)</f>
        <v>ANDRÉ LUIZ DIAS DE OLIVEIRA</v>
      </c>
      <c r="K288" s="395" t="str">
        <f>IF(J288=0,"-",INDEX([1]RELAÇÃO!$A$1:$AQ$576,MATCH($N288,[1]RELAÇÃO!$AQ$1:$AQ$576,0),27)&amp;INDEX([1]RELAÇÃO!$A$1:$AQ$576,MATCH($N288,[1]RELAÇÃO!$AQ$1:$AQ$576,0),28)&amp;", de "&amp;INDEX([1]RELAÇÃO!$A$1:$AQ$576,MATCH($N288,[1]RELAÇÃO!$AQ$1:$AQ$576,0),29)&amp;" - "&amp;INDEX([1]RELAÇÃO!$A$1:$AQ$576,MATCH($N288,[1]RELAÇÃO!$AQ$1:$AQ$576,0),31)&amp;" de "&amp;INDEX([1]RELAÇÃO!$A$1:$AQ$576,MATCH($N288,[1]RELAÇÃO!$AQ$1:$AQ$576,0),30))</f>
        <v>Portaria nº 454, de 06/12/2019 - DOU de 11/12/2019</v>
      </c>
      <c r="L288" s="302" t="str">
        <f>IF($E288=0,"-",IF(INDEX([1]RELAÇÃO!$A$1:$AQ$576,MATCH($M288,[1]RELAÇÃO!$AP$1:$AP$576,0),8)="12.103.100","-",INDEX([1]RELAÇÃO!$A$1:$AQ$576,MATCH($M288,[1]RELAÇÃO!$AP$1:$AP$576,0),7)))</f>
        <v>-</v>
      </c>
      <c r="M288" s="280" t="s">
        <v>672</v>
      </c>
      <c r="N288" s="280" t="s">
        <v>673</v>
      </c>
    </row>
    <row r="289" spans="1:14" ht="23.25" x14ac:dyDescent="0.25">
      <c r="A289" s="360" t="s">
        <v>674</v>
      </c>
      <c r="B289" s="345" t="s">
        <v>321</v>
      </c>
      <c r="C289" s="273" t="s">
        <v>186</v>
      </c>
      <c r="D289" s="274" t="s">
        <v>187</v>
      </c>
      <c r="E289" s="275" t="str">
        <f>INDEX([1]RELAÇÃO!$A$1:$AQ$576,MATCH($M289,[1]RELAÇÃO!$AP$1:$AP$576,0),1)</f>
        <v>CONCEICAO CRISTINA ARAUJO LIMA</v>
      </c>
      <c r="F289" s="276" t="str">
        <f>IF(E289=0,"-",LEFT(INDEX([1]RELAÇÃO!$A$1:$AQ$576,MATCH($M289,[1]RELAÇÃO!$AP$1:$AP$576,0),32),1))</f>
        <v>F</v>
      </c>
      <c r="G289" s="275" t="str">
        <f>IF(E289=0,"-",INDEX([1]RELAÇÃO!$A$1:$AQ$576,MATCH($M289,[1]RELAÇÃO!$AP$1:$AP$576,0),5))</f>
        <v>Sem Vínculo</v>
      </c>
      <c r="H289" s="275" t="str">
        <f>IF(E289=0,"-",INDEX([1]RELAÇÃO!$A$1:$AQ$576,MATCH($M289,[1]RELAÇÃO!$AP$1:$AP$576,0),6))</f>
        <v>Sem Vínculo</v>
      </c>
      <c r="I289" s="275" t="str">
        <f>IF(E289=0,"-",INDEX([1]RELAÇÃO!$A$1:$AQ$576,MATCH($M289,[1]RELAÇÃO!$AP$1:$AP$576,0),12)&amp;INDEX([1]RELAÇÃO!$A$1:$AQ$576,MATCH($M289,[1]RELAÇÃO!$AP$1:$AP$576,0),13)&amp;", de "&amp;INDEX([1]RELAÇÃO!$A$1:$AQ$576,MATCH($M289,[1]RELAÇÃO!$AP$1:$AP$576,0),14)&amp;" - "&amp;INDEX([1]RELAÇÃO!$A$1:$AQ$576,MATCH($M289,[1]RELAÇÃO!$AP$1:$AP$576,0),16)&amp;" de "&amp;INDEX([1]RELAÇÃO!$A$1:$AQ$576,MATCH($M289,[1]RELAÇÃO!$AP$1:$AP$576,0),15))</f>
        <v>Portaria nº 619, de 16/11/2016 - DOU de 17/11/2016</v>
      </c>
      <c r="J289" s="307" t="str">
        <f>INDEX([1]RELAÇÃO!$A$1:$AQ$576,MATCH($N289,[1]RELAÇÃO!$AQ$1:$AQ$576,0),1)</f>
        <v>HAMILTON CHIARINI DE ALCÂNTARA</v>
      </c>
      <c r="K289" s="395" t="str">
        <f>IF(J289=0,"-",INDEX([1]RELAÇÃO!$A$1:$AQ$576,MATCH($N289,[1]RELAÇÃO!$AQ$1:$AQ$576,0),27)&amp;INDEX([1]RELAÇÃO!$A$1:$AQ$576,MATCH($N289,[1]RELAÇÃO!$AQ$1:$AQ$576,0),28)&amp;", de "&amp;INDEX([1]RELAÇÃO!$A$1:$AQ$576,MATCH($N289,[1]RELAÇÃO!$AQ$1:$AQ$576,0),29)&amp;" - "&amp;INDEX([1]RELAÇÃO!$A$1:$AQ$576,MATCH($N289,[1]RELAÇÃO!$AQ$1:$AQ$576,0),31)&amp;" de "&amp;INDEX([1]RELAÇÃO!$A$1:$AQ$576,MATCH($N289,[1]RELAÇÃO!$AQ$1:$AQ$576,0),30))</f>
        <v>Portaria nº 677, de 05/12/2016 - DOU de 06/12/2016</v>
      </c>
      <c r="L289" s="302" t="str">
        <f>IF($E289=0,"-",IF(INDEX([1]RELAÇÃO!$A$1:$AQ$576,MATCH($M289,[1]RELAÇÃO!$AP$1:$AP$576,0),8)="12.103.200","-",INDEX([1]RELAÇÃO!$A$1:$AQ$576,MATCH($M289,[1]RELAÇÃO!$AP$1:$AP$576,0),7)))</f>
        <v>-</v>
      </c>
      <c r="M289" s="280" t="s">
        <v>675</v>
      </c>
      <c r="N289" s="280" t="s">
        <v>676</v>
      </c>
    </row>
    <row r="290" spans="1:14" ht="23.25" x14ac:dyDescent="0.25">
      <c r="A290" s="361"/>
      <c r="B290" s="345" t="s">
        <v>191</v>
      </c>
      <c r="C290" s="273" t="s">
        <v>192</v>
      </c>
      <c r="D290" s="273" t="s">
        <v>193</v>
      </c>
      <c r="E290" s="275" t="str">
        <f>INDEX([1]RELAÇÃO!$A$1:$AQ$576,MATCH($M290,[1]RELAÇÃO!$AP$1:$AP$576,0),1)</f>
        <v>RUTH BERNADETE ARAUJO DE PAULA</v>
      </c>
      <c r="F290" s="276" t="str">
        <f>IF(E290=0,"-",LEFT(INDEX([1]RELAÇÃO!$A$1:$AQ$576,MATCH($M290,[1]RELAÇÃO!$AP$1:$AP$576,0),32),1))</f>
        <v>F</v>
      </c>
      <c r="G290" s="275" t="str">
        <f>IF(E290=0,"-",INDEX([1]RELAÇÃO!$A$1:$AQ$576,MATCH($M290,[1]RELAÇÃO!$AP$1:$AP$576,0),5))</f>
        <v>Anistiado MME</v>
      </c>
      <c r="H290" s="275" t="str">
        <f>IF(E290=0,"-",INDEX([1]RELAÇÃO!$A$1:$AQ$576,MATCH($M290,[1]RELAÇÃO!$AP$1:$AP$576,0),6))</f>
        <v>MME - Ministério de Minas e Energia</v>
      </c>
      <c r="I290" s="275" t="str">
        <f>IF(E290=0,"-",INDEX([1]RELAÇÃO!$A$1:$AQ$576,MATCH($M290,[1]RELAÇÃO!$AP$1:$AP$576,0),12)&amp;INDEX([1]RELAÇÃO!$A$1:$AQ$576,MATCH($M290,[1]RELAÇÃO!$AP$1:$AP$576,0),13)&amp;", de "&amp;INDEX([1]RELAÇÃO!$A$1:$AQ$576,MATCH($M290,[1]RELAÇÃO!$AP$1:$AP$576,0),14)&amp;" - "&amp;INDEX([1]RELAÇÃO!$A$1:$AQ$576,MATCH($M290,[1]RELAÇÃO!$AP$1:$AP$576,0),16)&amp;" de "&amp;INDEX([1]RELAÇÃO!$A$1:$AQ$576,MATCH($M290,[1]RELAÇÃO!$AP$1:$AP$576,0),15))</f>
        <v>Portaria nº 524, de 03/11/2016 - BPE de 04/11/2016</v>
      </c>
      <c r="J290" s="362"/>
      <c r="K290" s="310"/>
      <c r="L290" s="302" t="str">
        <f>IF($E290=0,"-",IF(INDEX([1]RELAÇÃO!$A$1:$AQ$576,MATCH($M290,[1]RELAÇÃO!$AP$1:$AP$576,0),8)="12.103.200","-",INDEX([1]RELAÇÃO!$A$1:$AQ$576,MATCH($M290,[1]RELAÇÃO!$AP$1:$AP$576,0),7)))</f>
        <v>SEE / CHEFIA DE GABINETE SEE</v>
      </c>
      <c r="M290" s="280" t="s">
        <v>677</v>
      </c>
      <c r="N290" s="288"/>
    </row>
    <row r="291" spans="1:14" ht="23.25" x14ac:dyDescent="0.25">
      <c r="A291" s="382"/>
      <c r="B291" s="345" t="s">
        <v>228</v>
      </c>
      <c r="C291" s="273" t="s">
        <v>229</v>
      </c>
      <c r="D291" s="273" t="s">
        <v>193</v>
      </c>
      <c r="E291" s="275" t="str">
        <f>INDEX([1]RELAÇÃO!$A$1:$AQ$576,MATCH($M291,[1]RELAÇÃO!$AP$1:$AP$576,0),1)</f>
        <v>KISNEY VIEIRA DOS SANTOS</v>
      </c>
      <c r="F291" s="276" t="str">
        <f>IF(E291=0,"-",LEFT(INDEX([1]RELAÇÃO!$A$1:$AQ$576,MATCH($M291,[1]RELAÇÃO!$AP$1:$AP$576,0),32),1))</f>
        <v>M</v>
      </c>
      <c r="G291" s="275" t="str">
        <f>IF(E291=0,"-",INDEX([1]RELAÇÃO!$A$1:$AQ$576,MATCH($M291,[1]RELAÇÃO!$AP$1:$AP$576,0),5))</f>
        <v>Sem Vínculo</v>
      </c>
      <c r="H291" s="275" t="str">
        <f>IF(E291=0,"-",INDEX([1]RELAÇÃO!$A$1:$AQ$576,MATCH($M291,[1]RELAÇÃO!$AP$1:$AP$576,0),6))</f>
        <v>Sem Vínculo</v>
      </c>
      <c r="I291" s="275" t="str">
        <f>IF(E291=0,"-",INDEX([1]RELAÇÃO!$A$1:$AQ$576,MATCH($M291,[1]RELAÇÃO!$AP$1:$AP$576,0),12)&amp;INDEX([1]RELAÇÃO!$A$1:$AQ$576,MATCH($M291,[1]RELAÇÃO!$AP$1:$AP$576,0),13)&amp;", de "&amp;INDEX([1]RELAÇÃO!$A$1:$AQ$576,MATCH($M291,[1]RELAÇÃO!$AP$1:$AP$576,0),14)&amp;" - "&amp;INDEX([1]RELAÇÃO!$A$1:$AQ$576,MATCH($M291,[1]RELAÇÃO!$AP$1:$AP$576,0),16)&amp;" de "&amp;INDEX([1]RELAÇÃO!$A$1:$AQ$576,MATCH($M291,[1]RELAÇÃO!$AP$1:$AP$576,0),15))</f>
        <v>Portaria nº 524, de 03/11/2016 - BPE de 04/11/2016</v>
      </c>
      <c r="J291" s="416"/>
      <c r="K291" s="340"/>
      <c r="L291" s="302" t="str">
        <f>IF($E291=0,"-",IF(INDEX([1]RELAÇÃO!$A$1:$AQ$576,MATCH($M291,[1]RELAÇÃO!$AP$1:$AP$576,0),8)="12.103.200","-",INDEX([1]RELAÇÃO!$A$1:$AQ$576,MATCH($M291,[1]RELAÇÃO!$AP$1:$AP$576,0),7)))</f>
        <v>SEE / DPUE / COORDENAÇÃO GERAL DE DESENVOLVIMENTO DE POLÍTICAS SOCIAIS</v>
      </c>
      <c r="M291" s="280" t="s">
        <v>678</v>
      </c>
      <c r="N291" s="288"/>
    </row>
    <row r="292" spans="1:14" x14ac:dyDescent="0.25"/>
    <row r="293" spans="1:14" ht="18.75" x14ac:dyDescent="0.3">
      <c r="A293" s="526" t="s">
        <v>793</v>
      </c>
      <c r="B293" s="526"/>
      <c r="C293" s="526"/>
      <c r="D293" s="526"/>
      <c r="E293" s="526"/>
      <c r="F293" s="526"/>
      <c r="G293" s="526"/>
      <c r="H293" s="526"/>
      <c r="I293" s="526"/>
      <c r="J293" s="526"/>
      <c r="K293" s="526"/>
      <c r="L293" s="526"/>
      <c r="M293" s="526"/>
      <c r="N293" s="526"/>
    </row>
    <row r="294" spans="1:14" ht="22.5" x14ac:dyDescent="0.25">
      <c r="A294" s="397" t="s">
        <v>170</v>
      </c>
      <c r="B294" s="398" t="s">
        <v>171</v>
      </c>
      <c r="C294" s="398" t="s">
        <v>172</v>
      </c>
      <c r="D294" s="398" t="s">
        <v>173</v>
      </c>
      <c r="E294" s="397" t="s">
        <v>174</v>
      </c>
      <c r="F294" s="397" t="s">
        <v>175</v>
      </c>
      <c r="G294" s="397" t="s">
        <v>176</v>
      </c>
      <c r="H294" s="397" t="s">
        <v>177</v>
      </c>
      <c r="I294" s="397" t="s">
        <v>178</v>
      </c>
      <c r="J294" s="397" t="s">
        <v>179</v>
      </c>
      <c r="K294" s="397" t="s">
        <v>180</v>
      </c>
      <c r="L294" s="398" t="s">
        <v>181</v>
      </c>
      <c r="M294" s="398" t="s">
        <v>182</v>
      </c>
      <c r="N294" s="398" t="s">
        <v>183</v>
      </c>
    </row>
    <row r="295" spans="1:14" ht="33.75" x14ac:dyDescent="0.25">
      <c r="A295" s="380" t="s">
        <v>679</v>
      </c>
      <c r="B295" s="343" t="s">
        <v>551</v>
      </c>
      <c r="C295" s="274" t="s">
        <v>290</v>
      </c>
      <c r="D295" s="274" t="s">
        <v>187</v>
      </c>
      <c r="E295" s="275" t="str">
        <f>INDEX([1]RELAÇÃO!$A$1:$AQ$576,MATCH($M295,[1]RELAÇÃO!$AP$1:$AP$576,0),1)</f>
        <v>JOSE MAURO FERREIRA COELHO</v>
      </c>
      <c r="F295" s="276" t="str">
        <f>IF(E295=0,"-",LEFT(INDEX([1]RELAÇÃO!$A$1:$AQ$576,MATCH($M295,[1]RELAÇÃO!$AP$1:$AP$576,0),32),1))</f>
        <v>M</v>
      </c>
      <c r="G295" s="275" t="str">
        <f>IF(E295=0,"-",INDEX([1]RELAÇÃO!$A$1:$AQ$576,MATCH($M295,[1]RELAÇÃO!$AP$1:$AP$576,0),5))</f>
        <v>Requisitado de Órgãos</v>
      </c>
      <c r="H295" s="275" t="str">
        <f>IF(E295=0,"-",INDEX([1]RELAÇÃO!$A$1:$AQ$576,MATCH($M295,[1]RELAÇÃO!$AP$1:$AP$576,0),6))</f>
        <v>EPE - Empresa de Pesquisa Energética</v>
      </c>
      <c r="I295" s="275" t="str">
        <f>IF(E295=0,"-",INDEX([1]RELAÇÃO!$A$1:$AQ$576,MATCH($M295,[1]RELAÇÃO!$AP$1:$AP$576,0),12)&amp;INDEX([1]RELAÇÃO!$A$1:$AQ$576,MATCH($M295,[1]RELAÇÃO!$AP$1:$AP$576,0),13)&amp;", de "&amp;INDEX([1]RELAÇÃO!$A$1:$AQ$576,MATCH($M295,[1]RELAÇÃO!$AP$1:$AP$576,0),14)&amp;" - "&amp;INDEX([1]RELAÇÃO!$A$1:$AQ$576,MATCH($M295,[1]RELAÇÃO!$AP$1:$AP$576,0),16)&amp;" de "&amp;INDEX([1]RELAÇÃO!$A$1:$AQ$576,MATCH($M295,[1]RELAÇÃO!$AP$1:$AP$576,0),15))</f>
        <v>Portaria nº 169, de 03/04/2020 - DOU de 06/04/2020</v>
      </c>
      <c r="J295" s="277" t="str">
        <f>INDEX([1]RELAÇÃO!$A$1:$AQ$576,MATCH($N295,[1]RELAÇÃO!$AQ$1:$AQ$576,0),1)</f>
        <v>JOÃO JOSÉ DE NORA SOUTO</v>
      </c>
      <c r="K295" s="395" t="str">
        <f>IF(J295=0,"-",INDEX([1]RELAÇÃO!$A$1:$AQ$576,MATCH($N295,[1]RELAÇÃO!$AQ$1:$AQ$576,0),27)&amp;INDEX([1]RELAÇÃO!$A$1:$AQ$576,MATCH($N295,[1]RELAÇÃO!$AQ$1:$AQ$576,0),28)&amp;", de "&amp;INDEX([1]RELAÇÃO!$A$1:$AQ$576,MATCH($N295,[1]RELAÇÃO!$AQ$1:$AQ$576,0),29)&amp;" - "&amp;INDEX([1]RELAÇÃO!$A$1:$AQ$576,MATCH($N295,[1]RELAÇÃO!$AQ$1:$AQ$576,0),31)&amp;" de "&amp;INDEX([1]RELAÇÃO!$A$1:$AQ$576,MATCH($N295,[1]RELAÇÃO!$AQ$1:$AQ$576,0),30))</f>
        <v>Portaria nº 108 - Anexo X, Art. 18, II do RI da SPG, de 14/03/2017 - DOU de 16/03/2017 -Ret. 17/03/2017</v>
      </c>
      <c r="L295" s="287" t="str">
        <f>IF($E295=0,"-",IF(INDEX([1]RELAÇÃO!$A$1:$AQ$576,MATCH($M295,[1]RELAÇÃO!$AP$1:$AP$576,0),8)="11.000.000","-",INDEX([1]RELAÇÃO!$A$1:$AQ$576,MATCH($M295,[1]RELAÇÃO!$AP$1:$AP$576,0),7)))</f>
        <v>-</v>
      </c>
      <c r="M295" s="280" t="s">
        <v>680</v>
      </c>
      <c r="N295" s="280" t="s">
        <v>681</v>
      </c>
    </row>
    <row r="296" spans="1:14" ht="23.25" x14ac:dyDescent="0.25">
      <c r="A296" s="361"/>
      <c r="B296" s="345" t="s">
        <v>554</v>
      </c>
      <c r="C296" s="273" t="s">
        <v>206</v>
      </c>
      <c r="D296" s="274" t="s">
        <v>187</v>
      </c>
      <c r="E296" s="275" t="str">
        <f>INDEX([1]RELAÇÃO!$A$1:$AQ$576,MATCH($M296,[1]RELAÇÃO!$AP$1:$AP$576,0),1)</f>
        <v>JOÃO JOSÉ DE NORA SOUTO</v>
      </c>
      <c r="F296" s="276" t="str">
        <f>IF(E296=0,"-",LEFT(INDEX([1]RELAÇÃO!$A$1:$AQ$576,MATCH($M296,[1]RELAÇÃO!$AP$1:$AP$576,0),32),1))</f>
        <v>M</v>
      </c>
      <c r="G296" s="275" t="str">
        <f>IF(E296=0,"-",INDEX([1]RELAÇÃO!$A$1:$AQ$576,MATCH($M296,[1]RELAÇÃO!$AP$1:$AP$576,0),5))</f>
        <v>Sem Vínculo</v>
      </c>
      <c r="H296" s="275" t="str">
        <f>IF(E296=0,"-",INDEX([1]RELAÇÃO!$A$1:$AQ$576,MATCH($M296,[1]RELAÇÃO!$AP$1:$AP$576,0),6))</f>
        <v>Sem Vínculo</v>
      </c>
      <c r="I296" s="275" t="str">
        <f>IF(E296=0,"-",INDEX([1]RELAÇÃO!$A$1:$AQ$576,MATCH($M296,[1]RELAÇÃO!$AP$1:$AP$576,0),12)&amp;INDEX([1]RELAÇÃO!$A$1:$AQ$576,MATCH($M296,[1]RELAÇÃO!$AP$1:$AP$576,0),13)&amp;", de "&amp;INDEX([1]RELAÇÃO!$A$1:$AQ$576,MATCH($M296,[1]RELAÇÃO!$AP$1:$AP$576,0),14)&amp;" - "&amp;INDEX([1]RELAÇÃO!$A$1:$AQ$576,MATCH($M296,[1]RELAÇÃO!$AP$1:$AP$576,0),16)&amp;" de "&amp;INDEX([1]RELAÇÃO!$A$1:$AQ$576,MATCH($M296,[1]RELAÇÃO!$AP$1:$AP$576,0),15))</f>
        <v>Portaria nº 405, de 30/10/2019 - DOU de 06/11/2019</v>
      </c>
      <c r="J296" s="307">
        <f>INDEX([1]RELAÇÃO!$A$1:$AQ$576,MATCH($N296,[1]RELAÇÃO!$AQ$1:$AQ$576,0),1)</f>
        <v>0</v>
      </c>
      <c r="K296" s="395" t="str">
        <f>IF(J296=0,"-",INDEX([1]RELAÇÃO!$A$1:$AQ$576,MATCH($N296,[1]RELAÇÃO!$AQ$1:$AQ$576,0),27)&amp;INDEX([1]RELAÇÃO!$A$1:$AQ$576,MATCH($N296,[1]RELAÇÃO!$AQ$1:$AQ$576,0),28)&amp;", de "&amp;INDEX([1]RELAÇÃO!$A$1:$AQ$576,MATCH($N296,[1]RELAÇÃO!$AQ$1:$AQ$576,0),29)&amp;" - "&amp;INDEX([1]RELAÇÃO!$A$1:$AQ$576,MATCH($N296,[1]RELAÇÃO!$AQ$1:$AQ$576,0),31)&amp;" de "&amp;INDEX([1]RELAÇÃO!$A$1:$AQ$576,MATCH($N296,[1]RELAÇÃO!$AQ$1:$AQ$576,0),30))</f>
        <v>-</v>
      </c>
      <c r="L296" s="287" t="str">
        <f>IF($E296=0,"-",IF(INDEX([1]RELAÇÃO!$A$1:$AQ$576,MATCH($M296,[1]RELAÇÃO!$AP$1:$AP$576,0),8)="11.000.000","-",INDEX([1]RELAÇÃO!$A$1:$AQ$576,MATCH($M296,[1]RELAÇÃO!$AP$1:$AP$576,0),7)))</f>
        <v>SPG / CHEFIA DE GABINETE SPG</v>
      </c>
      <c r="M296" s="280" t="s">
        <v>682</v>
      </c>
      <c r="N296" s="280" t="s">
        <v>683</v>
      </c>
    </row>
    <row r="297" spans="1:14" ht="23.25" x14ac:dyDescent="0.25">
      <c r="A297" s="361"/>
      <c r="B297" s="345" t="s">
        <v>211</v>
      </c>
      <c r="C297" s="273" t="s">
        <v>212</v>
      </c>
      <c r="D297" s="273" t="s">
        <v>193</v>
      </c>
      <c r="E297" s="275" t="str">
        <f>INDEX([1]RELAÇÃO!$A$1:$AQ$576,MATCH($M297,[1]RELAÇÃO!$AP$1:$AP$576,0),1)</f>
        <v>THEREZA CHRISTINA DE ALMEIDA CASTRO</v>
      </c>
      <c r="F297" s="276" t="str">
        <f>IF(E297=0,"-",LEFT(INDEX([1]RELAÇÃO!$A$1:$AQ$576,MATCH($M297,[1]RELAÇÃO!$AP$1:$AP$576,0),32),1))</f>
        <v>F</v>
      </c>
      <c r="G297" s="275" t="str">
        <f>IF(E297=0,"-",INDEX([1]RELAÇÃO!$A$1:$AQ$576,MATCH($M297,[1]RELAÇÃO!$AP$1:$AP$576,0),5))</f>
        <v>Requisitado de Órgãos</v>
      </c>
      <c r="H297" s="275" t="str">
        <f>IF(E297=0,"-",INDEX([1]RELAÇÃO!$A$1:$AQ$576,MATCH($M297,[1]RELAÇÃO!$AP$1:$AP$576,0),6))</f>
        <v>ME - Ministério da Economia</v>
      </c>
      <c r="I297" s="275" t="str">
        <f>IF(E297=0,"-",INDEX([1]RELAÇÃO!$A$1:$AQ$576,MATCH($M297,[1]RELAÇÃO!$AP$1:$AP$576,0),12)&amp;INDEX([1]RELAÇÃO!$A$1:$AQ$576,MATCH($M297,[1]RELAÇÃO!$AP$1:$AP$576,0),13)&amp;", de "&amp;INDEX([1]RELAÇÃO!$A$1:$AQ$576,MATCH($M297,[1]RELAÇÃO!$AP$1:$AP$576,0),14)&amp;" - "&amp;INDEX([1]RELAÇÃO!$A$1:$AQ$576,MATCH($M297,[1]RELAÇÃO!$AP$1:$AP$576,0),16)&amp;" de "&amp;INDEX([1]RELAÇÃO!$A$1:$AQ$576,MATCH($M297,[1]RELAÇÃO!$AP$1:$AP$576,0),15))</f>
        <v>Portaria nº 582, de 03/11/2016 - DOU de 04/11/2016</v>
      </c>
      <c r="J297" s="362"/>
      <c r="K297" s="310"/>
      <c r="L297" s="287" t="str">
        <f>IF($E297=0,"-",IF(INDEX([1]RELAÇÃO!$A$1:$AQ$576,MATCH($M297,[1]RELAÇÃO!$AP$1:$AP$576,0),8)="11.000.000","-",INDEX([1]RELAÇÃO!$A$1:$AQ$576,MATCH($M297,[1]RELAÇÃO!$AP$1:$AP$576,0),7)))</f>
        <v>SPG / CHEFIA DE GABINETE SPG</v>
      </c>
      <c r="M297" s="280" t="s">
        <v>684</v>
      </c>
      <c r="N297" s="310"/>
    </row>
    <row r="298" spans="1:14" ht="23.25" x14ac:dyDescent="0.25">
      <c r="A298" s="361"/>
      <c r="B298" s="345" t="s">
        <v>211</v>
      </c>
      <c r="C298" s="273" t="s">
        <v>212</v>
      </c>
      <c r="D298" s="273" t="s">
        <v>193</v>
      </c>
      <c r="E298" s="275" t="str">
        <f>INDEX([1]RELAÇÃO!$A$1:$AQ$576,MATCH($M298,[1]RELAÇÃO!$AP$1:$AP$576,0),1)</f>
        <v>RENATA BECKERT ISFER</v>
      </c>
      <c r="F298" s="276" t="str">
        <f>IF(E298=0,"-",LEFT(INDEX([1]RELAÇÃO!$A$1:$AQ$576,MATCH($M298,[1]RELAÇÃO!$AP$1:$AP$576,0),32),1))</f>
        <v>F</v>
      </c>
      <c r="G298" s="275" t="str">
        <f>IF(E298=0,"-",INDEX([1]RELAÇÃO!$A$1:$AQ$576,MATCH($M298,[1]RELAÇÃO!$AP$1:$AP$576,0),5))</f>
        <v>Exercício Descentralizado</v>
      </c>
      <c r="H298" s="275" t="str">
        <f>IF(E298=0,"-",INDEX([1]RELAÇÃO!$A$1:$AQ$576,MATCH($M298,[1]RELAÇÃO!$AP$1:$AP$576,0),6))</f>
        <v>AGU - Advocacia Geral da União</v>
      </c>
      <c r="I298" s="275" t="str">
        <f>IF(E298=0,"-",INDEX([1]RELAÇÃO!$A$1:$AQ$576,MATCH($M298,[1]RELAÇÃO!$AP$1:$AP$576,0),12)&amp;INDEX([1]RELAÇÃO!$A$1:$AQ$576,MATCH($M298,[1]RELAÇÃO!$AP$1:$AP$576,0),13)&amp;", de "&amp;INDEX([1]RELAÇÃO!$A$1:$AQ$576,MATCH($M298,[1]RELAÇÃO!$AP$1:$AP$576,0),14)&amp;" - "&amp;INDEX([1]RELAÇÃO!$A$1:$AQ$576,MATCH($M298,[1]RELAÇÃO!$AP$1:$AP$576,0),16)&amp;" de "&amp;INDEX([1]RELAÇÃO!$A$1:$AQ$576,MATCH($M298,[1]RELAÇÃO!$AP$1:$AP$576,0),15))</f>
        <v>Portaria nº 151, de 05/04/2020 - DOU de 07/04/2020</v>
      </c>
      <c r="J298" s="362"/>
      <c r="K298" s="310"/>
      <c r="L298" s="287" t="str">
        <f>IF($E298=0,"-",IF(INDEX([1]RELAÇÃO!$A$1:$AQ$576,MATCH($M298,[1]RELAÇÃO!$AP$1:$AP$576,0),8)="11.000.000","-",INDEX([1]RELAÇÃO!$A$1:$AQ$576,MATCH($M298,[1]RELAÇÃO!$AP$1:$AP$576,0),7)))</f>
        <v>SPG / CHEFIA DE GABINETE SPG</v>
      </c>
      <c r="M298" s="280" t="s">
        <v>685</v>
      </c>
      <c r="N298" s="310"/>
    </row>
    <row r="299" spans="1:14" ht="23.25" x14ac:dyDescent="0.25">
      <c r="A299" s="361"/>
      <c r="B299" s="345" t="s">
        <v>191</v>
      </c>
      <c r="C299" s="273" t="s">
        <v>192</v>
      </c>
      <c r="D299" s="273" t="s">
        <v>193</v>
      </c>
      <c r="E299" s="275" t="str">
        <f>INDEX([1]RELAÇÃO!$A$1:$AQ$576,MATCH($M299,[1]RELAÇÃO!$AP$1:$AP$576,0),1)</f>
        <v>CARLOS JORGE PAVAO DIAS</v>
      </c>
      <c r="F299" s="276" t="str">
        <f>IF(E299=0,"-",LEFT(INDEX([1]RELAÇÃO!$A$1:$AQ$576,MATCH($M299,[1]RELAÇÃO!$AP$1:$AP$576,0),32),1))</f>
        <v>M</v>
      </c>
      <c r="G299" s="275" t="str">
        <f>IF(E299=0,"-",INDEX([1]RELAÇÃO!$A$1:$AQ$576,MATCH($M299,[1]RELAÇÃO!$AP$1:$AP$576,0),5))</f>
        <v>Sem Vínculo</v>
      </c>
      <c r="H299" s="275" t="str">
        <f>IF(E299=0,"-",INDEX([1]RELAÇÃO!$A$1:$AQ$576,MATCH($M299,[1]RELAÇÃO!$AP$1:$AP$576,0),6))</f>
        <v>Sem Vínculo</v>
      </c>
      <c r="I299" s="275" t="str">
        <f>IF(E299=0,"-",INDEX([1]RELAÇÃO!$A$1:$AQ$576,MATCH($M299,[1]RELAÇÃO!$AP$1:$AP$576,0),12)&amp;INDEX([1]RELAÇÃO!$A$1:$AQ$576,MATCH($M299,[1]RELAÇÃO!$AP$1:$AP$576,0),13)&amp;", de "&amp;INDEX([1]RELAÇÃO!$A$1:$AQ$576,MATCH($M299,[1]RELAÇÃO!$AP$1:$AP$576,0),14)&amp;" - "&amp;INDEX([1]RELAÇÃO!$A$1:$AQ$576,MATCH($M299,[1]RELAÇÃO!$AP$1:$AP$576,0),16)&amp;" de "&amp;INDEX([1]RELAÇÃO!$A$1:$AQ$576,MATCH($M299,[1]RELAÇÃO!$AP$1:$AP$576,0),15))</f>
        <v>Portaria nº 289, de 03/07/2018 - DOU de 05/07/2018</v>
      </c>
      <c r="J299" s="362"/>
      <c r="K299" s="310"/>
      <c r="L299" s="287" t="str">
        <f>IF($E299=0,"-",IF(INDEX([1]RELAÇÃO!$A$1:$AQ$576,MATCH($M299,[1]RELAÇÃO!$AP$1:$AP$576,0),8)="11.000.000","-",INDEX([1]RELAÇÃO!$A$1:$AQ$576,MATCH($M299,[1]RELAÇÃO!$AP$1:$AP$576,0),7)))</f>
        <v>SPG / CHEFIA DE GABINETE SPG</v>
      </c>
      <c r="M299" s="280" t="s">
        <v>686</v>
      </c>
      <c r="N299" s="310"/>
    </row>
    <row r="300" spans="1:14" ht="23.25" x14ac:dyDescent="0.25">
      <c r="A300" s="361"/>
      <c r="B300" s="345" t="s">
        <v>228</v>
      </c>
      <c r="C300" s="273" t="s">
        <v>229</v>
      </c>
      <c r="D300" s="273" t="s">
        <v>193</v>
      </c>
      <c r="E300" s="275" t="str">
        <f>INDEX([1]RELAÇÃO!$A$1:$AQ$576,MATCH($M300,[1]RELAÇÃO!$AP$1:$AP$576,0),1)</f>
        <v>ESDRAS GODINHO RAMOS</v>
      </c>
      <c r="F300" s="276" t="str">
        <f>IF(E300=0,"-",LEFT(INDEX([1]RELAÇÃO!$A$1:$AQ$576,MATCH($M300,[1]RELAÇÃO!$AP$1:$AP$576,0),32),1))</f>
        <v>M</v>
      </c>
      <c r="G300" s="275" t="str">
        <f>IF(E300=0,"-",INDEX([1]RELAÇÃO!$A$1:$AQ$576,MATCH($M300,[1]RELAÇÃO!$AP$1:$AP$576,0),5))</f>
        <v>Requisitado de Órgãos</v>
      </c>
      <c r="H300" s="275" t="str">
        <f>IF(E300=0,"-",INDEX([1]RELAÇÃO!$A$1:$AQ$576,MATCH($M300,[1]RELAÇÃO!$AP$1:$AP$576,0),6))</f>
        <v>ME - Ministério da Economia</v>
      </c>
      <c r="I300" s="275" t="str">
        <f>IF(E300=0,"-",INDEX([1]RELAÇÃO!$A$1:$AQ$576,MATCH($M300,[1]RELAÇÃO!$AP$1:$AP$576,0),12)&amp;INDEX([1]RELAÇÃO!$A$1:$AQ$576,MATCH($M300,[1]RELAÇÃO!$AP$1:$AP$576,0),13)&amp;", de "&amp;INDEX([1]RELAÇÃO!$A$1:$AQ$576,MATCH($M300,[1]RELAÇÃO!$AP$1:$AP$576,0),14)&amp;" - "&amp;INDEX([1]RELAÇÃO!$A$1:$AQ$576,MATCH($M300,[1]RELAÇÃO!$AP$1:$AP$576,0),16)&amp;" de "&amp;INDEX([1]RELAÇÃO!$A$1:$AQ$576,MATCH($M300,[1]RELAÇÃO!$AP$1:$AP$576,0),15))</f>
        <v>Portaria nº 394, de 21/10/2019 - DOU de 23/10/2019</v>
      </c>
      <c r="J300" s="362"/>
      <c r="K300" s="310"/>
      <c r="L300" s="287" t="str">
        <f>IF($E300=0,"-",IF(INDEX([1]RELAÇÃO!$A$1:$AQ$576,MATCH($M300,[1]RELAÇÃO!$AP$1:$AP$576,0),8)="11.000.000","-",INDEX([1]RELAÇÃO!$A$1:$AQ$576,MATCH($M300,[1]RELAÇÃO!$AP$1:$AP$576,0),7)))</f>
        <v>SPG / CHEFIA DE GABINETE SPG</v>
      </c>
      <c r="M300" s="280" t="s">
        <v>687</v>
      </c>
      <c r="N300" s="310"/>
    </row>
    <row r="301" spans="1:14" x14ac:dyDescent="0.25">
      <c r="A301" s="361"/>
      <c r="B301" s="363" t="s">
        <v>228</v>
      </c>
      <c r="C301" s="327" t="s">
        <v>332</v>
      </c>
      <c r="D301" s="327"/>
      <c r="E301" s="347" t="s">
        <v>333</v>
      </c>
      <c r="F301" s="329"/>
      <c r="G301" s="329"/>
      <c r="H301" s="331"/>
      <c r="I301" s="341"/>
      <c r="J301" s="362"/>
      <c r="K301" s="310"/>
      <c r="L301" s="364"/>
      <c r="M301" s="310"/>
      <c r="N301" s="310"/>
    </row>
    <row r="302" spans="1:14" ht="23.25" x14ac:dyDescent="0.25">
      <c r="A302" s="361"/>
      <c r="B302" s="345" t="s">
        <v>228</v>
      </c>
      <c r="C302" s="273" t="s">
        <v>229</v>
      </c>
      <c r="D302" s="273" t="s">
        <v>193</v>
      </c>
      <c r="E302" s="275" t="str">
        <f>INDEX([1]RELAÇÃO!$A$1:$AQ$576,MATCH($M302,[1]RELAÇÃO!$AP$1:$AP$576,0),1)</f>
        <v>IZILDINHA SOUSA SALES</v>
      </c>
      <c r="F302" s="276" t="str">
        <f>IF(E302=0,"-",LEFT(INDEX([1]RELAÇÃO!$A$1:$AQ$576,MATCH($M302,[1]RELAÇÃO!$AP$1:$AP$576,0),32),1))</f>
        <v>F</v>
      </c>
      <c r="G302" s="275" t="str">
        <f>IF(E302=0,"-",INDEX([1]RELAÇÃO!$A$1:$AQ$576,MATCH($M302,[1]RELAÇÃO!$AP$1:$AP$576,0),5))</f>
        <v>Sem Vínculo</v>
      </c>
      <c r="H302" s="275" t="str">
        <f>IF(E302=0,"-",INDEX([1]RELAÇÃO!$A$1:$AQ$576,MATCH($M302,[1]RELAÇÃO!$AP$1:$AP$576,0),6))</f>
        <v>Sem Vínculo</v>
      </c>
      <c r="I302" s="275" t="str">
        <f>IF(E302=0,"-",INDEX([1]RELAÇÃO!$A$1:$AQ$576,MATCH($M302,[1]RELAÇÃO!$AP$1:$AP$576,0),12)&amp;INDEX([1]RELAÇÃO!$A$1:$AQ$576,MATCH($M302,[1]RELAÇÃO!$AP$1:$AP$576,0),13)&amp;", de "&amp;INDEX([1]RELAÇÃO!$A$1:$AQ$576,MATCH($M302,[1]RELAÇÃO!$AP$1:$AP$576,0),14)&amp;" - "&amp;INDEX([1]RELAÇÃO!$A$1:$AQ$576,MATCH($M302,[1]RELAÇÃO!$AP$1:$AP$576,0),16)&amp;" de "&amp;INDEX([1]RELAÇÃO!$A$1:$AQ$576,MATCH($M302,[1]RELAÇÃO!$AP$1:$AP$576,0),15))</f>
        <v>Portaria nº 284, de 14/07/2020 - DOU de 15/07/2020</v>
      </c>
      <c r="J302" s="362"/>
      <c r="K302" s="310"/>
      <c r="L302" s="287" t="str">
        <f>IF($E302=0,"-",IF(INDEX([1]RELAÇÃO!$A$1:$AQ$576,MATCH($M302,[1]RELAÇÃO!$AP$1:$AP$576,0),8)="11.000.000","-",INDEX([1]RELAÇÃO!$A$1:$AQ$576,MATCH($M302,[1]RELAÇÃO!$AP$1:$AP$576,0),7)))</f>
        <v>SPG / CHEFIA DE GABINETE SPG</v>
      </c>
      <c r="M302" s="280" t="s">
        <v>688</v>
      </c>
      <c r="N302" s="310"/>
    </row>
    <row r="303" spans="1:14" x14ac:dyDescent="0.25">
      <c r="A303" s="361"/>
      <c r="B303" s="345" t="s">
        <v>247</v>
      </c>
      <c r="C303" s="273" t="s">
        <v>248</v>
      </c>
      <c r="D303" s="273" t="s">
        <v>193</v>
      </c>
      <c r="E303" s="275">
        <f>INDEX([1]RELAÇÃO!$A$1:$AQ$576,MATCH($M303,[1]RELAÇÃO!$AP$1:$AP$576,0),1)</f>
        <v>0</v>
      </c>
      <c r="F303" s="276" t="str">
        <f>IF(E303=0,"-",LEFT(INDEX([1]RELAÇÃO!$A$1:$AQ$576,MATCH($M303,[1]RELAÇÃO!$AP$1:$AP$576,0),32),1))</f>
        <v>-</v>
      </c>
      <c r="G303" s="275" t="str">
        <f>IF(E303=0,"-",INDEX([1]RELAÇÃO!$A$1:$AQ$576,MATCH($M303,[1]RELAÇÃO!$AP$1:$AP$576,0),5))</f>
        <v>-</v>
      </c>
      <c r="H303" s="275" t="str">
        <f>IF(E303=0,"-",INDEX([1]RELAÇÃO!$A$1:$AQ$576,MATCH($M303,[1]RELAÇÃO!$AP$1:$AP$576,0),6))</f>
        <v>-</v>
      </c>
      <c r="I303" s="275" t="str">
        <f>IF(E303=0,"-",INDEX([1]RELAÇÃO!$A$1:$AQ$576,MATCH($M303,[1]RELAÇÃO!$AP$1:$AP$576,0),12)&amp;INDEX([1]RELAÇÃO!$A$1:$AQ$576,MATCH($M303,[1]RELAÇÃO!$AP$1:$AP$576,0),13)&amp;", de "&amp;INDEX([1]RELAÇÃO!$A$1:$AQ$576,MATCH($M303,[1]RELAÇÃO!$AP$1:$AP$576,0),14)&amp;" - "&amp;INDEX([1]RELAÇÃO!$A$1:$AQ$576,MATCH($M303,[1]RELAÇÃO!$AP$1:$AP$576,0),16)&amp;" de "&amp;INDEX([1]RELAÇÃO!$A$1:$AQ$576,MATCH($M303,[1]RELAÇÃO!$AP$1:$AP$576,0),15))</f>
        <v>-</v>
      </c>
      <c r="J303" s="362"/>
      <c r="K303" s="310"/>
      <c r="L303" s="287" t="str">
        <f>IF($E303=0,"-",IF(INDEX([1]RELAÇÃO!$A$1:$AQ$576,MATCH($M303,[1]RELAÇÃO!$AP$1:$AP$576,0),8)="11.000.000","-",INDEX([1]RELAÇÃO!$A$1:$AQ$576,MATCH($M303,[1]RELAÇÃO!$AP$1:$AP$576,0),7)))</f>
        <v>-</v>
      </c>
      <c r="M303" s="280" t="s">
        <v>689</v>
      </c>
      <c r="N303" s="310"/>
    </row>
    <row r="304" spans="1:14" ht="23.25" x14ac:dyDescent="0.25">
      <c r="A304" s="360" t="s">
        <v>690</v>
      </c>
      <c r="B304" s="343" t="s">
        <v>566</v>
      </c>
      <c r="C304" s="274" t="s">
        <v>206</v>
      </c>
      <c r="D304" s="274" t="s">
        <v>187</v>
      </c>
      <c r="E304" s="275" t="str">
        <f>INDEX([1]RELAÇÃO!$A$1:$AQ$576,MATCH($M304,[1]RELAÇÃO!$AP$1:$AP$576,0),1)</f>
        <v>RAFAEL BASTOS DA SILVA</v>
      </c>
      <c r="F304" s="276" t="str">
        <f>IF(E304=0,"-",LEFT(INDEX([1]RELAÇÃO!$A$1:$AQ$576,MATCH($M304,[1]RELAÇÃO!$AP$1:$AP$576,0),32),1))</f>
        <v>M</v>
      </c>
      <c r="G304" s="275" t="str">
        <f>IF(E304=0,"-",INDEX([1]RELAÇÃO!$A$1:$AQ$576,MATCH($M304,[1]RELAÇÃO!$AP$1:$AP$576,0),5))</f>
        <v>Requisitado de Órgãos</v>
      </c>
      <c r="H304" s="275" t="str">
        <f>IF(E304=0,"-",INDEX([1]RELAÇÃO!$A$1:$AQ$576,MATCH($M304,[1]RELAÇÃO!$AP$1:$AP$576,0),6))</f>
        <v>ANP - Agência Nacional do Petróleo, Gás Natural e Biocombustíveis</v>
      </c>
      <c r="I304" s="275" t="str">
        <f>IF(E304=0,"-",INDEX([1]RELAÇÃO!$A$1:$AQ$576,MATCH($M304,[1]RELAÇÃO!$AP$1:$AP$576,0),12)&amp;INDEX([1]RELAÇÃO!$A$1:$AQ$576,MATCH($M304,[1]RELAÇÃO!$AP$1:$AP$576,0),13)&amp;", de "&amp;INDEX([1]RELAÇÃO!$A$1:$AQ$576,MATCH($M304,[1]RELAÇÃO!$AP$1:$AP$576,0),14)&amp;" - "&amp;INDEX([1]RELAÇÃO!$A$1:$AQ$576,MATCH($M304,[1]RELAÇÃO!$AP$1:$AP$576,0),16)&amp;" de "&amp;INDEX([1]RELAÇÃO!$A$1:$AQ$576,MATCH($M304,[1]RELAÇÃO!$AP$1:$AP$576,0),15))</f>
        <v>Portaria nº 458, de 09/12/2019 - DOU de 11/12/2019</v>
      </c>
      <c r="J304" s="277" t="str">
        <f>INDEX([1]RELAÇÃO!$A$1:$AQ$576,MATCH($N304,[1]RELAÇÃO!$AQ$1:$AQ$576,0),1)</f>
        <v>CARLOS AGENOR ONOFRE CABRAL</v>
      </c>
      <c r="K304" s="395" t="str">
        <f>IF(J304=0,"-",INDEX([1]RELAÇÃO!$A$1:$AQ$576,MATCH($N304,[1]RELAÇÃO!$AQ$1:$AQ$576,0),27)&amp;INDEX([1]RELAÇÃO!$A$1:$AQ$576,MATCH($N304,[1]RELAÇÃO!$AQ$1:$AQ$576,0),28)&amp;", de "&amp;INDEX([1]RELAÇÃO!$A$1:$AQ$576,MATCH($N304,[1]RELAÇÃO!$AQ$1:$AQ$576,0),29)&amp;" - "&amp;INDEX([1]RELAÇÃO!$A$1:$AQ$576,MATCH($N304,[1]RELAÇÃO!$AQ$1:$AQ$576,0),31)&amp;" de "&amp;INDEX([1]RELAÇÃO!$A$1:$AQ$576,MATCH($N304,[1]RELAÇÃO!$AQ$1:$AQ$576,0),30))</f>
        <v>Portaria nº 36, de 10/02/2020 - DOU de 12/02/2020</v>
      </c>
      <c r="L304" s="287" t="str">
        <f>IF($E304=0,"-",IF(INDEX([1]RELAÇÃO!$A$1:$AQ$576,MATCH($M304,[1]RELAÇÃO!$AP$1:$AP$576,0),8)="11.101.000","-",INDEX([1]RELAÇÃO!$A$1:$AQ$576,MATCH($M304,[1]RELAÇÃO!$AP$1:$AP$576,0),7)))</f>
        <v>-</v>
      </c>
      <c r="M304" s="280" t="s">
        <v>691</v>
      </c>
      <c r="N304" s="280" t="s">
        <v>692</v>
      </c>
    </row>
    <row r="305" spans="1:14" ht="23.25" x14ac:dyDescent="0.25">
      <c r="A305" s="361"/>
      <c r="B305" s="345" t="s">
        <v>644</v>
      </c>
      <c r="C305" s="273" t="s">
        <v>186</v>
      </c>
      <c r="D305" s="274" t="s">
        <v>187</v>
      </c>
      <c r="E305" s="275" t="str">
        <f>INDEX([1]RELAÇÃO!$A$1:$AQ$576,MATCH($M305,[1]RELAÇÃO!$AP$1:$AP$576,0),1)</f>
        <v>CARLOS AGENOR ONOFRE CABRAL</v>
      </c>
      <c r="F305" s="276" t="str">
        <f>IF(E305=0,"-",LEFT(INDEX([1]RELAÇÃO!$A$1:$AQ$576,MATCH($M305,[1]RELAÇÃO!$AP$1:$AP$576,0),32),1))</f>
        <v>M</v>
      </c>
      <c r="G305" s="275" t="str">
        <f>IF(E305=0,"-",INDEX([1]RELAÇÃO!$A$1:$AQ$576,MATCH($M305,[1]RELAÇÃO!$AP$1:$AP$576,0),5))</f>
        <v>Requisitado de Órgãos</v>
      </c>
      <c r="H305" s="275" t="str">
        <f>IF(E305=0,"-",INDEX([1]RELAÇÃO!$A$1:$AQ$576,MATCH($M305,[1]RELAÇÃO!$AP$1:$AP$576,0),6))</f>
        <v>ANP - Agência Nacional do Petróleo, Gás Natural e Biocombustíveis</v>
      </c>
      <c r="I305" s="275" t="str">
        <f>IF(E305=0,"-",INDEX([1]RELAÇÃO!$A$1:$AQ$576,MATCH($M305,[1]RELAÇÃO!$AP$1:$AP$576,0),12)&amp;INDEX([1]RELAÇÃO!$A$1:$AQ$576,MATCH($M305,[1]RELAÇÃO!$AP$1:$AP$576,0),13)&amp;", de "&amp;INDEX([1]RELAÇÃO!$A$1:$AQ$576,MATCH($M305,[1]RELAÇÃO!$AP$1:$AP$576,0),14)&amp;" - "&amp;INDEX([1]RELAÇÃO!$A$1:$AQ$576,MATCH($M305,[1]RELAÇÃO!$AP$1:$AP$576,0),16)&amp;" de "&amp;INDEX([1]RELAÇÃO!$A$1:$AQ$576,MATCH($M305,[1]RELAÇÃO!$AP$1:$AP$576,0),15))</f>
        <v>Portaria nº 473, de 18/12/2019 - DOU de 23/12/2019</v>
      </c>
      <c r="J305" s="307" t="str">
        <f>INDEX([1]RELAÇÃO!$A$1:$AQ$576,MATCH($N305,[1]RELAÇÃO!$AQ$1:$AQ$576,0),1)</f>
        <v>ESDRAS GODINHO RAMOS</v>
      </c>
      <c r="K305" s="395" t="str">
        <f>IF(J305=0,"-",INDEX([1]RELAÇÃO!$A$1:$AQ$576,MATCH($N305,[1]RELAÇÃO!$AQ$1:$AQ$576,0),27)&amp;INDEX([1]RELAÇÃO!$A$1:$AQ$576,MATCH($N305,[1]RELAÇÃO!$AQ$1:$AQ$576,0),28)&amp;", de "&amp;INDEX([1]RELAÇÃO!$A$1:$AQ$576,MATCH($N305,[1]RELAÇÃO!$AQ$1:$AQ$576,0),29)&amp;" - "&amp;INDEX([1]RELAÇÃO!$A$1:$AQ$576,MATCH($N305,[1]RELAÇÃO!$AQ$1:$AQ$576,0),31)&amp;" de "&amp;INDEX([1]RELAÇÃO!$A$1:$AQ$576,MATCH($N305,[1]RELAÇÃO!$AQ$1:$AQ$576,0),30))</f>
        <v>Portaria nº 338, de 10/09/2020 - DOU de 16/09/2020</v>
      </c>
      <c r="L305" s="287" t="str">
        <f>IF($E305=0,"-",IF(INDEX([1]RELAÇÃO!$A$1:$AQ$576,MATCH($M305,[1]RELAÇÃO!$AP$1:$AP$576,0),8)="11.101.000","-",INDEX([1]RELAÇÃO!$A$1:$AQ$576,MATCH($M305,[1]RELAÇÃO!$AP$1:$AP$576,0),7)))</f>
        <v>-</v>
      </c>
      <c r="M305" s="280" t="s">
        <v>693</v>
      </c>
      <c r="N305" s="280" t="s">
        <v>694</v>
      </c>
    </row>
    <row r="306" spans="1:14" ht="23.25" x14ac:dyDescent="0.25">
      <c r="A306" s="361"/>
      <c r="B306" s="345" t="s">
        <v>228</v>
      </c>
      <c r="C306" s="296" t="s">
        <v>231</v>
      </c>
      <c r="D306" s="273" t="s">
        <v>193</v>
      </c>
      <c r="E306" s="275" t="str">
        <f>INDEX([1]RELAÇÃO!$A$1:$AQ$576,MATCH($M306,[1]RELAÇÃO!$AP$1:$AP$576,0),1)</f>
        <v>DIOGO SANTOS BALEEIRO</v>
      </c>
      <c r="F306" s="276" t="str">
        <f>IF(E306=0,"-",LEFT(INDEX([1]RELAÇÃO!$A$1:$AQ$576,MATCH($M306,[1]RELAÇÃO!$AP$1:$AP$576,0),32),1))</f>
        <v>M</v>
      </c>
      <c r="G306" s="275" t="str">
        <f>IF(E306=0,"-",INDEX([1]RELAÇÃO!$A$1:$AQ$576,MATCH($M306,[1]RELAÇÃO!$AP$1:$AP$576,0),5))</f>
        <v>Exercício Descentralizado</v>
      </c>
      <c r="H306" s="275" t="str">
        <f>IF(E306=0,"-",INDEX([1]RELAÇÃO!$A$1:$AQ$576,MATCH($M306,[1]RELAÇÃO!$AP$1:$AP$576,0),6))</f>
        <v>ME - Ministério da Economia</v>
      </c>
      <c r="I306" s="275" t="str">
        <f>IF(E306=0,"-",INDEX([1]RELAÇÃO!$A$1:$AQ$576,MATCH($M306,[1]RELAÇÃO!$AP$1:$AP$576,0),12)&amp;INDEX([1]RELAÇÃO!$A$1:$AQ$576,MATCH($M306,[1]RELAÇÃO!$AP$1:$AP$576,0),13)&amp;", de "&amp;INDEX([1]RELAÇÃO!$A$1:$AQ$576,MATCH($M306,[1]RELAÇÃO!$AP$1:$AP$576,0),14)&amp;" - "&amp;INDEX([1]RELAÇÃO!$A$1:$AQ$576,MATCH($M306,[1]RELAÇÃO!$AP$1:$AP$576,0),16)&amp;" de "&amp;INDEX([1]RELAÇÃO!$A$1:$AQ$576,MATCH($M306,[1]RELAÇÃO!$AP$1:$AP$576,0),15))</f>
        <v>Portaria nº 524, de 03/11/2016 - BPE de 04/11/2016</v>
      </c>
      <c r="J306" s="362"/>
      <c r="K306" s="310"/>
      <c r="L306" s="287" t="str">
        <f>IF($E306=0,"-",IF(INDEX([1]RELAÇÃO!$A$1:$AQ$576,MATCH($M306,[1]RELAÇÃO!$AP$1:$AP$576,0),8)="11.101.000","-",INDEX([1]RELAÇÃO!$A$1:$AQ$576,MATCH($M306,[1]RELAÇÃO!$AP$1:$AP$576,0),7)))</f>
        <v>-</v>
      </c>
      <c r="M306" s="280" t="s">
        <v>695</v>
      </c>
      <c r="N306" s="310"/>
    </row>
    <row r="307" spans="1:14" ht="34.5" x14ac:dyDescent="0.25">
      <c r="A307" s="360" t="s">
        <v>696</v>
      </c>
      <c r="B307" s="345" t="s">
        <v>321</v>
      </c>
      <c r="C307" s="273" t="s">
        <v>186</v>
      </c>
      <c r="D307" s="273" t="s">
        <v>187</v>
      </c>
      <c r="E307" s="300" t="str">
        <f>INDEX([1]RELAÇÃO!$A$1:$AQ$576,MATCH($M307,[1]RELAÇÃO!$AP$1:$AP$576,0),1)</f>
        <v>JAIR RODRIGUES DOS ANJOS</v>
      </c>
      <c r="F307" s="301" t="str">
        <f>IF(E307=0,"-",LEFT(INDEX([1]RELAÇÃO!$A$1:$AQ$576,MATCH($M307,[1]RELAÇÃO!$AP$1:$AP$576,0),32),1))</f>
        <v>M</v>
      </c>
      <c r="G307" s="300" t="str">
        <f>IF(E307=0,"-",INDEX([1]RELAÇÃO!$A$1:$AQ$576,MATCH($M307,[1]RELAÇÃO!$AP$1:$AP$576,0),5))</f>
        <v>Requisitado de Órgãos</v>
      </c>
      <c r="H307" s="300" t="str">
        <f>IF(E307=0,"-",INDEX([1]RELAÇÃO!$A$1:$AQ$576,MATCH($M307,[1]RELAÇÃO!$AP$1:$AP$576,0),6))</f>
        <v>ME - Ministério da Economia</v>
      </c>
      <c r="I307" s="300" t="str">
        <f>IF(E307=0,"-",INDEX([1]RELAÇÃO!$A$1:$AQ$576,MATCH($M307,[1]RELAÇÃO!$AP$1:$AP$576,0),12)&amp;INDEX([1]RELAÇÃO!$A$1:$AQ$576,MATCH($M307,[1]RELAÇÃO!$AP$1:$AP$576,0),13)&amp;", de "&amp;INDEX([1]RELAÇÃO!$A$1:$AQ$576,MATCH($M307,[1]RELAÇÃO!$AP$1:$AP$576,0),14)&amp;" - "&amp;INDEX([1]RELAÇÃO!$A$1:$AQ$576,MATCH($M307,[1]RELAÇÃO!$AP$1:$AP$576,0),16)&amp;" de "&amp;INDEX([1]RELAÇÃO!$A$1:$AQ$576,MATCH($M307,[1]RELAÇÃO!$AP$1:$AP$576,0),15))</f>
        <v>Portaria nº 125, de 23/03/2020 - DOU de 24/03/2020</v>
      </c>
      <c r="J307" s="307" t="str">
        <f>INDEX([1]RELAÇÃO!$A$1:$AQ$576,MATCH($N307,[1]RELAÇÃO!$AQ$1:$AQ$576,0),1)</f>
        <v>ANTONIO HENRIQUE GODOY RAMOS</v>
      </c>
      <c r="K307" s="395" t="str">
        <f>IF(J307=0,"-",INDEX([1]RELAÇÃO!$A$1:$AQ$576,MATCH($N307,[1]RELAÇÃO!$AQ$1:$AQ$576,0),27)&amp;INDEX([1]RELAÇÃO!$A$1:$AQ$576,MATCH($N307,[1]RELAÇÃO!$AQ$1:$AQ$576,0),28)&amp;", de "&amp;INDEX([1]RELAÇÃO!$A$1:$AQ$576,MATCH($N307,[1]RELAÇÃO!$AQ$1:$AQ$576,0),29)&amp;" - "&amp;INDEX([1]RELAÇÃO!$A$1:$AQ$576,MATCH($N307,[1]RELAÇÃO!$AQ$1:$AQ$576,0),31)&amp;" de "&amp;INDEX([1]RELAÇÃO!$A$1:$AQ$576,MATCH($N307,[1]RELAÇÃO!$AQ$1:$AQ$576,0),30))</f>
        <v>Portaria nº 715, de 27/12/2016 - DOU de 28/12/2016</v>
      </c>
      <c r="L307" s="302" t="str">
        <f>IF($E307=0,"-",IF(INDEX([1]RELAÇÃO!$A$1:$AQ$576,MATCH($M307,[1]RELAÇÃO!$AP$1:$AP$576,0),8)="11.101.100","-",INDEX([1]RELAÇÃO!$A$1:$AQ$576,MATCH($M307,[1]RELAÇÃO!$AP$1:$AP$576,0),7)))</f>
        <v>-</v>
      </c>
      <c r="M307" s="280" t="s">
        <v>697</v>
      </c>
      <c r="N307" s="280" t="s">
        <v>698</v>
      </c>
    </row>
    <row r="308" spans="1:14" ht="23.25" x14ac:dyDescent="0.25">
      <c r="A308" s="366" t="s">
        <v>699</v>
      </c>
      <c r="B308" s="345" t="s">
        <v>321</v>
      </c>
      <c r="C308" s="273" t="s">
        <v>186</v>
      </c>
      <c r="D308" s="273" t="s">
        <v>187</v>
      </c>
      <c r="E308" s="300" t="str">
        <f>INDEX([1]RELAÇÃO!$A$1:$AQ$576,MATCH($M308,[1]RELAÇÃO!$AP$1:$AP$576,0),1)</f>
        <v>CLAYTON DE SOUZA PONTES</v>
      </c>
      <c r="F308" s="301" t="str">
        <f>IF(E308=0,"-",LEFT(INDEX([1]RELAÇÃO!$A$1:$AQ$576,MATCH($M308,[1]RELAÇÃO!$AP$1:$AP$576,0),32),1))</f>
        <v>M</v>
      </c>
      <c r="G308" s="300" t="str">
        <f>IF(E308=0,"-",INDEX([1]RELAÇÃO!$A$1:$AQ$576,MATCH($M308,[1]RELAÇÃO!$AP$1:$AP$576,0),5))</f>
        <v>Sem Vínculo</v>
      </c>
      <c r="H308" s="300" t="str">
        <f>IF(E308=0,"-",INDEX([1]RELAÇÃO!$A$1:$AQ$576,MATCH($M308,[1]RELAÇÃO!$AP$1:$AP$576,0),6))</f>
        <v>Sem Vínculo</v>
      </c>
      <c r="I308" s="300" t="str">
        <f>IF(E308=0,"-",INDEX([1]RELAÇÃO!$A$1:$AQ$576,MATCH($M308,[1]RELAÇÃO!$AP$1:$AP$576,0),12)&amp;INDEX([1]RELAÇÃO!$A$1:$AQ$576,MATCH($M308,[1]RELAÇÃO!$AP$1:$AP$576,0),13)&amp;", de "&amp;INDEX([1]RELAÇÃO!$A$1:$AQ$576,MATCH($M308,[1]RELAÇÃO!$AP$1:$AP$576,0),14)&amp;" - "&amp;INDEX([1]RELAÇÃO!$A$1:$AQ$576,MATCH($M308,[1]RELAÇÃO!$AP$1:$AP$576,0),16)&amp;" de "&amp;INDEX([1]RELAÇÃO!$A$1:$AQ$576,MATCH($M308,[1]RELAÇÃO!$AP$1:$AP$576,0),15))</f>
        <v>Portaria nº 78, de 28/01/2019 - DOU de 31/01/2019</v>
      </c>
      <c r="J308" s="307" t="str">
        <f>INDEX([1]RELAÇÃO!$A$1:$AQ$576,MATCH($N308,[1]RELAÇÃO!$AQ$1:$AQ$576,0),1)</f>
        <v>DIOGO SANTOS BALEEIRO</v>
      </c>
      <c r="K308" s="395" t="str">
        <f>IF(J308=0,"-",INDEX([1]RELAÇÃO!$A$1:$AQ$576,MATCH($N308,[1]RELAÇÃO!$AQ$1:$AQ$576,0),27)&amp;INDEX([1]RELAÇÃO!$A$1:$AQ$576,MATCH($N308,[1]RELAÇÃO!$AQ$1:$AQ$576,0),28)&amp;", de "&amp;INDEX([1]RELAÇÃO!$A$1:$AQ$576,MATCH($N308,[1]RELAÇÃO!$AQ$1:$AQ$576,0),29)&amp;" - "&amp;INDEX([1]RELAÇÃO!$A$1:$AQ$576,MATCH($N308,[1]RELAÇÃO!$AQ$1:$AQ$576,0),31)&amp;" de "&amp;INDEX([1]RELAÇÃO!$A$1:$AQ$576,MATCH($N308,[1]RELAÇÃO!$AQ$1:$AQ$576,0),30))</f>
        <v>Portaria nº 640, de 23/11/2016 - DOU de 24/11/2016</v>
      </c>
      <c r="L308" s="287" t="str">
        <f>IF($E308=0,"-",IF(INDEX([1]RELAÇÃO!$A$1:$AQ$576,MATCH($M308,[1]RELAÇÃO!$AP$1:$AP$576,0),8)="11.101.200","-",INDEX([1]RELAÇÃO!$A$1:$AQ$576,MATCH($M308,[1]RELAÇÃO!$AP$1:$AP$576,0),7)))</f>
        <v>-</v>
      </c>
      <c r="M308" s="280" t="s">
        <v>700</v>
      </c>
      <c r="N308" s="280" t="s">
        <v>701</v>
      </c>
    </row>
    <row r="309" spans="1:14" ht="23.25" x14ac:dyDescent="0.25">
      <c r="A309" s="383" t="s">
        <v>702</v>
      </c>
      <c r="B309" s="345" t="s">
        <v>566</v>
      </c>
      <c r="C309" s="273" t="s">
        <v>206</v>
      </c>
      <c r="D309" s="273" t="s">
        <v>187</v>
      </c>
      <c r="E309" s="300" t="str">
        <f>INDEX([1]RELAÇÃO!$A$1:$AQ$576,MATCH($M309,[1]RELAÇÃO!$AP$1:$AP$576,0),1)</f>
        <v>SYMONE CHRISTINE DE SANTANA ARAUJO</v>
      </c>
      <c r="F309" s="301" t="str">
        <f>IF(E309=0,"-",LEFT(INDEX([1]RELAÇÃO!$A$1:$AQ$576,MATCH($M309,[1]RELAÇÃO!$AP$1:$AP$576,0),32),1))</f>
        <v>F</v>
      </c>
      <c r="G309" s="300" t="str">
        <f>IF(E309=0,"-",INDEX([1]RELAÇÃO!$A$1:$AQ$576,MATCH($M309,[1]RELAÇÃO!$AP$1:$AP$576,0),5))</f>
        <v>Exercício Descentralizado</v>
      </c>
      <c r="H309" s="300" t="str">
        <f>IF(E309=0,"-",INDEX([1]RELAÇÃO!$A$1:$AQ$576,MATCH($M309,[1]RELAÇÃO!$AP$1:$AP$576,0),6))</f>
        <v>ME - Ministério da Economia</v>
      </c>
      <c r="I309" s="300" t="str">
        <f>IF(E309=0,"-",INDEX([1]RELAÇÃO!$A$1:$AQ$576,MATCH($M309,[1]RELAÇÃO!$AP$1:$AP$576,0),12)&amp;INDEX([1]RELAÇÃO!$A$1:$AQ$576,MATCH($M309,[1]RELAÇÃO!$AP$1:$AP$576,0),13)&amp;", de "&amp;INDEX([1]RELAÇÃO!$A$1:$AQ$576,MATCH($M309,[1]RELAÇÃO!$AP$1:$AP$576,0),14)&amp;" - "&amp;INDEX([1]RELAÇÃO!$A$1:$AQ$576,MATCH($M309,[1]RELAÇÃO!$AP$1:$AP$576,0),16)&amp;" de "&amp;INDEX([1]RELAÇÃO!$A$1:$AQ$576,MATCH($M309,[1]RELAÇÃO!$AP$1:$AP$576,0),15))</f>
        <v>Portaria nº 524, de 03/11/2016 - BPE de 04/11/2016</v>
      </c>
      <c r="J309" s="307" t="str">
        <f>INDEX([1]RELAÇÃO!$A$1:$AQ$576,MATCH($N309,[1]RELAÇÃO!$AQ$1:$AQ$576,0),1)</f>
        <v>ALDO BARROSO CORES JUNIOR</v>
      </c>
      <c r="K309" s="395" t="str">
        <f>IF(J309=0,"-",INDEX([1]RELAÇÃO!$A$1:$AQ$576,MATCH($N309,[1]RELAÇÃO!$AQ$1:$AQ$576,0),27)&amp;INDEX([1]RELAÇÃO!$A$1:$AQ$576,MATCH($N309,[1]RELAÇÃO!$AQ$1:$AQ$576,0),28)&amp;", de "&amp;INDEX([1]RELAÇÃO!$A$1:$AQ$576,MATCH($N309,[1]RELAÇÃO!$AQ$1:$AQ$576,0),29)&amp;" - "&amp;INDEX([1]RELAÇÃO!$A$1:$AQ$576,MATCH($N309,[1]RELAÇÃO!$AQ$1:$AQ$576,0),31)&amp;" de "&amp;INDEX([1]RELAÇÃO!$A$1:$AQ$576,MATCH($N309,[1]RELAÇÃO!$AQ$1:$AQ$576,0),30))</f>
        <v>Portaria nº 551, de 27/09/2012 - DOU de 01/10/2012</v>
      </c>
      <c r="L309" s="307" t="str">
        <f>IF($E309=0,"-",IF(INDEX([1]RELAÇÃO!$A$1:$AQ$576,MATCH($M309,[1]RELAÇÃO!$AP$1:$AP$576,0),8)="11.102.000","-",INDEX([1]RELAÇÃO!$A$1:$AQ$576,MATCH($M309,[1]RELAÇÃO!$AP$1:$AP$576,0),7)))</f>
        <v>-</v>
      </c>
      <c r="M309" s="280" t="s">
        <v>703</v>
      </c>
      <c r="N309" s="280" t="s">
        <v>704</v>
      </c>
    </row>
    <row r="310" spans="1:14" ht="23.25" x14ac:dyDescent="0.25">
      <c r="A310" s="361"/>
      <c r="B310" s="345" t="s">
        <v>644</v>
      </c>
      <c r="C310" s="273" t="s">
        <v>186</v>
      </c>
      <c r="D310" s="273" t="s">
        <v>187</v>
      </c>
      <c r="E310" s="300" t="str">
        <f>INDEX([1]RELAÇÃO!$A$1:$AQ$576,MATCH($M310,[1]RELAÇÃO!$AP$1:$AP$576,0),1)</f>
        <v>FERNANDO MASSAHARU MATSUMOTO</v>
      </c>
      <c r="F310" s="301" t="str">
        <f>IF(E310=0,"-",LEFT(INDEX([1]RELAÇÃO!$A$1:$AQ$576,MATCH($M310,[1]RELAÇÃO!$AP$1:$AP$576,0),32),1))</f>
        <v>M</v>
      </c>
      <c r="G310" s="300" t="str">
        <f>IF(E310=0,"-",INDEX([1]RELAÇÃO!$A$1:$AQ$576,MATCH($M310,[1]RELAÇÃO!$AP$1:$AP$576,0),5))</f>
        <v>Requisitado de Órgãos</v>
      </c>
      <c r="H310" s="300" t="str">
        <f>IF(E310=0,"-",INDEX([1]RELAÇÃO!$A$1:$AQ$576,MATCH($M310,[1]RELAÇÃO!$AP$1:$AP$576,0),6))</f>
        <v>ME - Ministério da Economia</v>
      </c>
      <c r="I310" s="300" t="str">
        <f>IF(E310=0,"-",INDEX([1]RELAÇÃO!$A$1:$AQ$576,MATCH($M310,[1]RELAÇÃO!$AP$1:$AP$576,0),12)&amp;INDEX([1]RELAÇÃO!$A$1:$AQ$576,MATCH($M310,[1]RELAÇÃO!$AP$1:$AP$576,0),13)&amp;", de "&amp;INDEX([1]RELAÇÃO!$A$1:$AQ$576,MATCH($M310,[1]RELAÇÃO!$AP$1:$AP$576,0),14)&amp;" - "&amp;INDEX([1]RELAÇÃO!$A$1:$AQ$576,MATCH($M310,[1]RELAÇÃO!$AP$1:$AP$576,0),16)&amp;" de "&amp;INDEX([1]RELAÇÃO!$A$1:$AQ$576,MATCH($M310,[1]RELAÇÃO!$AP$1:$AP$576,0),15))</f>
        <v>Portaria nº 524, de 03/11/2016 - BPE de 04/11/2016</v>
      </c>
      <c r="J310" s="307" t="str">
        <f>INDEX([1]RELAÇÃO!$A$1:$AQ$576,MATCH($N310,[1]RELAÇÃO!$AQ$1:$AQ$576,0),1)</f>
        <v>DANIEL LOPES PÊGO</v>
      </c>
      <c r="K310" s="395" t="str">
        <f>IF(J310=0,"-",INDEX([1]RELAÇÃO!$A$1:$AQ$576,MATCH($N310,[1]RELAÇÃO!$AQ$1:$AQ$576,0),27)&amp;INDEX([1]RELAÇÃO!$A$1:$AQ$576,MATCH($N310,[1]RELAÇÃO!$AQ$1:$AQ$576,0),28)&amp;", de "&amp;INDEX([1]RELAÇÃO!$A$1:$AQ$576,MATCH($N310,[1]RELAÇÃO!$AQ$1:$AQ$576,0),29)&amp;" - "&amp;INDEX([1]RELAÇÃO!$A$1:$AQ$576,MATCH($N310,[1]RELAÇÃO!$AQ$1:$AQ$576,0),31)&amp;" de "&amp;INDEX([1]RELAÇÃO!$A$1:$AQ$576,MATCH($N310,[1]RELAÇÃO!$AQ$1:$AQ$576,0),30))</f>
        <v>Portaria nº 326, de 15/08/2019 - DOU de 16/08/2019</v>
      </c>
      <c r="L310" s="302" t="str">
        <f>IF($E310=0,"-",IF(INDEX([1]RELAÇÃO!$A$1:$AQ$576,MATCH($M310,[1]RELAÇÃO!$AP$1:$AP$576,0),8)="11.102.000","-",INDEX([1]RELAÇÃO!$A$1:$AQ$576,MATCH($M310,[1]RELAÇÃO!$AP$1:$AP$576,0),7)))</f>
        <v>-</v>
      </c>
      <c r="M310" s="280" t="s">
        <v>705</v>
      </c>
      <c r="N310" s="280" t="s">
        <v>706</v>
      </c>
    </row>
    <row r="311" spans="1:14" ht="23.25" x14ac:dyDescent="0.25">
      <c r="A311" s="361"/>
      <c r="B311" s="345" t="s">
        <v>228</v>
      </c>
      <c r="C311" s="296" t="s">
        <v>231</v>
      </c>
      <c r="D311" s="273" t="s">
        <v>193</v>
      </c>
      <c r="E311" s="300" t="str">
        <f>INDEX([1]RELAÇÃO!$A$1:$AQ$576,MATCH($M311,[1]RELAÇÃO!$AP$1:$AP$576,0),1)</f>
        <v>DANIEL LOPES PÊGO</v>
      </c>
      <c r="F311" s="301" t="str">
        <f>IF(E311=0,"-",LEFT(INDEX([1]RELAÇÃO!$A$1:$AQ$576,MATCH($M311,[1]RELAÇÃO!$AP$1:$AP$576,0),32),1))</f>
        <v>M</v>
      </c>
      <c r="G311" s="300" t="str">
        <f>IF(E311=0,"-",INDEX([1]RELAÇÃO!$A$1:$AQ$576,MATCH($M311,[1]RELAÇÃO!$AP$1:$AP$576,0),5))</f>
        <v>Exercício Descentralizado</v>
      </c>
      <c r="H311" s="300" t="str">
        <f>IF(E311=0,"-",INDEX([1]RELAÇÃO!$A$1:$AQ$576,MATCH($M311,[1]RELAÇÃO!$AP$1:$AP$576,0),6))</f>
        <v>ME - Ministério da Economia</v>
      </c>
      <c r="I311" s="300" t="str">
        <f>IF(E311=0,"-",INDEX([1]RELAÇÃO!$A$1:$AQ$576,MATCH($M311,[1]RELAÇÃO!$AP$1:$AP$576,0),12)&amp;INDEX([1]RELAÇÃO!$A$1:$AQ$576,MATCH($M311,[1]RELAÇÃO!$AP$1:$AP$576,0),13)&amp;", de "&amp;INDEX([1]RELAÇÃO!$A$1:$AQ$576,MATCH($M311,[1]RELAÇÃO!$AP$1:$AP$576,0),14)&amp;" - "&amp;INDEX([1]RELAÇÃO!$A$1:$AQ$576,MATCH($M311,[1]RELAÇÃO!$AP$1:$AP$576,0),16)&amp;" de "&amp;INDEX([1]RELAÇÃO!$A$1:$AQ$576,MATCH($M311,[1]RELAÇÃO!$AP$1:$AP$576,0),15))</f>
        <v>Portaria nº 369, de 07/10/2020 - DOU de 13/10/2020</v>
      </c>
      <c r="J311" s="379"/>
      <c r="K311" s="312"/>
      <c r="L311" s="302" t="str">
        <f>IF($E311=0,"-",IF(INDEX([1]RELAÇÃO!$A$1:$AQ$576,MATCH($M311,[1]RELAÇÃO!$AP$1:$AP$576,0),8)="11.102.000","-",INDEX([1]RELAÇÃO!$A$1:$AQ$576,MATCH($M311,[1]RELAÇÃO!$AP$1:$AP$576,0),7)))</f>
        <v>-</v>
      </c>
      <c r="M311" s="280" t="s">
        <v>707</v>
      </c>
      <c r="N311" s="310"/>
    </row>
    <row r="312" spans="1:14" ht="34.5" x14ac:dyDescent="0.25">
      <c r="A312" s="360" t="s">
        <v>708</v>
      </c>
      <c r="B312" s="343" t="s">
        <v>321</v>
      </c>
      <c r="C312" s="274" t="s">
        <v>186</v>
      </c>
      <c r="D312" s="274" t="s">
        <v>187</v>
      </c>
      <c r="E312" s="275" t="str">
        <f>INDEX([1]RELAÇÃO!$A$1:$AQ$576,MATCH($M312,[1]RELAÇÃO!$AP$1:$AP$576,0),1)</f>
        <v>JAQUELINE MENEGHEL RODRIGUES</v>
      </c>
      <c r="F312" s="276" t="str">
        <f>IF(E312=0,"-",LEFT(INDEX([1]RELAÇÃO!$A$1:$AQ$576,MATCH($M312,[1]RELAÇÃO!$AP$1:$AP$576,0),32),1))</f>
        <v>F</v>
      </c>
      <c r="G312" s="275" t="str">
        <f>IF(E312=0,"-",INDEX([1]RELAÇÃO!$A$1:$AQ$576,MATCH($M312,[1]RELAÇÃO!$AP$1:$AP$576,0),5))</f>
        <v>Exercício Descentralizado</v>
      </c>
      <c r="H312" s="275" t="str">
        <f>IF(E312=0,"-",INDEX([1]RELAÇÃO!$A$1:$AQ$576,MATCH($M312,[1]RELAÇÃO!$AP$1:$AP$576,0),6))</f>
        <v>ME - Ministério da Economia</v>
      </c>
      <c r="I312" s="275" t="str">
        <f>IF(E312=0,"-",INDEX([1]RELAÇÃO!$A$1:$AQ$576,MATCH($M312,[1]RELAÇÃO!$AP$1:$AP$576,0),12)&amp;INDEX([1]RELAÇÃO!$A$1:$AQ$576,MATCH($M312,[1]RELAÇÃO!$AP$1:$AP$576,0),13)&amp;", de "&amp;INDEX([1]RELAÇÃO!$A$1:$AQ$576,MATCH($M312,[1]RELAÇÃO!$AP$1:$AP$576,0),14)&amp;" - "&amp;INDEX([1]RELAÇÃO!$A$1:$AQ$576,MATCH($M312,[1]RELAÇÃO!$AP$1:$AP$576,0),16)&amp;" de "&amp;INDEX([1]RELAÇÃO!$A$1:$AQ$576,MATCH($M312,[1]RELAÇÃO!$AP$1:$AP$576,0),15))</f>
        <v>Portaria nº 322, de 15/08/2019 - DOU de 16/08/2019</v>
      </c>
      <c r="J312" s="277">
        <f>INDEX([1]RELAÇÃO!$A$1:$AQ$576,MATCH($N312,[1]RELAÇÃO!$AQ$1:$AQ$576,0),1)</f>
        <v>0</v>
      </c>
      <c r="K312" s="395" t="str">
        <f>IF(J312=0,"-",INDEX([1]RELAÇÃO!$A$1:$AQ$576,MATCH($N312,[1]RELAÇÃO!$AQ$1:$AQ$576,0),27)&amp;INDEX([1]RELAÇÃO!$A$1:$AQ$576,MATCH($N312,[1]RELAÇÃO!$AQ$1:$AQ$576,0),28)&amp;", de "&amp;INDEX([1]RELAÇÃO!$A$1:$AQ$576,MATCH($N312,[1]RELAÇÃO!$AQ$1:$AQ$576,0),29)&amp;" - "&amp;INDEX([1]RELAÇÃO!$A$1:$AQ$576,MATCH($N312,[1]RELAÇÃO!$AQ$1:$AQ$576,0),31)&amp;" de "&amp;INDEX([1]RELAÇÃO!$A$1:$AQ$576,MATCH($N312,[1]RELAÇÃO!$AQ$1:$AQ$576,0),30))</f>
        <v>-</v>
      </c>
      <c r="L312" s="287" t="str">
        <f>IF($E312=0,"-",IF(INDEX([1]RELAÇÃO!$A$1:$AQ$576,MATCH($M312,[1]RELAÇÃO!$AP$1:$AP$576,0),8)="11.102.100","-",INDEX([1]RELAÇÃO!$A$1:$AQ$576,MATCH($M312,[1]RELAÇÃO!$AP$1:$AP$576,0),7)))</f>
        <v>-</v>
      </c>
      <c r="M312" s="280" t="s">
        <v>709</v>
      </c>
      <c r="N312" s="280" t="s">
        <v>710</v>
      </c>
    </row>
    <row r="313" spans="1:14" ht="23.25" x14ac:dyDescent="0.25">
      <c r="A313" s="360" t="s">
        <v>711</v>
      </c>
      <c r="B313" s="343" t="s">
        <v>321</v>
      </c>
      <c r="C313" s="274" t="s">
        <v>186</v>
      </c>
      <c r="D313" s="274" t="s">
        <v>187</v>
      </c>
      <c r="E313" s="275" t="str">
        <f>INDEX([1]RELAÇÃO!$A$1:$AQ$576,MATCH($M313,[1]RELAÇÃO!$AP$1:$AP$576,0),1)</f>
        <v>ALDO BARROSO CORES JUNIOR</v>
      </c>
      <c r="F313" s="276" t="str">
        <f>IF(E313=0,"-",LEFT(INDEX([1]RELAÇÃO!$A$1:$AQ$576,MATCH($M313,[1]RELAÇÃO!$AP$1:$AP$576,0),32),1))</f>
        <v>M</v>
      </c>
      <c r="G313" s="275" t="str">
        <f>IF(E313=0,"-",INDEX([1]RELAÇÃO!$A$1:$AQ$576,MATCH($M313,[1]RELAÇÃO!$AP$1:$AP$576,0),5))</f>
        <v>Exercício Descentralizado</v>
      </c>
      <c r="H313" s="275" t="str">
        <f>IF(E313=0,"-",INDEX([1]RELAÇÃO!$A$1:$AQ$576,MATCH($M313,[1]RELAÇÃO!$AP$1:$AP$576,0),6))</f>
        <v>ME - Ministério da Economia</v>
      </c>
      <c r="I313" s="275" t="str">
        <f>IF(E313=0,"-",INDEX([1]RELAÇÃO!$A$1:$AQ$576,MATCH($M313,[1]RELAÇÃO!$AP$1:$AP$576,0),12)&amp;INDEX([1]RELAÇÃO!$A$1:$AQ$576,MATCH($M313,[1]RELAÇÃO!$AP$1:$AP$576,0),13)&amp;", de "&amp;INDEX([1]RELAÇÃO!$A$1:$AQ$576,MATCH($M313,[1]RELAÇÃO!$AP$1:$AP$576,0),14)&amp;" - "&amp;INDEX([1]RELAÇÃO!$A$1:$AQ$576,MATCH($M313,[1]RELAÇÃO!$AP$1:$AP$576,0),16)&amp;" de "&amp;INDEX([1]RELAÇÃO!$A$1:$AQ$576,MATCH($M313,[1]RELAÇÃO!$AP$1:$AP$576,0),15))</f>
        <v>Portaria nº 524, de 03/11/2016 - BPE de 04/11/2016</v>
      </c>
      <c r="J313" s="277">
        <f>INDEX([1]RELAÇÃO!$A$1:$AQ$576,MATCH($N313,[1]RELAÇÃO!$AQ$1:$AQ$576,0),1)</f>
        <v>0</v>
      </c>
      <c r="K313" s="395" t="str">
        <f>IF(J313=0,"-",INDEX([1]RELAÇÃO!$A$1:$AQ$576,MATCH($N313,[1]RELAÇÃO!$AQ$1:$AQ$576,0),27)&amp;INDEX([1]RELAÇÃO!$A$1:$AQ$576,MATCH($N313,[1]RELAÇÃO!$AQ$1:$AQ$576,0),28)&amp;", de "&amp;INDEX([1]RELAÇÃO!$A$1:$AQ$576,MATCH($N313,[1]RELAÇÃO!$AQ$1:$AQ$576,0),29)&amp;" - "&amp;INDEX([1]RELAÇÃO!$A$1:$AQ$576,MATCH($N313,[1]RELAÇÃO!$AQ$1:$AQ$576,0),31)&amp;" de "&amp;INDEX([1]RELAÇÃO!$A$1:$AQ$576,MATCH($N313,[1]RELAÇÃO!$AQ$1:$AQ$576,0),30))</f>
        <v>-</v>
      </c>
      <c r="L313" s="287" t="str">
        <f>IF($E313=0,"-",IF(INDEX([1]RELAÇÃO!$A$1:$AQ$576,MATCH($M313,[1]RELAÇÃO!$AP$1:$AP$576,0),8)="11.102.200","-",INDEX([1]RELAÇÃO!$A$1:$AQ$576,MATCH($M313,[1]RELAÇÃO!$AP$1:$AP$576,0),7)))</f>
        <v>-</v>
      </c>
      <c r="M313" s="280" t="s">
        <v>712</v>
      </c>
      <c r="N313" s="280" t="s">
        <v>713</v>
      </c>
    </row>
    <row r="314" spans="1:14" ht="23.25" x14ac:dyDescent="0.25">
      <c r="A314" s="360" t="s">
        <v>714</v>
      </c>
      <c r="B314" s="343" t="s">
        <v>566</v>
      </c>
      <c r="C314" s="274" t="s">
        <v>206</v>
      </c>
      <c r="D314" s="274" t="s">
        <v>187</v>
      </c>
      <c r="E314" s="275" t="str">
        <f>INDEX([1]RELAÇÃO!$A$1:$AQ$576,MATCH($M314,[1]RELAÇÃO!$AP$1:$AP$576,0),1)</f>
        <v>MARISA MAIA DE BARROS</v>
      </c>
      <c r="F314" s="276" t="str">
        <f>IF(E314=0,"-",LEFT(INDEX([1]RELAÇÃO!$A$1:$AQ$576,MATCH($M314,[1]RELAÇÃO!$AP$1:$AP$576,0),32),1))</f>
        <v>F</v>
      </c>
      <c r="G314" s="275" t="str">
        <f>IF(E314=0,"-",INDEX([1]RELAÇÃO!$A$1:$AQ$576,MATCH($M314,[1]RELAÇÃO!$AP$1:$AP$576,0),5))</f>
        <v>Requisitado de Órgãos</v>
      </c>
      <c r="H314" s="275" t="str">
        <f>IF(E314=0,"-",INDEX([1]RELAÇÃO!$A$1:$AQ$576,MATCH($M314,[1]RELAÇÃO!$AP$1:$AP$576,0),6))</f>
        <v>EPE - Empresa de Pesquisa Energética</v>
      </c>
      <c r="I314" s="275" t="str">
        <f>IF(E314=0,"-",INDEX([1]RELAÇÃO!$A$1:$AQ$576,MATCH($M314,[1]RELAÇÃO!$AP$1:$AP$576,0),12)&amp;INDEX([1]RELAÇÃO!$A$1:$AQ$576,MATCH($M314,[1]RELAÇÃO!$AP$1:$AP$576,0),13)&amp;", de "&amp;INDEX([1]RELAÇÃO!$A$1:$AQ$576,MATCH($M314,[1]RELAÇÃO!$AP$1:$AP$576,0),14)&amp;" - "&amp;INDEX([1]RELAÇÃO!$A$1:$AQ$576,MATCH($M314,[1]RELAÇÃO!$AP$1:$AP$576,0),16)&amp;" de "&amp;INDEX([1]RELAÇÃO!$A$1:$AQ$576,MATCH($M314,[1]RELAÇÃO!$AP$1:$AP$576,0),15))</f>
        <v>Portaria nº 373, de 30/09/2019 - DOU de 02/10/2019</v>
      </c>
      <c r="J314" s="307" t="str">
        <f>INDEX([1]RELAÇÃO!$A$1:$AQ$576,MATCH($N314,[1]RELAÇÃO!$AQ$1:$AQ$576,0),1)</f>
        <v>DEIVSON MATOS TIMBÓ</v>
      </c>
      <c r="K314" s="395" t="str">
        <f>IF(J314=0,"-",INDEX([1]RELAÇÃO!$A$1:$AQ$576,MATCH($N314,[1]RELAÇÃO!$AQ$1:$AQ$576,0),27)&amp;INDEX([1]RELAÇÃO!$A$1:$AQ$576,MATCH($N314,[1]RELAÇÃO!$AQ$1:$AQ$576,0),28)&amp;", de "&amp;INDEX([1]RELAÇÃO!$A$1:$AQ$576,MATCH($N314,[1]RELAÇÃO!$AQ$1:$AQ$576,0),29)&amp;" - "&amp;INDEX([1]RELAÇÃO!$A$1:$AQ$576,MATCH($N314,[1]RELAÇÃO!$AQ$1:$AQ$576,0),31)&amp;" de "&amp;INDEX([1]RELAÇÃO!$A$1:$AQ$576,MATCH($N314,[1]RELAÇÃO!$AQ$1:$AQ$576,0),30))</f>
        <v>Portaria nº 386, de 09/10/2019 - DOU de 14/10/2019</v>
      </c>
      <c r="L314" s="287" t="str">
        <f>IF($E314=0,"-",IF(INDEX([1]RELAÇÃO!$A$1:$AQ$576,MATCH($M314,[1]RELAÇÃO!$AP$1:$AP$576,0),8)="11.103.000","-",INDEX([1]RELAÇÃO!$A$1:$AQ$576,MATCH($M314,[1]RELAÇÃO!$AP$1:$AP$576,0),7)))</f>
        <v>-</v>
      </c>
      <c r="M314" s="280" t="s">
        <v>715</v>
      </c>
      <c r="N314" s="280" t="s">
        <v>716</v>
      </c>
    </row>
    <row r="315" spans="1:14" ht="23.25" x14ac:dyDescent="0.25">
      <c r="A315" s="361"/>
      <c r="B315" s="345" t="s">
        <v>228</v>
      </c>
      <c r="C315" s="296" t="s">
        <v>231</v>
      </c>
      <c r="D315" s="273" t="s">
        <v>193</v>
      </c>
      <c r="E315" s="275" t="str">
        <f>INDEX([1]RELAÇÃO!$A$1:$AQ$576,MATCH($M315,[1]RELAÇÃO!$AP$1:$AP$576,0),1)</f>
        <v>PEDRO HENRIQUE MILHOMEM COUTINHO</v>
      </c>
      <c r="F315" s="276" t="str">
        <f>IF(E315=0,"-",LEFT(INDEX([1]RELAÇÃO!$A$1:$AQ$576,MATCH($M315,[1]RELAÇÃO!$AP$1:$AP$576,0),32),1))</f>
        <v>M</v>
      </c>
      <c r="G315" s="275" t="str">
        <f>IF(E315=0,"-",INDEX([1]RELAÇÃO!$A$1:$AQ$576,MATCH($M315,[1]RELAÇÃO!$AP$1:$AP$576,0),5))</f>
        <v>Exercício Descentralizado</v>
      </c>
      <c r="H315" s="275" t="str">
        <f>IF(E315=0,"-",INDEX([1]RELAÇÃO!$A$1:$AQ$576,MATCH($M315,[1]RELAÇÃO!$AP$1:$AP$576,0),6))</f>
        <v>ME - Ministério da Economia</v>
      </c>
      <c r="I315" s="275" t="str">
        <f>IF(E315=0,"-",INDEX([1]RELAÇÃO!$A$1:$AQ$576,MATCH($M315,[1]RELAÇÃO!$AP$1:$AP$576,0),12)&amp;INDEX([1]RELAÇÃO!$A$1:$AQ$576,MATCH($M315,[1]RELAÇÃO!$AP$1:$AP$576,0),13)&amp;", de "&amp;INDEX([1]RELAÇÃO!$A$1:$AQ$576,MATCH($M315,[1]RELAÇÃO!$AP$1:$AP$576,0),14)&amp;" - "&amp;INDEX([1]RELAÇÃO!$A$1:$AQ$576,MATCH($M315,[1]RELAÇÃO!$AP$1:$AP$576,0),16)&amp;" de "&amp;INDEX([1]RELAÇÃO!$A$1:$AQ$576,MATCH($M315,[1]RELAÇÃO!$AP$1:$AP$576,0),15))</f>
        <v>Portaria nº 277, de 04/07/2019 - DOU de 08/07/2019</v>
      </c>
      <c r="J315" s="362"/>
      <c r="K315" s="310"/>
      <c r="L315" s="287" t="str">
        <f>IF($E315=0,"-",IF(INDEX([1]RELAÇÃO!$A$1:$AQ$576,MATCH($M315,[1]RELAÇÃO!$AP$1:$AP$576,0),8)="11.103.000","-",INDEX([1]RELAÇÃO!$A$1:$AQ$576,MATCH($M315,[1]RELAÇÃO!$AP$1:$AP$576,0),7)))</f>
        <v>-</v>
      </c>
      <c r="M315" s="280" t="s">
        <v>717</v>
      </c>
      <c r="N315" s="310"/>
    </row>
    <row r="316" spans="1:14" ht="23.25" x14ac:dyDescent="0.25">
      <c r="A316" s="366" t="s">
        <v>718</v>
      </c>
      <c r="B316" s="343" t="s">
        <v>321</v>
      </c>
      <c r="C316" s="274" t="s">
        <v>186</v>
      </c>
      <c r="D316" s="274" t="s">
        <v>187</v>
      </c>
      <c r="E316" s="275" t="str">
        <f>INDEX([1]RELAÇÃO!$A$1:$AQ$576,MATCH($M316,[1]RELAÇÃO!$AP$1:$AP$576,0),1)</f>
        <v>DEIVSON MATOS TIMBÓ</v>
      </c>
      <c r="F316" s="276" t="str">
        <f>IF(E316=0,"-",LEFT(INDEX([1]RELAÇÃO!$A$1:$AQ$576,MATCH($M316,[1]RELAÇÃO!$AP$1:$AP$576,0),32),1))</f>
        <v>M</v>
      </c>
      <c r="G316" s="275" t="str">
        <f>IF(E316=0,"-",INDEX([1]RELAÇÃO!$A$1:$AQ$576,MATCH($M316,[1]RELAÇÃO!$AP$1:$AP$576,0),5))</f>
        <v>Exercício Descentralizado</v>
      </c>
      <c r="H316" s="275" t="str">
        <f>IF(E316=0,"-",INDEX([1]RELAÇÃO!$A$1:$AQ$576,MATCH($M316,[1]RELAÇÃO!$AP$1:$AP$576,0),6))</f>
        <v>ME - Ministério da Economia</v>
      </c>
      <c r="I316" s="275" t="str">
        <f>IF(E316=0,"-",INDEX([1]RELAÇÃO!$A$1:$AQ$576,MATCH($M316,[1]RELAÇÃO!$AP$1:$AP$576,0),12)&amp;INDEX([1]RELAÇÃO!$A$1:$AQ$576,MATCH($M316,[1]RELAÇÃO!$AP$1:$AP$576,0),13)&amp;", de "&amp;INDEX([1]RELAÇÃO!$A$1:$AQ$576,MATCH($M316,[1]RELAÇÃO!$AP$1:$AP$576,0),14)&amp;" - "&amp;INDEX([1]RELAÇÃO!$A$1:$AQ$576,MATCH($M316,[1]RELAÇÃO!$AP$1:$AP$576,0),16)&amp;" de "&amp;INDEX([1]RELAÇÃO!$A$1:$AQ$576,MATCH($M316,[1]RELAÇÃO!$AP$1:$AP$576,0),15))</f>
        <v>Portaria nº 588, de 03/11/2016 - DOU de 04/11/2016</v>
      </c>
      <c r="J316" s="277">
        <f>INDEX([1]RELAÇÃO!$A$1:$AQ$576,MATCH($N316,[1]RELAÇÃO!$AQ$1:$AQ$576,0),1)</f>
        <v>0</v>
      </c>
      <c r="K316" s="395" t="str">
        <f>IF(J316=0,"-",INDEX([1]RELAÇÃO!$A$1:$AQ$576,MATCH($N316,[1]RELAÇÃO!$AQ$1:$AQ$576,0),27)&amp;INDEX([1]RELAÇÃO!$A$1:$AQ$576,MATCH($N316,[1]RELAÇÃO!$AQ$1:$AQ$576,0),28)&amp;", de "&amp;INDEX([1]RELAÇÃO!$A$1:$AQ$576,MATCH($N316,[1]RELAÇÃO!$AQ$1:$AQ$576,0),29)&amp;" - "&amp;INDEX([1]RELAÇÃO!$A$1:$AQ$576,MATCH($N316,[1]RELAÇÃO!$AQ$1:$AQ$576,0),31)&amp;" de "&amp;INDEX([1]RELAÇÃO!$A$1:$AQ$576,MATCH($N316,[1]RELAÇÃO!$AQ$1:$AQ$576,0),30))</f>
        <v>-</v>
      </c>
      <c r="L316" s="287" t="str">
        <f>IF($E316=0,"-",IF(INDEX([1]RELAÇÃO!$A$1:$AQ$576,MATCH($M316,[1]RELAÇÃO!$AP$1:$AP$576,0),8)="11.103.100","-",INDEX([1]RELAÇÃO!$A$1:$AQ$576,MATCH($M316,[1]RELAÇÃO!$AP$1:$AP$576,0),7)))</f>
        <v>-</v>
      </c>
      <c r="M316" s="280" t="s">
        <v>719</v>
      </c>
      <c r="N316" s="280" t="s">
        <v>720</v>
      </c>
    </row>
    <row r="317" spans="1:14" ht="23.25" x14ac:dyDescent="0.25">
      <c r="A317" s="384" t="s">
        <v>721</v>
      </c>
      <c r="B317" s="343" t="s">
        <v>321</v>
      </c>
      <c r="C317" s="274" t="s">
        <v>186</v>
      </c>
      <c r="D317" s="274" t="s">
        <v>187</v>
      </c>
      <c r="E317" s="275" t="str">
        <f>INDEX([1]RELAÇÃO!$A$1:$AQ$576,MATCH($M317,[1]RELAÇÃO!$AP$1:$AP$576,0),1)</f>
        <v>DANIELLE LANCHARES ORNELAS</v>
      </c>
      <c r="F317" s="276" t="str">
        <f>IF(E317=0,"-",LEFT(INDEX([1]RELAÇÃO!$A$1:$AQ$576,MATCH($M317,[1]RELAÇÃO!$AP$1:$AP$576,0),32),1))</f>
        <v>F</v>
      </c>
      <c r="G317" s="275" t="str">
        <f>IF(E317=0,"-",INDEX([1]RELAÇÃO!$A$1:$AQ$576,MATCH($M317,[1]RELAÇÃO!$AP$1:$AP$576,0),5))</f>
        <v>Requisitado de Órgãos</v>
      </c>
      <c r="H317" s="275" t="str">
        <f>IF(E317=0,"-",INDEX([1]RELAÇÃO!$A$1:$AQ$576,MATCH($M317,[1]RELAÇÃO!$AP$1:$AP$576,0),6))</f>
        <v>ANP - Agência Nacional do Petróleo, Gás Natural e Biocombustíveis</v>
      </c>
      <c r="I317" s="275" t="str">
        <f>IF(E317=0,"-",INDEX([1]RELAÇÃO!$A$1:$AQ$576,MATCH($M317,[1]RELAÇÃO!$AP$1:$AP$576,0),12)&amp;INDEX([1]RELAÇÃO!$A$1:$AQ$576,MATCH($M317,[1]RELAÇÃO!$AP$1:$AP$576,0),13)&amp;", de "&amp;INDEX([1]RELAÇÃO!$A$1:$AQ$576,MATCH($M317,[1]RELAÇÃO!$AP$1:$AP$576,0),14)&amp;" - "&amp;INDEX([1]RELAÇÃO!$A$1:$AQ$576,MATCH($M317,[1]RELAÇÃO!$AP$1:$AP$576,0),16)&amp;" de "&amp;INDEX([1]RELAÇÃO!$A$1:$AQ$576,MATCH($M317,[1]RELAÇÃO!$AP$1:$AP$576,0),15))</f>
        <v>Portaria nº 478, de 23/12/2019 - DOU de 30/12/2019</v>
      </c>
      <c r="J317" s="277" t="str">
        <f>INDEX([1]RELAÇÃO!$A$1:$AQ$576,MATCH($N317,[1]RELAÇÃO!$AQ$1:$AQ$576,0),1)</f>
        <v>PEDRO HENRIQUE MILHOMEM COUTINHO</v>
      </c>
      <c r="K317" s="395" t="str">
        <f>IF(J317=0,"-",INDEX([1]RELAÇÃO!$A$1:$AQ$576,MATCH($N317,[1]RELAÇÃO!$AQ$1:$AQ$576,0),27)&amp;INDEX([1]RELAÇÃO!$A$1:$AQ$576,MATCH($N317,[1]RELAÇÃO!$AQ$1:$AQ$576,0),28)&amp;", de "&amp;INDEX([1]RELAÇÃO!$A$1:$AQ$576,MATCH($N317,[1]RELAÇÃO!$AQ$1:$AQ$576,0),29)&amp;" - "&amp;INDEX([1]RELAÇÃO!$A$1:$AQ$576,MATCH($N317,[1]RELAÇÃO!$AQ$1:$AQ$576,0),31)&amp;" de "&amp;INDEX([1]RELAÇÃO!$A$1:$AQ$576,MATCH($N317,[1]RELAÇÃO!$AQ$1:$AQ$576,0),30))</f>
        <v>Portaria nº 77, de 03/03/2020 - DOU de 05/03/2020</v>
      </c>
      <c r="L317" s="287" t="str">
        <f>IF($E317=0,"-",IF(INDEX([1]RELAÇÃO!$A$1:$AQ$576,MATCH($M317,[1]RELAÇÃO!$AP$1:$AP$576,0),8)="11.103.200","-",INDEX([1]RELAÇÃO!$A$1:$AQ$576,MATCH($M317,[1]RELAÇÃO!$AP$1:$AP$576,0),7)))</f>
        <v>-</v>
      </c>
      <c r="M317" s="280" t="s">
        <v>722</v>
      </c>
      <c r="N317" s="280" t="s">
        <v>723</v>
      </c>
    </row>
    <row r="318" spans="1:14" ht="22.5" x14ac:dyDescent="0.25">
      <c r="A318" s="383" t="s">
        <v>724</v>
      </c>
      <c r="B318" s="345" t="s">
        <v>566</v>
      </c>
      <c r="C318" s="273" t="s">
        <v>206</v>
      </c>
      <c r="D318" s="273" t="s">
        <v>187</v>
      </c>
      <c r="E318" s="300">
        <f>INDEX([1]RELAÇÃO!$A$1:$AQ$576,MATCH($M318,[1]RELAÇÃO!$AP$1:$AP$576,0),1)</f>
        <v>0</v>
      </c>
      <c r="F318" s="301" t="str">
        <f>IF(E318=0,"-",LEFT(INDEX([1]RELAÇÃO!$A$1:$AQ$576,MATCH($M318,[1]RELAÇÃO!$AP$1:$AP$576,0),32),1))</f>
        <v>-</v>
      </c>
      <c r="G318" s="300" t="str">
        <f>IF(E318=0,"-",INDEX([1]RELAÇÃO!$A$1:$AQ$576,MATCH($M318,[1]RELAÇÃO!$AP$1:$AP$576,0),5))</f>
        <v>-</v>
      </c>
      <c r="H318" s="300" t="str">
        <f>IF(E318=0,"-",INDEX([1]RELAÇÃO!$A$1:$AQ$576,MATCH($M318,[1]RELAÇÃO!$AP$1:$AP$576,0),6))</f>
        <v>-</v>
      </c>
      <c r="I318" s="300" t="str">
        <f>IF(E318=0,"-",INDEX([1]RELAÇÃO!$A$1:$AQ$576,MATCH($M318,[1]RELAÇÃO!$AP$1:$AP$576,0),12)&amp;INDEX([1]RELAÇÃO!$A$1:$AQ$576,MATCH($M318,[1]RELAÇÃO!$AP$1:$AP$576,0),13)&amp;", de "&amp;INDEX([1]RELAÇÃO!$A$1:$AQ$576,MATCH($M318,[1]RELAÇÃO!$AP$1:$AP$576,0),14)&amp;" - "&amp;INDEX([1]RELAÇÃO!$A$1:$AQ$576,MATCH($M318,[1]RELAÇÃO!$AP$1:$AP$576,0),16)&amp;" de "&amp;INDEX([1]RELAÇÃO!$A$1:$AQ$576,MATCH($M318,[1]RELAÇÃO!$AP$1:$AP$576,0),15))</f>
        <v>-</v>
      </c>
      <c r="J318" s="307" t="str">
        <f>INDEX([1]RELAÇÃO!$A$1:$AQ$576,MATCH($N318,[1]RELAÇÃO!$AQ$1:$AQ$576,0),1)</f>
        <v>GUSTAVO LUIS DE SOUZA MOTTA</v>
      </c>
      <c r="K318" s="395" t="str">
        <f>IF(J318=0,"-",INDEX([1]RELAÇÃO!$A$1:$AQ$576,MATCH($N318,[1]RELAÇÃO!$AQ$1:$AQ$576,0),27)&amp;INDEX([1]RELAÇÃO!$A$1:$AQ$576,MATCH($N318,[1]RELAÇÃO!$AQ$1:$AQ$576,0),28)&amp;", de "&amp;INDEX([1]RELAÇÃO!$A$1:$AQ$576,MATCH($N318,[1]RELAÇÃO!$AQ$1:$AQ$576,0),29)&amp;" - "&amp;INDEX([1]RELAÇÃO!$A$1:$AQ$576,MATCH($N318,[1]RELAÇÃO!$AQ$1:$AQ$576,0),31)&amp;" de "&amp;INDEX([1]RELAÇÃO!$A$1:$AQ$576,MATCH($N318,[1]RELAÇÃO!$AQ$1:$AQ$576,0),30))</f>
        <v>Portaria nº 319, de 15/08/2019 - DOU de 16/08/2019</v>
      </c>
      <c r="L318" s="302" t="str">
        <f>IF($E318=0,"-",IF(INDEX([1]RELAÇÃO!$A$1:$AQ$576,MATCH($M318,[1]RELAÇÃO!$AP$1:$AP$576,0),8)="11.104.000","-",INDEX([1]RELAÇÃO!$A$1:$AQ$576,MATCH($M318,[1]RELAÇÃO!$AP$1:$AP$576,0),7)))</f>
        <v>-</v>
      </c>
      <c r="M318" s="280" t="s">
        <v>725</v>
      </c>
      <c r="N318" s="280" t="s">
        <v>726</v>
      </c>
    </row>
    <row r="319" spans="1:14" ht="23.25" x14ac:dyDescent="0.25">
      <c r="A319" s="361"/>
      <c r="B319" s="345" t="s">
        <v>228</v>
      </c>
      <c r="C319" s="296" t="s">
        <v>231</v>
      </c>
      <c r="D319" s="273" t="s">
        <v>193</v>
      </c>
      <c r="E319" s="300" t="str">
        <f>INDEX([1]RELAÇÃO!$A$1:$AQ$576,MATCH($M319,[1]RELAÇÃO!$AP$1:$AP$576,0),1)</f>
        <v>GUSTAVO LUIS DE SOUZA MOTTA</v>
      </c>
      <c r="F319" s="301" t="str">
        <f>IF(E319=0,"-",LEFT(INDEX([1]RELAÇÃO!$A$1:$AQ$576,MATCH($M319,[1]RELAÇÃO!$AP$1:$AP$576,0),32),1))</f>
        <v>M</v>
      </c>
      <c r="G319" s="300" t="str">
        <f>IF(E319=0,"-",INDEX([1]RELAÇÃO!$A$1:$AQ$576,MATCH($M319,[1]RELAÇÃO!$AP$1:$AP$576,0),5))</f>
        <v>Exercício Descentralizado</v>
      </c>
      <c r="H319" s="300" t="str">
        <f>IF(E319=0,"-",INDEX([1]RELAÇÃO!$A$1:$AQ$576,MATCH($M319,[1]RELAÇÃO!$AP$1:$AP$576,0),6))</f>
        <v>ME - Ministério da Economia</v>
      </c>
      <c r="I319" s="300" t="str">
        <f>IF(E319=0,"-",INDEX([1]RELAÇÃO!$A$1:$AQ$576,MATCH($M319,[1]RELAÇÃO!$AP$1:$AP$576,0),12)&amp;INDEX([1]RELAÇÃO!$A$1:$AQ$576,MATCH($M319,[1]RELAÇÃO!$AP$1:$AP$576,0),13)&amp;", de "&amp;INDEX([1]RELAÇÃO!$A$1:$AQ$576,MATCH($M319,[1]RELAÇÃO!$AP$1:$AP$576,0),14)&amp;" - "&amp;INDEX([1]RELAÇÃO!$A$1:$AQ$576,MATCH($M319,[1]RELAÇÃO!$AP$1:$AP$576,0),16)&amp;" de "&amp;INDEX([1]RELAÇÃO!$A$1:$AQ$576,MATCH($M319,[1]RELAÇÃO!$AP$1:$AP$576,0),15))</f>
        <v>Portaria nº 318, de 15/08/2019 - DOU de 16/08/2019</v>
      </c>
      <c r="J319" s="379"/>
      <c r="K319" s="312"/>
      <c r="L319" s="302" t="str">
        <f>IF($E319=0,"-",IF(INDEX([1]RELAÇÃO!$A$1:$AQ$576,MATCH($M319,[1]RELAÇÃO!$AP$1:$AP$576,0),8)="11.104.000","-",INDEX([1]RELAÇÃO!$A$1:$AQ$576,MATCH($M319,[1]RELAÇÃO!$AP$1:$AP$576,0),7)))</f>
        <v>SPG / DBIO / COORDENAÇÃO GERAL DE BIODIESEL E OUTROS BIOCOMBUSTÍVEIS</v>
      </c>
      <c r="M319" s="280" t="s">
        <v>727</v>
      </c>
      <c r="N319" s="310"/>
    </row>
    <row r="320" spans="1:14" ht="23.25" x14ac:dyDescent="0.25">
      <c r="A320" s="385" t="s">
        <v>728</v>
      </c>
      <c r="B320" s="343" t="s">
        <v>321</v>
      </c>
      <c r="C320" s="274" t="s">
        <v>186</v>
      </c>
      <c r="D320" s="274" t="s">
        <v>187</v>
      </c>
      <c r="E320" s="275" t="str">
        <f>INDEX([1]RELAÇÃO!$A$1:$AQ$576,MATCH($M320,[1]RELAÇÃO!$AP$1:$AP$576,0),1)</f>
        <v>PAULO ROBERTO MACHADO FERNANDES COSTA</v>
      </c>
      <c r="F320" s="276" t="str">
        <f>IF(E320=0,"-",LEFT(INDEX([1]RELAÇÃO!$A$1:$AQ$576,MATCH($M320,[1]RELAÇÃO!$AP$1:$AP$576,0),32),1))</f>
        <v>M</v>
      </c>
      <c r="G320" s="275" t="str">
        <f>IF(E320=0,"-",INDEX([1]RELAÇÃO!$A$1:$AQ$576,MATCH($M320,[1]RELAÇÃO!$AP$1:$AP$576,0),5))</f>
        <v>Exercício Descentralizado</v>
      </c>
      <c r="H320" s="275" t="str">
        <f>IF(E320=0,"-",INDEX([1]RELAÇÃO!$A$1:$AQ$576,MATCH($M320,[1]RELAÇÃO!$AP$1:$AP$576,0),6))</f>
        <v>ME - Ministério da Economia</v>
      </c>
      <c r="I320" s="275" t="str">
        <f>IF(E320=0,"-",INDEX([1]RELAÇÃO!$A$1:$AQ$576,MATCH($M320,[1]RELAÇÃO!$AP$1:$AP$576,0),12)&amp;INDEX([1]RELAÇÃO!$A$1:$AQ$576,MATCH($M320,[1]RELAÇÃO!$AP$1:$AP$576,0),13)&amp;", de "&amp;INDEX([1]RELAÇÃO!$A$1:$AQ$576,MATCH($M320,[1]RELAÇÃO!$AP$1:$AP$576,0),14)&amp;" - "&amp;INDEX([1]RELAÇÃO!$A$1:$AQ$576,MATCH($M320,[1]RELAÇÃO!$AP$1:$AP$576,0),16)&amp;" de "&amp;INDEX([1]RELAÇÃO!$A$1:$AQ$576,MATCH($M320,[1]RELAÇÃO!$AP$1:$AP$576,0),15))</f>
        <v>Portaria nº 317, de 15/08/2019 - DOU de 16/08/2019</v>
      </c>
      <c r="J320" s="277" t="str">
        <f>INDEX([1]RELAÇÃO!$A$1:$AQ$576,MATCH($N320,[1]RELAÇÃO!$AQ$1:$AQ$576,0),1)</f>
        <v>UMBERTO MATTEI</v>
      </c>
      <c r="K320" s="395" t="str">
        <f>IF(J320=0,"-",INDEX([1]RELAÇÃO!$A$1:$AQ$576,MATCH($N320,[1]RELAÇÃO!$AQ$1:$AQ$576,0),27)&amp;INDEX([1]RELAÇÃO!$A$1:$AQ$576,MATCH($N320,[1]RELAÇÃO!$AQ$1:$AQ$576,0),28)&amp;", de "&amp;INDEX([1]RELAÇÃO!$A$1:$AQ$576,MATCH($N320,[1]RELAÇÃO!$AQ$1:$AQ$576,0),29)&amp;" - "&amp;INDEX([1]RELAÇÃO!$A$1:$AQ$576,MATCH($N320,[1]RELAÇÃO!$AQ$1:$AQ$576,0),31)&amp;" de "&amp;INDEX([1]RELAÇÃO!$A$1:$AQ$576,MATCH($N320,[1]RELAÇÃO!$AQ$1:$AQ$576,0),30))</f>
        <v>Portaria nº 321, de 15/08/2019 - DOU de 16/08/2019</v>
      </c>
      <c r="L320" s="287" t="str">
        <f>IF($E320=0,"-",IF(INDEX([1]RELAÇÃO!$A$1:$AQ$576,MATCH($M320,[1]RELAÇÃO!$AP$1:$AP$576,0),8)="11.104.100","-",INDEX([1]RELAÇÃO!$A$1:$AQ$576,MATCH($M320,[1]RELAÇÃO!$AP$1:$AP$576,0),7)))</f>
        <v>-</v>
      </c>
      <c r="M320" s="280" t="s">
        <v>729</v>
      </c>
      <c r="N320" s="280" t="s">
        <v>730</v>
      </c>
    </row>
    <row r="321" spans="1:14" ht="23.25" x14ac:dyDescent="0.25">
      <c r="A321" s="366" t="s">
        <v>731</v>
      </c>
      <c r="B321" s="343" t="s">
        <v>321</v>
      </c>
      <c r="C321" s="274" t="s">
        <v>186</v>
      </c>
      <c r="D321" s="274" t="s">
        <v>187</v>
      </c>
      <c r="E321" s="275" t="str">
        <f>INDEX([1]RELAÇÃO!$A$1:$AQ$576,MATCH($M321,[1]RELAÇÃO!$AP$1:$AP$576,0),1)</f>
        <v>MARLON ARRAES JARDIM LEAL</v>
      </c>
      <c r="F321" s="276" t="str">
        <f>IF(E321=0,"-",LEFT(INDEX([1]RELAÇÃO!$A$1:$AQ$576,MATCH($M321,[1]RELAÇÃO!$AP$1:$AP$576,0),32),1))</f>
        <v>M</v>
      </c>
      <c r="G321" s="275" t="str">
        <f>IF(E321=0,"-",INDEX([1]RELAÇÃO!$A$1:$AQ$576,MATCH($M321,[1]RELAÇÃO!$AP$1:$AP$576,0),5))</f>
        <v>Exercício Descentralizado</v>
      </c>
      <c r="H321" s="275" t="str">
        <f>IF(E321=0,"-",INDEX([1]RELAÇÃO!$A$1:$AQ$576,MATCH($M321,[1]RELAÇÃO!$AP$1:$AP$576,0),6))</f>
        <v>ME - Ministério da Economia</v>
      </c>
      <c r="I321" s="275" t="str">
        <f>IF(E321=0,"-",INDEX([1]RELAÇÃO!$A$1:$AQ$576,MATCH($M321,[1]RELAÇÃO!$AP$1:$AP$576,0),12)&amp;INDEX([1]RELAÇÃO!$A$1:$AQ$576,MATCH($M321,[1]RELAÇÃO!$AP$1:$AP$576,0),13)&amp;", de "&amp;INDEX([1]RELAÇÃO!$A$1:$AQ$576,MATCH($M321,[1]RELAÇÃO!$AP$1:$AP$576,0),14)&amp;" - "&amp;INDEX([1]RELAÇÃO!$A$1:$AQ$576,MATCH($M321,[1]RELAÇÃO!$AP$1:$AP$576,0),16)&amp;" de "&amp;INDEX([1]RELAÇÃO!$A$1:$AQ$576,MATCH($M321,[1]RELAÇÃO!$AP$1:$AP$576,0),15))</f>
        <v>Portaria nº 590, de 03/11/2016 - DOU de 04/11/2016</v>
      </c>
      <c r="J321" s="307" t="str">
        <f>INDEX([1]RELAÇÃO!$A$1:$AQ$576,MATCH($N321,[1]RELAÇÃO!$AQ$1:$AQ$576,0),1)</f>
        <v>MARCOS CARVALHO DE SANT'ANA</v>
      </c>
      <c r="K321" s="395" t="str">
        <f>IF(J321=0,"-",INDEX([1]RELAÇÃO!$A$1:$AQ$576,MATCH($N321,[1]RELAÇÃO!$AQ$1:$AQ$576,0),27)&amp;INDEX([1]RELAÇÃO!$A$1:$AQ$576,MATCH($N321,[1]RELAÇÃO!$AQ$1:$AQ$576,0),28)&amp;", de "&amp;INDEX([1]RELAÇÃO!$A$1:$AQ$576,MATCH($N321,[1]RELAÇÃO!$AQ$1:$AQ$576,0),29)&amp;" - "&amp;INDEX([1]RELAÇÃO!$A$1:$AQ$576,MATCH($N321,[1]RELAÇÃO!$AQ$1:$AQ$576,0),31)&amp;" de "&amp;INDEX([1]RELAÇÃO!$A$1:$AQ$576,MATCH($N321,[1]RELAÇÃO!$AQ$1:$AQ$576,0),30))</f>
        <v>Portaria nº 320, de 15/08/2019 - DOU de 16/08/2019</v>
      </c>
      <c r="L321" s="287" t="str">
        <f>IF($E321=0,"-",IF(INDEX([1]RELAÇÃO!$A$1:$AQ$576,MATCH($M321,[1]RELAÇÃO!$AP$1:$AP$576,0),8)="11.104.200","-",INDEX([1]RELAÇÃO!$A$1:$AQ$576,MATCH($M321,[1]RELAÇÃO!$AP$1:$AP$576,0),7)))</f>
        <v>-</v>
      </c>
      <c r="M321" s="280" t="s">
        <v>732</v>
      </c>
      <c r="N321" s="280" t="s">
        <v>733</v>
      </c>
    </row>
    <row r="322" spans="1:14" x14ac:dyDescent="0.25"/>
    <row r="323" spans="1:14" ht="18.75" x14ac:dyDescent="0.3">
      <c r="A323" s="526" t="s">
        <v>792</v>
      </c>
      <c r="B323" s="526"/>
      <c r="C323" s="526"/>
      <c r="D323" s="526"/>
      <c r="E323" s="526"/>
      <c r="F323" s="526"/>
      <c r="G323" s="526"/>
      <c r="H323" s="526"/>
      <c r="I323" s="526"/>
      <c r="J323" s="526"/>
      <c r="K323" s="526"/>
      <c r="L323" s="526"/>
      <c r="M323" s="526"/>
      <c r="N323" s="526"/>
    </row>
    <row r="324" spans="1:14" ht="22.5" x14ac:dyDescent="0.25">
      <c r="A324" s="397" t="s">
        <v>170</v>
      </c>
      <c r="B324" s="398" t="s">
        <v>171</v>
      </c>
      <c r="C324" s="398" t="s">
        <v>172</v>
      </c>
      <c r="D324" s="398" t="s">
        <v>173</v>
      </c>
      <c r="E324" s="397" t="s">
        <v>174</v>
      </c>
      <c r="F324" s="397" t="s">
        <v>175</v>
      </c>
      <c r="G324" s="397" t="s">
        <v>176</v>
      </c>
      <c r="H324" s="397" t="s">
        <v>177</v>
      </c>
      <c r="I324" s="397" t="s">
        <v>178</v>
      </c>
      <c r="J324" s="398" t="s">
        <v>179</v>
      </c>
      <c r="K324" s="397" t="s">
        <v>180</v>
      </c>
      <c r="L324" s="398" t="s">
        <v>181</v>
      </c>
      <c r="M324" s="398" t="s">
        <v>182</v>
      </c>
      <c r="N324" s="398" t="s">
        <v>183</v>
      </c>
    </row>
    <row r="325" spans="1:14" ht="33.75" x14ac:dyDescent="0.25">
      <c r="A325" s="360" t="s">
        <v>734</v>
      </c>
      <c r="B325" s="343" t="s">
        <v>551</v>
      </c>
      <c r="C325" s="274" t="s">
        <v>290</v>
      </c>
      <c r="D325" s="274" t="s">
        <v>187</v>
      </c>
      <c r="E325" s="275" t="str">
        <f>INDEX([1]RELAÇÃO!$A$1:$AQ$576,MATCH($M325,[1]RELAÇÃO!$AP$1:$AP$576,0),1)</f>
        <v>ALEXANDRE VIDIGAL DE OLIVEIRA</v>
      </c>
      <c r="F325" s="276" t="str">
        <f>IF(E325=0,"-",LEFT(INDEX([1]RELAÇÃO!$A$1:$AQ$576,MATCH($M325,[1]RELAÇÃO!$AP$1:$AP$576,0),32),1))</f>
        <v>M</v>
      </c>
      <c r="G325" s="275" t="str">
        <f>IF(E325=0,"-",INDEX([1]RELAÇÃO!$A$1:$AQ$576,MATCH($M325,[1]RELAÇÃO!$AP$1:$AP$576,0),5))</f>
        <v>Sem Vínculo</v>
      </c>
      <c r="H325" s="275" t="str">
        <f>IF(E325=0,"-",INDEX([1]RELAÇÃO!$A$1:$AQ$576,MATCH($M325,[1]RELAÇÃO!$AP$1:$AP$576,0),6))</f>
        <v>Sem Vínculo</v>
      </c>
      <c r="I325" s="275" t="str">
        <f>IF(E325=0,"-",INDEX([1]RELAÇÃO!$A$1:$AQ$576,MATCH($M325,[1]RELAÇÃO!$AP$1:$AP$576,0),12)&amp;INDEX([1]RELAÇÃO!$A$1:$AQ$576,MATCH($M325,[1]RELAÇÃO!$AP$1:$AP$576,0),13)&amp;", de "&amp;INDEX([1]RELAÇÃO!$A$1:$AQ$576,MATCH($M325,[1]RELAÇÃO!$AP$1:$AP$576,0),14)&amp;" - "&amp;INDEX([1]RELAÇÃO!$A$1:$AQ$576,MATCH($M325,[1]RELAÇÃO!$AP$1:$AP$576,0),16)&amp;" de "&amp;INDEX([1]RELAÇÃO!$A$1:$AQ$576,MATCH($M325,[1]RELAÇÃO!$AP$1:$AP$576,0),15))</f>
        <v>Portaria nº 688, de 18/01/2019 - DOU de 21/01/2019</v>
      </c>
      <c r="J325" s="277" t="str">
        <f>INDEX([1]RELAÇÃO!$A$1:$AQ$576,MATCH($N325,[1]RELAÇÃO!$AQ$1:$AQ$576,0),1)</f>
        <v>LILIA MASCARENHAS SANT'AGOSTINO</v>
      </c>
      <c r="K325" s="395" t="str">
        <f>IF(J325=0,"-",INDEX([1]RELAÇÃO!$A$1:$AQ$576,MATCH($N325,[1]RELAÇÃO!$AQ$1:$AQ$576,0),27)&amp;INDEX([1]RELAÇÃO!$A$1:$AQ$576,MATCH($N325,[1]RELAÇÃO!$AQ$1:$AQ$576,0),28)&amp;", de "&amp;INDEX([1]RELAÇÃO!$A$1:$AQ$576,MATCH($N325,[1]RELAÇÃO!$AQ$1:$AQ$576,0),29)&amp;" - "&amp;INDEX([1]RELAÇÃO!$A$1:$AQ$576,MATCH($N325,[1]RELAÇÃO!$AQ$1:$AQ$576,0),31)&amp;" de "&amp;INDEX([1]RELAÇÃO!$A$1:$AQ$576,MATCH($N325,[1]RELAÇÃO!$AQ$1:$AQ$576,0),30))</f>
        <v>Portaria nº 108 - Anexo XI, Art. 18, II do RI da SGM, de 14/03/2017 - DOU de 16/03/2017 - Ret. 17/03/2017</v>
      </c>
      <c r="L325" s="287" t="str">
        <f>IF($E325=0,"-",IF(INDEX([1]RELAÇÃO!$A$1:$AQ$576,MATCH($M325,[1]RELAÇÃO!$AP$1:$AP$576,0),8)="9.000.000","-",INDEX([1]RELAÇÃO!$A$1:$AQ$576,MATCH($M325,[1]RELAÇÃO!$AP$1:$AP$576,0),7)))</f>
        <v>-</v>
      </c>
      <c r="M325" s="280" t="s">
        <v>735</v>
      </c>
      <c r="N325" s="280" t="s">
        <v>736</v>
      </c>
    </row>
    <row r="326" spans="1:14" ht="23.25" x14ac:dyDescent="0.25">
      <c r="A326" s="386"/>
      <c r="B326" s="345" t="s">
        <v>554</v>
      </c>
      <c r="C326" s="273" t="s">
        <v>206</v>
      </c>
      <c r="D326" s="274" t="s">
        <v>187</v>
      </c>
      <c r="E326" s="275" t="str">
        <f>INDEX([1]RELAÇÃO!$A$1:$AQ$576,MATCH($M326,[1]RELAÇÃO!$AP$1:$AP$576,0),1)</f>
        <v>LILIA MASCARENHAS SANT'AGOSTINO</v>
      </c>
      <c r="F326" s="276" t="str">
        <f>IF(E326=0,"-",LEFT(INDEX([1]RELAÇÃO!$A$1:$AQ$576,MATCH($M326,[1]RELAÇÃO!$AP$1:$AP$576,0),32),1))</f>
        <v>F</v>
      </c>
      <c r="G326" s="275" t="str">
        <f>IF(E326=0,"-",INDEX([1]RELAÇÃO!$A$1:$AQ$576,MATCH($M326,[1]RELAÇÃO!$AP$1:$AP$576,0),5))</f>
        <v>Sem Vínculo</v>
      </c>
      <c r="H326" s="275" t="str">
        <f>IF(E326=0,"-",INDEX([1]RELAÇÃO!$A$1:$AQ$576,MATCH($M326,[1]RELAÇÃO!$AP$1:$AP$576,0),6))</f>
        <v>Sem Vínculo</v>
      </c>
      <c r="I326" s="275" t="str">
        <f>IF(E326=0,"-",INDEX([1]RELAÇÃO!$A$1:$AQ$576,MATCH($M326,[1]RELAÇÃO!$AP$1:$AP$576,0),12)&amp;INDEX([1]RELAÇÃO!$A$1:$AQ$576,MATCH($M326,[1]RELAÇÃO!$AP$1:$AP$576,0),13)&amp;", de "&amp;INDEX([1]RELAÇÃO!$A$1:$AQ$576,MATCH($M326,[1]RELAÇÃO!$AP$1:$AP$576,0),14)&amp;" - "&amp;INDEX([1]RELAÇÃO!$A$1:$AQ$576,MATCH($M326,[1]RELAÇÃO!$AP$1:$AP$576,0),16)&amp;" de "&amp;INDEX([1]RELAÇÃO!$A$1:$AQ$576,MATCH($M326,[1]RELAÇÃO!$AP$1:$AP$576,0),15))</f>
        <v>Portaria nº 1795, de 22/05/2019 - DOU de 23/05/2019</v>
      </c>
      <c r="J326" s="307" t="str">
        <f>INDEX([1]RELAÇÃO!$A$1:$AQ$576,MATCH($N326,[1]RELAÇÃO!$AQ$1:$AQ$576,0),1)</f>
        <v>RICARDO DE PAULA MONTEIRO</v>
      </c>
      <c r="K326" s="395" t="str">
        <f>IF(J326=0,"-",INDEX([1]RELAÇÃO!$A$1:$AQ$576,MATCH($N326,[1]RELAÇÃO!$AQ$1:$AQ$576,0),27)&amp;INDEX([1]RELAÇÃO!$A$1:$AQ$576,MATCH($N326,[1]RELAÇÃO!$AQ$1:$AQ$576,0),28)&amp;", de "&amp;INDEX([1]RELAÇÃO!$A$1:$AQ$576,MATCH($N326,[1]RELAÇÃO!$AQ$1:$AQ$576,0),29)&amp;" - "&amp;INDEX([1]RELAÇÃO!$A$1:$AQ$576,MATCH($N326,[1]RELAÇÃO!$AQ$1:$AQ$576,0),31)&amp;" de "&amp;INDEX([1]RELAÇÃO!$A$1:$AQ$576,MATCH($N326,[1]RELAÇÃO!$AQ$1:$AQ$576,0),30))</f>
        <v>Portaria nº 22, de 27/01/2020 - DOU de 29/01/2020</v>
      </c>
      <c r="L326" s="287" t="str">
        <f>IF($E326=0,"-",IF(INDEX([1]RELAÇÃO!$A$1:$AQ$576,MATCH($M326,[1]RELAÇÃO!$AP$1:$AP$576,0),8)="9.000.000","-",INDEX([1]RELAÇÃO!$A$1:$AQ$576,MATCH($M326,[1]RELAÇÃO!$AP$1:$AP$576,0),7)))</f>
        <v>SGM / CHEFIA DE GABINETE SGM</v>
      </c>
      <c r="M326" s="280" t="s">
        <v>737</v>
      </c>
      <c r="N326" s="280" t="s">
        <v>738</v>
      </c>
    </row>
    <row r="327" spans="1:14" ht="23.25" x14ac:dyDescent="0.25">
      <c r="A327" s="386"/>
      <c r="B327" s="345" t="s">
        <v>191</v>
      </c>
      <c r="C327" s="273" t="s">
        <v>192</v>
      </c>
      <c r="D327" s="273" t="s">
        <v>193</v>
      </c>
      <c r="E327" s="275" t="str">
        <f>INDEX([1]RELAÇÃO!$A$1:$AQ$576,MATCH($M327,[1]RELAÇÃO!$AP$1:$AP$576,0),1)</f>
        <v>PATRICIA NOLETO CRESTANI</v>
      </c>
      <c r="F327" s="276" t="str">
        <f>IF(E327=0,"-",LEFT(INDEX([1]RELAÇÃO!$A$1:$AQ$576,MATCH($M327,[1]RELAÇÃO!$AP$1:$AP$576,0),32),1))</f>
        <v>F</v>
      </c>
      <c r="G327" s="275" t="str">
        <f>IF(E327=0,"-",INDEX([1]RELAÇÃO!$A$1:$AQ$576,MATCH($M327,[1]RELAÇÃO!$AP$1:$AP$576,0),5))</f>
        <v>Sem Vínculo</v>
      </c>
      <c r="H327" s="275" t="str">
        <f>IF(E327=0,"-",INDEX([1]RELAÇÃO!$A$1:$AQ$576,MATCH($M327,[1]RELAÇÃO!$AP$1:$AP$576,0),6))</f>
        <v>Sem Vínculo</v>
      </c>
      <c r="I327" s="275" t="str">
        <f>IF(E327=0,"-",INDEX([1]RELAÇÃO!$A$1:$AQ$576,MATCH($M327,[1]RELAÇÃO!$AP$1:$AP$576,0),12)&amp;INDEX([1]RELAÇÃO!$A$1:$AQ$576,MATCH($M327,[1]RELAÇÃO!$AP$1:$AP$576,0),13)&amp;", de "&amp;INDEX([1]RELAÇÃO!$A$1:$AQ$576,MATCH($M327,[1]RELAÇÃO!$AP$1:$AP$576,0),14)&amp;" - "&amp;INDEX([1]RELAÇÃO!$A$1:$AQ$576,MATCH($M327,[1]RELAÇÃO!$AP$1:$AP$576,0),16)&amp;" de "&amp;INDEX([1]RELAÇÃO!$A$1:$AQ$576,MATCH($M327,[1]RELAÇÃO!$AP$1:$AP$576,0),15))</f>
        <v>Portaria nº 524, de 03/11/2016 - BPE de 04/11/2016</v>
      </c>
      <c r="J327" s="362"/>
      <c r="K327" s="310"/>
      <c r="L327" s="287" t="str">
        <f>IF($E327=0,"-",IF(INDEX([1]RELAÇÃO!$A$1:$AQ$576,MATCH($M327,[1]RELAÇÃO!$AP$1:$AP$576,0),8)="9.000.000","-",INDEX([1]RELAÇÃO!$A$1:$AQ$576,MATCH($M327,[1]RELAÇÃO!$AP$1:$AP$576,0),7)))</f>
        <v>SGM / CHEFIA DE GABINETE SGM</v>
      </c>
      <c r="M327" s="280" t="s">
        <v>739</v>
      </c>
      <c r="N327" s="310"/>
    </row>
    <row r="328" spans="1:14" ht="23.25" x14ac:dyDescent="0.25">
      <c r="A328" s="386"/>
      <c r="B328" s="345" t="s">
        <v>191</v>
      </c>
      <c r="C328" s="374" t="s">
        <v>239</v>
      </c>
      <c r="D328" s="273" t="s">
        <v>193</v>
      </c>
      <c r="E328" s="275" t="str">
        <f>INDEX([1]RELAÇÃO!$A$1:$AQ$576,MATCH($M328,[1]RELAÇÃO!$AP$1:$AP$576,0),1)</f>
        <v>JOAO ALBERTO CHAVES ALMEIDA</v>
      </c>
      <c r="F328" s="276" t="str">
        <f>IF(E328=0,"-",LEFT(INDEX([1]RELAÇÃO!$A$1:$AQ$576,MATCH($M328,[1]RELAÇÃO!$AP$1:$AP$576,0),32),1))</f>
        <v>M</v>
      </c>
      <c r="G328" s="275" t="str">
        <f>IF(E328=0,"-",INDEX([1]RELAÇÃO!$A$1:$AQ$576,MATCH($M328,[1]RELAÇÃO!$AP$1:$AP$576,0),5))</f>
        <v>Ativo Permanente</v>
      </c>
      <c r="H328" s="275" t="str">
        <f>IF(E328=0,"-",INDEX([1]RELAÇÃO!$A$1:$AQ$576,MATCH($M328,[1]RELAÇÃO!$AP$1:$AP$576,0),6))</f>
        <v>MME - Ministério de Minas e Energia</v>
      </c>
      <c r="I328" s="275" t="str">
        <f>IF(E328=0,"-",INDEX([1]RELAÇÃO!$A$1:$AQ$576,MATCH($M328,[1]RELAÇÃO!$AP$1:$AP$576,0),12)&amp;INDEX([1]RELAÇÃO!$A$1:$AQ$576,MATCH($M328,[1]RELAÇÃO!$AP$1:$AP$576,0),13)&amp;", de "&amp;INDEX([1]RELAÇÃO!$A$1:$AQ$576,MATCH($M328,[1]RELAÇÃO!$AP$1:$AP$576,0),14)&amp;" - "&amp;INDEX([1]RELAÇÃO!$A$1:$AQ$576,MATCH($M328,[1]RELAÇÃO!$AP$1:$AP$576,0),16)&amp;" de "&amp;INDEX([1]RELAÇÃO!$A$1:$AQ$576,MATCH($M328,[1]RELAÇÃO!$AP$1:$AP$576,0),15))</f>
        <v>Portaria nº 524, de 03/11/2016 - BPE de 04/11/2016</v>
      </c>
      <c r="J328" s="362"/>
      <c r="K328" s="310"/>
      <c r="L328" s="287" t="str">
        <f>IF($E328=0,"-",IF(INDEX([1]RELAÇÃO!$A$1:$AQ$576,MATCH($M328,[1]RELAÇÃO!$AP$1:$AP$576,0),8)="9.000.000","-",INDEX([1]RELAÇÃO!$A$1:$AQ$576,MATCH($M328,[1]RELAÇÃO!$AP$1:$AP$576,0),7)))</f>
        <v>SGM / CHEFIA DE GABINETE SGM</v>
      </c>
      <c r="M328" s="280" t="s">
        <v>740</v>
      </c>
      <c r="N328" s="310"/>
    </row>
    <row r="329" spans="1:14" ht="23.25" x14ac:dyDescent="0.25">
      <c r="A329" s="386"/>
      <c r="B329" s="345" t="s">
        <v>191</v>
      </c>
      <c r="C329" s="374" t="s">
        <v>239</v>
      </c>
      <c r="D329" s="273" t="s">
        <v>193</v>
      </c>
      <c r="E329" s="275" t="str">
        <f>INDEX([1]RELAÇÃO!$A$1:$AQ$576,MATCH($M329,[1]RELAÇÃO!$AP$1:$AP$576,0),1)</f>
        <v>PEDRO ELCIO DOS SANTOS</v>
      </c>
      <c r="F329" s="276" t="str">
        <f>IF(E329=0,"-",LEFT(INDEX([1]RELAÇÃO!$A$1:$AQ$576,MATCH($M329,[1]RELAÇÃO!$AP$1:$AP$576,0),32),1))</f>
        <v>M</v>
      </c>
      <c r="G329" s="275" t="str">
        <f>IF(E329=0,"-",INDEX([1]RELAÇÃO!$A$1:$AQ$576,MATCH($M329,[1]RELAÇÃO!$AP$1:$AP$576,0),5))</f>
        <v>Ativo Permanente</v>
      </c>
      <c r="H329" s="275" t="str">
        <f>IF(E329=0,"-",INDEX([1]RELAÇÃO!$A$1:$AQ$576,MATCH($M329,[1]RELAÇÃO!$AP$1:$AP$576,0),6))</f>
        <v>MME - Ministério de Minas e Energia</v>
      </c>
      <c r="I329" s="275" t="str">
        <f>IF(E329=0,"-",INDEX([1]RELAÇÃO!$A$1:$AQ$576,MATCH($M329,[1]RELAÇÃO!$AP$1:$AP$576,0),12)&amp;INDEX([1]RELAÇÃO!$A$1:$AQ$576,MATCH($M329,[1]RELAÇÃO!$AP$1:$AP$576,0),13)&amp;", de "&amp;INDEX([1]RELAÇÃO!$A$1:$AQ$576,MATCH($M329,[1]RELAÇÃO!$AP$1:$AP$576,0),14)&amp;" - "&amp;INDEX([1]RELAÇÃO!$A$1:$AQ$576,MATCH($M329,[1]RELAÇÃO!$AP$1:$AP$576,0),16)&amp;" de "&amp;INDEX([1]RELAÇÃO!$A$1:$AQ$576,MATCH($M329,[1]RELAÇÃO!$AP$1:$AP$576,0),15))</f>
        <v>Portaria nº 524, de 03/11/2016 - BPE de 04/11/2016</v>
      </c>
      <c r="J329" s="362"/>
      <c r="K329" s="310"/>
      <c r="L329" s="287" t="str">
        <f>IF($E329=0,"-",IF(INDEX([1]RELAÇÃO!$A$1:$AQ$576,MATCH($M329,[1]RELAÇÃO!$AP$1:$AP$576,0),8)="9.000.000","-",INDEX([1]RELAÇÃO!$A$1:$AQ$576,MATCH($M329,[1]RELAÇÃO!$AP$1:$AP$576,0),7)))</f>
        <v>SGM / CHEFIA DE GABINETE SGM</v>
      </c>
      <c r="M329" s="280" t="s">
        <v>741</v>
      </c>
      <c r="N329" s="310"/>
    </row>
    <row r="330" spans="1:14" ht="23.25" x14ac:dyDescent="0.25">
      <c r="A330" s="386"/>
      <c r="B330" s="345" t="s">
        <v>228</v>
      </c>
      <c r="C330" s="273" t="s">
        <v>229</v>
      </c>
      <c r="D330" s="273" t="s">
        <v>193</v>
      </c>
      <c r="E330" s="275" t="str">
        <f>INDEX([1]RELAÇÃO!$A$1:$AQ$576,MATCH($M330,[1]RELAÇÃO!$AP$1:$AP$576,0),1)</f>
        <v>LORENA LOPES DE MORAES</v>
      </c>
      <c r="F330" s="276" t="str">
        <f>IF(E330=0,"-",LEFT(INDEX([1]RELAÇÃO!$A$1:$AQ$576,MATCH($M330,[1]RELAÇÃO!$AP$1:$AP$576,0),32),1))</f>
        <v>F</v>
      </c>
      <c r="G330" s="275" t="str">
        <f>IF(E330=0,"-",INDEX([1]RELAÇÃO!$A$1:$AQ$576,MATCH($M330,[1]RELAÇÃO!$AP$1:$AP$576,0),5))</f>
        <v>Sem Vínculo</v>
      </c>
      <c r="H330" s="275" t="str">
        <f>IF(E330=0,"-",INDEX([1]RELAÇÃO!$A$1:$AQ$576,MATCH($M330,[1]RELAÇÃO!$AP$1:$AP$576,0),6))</f>
        <v>Sem Vínculo</v>
      </c>
      <c r="I330" s="275" t="str">
        <f>IF(E330=0,"-",INDEX([1]RELAÇÃO!$A$1:$AQ$576,MATCH($M330,[1]RELAÇÃO!$AP$1:$AP$576,0),12)&amp;INDEX([1]RELAÇÃO!$A$1:$AQ$576,MATCH($M330,[1]RELAÇÃO!$AP$1:$AP$576,0),13)&amp;", de "&amp;INDEX([1]RELAÇÃO!$A$1:$AQ$576,MATCH($M330,[1]RELAÇÃO!$AP$1:$AP$576,0),14)&amp;" - "&amp;INDEX([1]RELAÇÃO!$A$1:$AQ$576,MATCH($M330,[1]RELAÇÃO!$AP$1:$AP$576,0),16)&amp;" de "&amp;INDEX([1]RELAÇÃO!$A$1:$AQ$576,MATCH($M330,[1]RELAÇÃO!$AP$1:$AP$576,0),15))</f>
        <v>Portaria nº 524, de 03/11/2016 - BPE de 04/11/2016</v>
      </c>
      <c r="J330" s="362"/>
      <c r="K330" s="310"/>
      <c r="L330" s="287" t="str">
        <f>IF($E330=0,"-",IF(INDEX([1]RELAÇÃO!$A$1:$AQ$576,MATCH($M330,[1]RELAÇÃO!$AP$1:$AP$576,0),8)="9.000.000","-",INDEX([1]RELAÇÃO!$A$1:$AQ$576,MATCH($M330,[1]RELAÇÃO!$AP$1:$AP$576,0),7)))</f>
        <v>SGM / DDM / COORDENAÇÃO GERAL DE DESENVOLVIMENTO SOCIOAMBIENTAL NA MINERAÇÃO</v>
      </c>
      <c r="M330" s="280" t="s">
        <v>742</v>
      </c>
      <c r="N330" s="310"/>
    </row>
    <row r="331" spans="1:14" x14ac:dyDescent="0.25">
      <c r="A331" s="386"/>
      <c r="B331" s="387" t="s">
        <v>247</v>
      </c>
      <c r="C331" s="315" t="s">
        <v>743</v>
      </c>
      <c r="D331" s="315"/>
      <c r="E331" s="388" t="s">
        <v>333</v>
      </c>
      <c r="F331" s="321"/>
      <c r="G331" s="321"/>
      <c r="H331" s="319"/>
      <c r="I331" s="320"/>
      <c r="J331" s="362"/>
      <c r="K331" s="310"/>
      <c r="L331" s="389"/>
      <c r="M331" s="310"/>
      <c r="N331" s="310"/>
    </row>
    <row r="332" spans="1:14" ht="23.25" x14ac:dyDescent="0.25">
      <c r="A332" s="386"/>
      <c r="B332" s="345" t="s">
        <v>247</v>
      </c>
      <c r="C332" s="273" t="s">
        <v>248</v>
      </c>
      <c r="D332" s="273" t="s">
        <v>193</v>
      </c>
      <c r="E332" s="275" t="str">
        <f>INDEX([1]RELAÇÃO!$A$1:$AQ$576,MATCH($M332,[1]RELAÇÃO!$AP$1:$AP$576,0),1)</f>
        <v>FRANCIMAR SOUSA DE LIMA SAKAMOTO</v>
      </c>
      <c r="F332" s="276" t="str">
        <f>IF(E332=0,"-",LEFT(INDEX([1]RELAÇÃO!$A$1:$AQ$576,MATCH($M332,[1]RELAÇÃO!$AP$1:$AP$576,0),32),1))</f>
        <v>F</v>
      </c>
      <c r="G332" s="275" t="str">
        <f>IF(E332=0,"-",INDEX([1]RELAÇÃO!$A$1:$AQ$576,MATCH($M332,[1]RELAÇÃO!$AP$1:$AP$576,0),5))</f>
        <v>Sem Vínculo</v>
      </c>
      <c r="H332" s="275" t="str">
        <f>IF(E332=0,"-",INDEX([1]RELAÇÃO!$A$1:$AQ$576,MATCH($M332,[1]RELAÇÃO!$AP$1:$AP$576,0),6))</f>
        <v>Sem Vínculo</v>
      </c>
      <c r="I332" s="275" t="str">
        <f>IF(E332=0,"-",INDEX([1]RELAÇÃO!$A$1:$AQ$576,MATCH($M332,[1]RELAÇÃO!$AP$1:$AP$576,0),12)&amp;INDEX([1]RELAÇÃO!$A$1:$AQ$576,MATCH($M332,[1]RELAÇÃO!$AP$1:$AP$576,0),13)&amp;", de "&amp;INDEX([1]RELAÇÃO!$A$1:$AQ$576,MATCH($M332,[1]RELAÇÃO!$AP$1:$AP$576,0),14)&amp;" - "&amp;INDEX([1]RELAÇÃO!$A$1:$AQ$576,MATCH($M332,[1]RELAÇÃO!$AP$1:$AP$576,0),16)&amp;" de "&amp;INDEX([1]RELAÇÃO!$A$1:$AQ$576,MATCH($M332,[1]RELAÇÃO!$AP$1:$AP$576,0),15))</f>
        <v>Portaria nº 524, de 03/11/2016 - BPE de 04/11/2016</v>
      </c>
      <c r="J332" s="362"/>
      <c r="K332" s="310"/>
      <c r="L332" s="287" t="str">
        <f>IF($E332=0,"-",IF(INDEX([1]RELAÇÃO!$A$1:$AQ$576,MATCH($M332,[1]RELAÇÃO!$AP$1:$AP$576,0),8)="9.000.000","-",INDEX([1]RELAÇÃO!$A$1:$AQ$576,MATCH($M332,[1]RELAÇÃO!$AP$1:$AP$576,0),7)))</f>
        <v>SGM / CHEFIA DE GABINETE SGM</v>
      </c>
      <c r="M332" s="280" t="s">
        <v>744</v>
      </c>
      <c r="N332" s="310"/>
    </row>
    <row r="333" spans="1:14" ht="34.5" x14ac:dyDescent="0.25">
      <c r="A333" s="360" t="s">
        <v>745</v>
      </c>
      <c r="B333" s="343" t="s">
        <v>566</v>
      </c>
      <c r="C333" s="274" t="s">
        <v>206</v>
      </c>
      <c r="D333" s="274" t="s">
        <v>187</v>
      </c>
      <c r="E333" s="275" t="str">
        <f>INDEX([1]RELAÇÃO!$A$1:$AQ$576,MATCH($M333,[1]RELAÇÃO!$AP$1:$AP$576,0),1)</f>
        <v>RICARDO DE PAULA MONTEIRO</v>
      </c>
      <c r="F333" s="276" t="str">
        <f>IF(E333=0,"-",LEFT(INDEX([1]RELAÇÃO!$A$1:$AQ$576,MATCH($M333,[1]RELAÇÃO!$AP$1:$AP$576,0),32),1))</f>
        <v>M</v>
      </c>
      <c r="G333" s="275" t="str">
        <f>IF(E333=0,"-",INDEX([1]RELAÇÃO!$A$1:$AQ$576,MATCH($M333,[1]RELAÇÃO!$AP$1:$AP$576,0),5))</f>
        <v>Sem Vínculo</v>
      </c>
      <c r="H333" s="275" t="str">
        <f>IF(E333=0,"-",INDEX([1]RELAÇÃO!$A$1:$AQ$576,MATCH($M333,[1]RELAÇÃO!$AP$1:$AP$576,0),6))</f>
        <v>Sem Vínculo</v>
      </c>
      <c r="I333" s="275" t="str">
        <f>IF(E333=0,"-",INDEX([1]RELAÇÃO!$A$1:$AQ$576,MATCH($M333,[1]RELAÇÃO!$AP$1:$AP$576,0),12)&amp;INDEX([1]RELAÇÃO!$A$1:$AQ$576,MATCH($M333,[1]RELAÇÃO!$AP$1:$AP$576,0),13)&amp;", de "&amp;INDEX([1]RELAÇÃO!$A$1:$AQ$576,MATCH($M333,[1]RELAÇÃO!$AP$1:$AP$576,0),14)&amp;" - "&amp;INDEX([1]RELAÇÃO!$A$1:$AQ$576,MATCH($M333,[1]RELAÇÃO!$AP$1:$AP$576,0),16)&amp;" de "&amp;INDEX([1]RELAÇÃO!$A$1:$AQ$576,MATCH($M333,[1]RELAÇÃO!$AP$1:$AP$576,0),15))</f>
        <v>Portaria nº 1252, de 19/02/2019 - DOU de 20/02/2019</v>
      </c>
      <c r="J333" s="307" t="str">
        <f>INDEX([1]RELAÇÃO!$A$1:$AQ$576,MATCH($N333,[1]RELAÇÃO!$AQ$1:$AQ$576,0),1)</f>
        <v>PATRICIA DA SILVA PEGO</v>
      </c>
      <c r="K333" s="395" t="str">
        <f>IF(J333=0,"-",INDEX([1]RELAÇÃO!$A$1:$AQ$576,MATCH($N333,[1]RELAÇÃO!$AQ$1:$AQ$576,0),27)&amp;INDEX([1]RELAÇÃO!$A$1:$AQ$576,MATCH($N333,[1]RELAÇÃO!$AQ$1:$AQ$576,0),28)&amp;", de "&amp;INDEX([1]RELAÇÃO!$A$1:$AQ$576,MATCH($N333,[1]RELAÇÃO!$AQ$1:$AQ$576,0),29)&amp;" - "&amp;INDEX([1]RELAÇÃO!$A$1:$AQ$576,MATCH($N333,[1]RELAÇÃO!$AQ$1:$AQ$576,0),31)&amp;" de "&amp;INDEX([1]RELAÇÃO!$A$1:$AQ$576,MATCH($N333,[1]RELAÇÃO!$AQ$1:$AQ$576,0),30))</f>
        <v>Portaria nº 6, de 09/01/2017 - DOU de 11/01/2017</v>
      </c>
      <c r="L333" s="287" t="str">
        <f>IF($E333=0,"-",IF(INDEX([1]RELAÇÃO!$A$1:$AQ$576,MATCH($M333,[1]RELAÇÃO!$AP$1:$AP$576,0),8)="9.101.000","-",INDEX([1]RELAÇÃO!$A$1:$AQ$576,MATCH($M333,[1]RELAÇÃO!$AP$1:$AP$576,0),7)))</f>
        <v>-</v>
      </c>
      <c r="M333" s="280" t="s">
        <v>746</v>
      </c>
      <c r="N333" s="280" t="s">
        <v>747</v>
      </c>
    </row>
    <row r="334" spans="1:14" ht="23.25" x14ac:dyDescent="0.25">
      <c r="A334" s="386"/>
      <c r="B334" s="345" t="s">
        <v>191</v>
      </c>
      <c r="C334" s="273" t="s">
        <v>192</v>
      </c>
      <c r="D334" s="273" t="s">
        <v>193</v>
      </c>
      <c r="E334" s="275" t="str">
        <f>INDEX([1]RELAÇÃO!$A$1:$AQ$576,MATCH($M334,[1]RELAÇÃO!$AP$1:$AP$576,0),1)</f>
        <v>MONICA DOS SANTOS COELHO BARBOSA</v>
      </c>
      <c r="F334" s="276" t="str">
        <f>IF(E334=0,"-",LEFT(INDEX([1]RELAÇÃO!$A$1:$AQ$576,MATCH($M334,[1]RELAÇÃO!$AP$1:$AP$576,0),32),1))</f>
        <v>F</v>
      </c>
      <c r="G334" s="275" t="str">
        <f>IF(E334=0,"-",INDEX([1]RELAÇÃO!$A$1:$AQ$576,MATCH($M334,[1]RELAÇÃO!$AP$1:$AP$576,0),5))</f>
        <v>Sem Vínculo</v>
      </c>
      <c r="H334" s="275" t="str">
        <f>IF(E334=0,"-",INDEX([1]RELAÇÃO!$A$1:$AQ$576,MATCH($M334,[1]RELAÇÃO!$AP$1:$AP$576,0),6))</f>
        <v>Sem Vínculo</v>
      </c>
      <c r="I334" s="275" t="str">
        <f>IF(E334=0,"-",INDEX([1]RELAÇÃO!$A$1:$AQ$576,MATCH($M334,[1]RELAÇÃO!$AP$1:$AP$576,0),12)&amp;INDEX([1]RELAÇÃO!$A$1:$AQ$576,MATCH($M334,[1]RELAÇÃO!$AP$1:$AP$576,0),13)&amp;", de "&amp;INDEX([1]RELAÇÃO!$A$1:$AQ$576,MATCH($M334,[1]RELAÇÃO!$AP$1:$AP$576,0),14)&amp;" - "&amp;INDEX([1]RELAÇÃO!$A$1:$AQ$576,MATCH($M334,[1]RELAÇÃO!$AP$1:$AP$576,0),16)&amp;" de "&amp;INDEX([1]RELAÇÃO!$A$1:$AQ$576,MATCH($M334,[1]RELAÇÃO!$AP$1:$AP$576,0),15))</f>
        <v>Portaria nº 524, de 03/11/2016 - BPE de 04/11/2016</v>
      </c>
      <c r="J334" s="362"/>
      <c r="K334" s="310"/>
      <c r="L334" s="287" t="str">
        <f>IF($E334=0,"-",IF(INDEX([1]RELAÇÃO!$A$1:$AQ$576,MATCH($M334,[1]RELAÇÃO!$AP$1:$AP$576,0),8)="9.101.000","-",INDEX([1]RELAÇÃO!$A$1:$AQ$576,MATCH($M334,[1]RELAÇÃO!$AP$1:$AP$576,0),7)))</f>
        <v>-</v>
      </c>
      <c r="M334" s="280" t="s">
        <v>748</v>
      </c>
      <c r="N334" s="310"/>
    </row>
    <row r="335" spans="1:14" ht="23.25" x14ac:dyDescent="0.25">
      <c r="A335" s="390"/>
      <c r="B335" s="345" t="s">
        <v>534</v>
      </c>
      <c r="C335" s="273" t="s">
        <v>229</v>
      </c>
      <c r="D335" s="273" t="s">
        <v>193</v>
      </c>
      <c r="E335" s="275" t="str">
        <f>INDEX([1]RELAÇÃO!$A$1:$AQ$576,MATCH($M335,[1]RELAÇÃO!$AP$1:$AP$576,0),1)</f>
        <v>ANAHIDES SANTOS BUCAR</v>
      </c>
      <c r="F335" s="276" t="str">
        <f>IF(E335=0,"-",LEFT(INDEX([1]RELAÇÃO!$A$1:$AQ$576,MATCH($M335,[1]RELAÇÃO!$AP$1:$AP$576,0),32),1))</f>
        <v>F</v>
      </c>
      <c r="G335" s="275" t="str">
        <f>IF(E335=0,"-",INDEX([1]RELAÇÃO!$A$1:$AQ$576,MATCH($M335,[1]RELAÇÃO!$AP$1:$AP$576,0),5))</f>
        <v>Sem Vínculo</v>
      </c>
      <c r="H335" s="275" t="str">
        <f>IF(E335=0,"-",INDEX([1]RELAÇÃO!$A$1:$AQ$576,MATCH($M335,[1]RELAÇÃO!$AP$1:$AP$576,0),6))</f>
        <v>Sem Vínculo</v>
      </c>
      <c r="I335" s="275" t="str">
        <f>IF(E335=0,"-",INDEX([1]RELAÇÃO!$A$1:$AQ$576,MATCH($M335,[1]RELAÇÃO!$AP$1:$AP$576,0),12)&amp;INDEX([1]RELAÇÃO!$A$1:$AQ$576,MATCH($M335,[1]RELAÇÃO!$AP$1:$AP$576,0),13)&amp;", de "&amp;INDEX([1]RELAÇÃO!$A$1:$AQ$576,MATCH($M335,[1]RELAÇÃO!$AP$1:$AP$576,0),14)&amp;" - "&amp;INDEX([1]RELAÇÃO!$A$1:$AQ$576,MATCH($M335,[1]RELAÇÃO!$AP$1:$AP$576,0),16)&amp;" de "&amp;INDEX([1]RELAÇÃO!$A$1:$AQ$576,MATCH($M335,[1]RELAÇÃO!$AP$1:$AP$576,0),15))</f>
        <v>Portaria nº 603, de 09/11/2016 - DOU de 10/11/2016</v>
      </c>
      <c r="J335" s="362"/>
      <c r="K335" s="310"/>
      <c r="L335" s="287" t="str">
        <f>IF($E335=0,"-",IF(INDEX([1]RELAÇÃO!$A$1:$AQ$576,MATCH($M335,[1]RELAÇÃO!$AP$1:$AP$576,0),8)="9.101.000","-",INDEX([1]RELAÇÃO!$A$1:$AQ$576,MATCH($M335,[1]RELAÇÃO!$AP$1:$AP$576,0),7)))</f>
        <v>-</v>
      </c>
      <c r="M335" s="280" t="s">
        <v>749</v>
      </c>
      <c r="N335" s="310"/>
    </row>
    <row r="336" spans="1:14" ht="23.25" x14ac:dyDescent="0.25">
      <c r="A336" s="360" t="s">
        <v>750</v>
      </c>
      <c r="B336" s="343" t="s">
        <v>321</v>
      </c>
      <c r="C336" s="381" t="s">
        <v>279</v>
      </c>
      <c r="D336" s="274" t="s">
        <v>187</v>
      </c>
      <c r="E336" s="275" t="str">
        <f>INDEX([1]RELAÇÃO!$A$1:$AQ$576,MATCH($M336,[1]RELAÇÃO!$AP$1:$AP$576,0),1)</f>
        <v>DANIEL ALVES LIMA</v>
      </c>
      <c r="F336" s="276" t="str">
        <f>IF(E336=0,"-",LEFT(INDEX([1]RELAÇÃO!$A$1:$AQ$576,MATCH($M336,[1]RELAÇÃO!$AP$1:$AP$576,0),32),1))</f>
        <v>M</v>
      </c>
      <c r="G336" s="275" t="str">
        <f>IF(E336=0,"-",INDEX([1]RELAÇÃO!$A$1:$AQ$576,MATCH($M336,[1]RELAÇÃO!$AP$1:$AP$576,0),5))</f>
        <v>Requisitado de Órgãos</v>
      </c>
      <c r="H336" s="275" t="str">
        <f>IF(E336=0,"-",INDEX([1]RELAÇÃO!$A$1:$AQ$576,MATCH($M336,[1]RELAÇÃO!$AP$1:$AP$576,0),6))</f>
        <v>ME - Ministério da Economia</v>
      </c>
      <c r="I336" s="275" t="str">
        <f>IF(E336=0,"-",INDEX([1]RELAÇÃO!$A$1:$AQ$576,MATCH($M336,[1]RELAÇÃO!$AP$1:$AP$576,0),12)&amp;INDEX([1]RELAÇÃO!$A$1:$AQ$576,MATCH($M336,[1]RELAÇÃO!$AP$1:$AP$576,0),13)&amp;", de "&amp;INDEX([1]RELAÇÃO!$A$1:$AQ$576,MATCH($M336,[1]RELAÇÃO!$AP$1:$AP$576,0),14)&amp;" - "&amp;INDEX([1]RELAÇÃO!$A$1:$AQ$576,MATCH($M336,[1]RELAÇÃO!$AP$1:$AP$576,0),16)&amp;" de "&amp;INDEX([1]RELAÇÃO!$A$1:$AQ$576,MATCH($M336,[1]RELAÇÃO!$AP$1:$AP$576,0),15))</f>
        <v>Portaria nº 148, de 28/02/2019 - DOU de 06/03/2019</v>
      </c>
      <c r="J336" s="277" t="str">
        <f>INDEX([1]RELAÇÃO!$A$1:$AQ$576,MATCH($N336,[1]RELAÇÃO!$AQ$1:$AQ$576,0),1)</f>
        <v>ROBSON REIS CANEDO</v>
      </c>
      <c r="K336" s="395" t="str">
        <f>IF(J336=0,"-",INDEX([1]RELAÇÃO!$A$1:$AQ$576,MATCH($N336,[1]RELAÇÃO!$AQ$1:$AQ$576,0),27)&amp;INDEX([1]RELAÇÃO!$A$1:$AQ$576,MATCH($N336,[1]RELAÇÃO!$AQ$1:$AQ$576,0),28)&amp;", de "&amp;INDEX([1]RELAÇÃO!$A$1:$AQ$576,MATCH($N336,[1]RELAÇÃO!$AQ$1:$AQ$576,0),29)&amp;" - "&amp;INDEX([1]RELAÇÃO!$A$1:$AQ$576,MATCH($N336,[1]RELAÇÃO!$AQ$1:$AQ$576,0),31)&amp;" de "&amp;INDEX([1]RELAÇÃO!$A$1:$AQ$576,MATCH($N336,[1]RELAÇÃO!$AQ$1:$AQ$576,0),30))</f>
        <v>Portaria nº 96, de 10/03/2020 - DOU de 11/03/2020</v>
      </c>
      <c r="L336" s="287" t="str">
        <f>IF($E336=0,"-",IF(INDEX([1]RELAÇÃO!$A$1:$AQ$576,MATCH($M336,[1]RELAÇÃO!$AP$1:$AP$576,0),8)="9.101.100","-",INDEX([1]RELAÇÃO!$A$1:$AQ$576,MATCH($M336,[1]RELAÇÃO!$AP$1:$AP$576,0),7)))</f>
        <v>-</v>
      </c>
      <c r="M336" s="280" t="s">
        <v>751</v>
      </c>
      <c r="N336" s="280" t="s">
        <v>752</v>
      </c>
    </row>
    <row r="337" spans="1:14" ht="23.25" x14ac:dyDescent="0.25">
      <c r="A337" s="360" t="s">
        <v>753</v>
      </c>
      <c r="B337" s="343" t="s">
        <v>321</v>
      </c>
      <c r="C337" s="274" t="s">
        <v>186</v>
      </c>
      <c r="D337" s="274" t="s">
        <v>187</v>
      </c>
      <c r="E337" s="275" t="str">
        <f>INDEX([1]RELAÇÃO!$A$1:$AQ$576,MATCH($M337,[1]RELAÇÃO!$AP$1:$AP$576,0),1)</f>
        <v>ERLENE MARIA LIMA</v>
      </c>
      <c r="F337" s="276" t="str">
        <f>IF(E337=0,"-",LEFT(INDEX([1]RELAÇÃO!$A$1:$AQ$576,MATCH($M337,[1]RELAÇÃO!$AP$1:$AP$576,0),32),1))</f>
        <v>F</v>
      </c>
      <c r="G337" s="275" t="str">
        <f>IF(E337=0,"-",INDEX([1]RELAÇÃO!$A$1:$AQ$576,MATCH($M337,[1]RELAÇÃO!$AP$1:$AP$576,0),5))</f>
        <v>Sem Vínculo</v>
      </c>
      <c r="H337" s="275" t="str">
        <f>IF(E337=0,"-",INDEX([1]RELAÇÃO!$A$1:$AQ$576,MATCH($M337,[1]RELAÇÃO!$AP$1:$AP$576,0),6))</f>
        <v>Sem Vínculo</v>
      </c>
      <c r="I337" s="275" t="str">
        <f>IF(E337=0,"-",INDEX([1]RELAÇÃO!$A$1:$AQ$576,MATCH($M337,[1]RELAÇÃO!$AP$1:$AP$576,0),12)&amp;INDEX([1]RELAÇÃO!$A$1:$AQ$576,MATCH($M337,[1]RELAÇÃO!$AP$1:$AP$576,0),13)&amp;", de "&amp;INDEX([1]RELAÇÃO!$A$1:$AQ$576,MATCH($M337,[1]RELAÇÃO!$AP$1:$AP$576,0),14)&amp;" - "&amp;INDEX([1]RELAÇÃO!$A$1:$AQ$576,MATCH($M337,[1]RELAÇÃO!$AP$1:$AP$576,0),16)&amp;" de "&amp;INDEX([1]RELAÇÃO!$A$1:$AQ$576,MATCH($M337,[1]RELAÇÃO!$AP$1:$AP$576,0),15))</f>
        <v>Portaria nº 127, de 12/02/2019 - DOU de 14/02/2019</v>
      </c>
      <c r="J337" s="307" t="str">
        <f>INDEX([1]RELAÇÃO!$A$1:$AQ$576,MATCH($N337,[1]RELAÇÃO!$AQ$1:$AQ$576,0),1)</f>
        <v>RAQUEL VILELA CORRÊA</v>
      </c>
      <c r="K337" s="395" t="str">
        <f>IF(J337=0,"-",INDEX([1]RELAÇÃO!$A$1:$AQ$576,MATCH($N337,[1]RELAÇÃO!$AQ$1:$AQ$576,0),27)&amp;INDEX([1]RELAÇÃO!$A$1:$AQ$576,MATCH($N337,[1]RELAÇÃO!$AQ$1:$AQ$576,0),28)&amp;", de "&amp;INDEX([1]RELAÇÃO!$A$1:$AQ$576,MATCH($N337,[1]RELAÇÃO!$AQ$1:$AQ$576,0),29)&amp;" - "&amp;INDEX([1]RELAÇÃO!$A$1:$AQ$576,MATCH($N337,[1]RELAÇÃO!$AQ$1:$AQ$576,0),31)&amp;" de "&amp;INDEX([1]RELAÇÃO!$A$1:$AQ$576,MATCH($N337,[1]RELAÇÃO!$AQ$1:$AQ$576,0),30))</f>
        <v>Portaria nº 19, de 20/01/2020 - DOU de 22/01/2020</v>
      </c>
      <c r="L337" s="287" t="str">
        <f>IF($E337=0,"-",IF(INDEX([1]RELAÇÃO!$A$1:$AQ$576,MATCH($M337,[1]RELAÇÃO!$AP$1:$AP$576,0),8)="9.101.200","-",INDEX([1]RELAÇÃO!$A$1:$AQ$576,MATCH($M337,[1]RELAÇÃO!$AP$1:$AP$576,0),7)))</f>
        <v>-</v>
      </c>
      <c r="M337" s="280" t="s">
        <v>754</v>
      </c>
      <c r="N337" s="280" t="s">
        <v>755</v>
      </c>
    </row>
    <row r="338" spans="1:14" ht="23.25" x14ac:dyDescent="0.25">
      <c r="A338" s="384"/>
      <c r="B338" s="345" t="s">
        <v>228</v>
      </c>
      <c r="C338" s="273" t="s">
        <v>229</v>
      </c>
      <c r="D338" s="273" t="s">
        <v>193</v>
      </c>
      <c r="E338" s="275" t="str">
        <f>INDEX([1]RELAÇÃO!$A$1:$AQ$576,MATCH($M338,[1]RELAÇÃO!$AP$1:$AP$576,0),1)</f>
        <v>JACQUELINE QUINTAS</v>
      </c>
      <c r="F338" s="276" t="str">
        <f>IF(E338=0,"-",LEFT(INDEX([1]RELAÇÃO!$A$1:$AQ$576,MATCH($M338,[1]RELAÇÃO!$AP$1:$AP$576,0),32),1))</f>
        <v>F</v>
      </c>
      <c r="G338" s="275" t="str">
        <f>IF(E338=0,"-",INDEX([1]RELAÇÃO!$A$1:$AQ$576,MATCH($M338,[1]RELAÇÃO!$AP$1:$AP$576,0),5))</f>
        <v>Sem Vínculo</v>
      </c>
      <c r="H338" s="275" t="str">
        <f>IF(E338=0,"-",INDEX([1]RELAÇÃO!$A$1:$AQ$576,MATCH($M338,[1]RELAÇÃO!$AP$1:$AP$576,0),6))</f>
        <v>Sem Vínculo</v>
      </c>
      <c r="I338" s="275" t="str">
        <f>IF(E338=0,"-",INDEX([1]RELAÇÃO!$A$1:$AQ$576,MATCH($M338,[1]RELAÇÃO!$AP$1:$AP$576,0),12)&amp;INDEX([1]RELAÇÃO!$A$1:$AQ$576,MATCH($M338,[1]RELAÇÃO!$AP$1:$AP$576,0),13)&amp;", de "&amp;INDEX([1]RELAÇÃO!$A$1:$AQ$576,MATCH($M338,[1]RELAÇÃO!$AP$1:$AP$576,0),14)&amp;" - "&amp;INDEX([1]RELAÇÃO!$A$1:$AQ$576,MATCH($M338,[1]RELAÇÃO!$AP$1:$AP$576,0),16)&amp;" de "&amp;INDEX([1]RELAÇÃO!$A$1:$AQ$576,MATCH($M338,[1]RELAÇÃO!$AP$1:$AP$576,0),15))</f>
        <v>Portaria nº 41, de 17/01/2019 - DOU de 21/01/2019</v>
      </c>
      <c r="J338" s="362"/>
      <c r="K338" s="310"/>
      <c r="L338" s="287" t="str">
        <f>IF($E338=0,"-",IF(INDEX([1]RELAÇÃO!$A$1:$AQ$576,MATCH($M338,[1]RELAÇÃO!$AP$1:$AP$576,0),8)="9.101.200","-",INDEX([1]RELAÇÃO!$A$1:$AQ$576,MATCH($M338,[1]RELAÇÃO!$AP$1:$AP$576,0),7)))</f>
        <v>-</v>
      </c>
      <c r="M338" s="280" t="s">
        <v>756</v>
      </c>
      <c r="N338" s="310"/>
    </row>
    <row r="339" spans="1:14" ht="23.25" x14ac:dyDescent="0.25">
      <c r="A339" s="360" t="s">
        <v>757</v>
      </c>
      <c r="B339" s="345" t="s">
        <v>321</v>
      </c>
      <c r="C339" s="374" t="s">
        <v>279</v>
      </c>
      <c r="D339" s="273" t="s">
        <v>187</v>
      </c>
      <c r="E339" s="300" t="str">
        <f>INDEX([1]RELAÇÃO!$A$1:$AQ$576,MATCH($M339,[1]RELAÇÃO!$AP$1:$AP$576,0),1)</f>
        <v>PATRICIA DA SILVA PEGO</v>
      </c>
      <c r="F339" s="301" t="str">
        <f>IF(E339=0,"-",LEFT(INDEX([1]RELAÇÃO!$A$1:$AQ$576,MATCH($M339,[1]RELAÇÃO!$AP$1:$AP$576,0),32),1))</f>
        <v>F</v>
      </c>
      <c r="G339" s="300" t="str">
        <f>IF(E339=0,"-",INDEX([1]RELAÇÃO!$A$1:$AQ$576,MATCH($M339,[1]RELAÇÃO!$AP$1:$AP$576,0),5))</f>
        <v>Requisitado de Órgãos</v>
      </c>
      <c r="H339" s="300" t="str">
        <f>IF(E339=0,"-",INDEX([1]RELAÇÃO!$A$1:$AQ$576,MATCH($M339,[1]RELAÇÃO!$AP$1:$AP$576,0),6))</f>
        <v>ME - Ministério da Economia</v>
      </c>
      <c r="I339" s="300" t="str">
        <f>IF(E339=0,"-",INDEX([1]RELAÇÃO!$A$1:$AQ$576,MATCH($M339,[1]RELAÇÃO!$AP$1:$AP$576,0),12)&amp;INDEX([1]RELAÇÃO!$A$1:$AQ$576,MATCH($M339,[1]RELAÇÃO!$AP$1:$AP$576,0),13)&amp;", de "&amp;INDEX([1]RELAÇÃO!$A$1:$AQ$576,MATCH($M339,[1]RELAÇÃO!$AP$1:$AP$576,0),14)&amp;" - "&amp;INDEX([1]RELAÇÃO!$A$1:$AQ$576,MATCH($M339,[1]RELAÇÃO!$AP$1:$AP$576,0),16)&amp;" de "&amp;INDEX([1]RELAÇÃO!$A$1:$AQ$576,MATCH($M339,[1]RELAÇÃO!$AP$1:$AP$576,0),15))</f>
        <v>Portaria nº 524, de 03/11/2016 - BPE de 04/11/2016</v>
      </c>
      <c r="J339" s="307">
        <f>INDEX([1]RELAÇÃO!$A$1:$AQ$576,MATCH($N339,[1]RELAÇÃO!$AQ$1:$AQ$576,0),1)</f>
        <v>0</v>
      </c>
      <c r="K339" s="395" t="str">
        <f>IF(J339=0,"-",INDEX([1]RELAÇÃO!$A$1:$AQ$576,MATCH($N339,[1]RELAÇÃO!$AQ$1:$AQ$576,0),27)&amp;INDEX([1]RELAÇÃO!$A$1:$AQ$576,MATCH($N339,[1]RELAÇÃO!$AQ$1:$AQ$576,0),28)&amp;", de "&amp;INDEX([1]RELAÇÃO!$A$1:$AQ$576,MATCH($N339,[1]RELAÇÃO!$AQ$1:$AQ$576,0),29)&amp;" - "&amp;INDEX([1]RELAÇÃO!$A$1:$AQ$576,MATCH($N339,[1]RELAÇÃO!$AQ$1:$AQ$576,0),31)&amp;" de "&amp;INDEX([1]RELAÇÃO!$A$1:$AQ$576,MATCH($N339,[1]RELAÇÃO!$AQ$1:$AQ$576,0),30))</f>
        <v>-</v>
      </c>
      <c r="L339" s="302" t="str">
        <f>IF($E339=0,"-",IF(INDEX([1]RELAÇÃO!$A$1:$AQ$576,MATCH($M339,[1]RELAÇÃO!$AP$1:$AP$576,0),8)="9.101.300","-",INDEX([1]RELAÇÃO!$A$1:$AQ$576,MATCH($M339,[1]RELAÇÃO!$AP$1:$AP$576,0),7)))</f>
        <v>-</v>
      </c>
      <c r="M339" s="280" t="s">
        <v>758</v>
      </c>
      <c r="N339" s="280" t="s">
        <v>759</v>
      </c>
    </row>
    <row r="340" spans="1:14" ht="23.25" x14ac:dyDescent="0.25">
      <c r="A340" s="360" t="s">
        <v>760</v>
      </c>
      <c r="B340" s="345" t="s">
        <v>566</v>
      </c>
      <c r="C340" s="273" t="s">
        <v>206</v>
      </c>
      <c r="D340" s="273" t="s">
        <v>187</v>
      </c>
      <c r="E340" s="300" t="str">
        <f>INDEX([1]RELAÇÃO!$A$1:$AQ$576,MATCH($M340,[1]RELAÇÃO!$AP$1:$AP$576,0),1)</f>
        <v>FREDERICO BEDRAN OLIVEIRA</v>
      </c>
      <c r="F340" s="301" t="str">
        <f>IF(E340=0,"-",LEFT(INDEX([1]RELAÇÃO!$A$1:$AQ$576,MATCH($M340,[1]RELAÇÃO!$AP$1:$AP$576,0),32),1))</f>
        <v>M</v>
      </c>
      <c r="G340" s="300" t="str">
        <f>IF(E340=0,"-",INDEX([1]RELAÇÃO!$A$1:$AQ$576,MATCH($M340,[1]RELAÇÃO!$AP$1:$AP$576,0),5))</f>
        <v>Exercício Descentralizado</v>
      </c>
      <c r="H340" s="300" t="str">
        <f>IF(E340=0,"-",INDEX([1]RELAÇÃO!$A$1:$AQ$576,MATCH($M340,[1]RELAÇÃO!$AP$1:$AP$576,0),6))</f>
        <v>ME - Ministério da Economia</v>
      </c>
      <c r="I340" s="300" t="str">
        <f>IF(E340=0,"-",INDEX([1]RELAÇÃO!$A$1:$AQ$576,MATCH($M340,[1]RELAÇÃO!$AP$1:$AP$576,0),12)&amp;INDEX([1]RELAÇÃO!$A$1:$AQ$576,MATCH($M340,[1]RELAÇÃO!$AP$1:$AP$576,0),13)&amp;", de "&amp;INDEX([1]RELAÇÃO!$A$1:$AQ$576,MATCH($M340,[1]RELAÇÃO!$AP$1:$AP$576,0),14)&amp;" - "&amp;INDEX([1]RELAÇÃO!$A$1:$AQ$576,MATCH($M340,[1]RELAÇÃO!$AP$1:$AP$576,0),16)&amp;" de "&amp;INDEX([1]RELAÇÃO!$A$1:$AQ$576,MATCH($M340,[1]RELAÇÃO!$AP$1:$AP$576,0),15))</f>
        <v>Portaria nº 1255, de 19/02/2019 - DOU de 20/02/2019</v>
      </c>
      <c r="J340" s="307" t="str">
        <f>INDEX([1]RELAÇÃO!$A$1:$AQ$576,MATCH($N340,[1]RELAÇÃO!$AQ$1:$AQ$576,0),1)</f>
        <v>JOSE LUIZ UBALDINO DE LIMA</v>
      </c>
      <c r="K340" s="395" t="str">
        <f>IF(J340=0,"-",INDEX([1]RELAÇÃO!$A$1:$AQ$576,MATCH($N340,[1]RELAÇÃO!$AQ$1:$AQ$576,0),27)&amp;INDEX([1]RELAÇÃO!$A$1:$AQ$576,MATCH($N340,[1]RELAÇÃO!$AQ$1:$AQ$576,0),28)&amp;", de "&amp;INDEX([1]RELAÇÃO!$A$1:$AQ$576,MATCH($N340,[1]RELAÇÃO!$AQ$1:$AQ$576,0),29)&amp;" - "&amp;INDEX([1]RELAÇÃO!$A$1:$AQ$576,MATCH($N340,[1]RELAÇÃO!$AQ$1:$AQ$576,0),31)&amp;" de "&amp;INDEX([1]RELAÇÃO!$A$1:$AQ$576,MATCH($N340,[1]RELAÇÃO!$AQ$1:$AQ$576,0),30))</f>
        <v>Portaria nº 561, de 10/06/2010 - DOU de 11/06/2010</v>
      </c>
      <c r="L340" s="287" t="str">
        <f>IF($E340=0,"-",IF(INDEX([1]RELAÇÃO!$A$1:$AQ$576,MATCH($M340,[1]RELAÇÃO!$AP$1:$AP$576,0),8)="9.102.000","-",INDEX([1]RELAÇÃO!$A$1:$AQ$576,MATCH($M340,[1]RELAÇÃO!$AP$1:$AP$576,0),7)))</f>
        <v>-</v>
      </c>
      <c r="M340" s="280" t="s">
        <v>761</v>
      </c>
      <c r="N340" s="280" t="s">
        <v>762</v>
      </c>
    </row>
    <row r="341" spans="1:14" ht="23.25" x14ac:dyDescent="0.25">
      <c r="A341" s="386"/>
      <c r="B341" s="345" t="s">
        <v>228</v>
      </c>
      <c r="C341" s="273" t="s">
        <v>229</v>
      </c>
      <c r="D341" s="273" t="s">
        <v>193</v>
      </c>
      <c r="E341" s="275" t="str">
        <f>INDEX([1]RELAÇÃO!$A$1:$AQ$576,MATCH($M341,[1]RELAÇÃO!$AP$1:$AP$576,0),1)</f>
        <v>SANDRA MARIA MONTEIRO DE ALMEIDA ANGELO</v>
      </c>
      <c r="F341" s="276" t="str">
        <f>IF(E341=0,"-",LEFT(INDEX([1]RELAÇÃO!$A$1:$AQ$576,MATCH($M341,[1]RELAÇÃO!$AP$1:$AP$576,0),32),1))</f>
        <v>F</v>
      </c>
      <c r="G341" s="275" t="str">
        <f>IF(E341=0,"-",INDEX([1]RELAÇÃO!$A$1:$AQ$576,MATCH($M341,[1]RELAÇÃO!$AP$1:$AP$576,0),5))</f>
        <v>Sem Vínculo</v>
      </c>
      <c r="H341" s="275" t="str">
        <f>IF(E341=0,"-",INDEX([1]RELAÇÃO!$A$1:$AQ$576,MATCH($M341,[1]RELAÇÃO!$AP$1:$AP$576,0),6))</f>
        <v>Sem Vínculo</v>
      </c>
      <c r="I341" s="275" t="str">
        <f>IF(E341=0,"-",INDEX([1]RELAÇÃO!$A$1:$AQ$576,MATCH($M341,[1]RELAÇÃO!$AP$1:$AP$576,0),12)&amp;INDEX([1]RELAÇÃO!$A$1:$AQ$576,MATCH($M341,[1]RELAÇÃO!$AP$1:$AP$576,0),13)&amp;", de "&amp;INDEX([1]RELAÇÃO!$A$1:$AQ$576,MATCH($M341,[1]RELAÇÃO!$AP$1:$AP$576,0),14)&amp;" - "&amp;INDEX([1]RELAÇÃO!$A$1:$AQ$576,MATCH($M341,[1]RELAÇÃO!$AP$1:$AP$576,0),16)&amp;" de "&amp;INDEX([1]RELAÇÃO!$A$1:$AQ$576,MATCH($M341,[1]RELAÇÃO!$AP$1:$AP$576,0),15))</f>
        <v>Portaria nº 594, de 03/11/2016 - DOU de 04/11/2016</v>
      </c>
      <c r="J341" s="391"/>
      <c r="K341" s="313"/>
      <c r="L341" s="287" t="str">
        <f>IF($E341=0,"-",IF(INDEX([1]RELAÇÃO!$A$1:$AQ$576,MATCH($M341,[1]RELAÇÃO!$AP$1:$AP$576,0),8)="9.102.000","-",INDEX([1]RELAÇÃO!$A$1:$AQ$576,MATCH($M341,[1]RELAÇÃO!$AP$1:$AP$576,0),7)))</f>
        <v>-</v>
      </c>
      <c r="M341" s="280" t="s">
        <v>763</v>
      </c>
      <c r="N341" s="313"/>
    </row>
    <row r="342" spans="1:14" ht="23.25" x14ac:dyDescent="0.25">
      <c r="A342" s="386"/>
      <c r="B342" s="345" t="s">
        <v>228</v>
      </c>
      <c r="C342" s="374" t="s">
        <v>231</v>
      </c>
      <c r="D342" s="273" t="s">
        <v>193</v>
      </c>
      <c r="E342" s="275" t="str">
        <f>INDEX([1]RELAÇÃO!$A$1:$AQ$576,MATCH($M342,[1]RELAÇÃO!$AP$1:$AP$576,0),1)</f>
        <v>RAIMUNDA ALVES DE SOUSA OLIVEIRA</v>
      </c>
      <c r="F342" s="276" t="str">
        <f>IF(E342=0,"-",LEFT(INDEX([1]RELAÇÃO!$A$1:$AQ$576,MATCH($M342,[1]RELAÇÃO!$AP$1:$AP$576,0),32),1))</f>
        <v>F</v>
      </c>
      <c r="G342" s="275" t="str">
        <f>IF(E342=0,"-",INDEX([1]RELAÇÃO!$A$1:$AQ$576,MATCH($M342,[1]RELAÇÃO!$AP$1:$AP$576,0),5))</f>
        <v>Requisitado de Órgãos</v>
      </c>
      <c r="H342" s="275" t="str">
        <f>IF(E342=0,"-",INDEX([1]RELAÇÃO!$A$1:$AQ$576,MATCH($M342,[1]RELAÇÃO!$AP$1:$AP$576,0),6))</f>
        <v>MAPA - Ministério da Agricultura, Pecuário e Abastecimento</v>
      </c>
      <c r="I342" s="275" t="str">
        <f>IF(E342=0,"-",INDEX([1]RELAÇÃO!$A$1:$AQ$576,MATCH($M342,[1]RELAÇÃO!$AP$1:$AP$576,0),12)&amp;INDEX([1]RELAÇÃO!$A$1:$AQ$576,MATCH($M342,[1]RELAÇÃO!$AP$1:$AP$576,0),13)&amp;", de "&amp;INDEX([1]RELAÇÃO!$A$1:$AQ$576,MATCH($M342,[1]RELAÇÃO!$AP$1:$AP$576,0),14)&amp;" - "&amp;INDEX([1]RELAÇÃO!$A$1:$AQ$576,MATCH($M342,[1]RELAÇÃO!$AP$1:$AP$576,0),16)&amp;" de "&amp;INDEX([1]RELAÇÃO!$A$1:$AQ$576,MATCH($M342,[1]RELAÇÃO!$AP$1:$AP$576,0),15))</f>
        <v>Portaria nº 524, de 03/11/2016 - BPE de 04/11/2016</v>
      </c>
      <c r="J342" s="362"/>
      <c r="K342" s="310"/>
      <c r="L342" s="287" t="str">
        <f>IF($E342=0,"-",IF(INDEX([1]RELAÇÃO!$A$1:$AQ$576,MATCH($M342,[1]RELAÇÃO!$AP$1:$AP$576,0),8)="9.102.000","-",INDEX([1]RELAÇÃO!$A$1:$AQ$576,MATCH($M342,[1]RELAÇÃO!$AP$1:$AP$576,0),7)))</f>
        <v>SE / SPOA / CGCC / COORDENAÇÃO DE LICITAÇÕES E COMPRA - CLC</v>
      </c>
      <c r="M342" s="280" t="s">
        <v>764</v>
      </c>
      <c r="N342" s="313"/>
    </row>
    <row r="343" spans="1:14" ht="23.25" x14ac:dyDescent="0.25">
      <c r="A343" s="360" t="s">
        <v>765</v>
      </c>
      <c r="B343" s="343" t="s">
        <v>321</v>
      </c>
      <c r="C343" s="381" t="s">
        <v>279</v>
      </c>
      <c r="D343" s="274" t="s">
        <v>187</v>
      </c>
      <c r="E343" s="275" t="str">
        <f>INDEX([1]RELAÇÃO!$A$1:$AQ$576,MATCH($M343,[1]RELAÇÃO!$AP$1:$AP$576,0),1)</f>
        <v>JOSE LUIZ UBALDINO DE LIMA</v>
      </c>
      <c r="F343" s="276" t="str">
        <f>IF(E343=0,"-",LEFT(INDEX([1]RELAÇÃO!$A$1:$AQ$576,MATCH($M343,[1]RELAÇÃO!$AP$1:$AP$576,0),32),1))</f>
        <v>M</v>
      </c>
      <c r="G343" s="275" t="str">
        <f>IF(E343=0,"-",INDEX([1]RELAÇÃO!$A$1:$AQ$576,MATCH($M343,[1]RELAÇÃO!$AP$1:$AP$576,0),5))</f>
        <v>Exercício Descentralizado</v>
      </c>
      <c r="H343" s="275" t="str">
        <f>IF(E343=0,"-",INDEX([1]RELAÇÃO!$A$1:$AQ$576,MATCH($M343,[1]RELAÇÃO!$AP$1:$AP$576,0),6))</f>
        <v>ME - Ministério da Economia</v>
      </c>
      <c r="I343" s="275" t="str">
        <f>IF(E343=0,"-",INDEX([1]RELAÇÃO!$A$1:$AQ$576,MATCH($M343,[1]RELAÇÃO!$AP$1:$AP$576,0),12)&amp;INDEX([1]RELAÇÃO!$A$1:$AQ$576,MATCH($M343,[1]RELAÇÃO!$AP$1:$AP$576,0),13)&amp;", de "&amp;INDEX([1]RELAÇÃO!$A$1:$AQ$576,MATCH($M343,[1]RELAÇÃO!$AP$1:$AP$576,0),14)&amp;" - "&amp;INDEX([1]RELAÇÃO!$A$1:$AQ$576,MATCH($M343,[1]RELAÇÃO!$AP$1:$AP$576,0),16)&amp;" de "&amp;INDEX([1]RELAÇÃO!$A$1:$AQ$576,MATCH($M343,[1]RELAÇÃO!$AP$1:$AP$576,0),15))</f>
        <v>Portaria nº 524, de 03/11/2016 - BPE de 04/11/2016</v>
      </c>
      <c r="J343" s="307" t="str">
        <f>INDEX([1]RELAÇÃO!$A$1:$AQ$576,MATCH($N343,[1]RELAÇÃO!$AQ$1:$AQ$576,0),1)</f>
        <v>MARIANA CLARA DE FREITAS FONTINELI</v>
      </c>
      <c r="K343" s="395" t="str">
        <f>IF(J343=0,"-",INDEX([1]RELAÇÃO!$A$1:$AQ$576,MATCH($N343,[1]RELAÇÃO!$AQ$1:$AQ$576,0),27)&amp;INDEX([1]RELAÇÃO!$A$1:$AQ$576,MATCH($N343,[1]RELAÇÃO!$AQ$1:$AQ$576,0),28)&amp;", de "&amp;INDEX([1]RELAÇÃO!$A$1:$AQ$576,MATCH($N343,[1]RELAÇÃO!$AQ$1:$AQ$576,0),29)&amp;" - "&amp;INDEX([1]RELAÇÃO!$A$1:$AQ$576,MATCH($N343,[1]RELAÇÃO!$AQ$1:$AQ$576,0),31)&amp;" de "&amp;INDEX([1]RELAÇÃO!$A$1:$AQ$576,MATCH($N343,[1]RELAÇÃO!$AQ$1:$AQ$576,0),30))</f>
        <v>Portaria nº 98, de 10/03/2020 - DOU de 11/03/2020</v>
      </c>
      <c r="L343" s="287" t="str">
        <f>IF($E343=0,"-",IF(INDEX([1]RELAÇÃO!$A$1:$AQ$576,MATCH($M343,[1]RELAÇÃO!$AP$1:$AP$576,0),8)="9.102.100","-",INDEX([1]RELAÇÃO!$A$1:$AQ$576,MATCH($M343,[1]RELAÇÃO!$AP$1:$AP$576,0),7)))</f>
        <v>-</v>
      </c>
      <c r="M343" s="280" t="s">
        <v>766</v>
      </c>
      <c r="N343" s="280" t="s">
        <v>767</v>
      </c>
    </row>
    <row r="344" spans="1:14" ht="23.25" x14ac:dyDescent="0.25">
      <c r="A344" s="360" t="s">
        <v>768</v>
      </c>
      <c r="B344" s="343" t="s">
        <v>321</v>
      </c>
      <c r="C344" s="274" t="s">
        <v>186</v>
      </c>
      <c r="D344" s="274" t="s">
        <v>187</v>
      </c>
      <c r="E344" s="275" t="str">
        <f>INDEX([1]RELAÇÃO!$A$1:$AQ$576,MATCH($M344,[1]RELAÇÃO!$AP$1:$AP$576,0),1)</f>
        <v>LUIZ CARLOS DE MOURA ADAMI</v>
      </c>
      <c r="F344" s="276" t="str">
        <f>IF(E344=0,"-",LEFT(INDEX([1]RELAÇÃO!$A$1:$AQ$576,MATCH($M344,[1]RELAÇÃO!$AP$1:$AP$576,0),32),1))</f>
        <v>M</v>
      </c>
      <c r="G344" s="275" t="str">
        <f>IF(E344=0,"-",INDEX([1]RELAÇÃO!$A$1:$AQ$576,MATCH($M344,[1]RELAÇÃO!$AP$1:$AP$576,0),5))</f>
        <v>Sem Vínculo</v>
      </c>
      <c r="H344" s="275" t="str">
        <f>IF(E344=0,"-",INDEX([1]RELAÇÃO!$A$1:$AQ$576,MATCH($M344,[1]RELAÇÃO!$AP$1:$AP$576,0),6))</f>
        <v>Sem Vínculo</v>
      </c>
      <c r="I344" s="275" t="str">
        <f>IF(E344=0,"-",INDEX([1]RELAÇÃO!$A$1:$AQ$576,MATCH($M344,[1]RELAÇÃO!$AP$1:$AP$576,0),12)&amp;INDEX([1]RELAÇÃO!$A$1:$AQ$576,MATCH($M344,[1]RELAÇÃO!$AP$1:$AP$576,0),13)&amp;", de "&amp;INDEX([1]RELAÇÃO!$A$1:$AQ$576,MATCH($M344,[1]RELAÇÃO!$AP$1:$AP$576,0),14)&amp;" - "&amp;INDEX([1]RELAÇÃO!$A$1:$AQ$576,MATCH($M344,[1]RELAÇÃO!$AP$1:$AP$576,0),16)&amp;" de "&amp;INDEX([1]RELAÇÃO!$A$1:$AQ$576,MATCH($M344,[1]RELAÇÃO!$AP$1:$AP$576,0),15))</f>
        <v>Portaria nº 524, de 03/11/2016 - BPE de 04/11/2016</v>
      </c>
      <c r="J344" s="307" t="str">
        <f>INDEX([1]RELAÇÃO!$A$1:$AQ$576,MATCH($N344,[1]RELAÇÃO!$AQ$1:$AQ$576,0),1)</f>
        <v>PEDRO EVANGELISTA HONORATO</v>
      </c>
      <c r="K344" s="395" t="str">
        <f>IF(J344=0,"-",INDEX([1]RELAÇÃO!$A$1:$AQ$576,MATCH($N344,[1]RELAÇÃO!$AQ$1:$AQ$576,0),27)&amp;INDEX([1]RELAÇÃO!$A$1:$AQ$576,MATCH($N344,[1]RELAÇÃO!$AQ$1:$AQ$576,0),28)&amp;", de "&amp;INDEX([1]RELAÇÃO!$A$1:$AQ$576,MATCH($N344,[1]RELAÇÃO!$AQ$1:$AQ$576,0),29)&amp;" - "&amp;INDEX([1]RELAÇÃO!$A$1:$AQ$576,MATCH($N344,[1]RELAÇÃO!$AQ$1:$AQ$576,0),31)&amp;" de "&amp;INDEX([1]RELAÇÃO!$A$1:$AQ$576,MATCH($N344,[1]RELAÇÃO!$AQ$1:$AQ$576,0),30))</f>
        <v>Portaria nº 97, de 10/03/2020 - DOU de 11/03/2020</v>
      </c>
      <c r="L344" s="287" t="str">
        <f>IF($E344=0,"-",IF(INDEX([1]RELAÇÃO!$A$1:$AQ$576,MATCH($M344,[1]RELAÇÃO!$AP$1:$AP$576,0),8)="9.102.200","-",INDEX([1]RELAÇÃO!$A$1:$AQ$576,MATCH($M344,[1]RELAÇÃO!$AP$1:$AP$576,0),7)))</f>
        <v>-</v>
      </c>
      <c r="M344" s="280" t="s">
        <v>769</v>
      </c>
      <c r="N344" s="280" t="s">
        <v>770</v>
      </c>
    </row>
    <row r="345" spans="1:14" ht="23.25" x14ac:dyDescent="0.25">
      <c r="A345" s="360" t="s">
        <v>771</v>
      </c>
      <c r="B345" s="343" t="s">
        <v>566</v>
      </c>
      <c r="C345" s="274" t="s">
        <v>206</v>
      </c>
      <c r="D345" s="274" t="s">
        <v>187</v>
      </c>
      <c r="E345" s="275" t="str">
        <f>INDEX([1]RELAÇÃO!$A$1:$AQ$576,MATCH($M345,[1]RELAÇÃO!$AP$1:$AP$576,0),1)</f>
        <v>ENIR SEBASTIAO MENDES</v>
      </c>
      <c r="F345" s="276" t="str">
        <f>IF(E345=0,"-",LEFT(INDEX([1]RELAÇÃO!$A$1:$AQ$576,MATCH($M345,[1]RELAÇÃO!$AP$1:$AP$576,0),32),1))</f>
        <v>M</v>
      </c>
      <c r="G345" s="275" t="str">
        <f>IF(E345=0,"-",INDEX([1]RELAÇÃO!$A$1:$AQ$576,MATCH($M345,[1]RELAÇÃO!$AP$1:$AP$576,0),5))</f>
        <v>Exercício Descentralizado</v>
      </c>
      <c r="H345" s="275" t="str">
        <f>IF(E345=0,"-",INDEX([1]RELAÇÃO!$A$1:$AQ$576,MATCH($M345,[1]RELAÇÃO!$AP$1:$AP$576,0),6))</f>
        <v>ME - Ministério da Economia</v>
      </c>
      <c r="I345" s="275" t="str">
        <f>IF(E345=0,"-",INDEX([1]RELAÇÃO!$A$1:$AQ$576,MATCH($M345,[1]RELAÇÃO!$AP$1:$AP$576,0),12)&amp;INDEX([1]RELAÇÃO!$A$1:$AQ$576,MATCH($M345,[1]RELAÇÃO!$AP$1:$AP$576,0),13)&amp;", de "&amp;INDEX([1]RELAÇÃO!$A$1:$AQ$576,MATCH($M345,[1]RELAÇÃO!$AP$1:$AP$576,0),14)&amp;" - "&amp;INDEX([1]RELAÇÃO!$A$1:$AQ$576,MATCH($M345,[1]RELAÇÃO!$AP$1:$AP$576,0),16)&amp;" de "&amp;INDEX([1]RELAÇÃO!$A$1:$AQ$576,MATCH($M345,[1]RELAÇÃO!$AP$1:$AP$576,0),15))</f>
        <v>Portaria nº 1794, de 22/05/2019 - DOU de 23/05/2019</v>
      </c>
      <c r="J345" s="307" t="str">
        <f>INDEX([1]RELAÇÃO!$A$1:$AQ$576,MATCH($N345,[1]RELAÇÃO!$AQ$1:$AQ$576,0),1)</f>
        <v>DANIEL ALVES LIMA</v>
      </c>
      <c r="K345" s="395" t="str">
        <f>IF(J345=0,"-",INDEX([1]RELAÇÃO!$A$1:$AQ$576,MATCH($N345,[1]RELAÇÃO!$AQ$1:$AQ$576,0),27)&amp;INDEX([1]RELAÇÃO!$A$1:$AQ$576,MATCH($N345,[1]RELAÇÃO!$AQ$1:$AQ$576,0),28)&amp;", de "&amp;INDEX([1]RELAÇÃO!$A$1:$AQ$576,MATCH($N345,[1]RELAÇÃO!$AQ$1:$AQ$576,0),29)&amp;" - "&amp;INDEX([1]RELAÇÃO!$A$1:$AQ$576,MATCH($N345,[1]RELAÇÃO!$AQ$1:$AQ$576,0),31)&amp;" de "&amp;INDEX([1]RELAÇÃO!$A$1:$AQ$576,MATCH($N345,[1]RELAÇÃO!$AQ$1:$AQ$576,0),30))</f>
        <v>Portaria nº 232, de 23/05/2019 - DOU de 27/05/2019</v>
      </c>
      <c r="L345" s="287" t="str">
        <f>IF($E345=0,"-",IF(INDEX([1]RELAÇÃO!$A$1:$AQ$576,MATCH($M345,[1]RELAÇÃO!$AP$1:$AP$576,0),8)="9.103.000","-",INDEX([1]RELAÇÃO!$A$1:$AQ$576,MATCH($M345,[1]RELAÇÃO!$AP$1:$AP$576,0),7)))</f>
        <v>-</v>
      </c>
      <c r="M345" s="280" t="s">
        <v>772</v>
      </c>
      <c r="N345" s="280" t="s">
        <v>773</v>
      </c>
    </row>
    <row r="346" spans="1:14" ht="23.25" x14ac:dyDescent="0.25">
      <c r="A346" s="383"/>
      <c r="B346" s="345" t="s">
        <v>228</v>
      </c>
      <c r="C346" s="273" t="s">
        <v>229</v>
      </c>
      <c r="D346" s="273" t="s">
        <v>193</v>
      </c>
      <c r="E346" s="275" t="str">
        <f>INDEX([1]RELAÇÃO!$A$1:$AQ$576,MATCH($M346,[1]RELAÇÃO!$AP$1:$AP$576,0),1)</f>
        <v>RAQUEL VILELA CORRÊA</v>
      </c>
      <c r="F346" s="276" t="str">
        <f>IF(E346=0,"-",LEFT(INDEX([1]RELAÇÃO!$A$1:$AQ$576,MATCH($M346,[1]RELAÇÃO!$AP$1:$AP$576,0),32),1))</f>
        <v>F</v>
      </c>
      <c r="G346" s="275" t="str">
        <f>IF(E346=0,"-",INDEX([1]RELAÇÃO!$A$1:$AQ$576,MATCH($M346,[1]RELAÇÃO!$AP$1:$AP$576,0),5))</f>
        <v>Sem Vínculo</v>
      </c>
      <c r="H346" s="275" t="str">
        <f>IF(E346=0,"-",INDEX([1]RELAÇÃO!$A$1:$AQ$576,MATCH($M346,[1]RELAÇÃO!$AP$1:$AP$576,0),6))</f>
        <v>Sem Vínculo</v>
      </c>
      <c r="I346" s="275" t="str">
        <f>IF(E346=0,"-",INDEX([1]RELAÇÃO!$A$1:$AQ$576,MATCH($M346,[1]RELAÇÃO!$AP$1:$AP$576,0),12)&amp;INDEX([1]RELAÇÃO!$A$1:$AQ$576,MATCH($M346,[1]RELAÇÃO!$AP$1:$AP$576,0),13)&amp;", de "&amp;INDEX([1]RELAÇÃO!$A$1:$AQ$576,MATCH($M346,[1]RELAÇÃO!$AP$1:$AP$576,0),14)&amp;" - "&amp;INDEX([1]RELAÇÃO!$A$1:$AQ$576,MATCH($M346,[1]RELAÇÃO!$AP$1:$AP$576,0),16)&amp;" de "&amp;INDEX([1]RELAÇÃO!$A$1:$AQ$576,MATCH($M346,[1]RELAÇÃO!$AP$1:$AP$576,0),15))</f>
        <v>Portaria nº 524, de 03/11/2016 - BPE de 04/11/2016</v>
      </c>
      <c r="J346" s="362"/>
      <c r="K346" s="310"/>
      <c r="L346" s="287" t="str">
        <f>IF($E346=0,"-",IF(INDEX([1]RELAÇÃO!$A$1:$AQ$576,MATCH($M346,[1]RELAÇÃO!$AP$1:$AP$576,0),8)="9.103.000","-",INDEX([1]RELAÇÃO!$A$1:$AQ$576,MATCH($M346,[1]RELAÇÃO!$AP$1:$AP$576,0),7)))</f>
        <v>-</v>
      </c>
      <c r="M346" s="280" t="s">
        <v>774</v>
      </c>
      <c r="N346" s="313"/>
    </row>
    <row r="347" spans="1:14" ht="23.25" x14ac:dyDescent="0.25">
      <c r="A347" s="383"/>
      <c r="B347" s="345" t="s">
        <v>228</v>
      </c>
      <c r="C347" s="374" t="s">
        <v>231</v>
      </c>
      <c r="D347" s="273" t="s">
        <v>193</v>
      </c>
      <c r="E347" s="275" t="str">
        <f>INDEX([1]RELAÇÃO!$A$1:$AQ$576,MATCH($M347,[1]RELAÇÃO!$AP$1:$AP$576,0),1)</f>
        <v>MARIANA CLARA DE FREITAS FONTINELI</v>
      </c>
      <c r="F347" s="276" t="str">
        <f>IF(E347=0,"-",LEFT(INDEX([1]RELAÇÃO!$A$1:$AQ$576,MATCH($M347,[1]RELAÇÃO!$AP$1:$AP$576,0),32),1))</f>
        <v>F</v>
      </c>
      <c r="G347" s="275" t="str">
        <f>IF(E347=0,"-",INDEX([1]RELAÇÃO!$A$1:$AQ$576,MATCH($M347,[1]RELAÇÃO!$AP$1:$AP$576,0),5))</f>
        <v>Exercício Descentralizado</v>
      </c>
      <c r="H347" s="275" t="str">
        <f>IF(E347=0,"-",INDEX([1]RELAÇÃO!$A$1:$AQ$576,MATCH($M347,[1]RELAÇÃO!$AP$1:$AP$576,0),6))</f>
        <v>ME - Ministério da Economia</v>
      </c>
      <c r="I347" s="275" t="str">
        <f>IF(E347=0,"-",INDEX([1]RELAÇÃO!$A$1:$AQ$576,MATCH($M347,[1]RELAÇÃO!$AP$1:$AP$576,0),12)&amp;INDEX([1]RELAÇÃO!$A$1:$AQ$576,MATCH($M347,[1]RELAÇÃO!$AP$1:$AP$576,0),13)&amp;", de "&amp;INDEX([1]RELAÇÃO!$A$1:$AQ$576,MATCH($M347,[1]RELAÇÃO!$AP$1:$AP$576,0),14)&amp;" - "&amp;INDEX([1]RELAÇÃO!$A$1:$AQ$576,MATCH($M347,[1]RELAÇÃO!$AP$1:$AP$576,0),16)&amp;" de "&amp;INDEX([1]RELAÇÃO!$A$1:$AQ$576,MATCH($M347,[1]RELAÇÃO!$AP$1:$AP$576,0),15))</f>
        <v>Portaria nº 129, de 12/02/2019 - DOU de 14/02/2019</v>
      </c>
      <c r="J347" s="362"/>
      <c r="K347" s="310"/>
      <c r="L347" s="287" t="str">
        <f>IF($E347=0,"-",IF(INDEX([1]RELAÇÃO!$A$1:$AQ$576,MATCH($M347,[1]RELAÇÃO!$AP$1:$AP$576,0),8)="9.103.000","-",INDEX([1]RELAÇÃO!$A$1:$AQ$576,MATCH($M347,[1]RELAÇÃO!$AP$1:$AP$576,0),7)))</f>
        <v>-</v>
      </c>
      <c r="M347" s="280" t="s">
        <v>775</v>
      </c>
      <c r="N347" s="313"/>
    </row>
    <row r="348" spans="1:14" ht="23.25" x14ac:dyDescent="0.25">
      <c r="A348" s="390"/>
      <c r="B348" s="345" t="s">
        <v>228</v>
      </c>
      <c r="C348" s="374" t="s">
        <v>231</v>
      </c>
      <c r="D348" s="273" t="s">
        <v>193</v>
      </c>
      <c r="E348" s="275" t="str">
        <f>INDEX([1]RELAÇÃO!$A$1:$AQ$576,MATCH($M348,[1]RELAÇÃO!$AP$1:$AP$576,0),1)</f>
        <v>ROBSON REIS CANEDO</v>
      </c>
      <c r="F348" s="276" t="str">
        <f>IF(E348=0,"-",LEFT(INDEX([1]RELAÇÃO!$A$1:$AQ$576,MATCH($M348,[1]RELAÇÃO!$AP$1:$AP$576,0),32),1))</f>
        <v>M</v>
      </c>
      <c r="G348" s="275" t="str">
        <f>IF(E348=0,"-",INDEX([1]RELAÇÃO!$A$1:$AQ$576,MATCH($M348,[1]RELAÇÃO!$AP$1:$AP$576,0),5))</f>
        <v>Ativo Permanente</v>
      </c>
      <c r="H348" s="275" t="str">
        <f>IF(E348=0,"-",INDEX([1]RELAÇÃO!$A$1:$AQ$576,MATCH($M348,[1]RELAÇÃO!$AP$1:$AP$576,0),6))</f>
        <v>MME - Ministério de Minas e Energia</v>
      </c>
      <c r="I348" s="275" t="str">
        <f>IF(E348=0,"-",INDEX([1]RELAÇÃO!$A$1:$AQ$576,MATCH($M348,[1]RELAÇÃO!$AP$1:$AP$576,0),12)&amp;INDEX([1]RELAÇÃO!$A$1:$AQ$576,MATCH($M348,[1]RELAÇÃO!$AP$1:$AP$576,0),13)&amp;", de "&amp;INDEX([1]RELAÇÃO!$A$1:$AQ$576,MATCH($M348,[1]RELAÇÃO!$AP$1:$AP$576,0),14)&amp;" - "&amp;INDEX([1]RELAÇÃO!$A$1:$AQ$576,MATCH($M348,[1]RELAÇÃO!$AP$1:$AP$576,0),16)&amp;" de "&amp;INDEX([1]RELAÇÃO!$A$1:$AQ$576,MATCH($M348,[1]RELAÇÃO!$AP$1:$AP$576,0),15))</f>
        <v>Portaria nº 595, de 03/11/2016 - DOU de 04/11/2016</v>
      </c>
      <c r="J348" s="362"/>
      <c r="K348" s="310"/>
      <c r="L348" s="287" t="str">
        <f>IF($E348=0,"-",IF(INDEX([1]RELAÇÃO!$A$1:$AQ$576,MATCH($M348,[1]RELAÇÃO!$AP$1:$AP$576,0),8)="9.103.000","-",INDEX([1]RELAÇÃO!$A$1:$AQ$576,MATCH($M348,[1]RELAÇÃO!$AP$1:$AP$576,0),7)))</f>
        <v>-</v>
      </c>
      <c r="M348" s="280" t="s">
        <v>776</v>
      </c>
      <c r="N348" s="313"/>
    </row>
    <row r="349" spans="1:14" ht="23.25" x14ac:dyDescent="0.25">
      <c r="A349" s="360" t="s">
        <v>777</v>
      </c>
      <c r="B349" s="343" t="s">
        <v>321</v>
      </c>
      <c r="C349" s="274" t="s">
        <v>186</v>
      </c>
      <c r="D349" s="274" t="s">
        <v>187</v>
      </c>
      <c r="E349" s="275" t="str">
        <f>INDEX([1]RELAÇÃO!$A$1:$AQ$576,MATCH($M349,[1]RELAÇÃO!$AP$1:$AP$576,0),1)</f>
        <v>SAMIR NAHASS</v>
      </c>
      <c r="F349" s="276" t="str">
        <f>IF(E349=0,"-",LEFT(INDEX([1]RELAÇÃO!$A$1:$AQ$576,MATCH($M349,[1]RELAÇÃO!$AP$1:$AP$576,0),32),1))</f>
        <v>M</v>
      </c>
      <c r="G349" s="275" t="str">
        <f>IF(E349=0,"-",INDEX([1]RELAÇÃO!$A$1:$AQ$576,MATCH($M349,[1]RELAÇÃO!$AP$1:$AP$576,0),5))</f>
        <v>Sem Vínculo</v>
      </c>
      <c r="H349" s="275" t="str">
        <f>IF(E349=0,"-",INDEX([1]RELAÇÃO!$A$1:$AQ$576,MATCH($M349,[1]RELAÇÃO!$AP$1:$AP$576,0),6))</f>
        <v>Sem Vínculo</v>
      </c>
      <c r="I349" s="275" t="str">
        <f>IF(E349=0,"-",INDEX([1]RELAÇÃO!$A$1:$AQ$576,MATCH($M349,[1]RELAÇÃO!$AP$1:$AP$576,0),12)&amp;INDEX([1]RELAÇÃO!$A$1:$AQ$576,MATCH($M349,[1]RELAÇÃO!$AP$1:$AP$576,0),13)&amp;", de "&amp;INDEX([1]RELAÇÃO!$A$1:$AQ$576,MATCH($M349,[1]RELAÇÃO!$AP$1:$AP$576,0),14)&amp;" - "&amp;INDEX([1]RELAÇÃO!$A$1:$AQ$576,MATCH($M349,[1]RELAÇÃO!$AP$1:$AP$576,0),16)&amp;" de "&amp;INDEX([1]RELAÇÃO!$A$1:$AQ$576,MATCH($M349,[1]RELAÇÃO!$AP$1:$AP$576,0),15))</f>
        <v>Portaria nº 524, de 03/11/2016 - BPE de 04/11/2016</v>
      </c>
      <c r="J349" s="307">
        <f>INDEX([1]RELAÇÃO!$A$1:$AQ$576,MATCH($N349,[1]RELAÇÃO!$AQ$1:$AQ$576,0),1)</f>
        <v>0</v>
      </c>
      <c r="K349" s="395" t="str">
        <f>IF(J349=0,"-",INDEX([1]RELAÇÃO!$A$1:$AQ$576,MATCH($N349,[1]RELAÇÃO!$AQ$1:$AQ$576,0),27)&amp;INDEX([1]RELAÇÃO!$A$1:$AQ$576,MATCH($N349,[1]RELAÇÃO!$AQ$1:$AQ$576,0),28)&amp;", de "&amp;INDEX([1]RELAÇÃO!$A$1:$AQ$576,MATCH($N349,[1]RELAÇÃO!$AQ$1:$AQ$576,0),29)&amp;" - "&amp;INDEX([1]RELAÇÃO!$A$1:$AQ$576,MATCH($N349,[1]RELAÇÃO!$AQ$1:$AQ$576,0),31)&amp;" de "&amp;INDEX([1]RELAÇÃO!$A$1:$AQ$576,MATCH($N349,[1]RELAÇÃO!$AQ$1:$AQ$576,0),30))</f>
        <v>-</v>
      </c>
      <c r="L349" s="287" t="str">
        <f>IF($E349=0,"-",IF(INDEX([1]RELAÇÃO!$A$1:$AQ$576,MATCH($M349,[1]RELAÇÃO!$AP$1:$AP$576,0),8)="9.103.100","-",INDEX([1]RELAÇÃO!$A$1:$AQ$576,MATCH($M349,[1]RELAÇÃO!$AP$1:$AP$576,0),7)))</f>
        <v>-</v>
      </c>
      <c r="M349" s="280" t="s">
        <v>778</v>
      </c>
      <c r="N349" s="280" t="s">
        <v>779</v>
      </c>
    </row>
    <row r="350" spans="1:14" ht="23.25" x14ac:dyDescent="0.25">
      <c r="A350" s="360" t="s">
        <v>780</v>
      </c>
      <c r="B350" s="343" t="s">
        <v>566</v>
      </c>
      <c r="C350" s="274" t="s">
        <v>206</v>
      </c>
      <c r="D350" s="274" t="s">
        <v>187</v>
      </c>
      <c r="E350" s="275" t="str">
        <f>INDEX([1]RELAÇÃO!$A$1:$AQ$576,MATCH($M350,[1]RELAÇÃO!$AP$1:$AP$576,0),1)</f>
        <v>GABRIEL MOTA MALDONADO</v>
      </c>
      <c r="F350" s="276" t="str">
        <f>IF(E350=0,"-",LEFT(INDEX([1]RELAÇÃO!$A$1:$AQ$576,MATCH($M350,[1]RELAÇÃO!$AP$1:$AP$576,0),32),1))</f>
        <v>M</v>
      </c>
      <c r="G350" s="275" t="str">
        <f>IF(E350=0,"-",INDEX([1]RELAÇÃO!$A$1:$AQ$576,MATCH($M350,[1]RELAÇÃO!$AP$1:$AP$576,0),5))</f>
        <v>Sem Vínculo</v>
      </c>
      <c r="H350" s="275" t="str">
        <f>IF(E350=0,"-",INDEX([1]RELAÇÃO!$A$1:$AQ$576,MATCH($M350,[1]RELAÇÃO!$AP$1:$AP$576,0),6))</f>
        <v>Sem Vínculo</v>
      </c>
      <c r="I350" s="275" t="str">
        <f>IF(E350=0,"-",INDEX([1]RELAÇÃO!$A$1:$AQ$576,MATCH($M350,[1]RELAÇÃO!$AP$1:$AP$576,0),12)&amp;INDEX([1]RELAÇÃO!$A$1:$AQ$576,MATCH($M350,[1]RELAÇÃO!$AP$1:$AP$576,0),13)&amp;", de "&amp;INDEX([1]RELAÇÃO!$A$1:$AQ$576,MATCH($M350,[1]RELAÇÃO!$AP$1:$AP$576,0),14)&amp;" - "&amp;INDEX([1]RELAÇÃO!$A$1:$AQ$576,MATCH($M350,[1]RELAÇÃO!$AP$1:$AP$576,0),16)&amp;" de "&amp;INDEX([1]RELAÇÃO!$A$1:$AQ$576,MATCH($M350,[1]RELAÇÃO!$AP$1:$AP$576,0),15))</f>
        <v>Portaria nº 1254, de 19/02/2019 - DOU de 20/02/2019</v>
      </c>
      <c r="J350" s="307" t="str">
        <f>INDEX([1]RELAÇÃO!$A$1:$AQ$576,MATCH($N350,[1]RELAÇÃO!$AQ$1:$AQ$576,0),1)</f>
        <v>DIONE MACEDO</v>
      </c>
      <c r="K350" s="395" t="str">
        <f>IF(J350=0,"-",INDEX([1]RELAÇÃO!$A$1:$AQ$576,MATCH($N350,[1]RELAÇÃO!$AQ$1:$AQ$576,0),27)&amp;INDEX([1]RELAÇÃO!$A$1:$AQ$576,MATCH($N350,[1]RELAÇÃO!$AQ$1:$AQ$576,0),28)&amp;", de "&amp;INDEX([1]RELAÇÃO!$A$1:$AQ$576,MATCH($N350,[1]RELAÇÃO!$AQ$1:$AQ$576,0),29)&amp;" - "&amp;INDEX([1]RELAÇÃO!$A$1:$AQ$576,MATCH($N350,[1]RELAÇÃO!$AQ$1:$AQ$576,0),31)&amp;" de "&amp;INDEX([1]RELAÇÃO!$A$1:$AQ$576,MATCH($N350,[1]RELAÇÃO!$AQ$1:$AQ$576,0),30))</f>
        <v>Portaria nº 384, de 24/03/2010 - DOU de 26/03/2010</v>
      </c>
      <c r="L350" s="287" t="str">
        <f>IF($E350=0,"-",IF(INDEX([1]RELAÇÃO!$A$1:$AQ$576,MATCH($M350,[1]RELAÇÃO!$AP$1:$AP$576,0),8)="9.104.000","-",INDEX([1]RELAÇÃO!$A$1:$AQ$576,MATCH($M350,[1]RELAÇÃO!$AP$1:$AP$576,0),7)))</f>
        <v>-</v>
      </c>
      <c r="M350" s="280" t="s">
        <v>781</v>
      </c>
      <c r="N350" s="280" t="s">
        <v>782</v>
      </c>
    </row>
    <row r="351" spans="1:14" ht="23.25" x14ac:dyDescent="0.25">
      <c r="A351" s="386"/>
      <c r="B351" s="345" t="s">
        <v>228</v>
      </c>
      <c r="C351" s="273" t="s">
        <v>229</v>
      </c>
      <c r="D351" s="273" t="s">
        <v>193</v>
      </c>
      <c r="E351" s="275" t="str">
        <f>INDEX([1]RELAÇÃO!$A$1:$AQ$576,MATCH($M351,[1]RELAÇÃO!$AP$1:$AP$576,0),1)</f>
        <v>HENRIQUE LIBANIO PINHEIRO ROCHA</v>
      </c>
      <c r="F351" s="276" t="str">
        <f>IF(E351=0,"-",LEFT(INDEX([1]RELAÇÃO!$A$1:$AQ$576,MATCH($M351,[1]RELAÇÃO!$AP$1:$AP$576,0),32),1))</f>
        <v>M</v>
      </c>
      <c r="G351" s="275" t="str">
        <f>IF(E351=0,"-",INDEX([1]RELAÇÃO!$A$1:$AQ$576,MATCH($M351,[1]RELAÇÃO!$AP$1:$AP$576,0),5))</f>
        <v>Sem Vínculo</v>
      </c>
      <c r="H351" s="275" t="str">
        <f>IF(E351=0,"-",INDEX([1]RELAÇÃO!$A$1:$AQ$576,MATCH($M351,[1]RELAÇÃO!$AP$1:$AP$576,0),6))</f>
        <v>Sem Vínculo</v>
      </c>
      <c r="I351" s="275" t="str">
        <f>IF(E351=0,"-",INDEX([1]RELAÇÃO!$A$1:$AQ$576,MATCH($M351,[1]RELAÇÃO!$AP$1:$AP$576,0),12)&amp;INDEX([1]RELAÇÃO!$A$1:$AQ$576,MATCH($M351,[1]RELAÇÃO!$AP$1:$AP$576,0),13)&amp;", de "&amp;INDEX([1]RELAÇÃO!$A$1:$AQ$576,MATCH($M351,[1]RELAÇÃO!$AP$1:$AP$576,0),14)&amp;" - "&amp;INDEX([1]RELAÇÃO!$A$1:$AQ$576,MATCH($M351,[1]RELAÇÃO!$AP$1:$AP$576,0),16)&amp;" de "&amp;INDEX([1]RELAÇÃO!$A$1:$AQ$576,MATCH($M351,[1]RELAÇÃO!$AP$1:$AP$576,0),15))</f>
        <v>Portaria nº 524, de 03/11/2016 - BPE de 04/11/2016</v>
      </c>
      <c r="J351" s="379"/>
      <c r="K351" s="312"/>
      <c r="L351" s="287" t="str">
        <f>IF($E351=0,"-",IF(INDEX([1]RELAÇÃO!$A$1:$AQ$576,MATCH($M351,[1]RELAÇÃO!$AP$1:$AP$576,0),8)="9.104.000","-",INDEX([1]RELAÇÃO!$A$1:$AQ$576,MATCH($M351,[1]RELAÇÃO!$AP$1:$AP$576,0),7)))</f>
        <v>-</v>
      </c>
      <c r="M351" s="280" t="s">
        <v>783</v>
      </c>
      <c r="N351" s="313"/>
    </row>
    <row r="352" spans="1:14" ht="23.25" x14ac:dyDescent="0.25">
      <c r="A352" s="360" t="s">
        <v>784</v>
      </c>
      <c r="B352" s="343" t="s">
        <v>321</v>
      </c>
      <c r="C352" s="274" t="s">
        <v>186</v>
      </c>
      <c r="D352" s="274" t="s">
        <v>187</v>
      </c>
      <c r="E352" s="275" t="str">
        <f>INDEX([1]RELAÇÃO!$A$1:$AQ$576,MATCH($M352,[1]RELAÇÃO!$AP$1:$AP$576,0),1)</f>
        <v>DIONE MACEDO</v>
      </c>
      <c r="F352" s="276" t="str">
        <f>IF(E352=0,"-",LEFT(INDEX([1]RELAÇÃO!$A$1:$AQ$576,MATCH($M352,[1]RELAÇÃO!$AP$1:$AP$576,0),32),1))</f>
        <v>F</v>
      </c>
      <c r="G352" s="275" t="str">
        <f>IF(E352=0,"-",INDEX([1]RELAÇÃO!$A$1:$AQ$576,MATCH($M352,[1]RELAÇÃO!$AP$1:$AP$576,0),5))</f>
        <v>Sem Vínculo</v>
      </c>
      <c r="H352" s="275" t="str">
        <f>IF(E352=0,"-",INDEX([1]RELAÇÃO!$A$1:$AQ$576,MATCH($M352,[1]RELAÇÃO!$AP$1:$AP$576,0),6))</f>
        <v>Sem Vínculo</v>
      </c>
      <c r="I352" s="275" t="str">
        <f>IF(E352=0,"-",INDEX([1]RELAÇÃO!$A$1:$AQ$576,MATCH($M352,[1]RELAÇÃO!$AP$1:$AP$576,0),12)&amp;INDEX([1]RELAÇÃO!$A$1:$AQ$576,MATCH($M352,[1]RELAÇÃO!$AP$1:$AP$576,0),13)&amp;", de "&amp;INDEX([1]RELAÇÃO!$A$1:$AQ$576,MATCH($M352,[1]RELAÇÃO!$AP$1:$AP$576,0),14)&amp;" - "&amp;INDEX([1]RELAÇÃO!$A$1:$AQ$576,MATCH($M352,[1]RELAÇÃO!$AP$1:$AP$576,0),16)&amp;" de "&amp;INDEX([1]RELAÇÃO!$A$1:$AQ$576,MATCH($M352,[1]RELAÇÃO!$AP$1:$AP$576,0),15))</f>
        <v>Portaria nº 524, de 03/11/2016 - BPE de 04/11/2016</v>
      </c>
      <c r="J352" s="307" t="str">
        <f>INDEX([1]RELAÇÃO!$A$1:$AQ$576,MATCH($N352,[1]RELAÇÃO!$AQ$1:$AQ$576,0),1)</f>
        <v>CRISTIANO MASAYOSHI MENEZES FURUHASHI</v>
      </c>
      <c r="K352" s="395" t="str">
        <f>IF(J352=0,"-",INDEX([1]RELAÇÃO!$A$1:$AQ$576,MATCH($N352,[1]RELAÇÃO!$AQ$1:$AQ$576,0),27)&amp;INDEX([1]RELAÇÃO!$A$1:$AQ$576,MATCH($N352,[1]RELAÇÃO!$AQ$1:$AQ$576,0),28)&amp;", de "&amp;INDEX([1]RELAÇÃO!$A$1:$AQ$576,MATCH($N352,[1]RELAÇÃO!$AQ$1:$AQ$576,0),29)&amp;" - "&amp;INDEX([1]RELAÇÃO!$A$1:$AQ$576,MATCH($N352,[1]RELAÇÃO!$AQ$1:$AQ$576,0),31)&amp;" de "&amp;INDEX([1]RELAÇÃO!$A$1:$AQ$576,MATCH($N352,[1]RELAÇÃO!$AQ$1:$AQ$576,0),30))</f>
        <v>Portaria nº 606, de 24/10/2011 - DOU de 25/10/2011</v>
      </c>
      <c r="L352" s="287" t="str">
        <f>IF($E352=0,"-",IF(INDEX([1]RELAÇÃO!$A$1:$AQ$576,MATCH($M352,[1]RELAÇÃO!$AP$1:$AP$576,0),8)="9.104.100","-",INDEX([1]RELAÇÃO!$A$1:$AQ$576,MATCH($M352,[1]RELAÇÃO!$AP$1:$AP$576,0),7)))</f>
        <v>-</v>
      </c>
      <c r="M352" s="280" t="s">
        <v>785</v>
      </c>
      <c r="N352" s="280" t="s">
        <v>786</v>
      </c>
    </row>
    <row r="353" spans="1:14" ht="23.25" x14ac:dyDescent="0.25">
      <c r="A353" s="386"/>
      <c r="B353" s="345" t="s">
        <v>228</v>
      </c>
      <c r="C353" s="273" t="s">
        <v>229</v>
      </c>
      <c r="D353" s="273" t="s">
        <v>193</v>
      </c>
      <c r="E353" s="275" t="str">
        <f>INDEX([1]RELAÇÃO!$A$1:$AQ$576,MATCH($M353,[1]RELAÇÃO!$AP$1:$AP$576,0),1)</f>
        <v>ANTONIO CARLOS DE ANDRADE REZENDE</v>
      </c>
      <c r="F353" s="276" t="str">
        <f>IF(E353=0,"-",LEFT(INDEX([1]RELAÇÃO!$A$1:$AQ$576,MATCH($M353,[1]RELAÇÃO!$AP$1:$AP$576,0),32),1))</f>
        <v>M</v>
      </c>
      <c r="G353" s="275" t="str">
        <f>IF(E353=0,"-",INDEX([1]RELAÇÃO!$A$1:$AQ$576,MATCH($M353,[1]RELAÇÃO!$AP$1:$AP$576,0),5))</f>
        <v>Sem Vínculo</v>
      </c>
      <c r="H353" s="275" t="str">
        <f>IF(E353=0,"-",INDEX([1]RELAÇÃO!$A$1:$AQ$576,MATCH($M353,[1]RELAÇÃO!$AP$1:$AP$576,0),6))</f>
        <v>Sem Vínculo</v>
      </c>
      <c r="I353" s="275" t="str">
        <f>IF(E353=0,"-",INDEX([1]RELAÇÃO!$A$1:$AQ$576,MATCH($M353,[1]RELAÇÃO!$AP$1:$AP$576,0),12)&amp;INDEX([1]RELAÇÃO!$A$1:$AQ$576,MATCH($M353,[1]RELAÇÃO!$AP$1:$AP$576,0),13)&amp;", de "&amp;INDEX([1]RELAÇÃO!$A$1:$AQ$576,MATCH($M353,[1]RELAÇÃO!$AP$1:$AP$576,0),14)&amp;" - "&amp;INDEX([1]RELAÇÃO!$A$1:$AQ$576,MATCH($M353,[1]RELAÇÃO!$AP$1:$AP$576,0),16)&amp;" de "&amp;INDEX([1]RELAÇÃO!$A$1:$AQ$576,MATCH($M353,[1]RELAÇÃO!$AP$1:$AP$576,0),15))</f>
        <v>Portaria nº 524, de 03/11/2016 - BPE de 04/11/2016</v>
      </c>
      <c r="J353" s="379"/>
      <c r="K353" s="312"/>
      <c r="L353" s="287" t="str">
        <f>IF($E353=0,"-",IF(INDEX([1]RELAÇÃO!$A$1:$AQ$576,MATCH($M353,[1]RELAÇÃO!$AP$1:$AP$576,0),8)="9.104.100","-",INDEX([1]RELAÇÃO!$A$1:$AQ$576,MATCH($M353,[1]RELAÇÃO!$AP$1:$AP$576,0),7)))</f>
        <v>-</v>
      </c>
      <c r="M353" s="280" t="s">
        <v>787</v>
      </c>
      <c r="N353" s="313"/>
    </row>
    <row r="354" spans="1:14" ht="23.25" x14ac:dyDescent="0.25">
      <c r="A354" s="360" t="s">
        <v>788</v>
      </c>
      <c r="B354" s="345" t="s">
        <v>321</v>
      </c>
      <c r="C354" s="374" t="s">
        <v>279</v>
      </c>
      <c r="D354" s="273" t="s">
        <v>187</v>
      </c>
      <c r="E354" s="300" t="str">
        <f>INDEX([1]RELAÇÃO!$A$1:$AQ$576,MATCH($M354,[1]RELAÇÃO!$AP$1:$AP$576,0),1)</f>
        <v>MARIA RITA SILVA FONTES FARIA</v>
      </c>
      <c r="F354" s="301" t="str">
        <f>IF(E354=0,"-",LEFT(INDEX([1]RELAÇÃO!$A$1:$AQ$576,MATCH($M354,[1]RELAÇÃO!$AP$1:$AP$576,0),32),1))</f>
        <v>F</v>
      </c>
      <c r="G354" s="300" t="str">
        <f>IF(E354=0,"-",INDEX([1]RELAÇÃO!$A$1:$AQ$576,MATCH($M354,[1]RELAÇÃO!$AP$1:$AP$576,0),5))</f>
        <v>Requisitado de Órgãos</v>
      </c>
      <c r="H354" s="300" t="str">
        <f>IF(E354=0,"-",INDEX([1]RELAÇÃO!$A$1:$AQ$576,MATCH($M354,[1]RELAÇÃO!$AP$1:$AP$576,0),6))</f>
        <v>MRE - Ministério das Relações Exteriores</v>
      </c>
      <c r="I354" s="300" t="str">
        <f>IF(E354=0,"-",INDEX([1]RELAÇÃO!$A$1:$AQ$576,MATCH($M354,[1]RELAÇÃO!$AP$1:$AP$576,0),12)&amp;INDEX([1]RELAÇÃO!$A$1:$AQ$576,MATCH($M354,[1]RELAÇÃO!$AP$1:$AP$576,0),13)&amp;", de "&amp;INDEX([1]RELAÇÃO!$A$1:$AQ$576,MATCH($M354,[1]RELAÇÃO!$AP$1:$AP$576,0),14)&amp;" - "&amp;INDEX([1]RELAÇÃO!$A$1:$AQ$576,MATCH($M354,[1]RELAÇÃO!$AP$1:$AP$576,0),16)&amp;" de "&amp;INDEX([1]RELAÇÃO!$A$1:$AQ$576,MATCH($M354,[1]RELAÇÃO!$AP$1:$AP$576,0),15))</f>
        <v>Portaria nº 372, de 30/09/2019 - DOU de 02/10/2019</v>
      </c>
      <c r="J354" s="307">
        <f>INDEX([1]RELAÇÃO!$A$1:$AQ$576,MATCH($N354,[1]RELAÇÃO!$AQ$1:$AQ$576,0),1)</f>
        <v>0</v>
      </c>
      <c r="K354" s="395" t="str">
        <f>IF(J354=0,"-",INDEX([1]RELAÇÃO!$A$1:$AQ$576,MATCH($N354,[1]RELAÇÃO!$AQ$1:$AQ$576,0),27)&amp;INDEX([1]RELAÇÃO!$A$1:$AQ$576,MATCH($N354,[1]RELAÇÃO!$AQ$1:$AQ$576,0),28)&amp;", de "&amp;INDEX([1]RELAÇÃO!$A$1:$AQ$576,MATCH($N354,[1]RELAÇÃO!$AQ$1:$AQ$576,0),29)&amp;" - "&amp;INDEX([1]RELAÇÃO!$A$1:$AQ$576,MATCH($N354,[1]RELAÇÃO!$AQ$1:$AQ$576,0),31)&amp;" de "&amp;INDEX([1]RELAÇÃO!$A$1:$AQ$576,MATCH($N354,[1]RELAÇÃO!$AQ$1:$AQ$576,0),30))</f>
        <v>-</v>
      </c>
      <c r="L354" s="302" t="str">
        <f>IF($E354=0,"-",IF(INDEX([1]RELAÇÃO!$A$1:$AQ$576,MATCH($M354,[1]RELAÇÃO!$AP$1:$AP$576,0),8)="9.104.200","-",INDEX([1]RELAÇÃO!$A$1:$AQ$576,MATCH($M354,[1]RELAÇÃO!$AP$1:$AP$576,0),7)))</f>
        <v>-</v>
      </c>
      <c r="M354" s="280" t="s">
        <v>789</v>
      </c>
      <c r="N354" s="280" t="s">
        <v>790</v>
      </c>
    </row>
    <row r="355" spans="1:14" ht="23.25" x14ac:dyDescent="0.25">
      <c r="A355" s="390"/>
      <c r="B355" s="345" t="s">
        <v>228</v>
      </c>
      <c r="C355" s="374" t="s">
        <v>231</v>
      </c>
      <c r="D355" s="273" t="s">
        <v>193</v>
      </c>
      <c r="E355" s="300" t="str">
        <f>INDEX([1]RELAÇÃO!$A$1:$AQ$576,MATCH($M355,[1]RELAÇÃO!$AP$1:$AP$576,0),1)</f>
        <v>RANIELLE NOLETO PAZ ARAUJO</v>
      </c>
      <c r="F355" s="301" t="str">
        <f>IF(E355=0,"-",LEFT(INDEX([1]RELAÇÃO!$A$1:$AQ$576,MATCH($M355,[1]RELAÇÃO!$AP$1:$AP$576,0),32),1))</f>
        <v>F</v>
      </c>
      <c r="G355" s="300" t="str">
        <f>IF(E355=0,"-",INDEX([1]RELAÇÃO!$A$1:$AQ$576,MATCH($M355,[1]RELAÇÃO!$AP$1:$AP$576,0),5))</f>
        <v>Exercício Descentralizado</v>
      </c>
      <c r="H355" s="300" t="str">
        <f>IF(E355=0,"-",INDEX([1]RELAÇÃO!$A$1:$AQ$576,MATCH($M355,[1]RELAÇÃO!$AP$1:$AP$576,0),6))</f>
        <v>ME - Ministério da Economia</v>
      </c>
      <c r="I355" s="300" t="str">
        <f>IF(E355=0,"-",INDEX([1]RELAÇÃO!$A$1:$AQ$576,MATCH($M355,[1]RELAÇÃO!$AP$1:$AP$576,0),12)&amp;INDEX([1]RELAÇÃO!$A$1:$AQ$576,MATCH($M355,[1]RELAÇÃO!$AP$1:$AP$576,0),13)&amp;", de "&amp;INDEX([1]RELAÇÃO!$A$1:$AQ$576,MATCH($M355,[1]RELAÇÃO!$AP$1:$AP$576,0),14)&amp;" - "&amp;INDEX([1]RELAÇÃO!$A$1:$AQ$576,MATCH($M355,[1]RELAÇÃO!$AP$1:$AP$576,0),16)&amp;" de "&amp;INDEX([1]RELAÇÃO!$A$1:$AQ$576,MATCH($M355,[1]RELAÇÃO!$AP$1:$AP$576,0),15))</f>
        <v>Portaria nº 524, de 03/11/2016 - BPE de 04/11/2016</v>
      </c>
      <c r="J355" s="379"/>
      <c r="K355" s="312"/>
      <c r="L355" s="302" t="str">
        <f>IF($E355=0,"-",IF(INDEX([1]RELAÇÃO!$A$1:$AQ$576,MATCH($M355,[1]RELAÇÃO!$AP$1:$AP$576,0),8)="9.104.200","-",INDEX([1]RELAÇÃO!$A$1:$AQ$576,MATCH($M355,[1]RELAÇÃO!$AP$1:$AP$576,0),7)))</f>
        <v>-</v>
      </c>
      <c r="M355" s="280" t="s">
        <v>791</v>
      </c>
      <c r="N355" s="313"/>
    </row>
    <row r="356" spans="1:14" x14ac:dyDescent="0.25"/>
    <row r="357" spans="1:14" hidden="1" x14ac:dyDescent="0.25"/>
    <row r="358" spans="1:14" hidden="1" x14ac:dyDescent="0.25"/>
    <row r="359" spans="1:14" hidden="1" x14ac:dyDescent="0.25"/>
    <row r="360" spans="1:14" hidden="1" x14ac:dyDescent="0.25"/>
    <row r="361" spans="1:14" hidden="1" x14ac:dyDescent="0.25"/>
    <row r="362" spans="1:14" hidden="1" x14ac:dyDescent="0.25"/>
    <row r="363" spans="1:14" hidden="1" x14ac:dyDescent="0.25"/>
  </sheetData>
  <sheetProtection sheet="1" objects="1" scenarios="1"/>
  <mergeCells count="14">
    <mergeCell ref="A197:N197"/>
    <mergeCell ref="A204:N204"/>
    <mergeCell ref="A210:N210"/>
    <mergeCell ref="A217:N217"/>
    <mergeCell ref="A2:N2"/>
    <mergeCell ref="A7:N7"/>
    <mergeCell ref="A14:N14"/>
    <mergeCell ref="A68:N68"/>
    <mergeCell ref="A167:N167"/>
    <mergeCell ref="A253:N253"/>
    <mergeCell ref="A293:N293"/>
    <mergeCell ref="A323:N323"/>
    <mergeCell ref="A212:A215"/>
    <mergeCell ref="A243:A244"/>
  </mergeCells>
  <conditionalFormatting sqref="K9">
    <cfRule type="containsText" dxfId="751" priority="375" operator="containsText" text="Não">
      <formula>NOT(ISERROR(SEARCH("Não",K9)))</formula>
    </cfRule>
  </conditionalFormatting>
  <conditionalFormatting sqref="J9">
    <cfRule type="containsText" dxfId="750" priority="376" operator="containsText" text="Não">
      <formula>NOT(ISERROR(SEARCH("Não",J9)))</formula>
    </cfRule>
  </conditionalFormatting>
  <conditionalFormatting sqref="J16:K20 J22:K40 J21 J42:K66 J41">
    <cfRule type="containsText" dxfId="749" priority="368" operator="containsText" text="Não">
      <formula>NOT(ISERROR(SEARCH("Não",J16)))</formula>
    </cfRule>
  </conditionalFormatting>
  <conditionalFormatting sqref="K21">
    <cfRule type="containsText" dxfId="748" priority="367" operator="containsText" text="Não">
      <formula>NOT(ISERROR(SEARCH("Não",K21)))</formula>
    </cfRule>
  </conditionalFormatting>
  <conditionalFormatting sqref="J70:J73">
    <cfRule type="containsText" dxfId="747" priority="359" operator="containsText" text="Não">
      <formula>NOT(ISERROR(SEARCH("Não",J70)))</formula>
    </cfRule>
  </conditionalFormatting>
  <conditionalFormatting sqref="K70:K73">
    <cfRule type="containsText" dxfId="746" priority="358" operator="containsText" text="Não">
      <formula>NOT(ISERROR(SEARCH("Não",K70)))</formula>
    </cfRule>
  </conditionalFormatting>
  <conditionalFormatting sqref="J82">
    <cfRule type="containsText" dxfId="745" priority="302" operator="containsText" text="Não">
      <formula>NOT(ISERROR(SEARCH("Não",J82)))</formula>
    </cfRule>
  </conditionalFormatting>
  <conditionalFormatting sqref="K82">
    <cfRule type="containsText" dxfId="744" priority="301" operator="containsText" text="Não">
      <formula>NOT(ISERROR(SEARCH("Não",K82)))</formula>
    </cfRule>
  </conditionalFormatting>
  <conditionalFormatting sqref="J89">
    <cfRule type="containsText" dxfId="743" priority="300" operator="containsText" text="Não">
      <formula>NOT(ISERROR(SEARCH("Não",J89)))</formula>
    </cfRule>
  </conditionalFormatting>
  <conditionalFormatting sqref="J92:J94">
    <cfRule type="containsText" dxfId="742" priority="299" operator="containsText" text="Não">
      <formula>NOT(ISERROR(SEARCH("Não",J92)))</formula>
    </cfRule>
  </conditionalFormatting>
  <conditionalFormatting sqref="J98">
    <cfRule type="containsText" dxfId="741" priority="298" operator="containsText" text="Não">
      <formula>NOT(ISERROR(SEARCH("Não",J98)))</formula>
    </cfRule>
  </conditionalFormatting>
  <conditionalFormatting sqref="J100:J105">
    <cfRule type="containsText" dxfId="740" priority="297" operator="containsText" text="Não">
      <formula>NOT(ISERROR(SEARCH("Não",J100)))</formula>
    </cfRule>
  </conditionalFormatting>
  <conditionalFormatting sqref="J107:J109">
    <cfRule type="containsText" dxfId="739" priority="296" operator="containsText" text="Não">
      <formula>NOT(ISERROR(SEARCH("Não",J107)))</formula>
    </cfRule>
  </conditionalFormatting>
  <conditionalFormatting sqref="J114">
    <cfRule type="containsText" dxfId="738" priority="295" operator="containsText" text="Não">
      <formula>NOT(ISERROR(SEARCH("Não",J114)))</formula>
    </cfRule>
  </conditionalFormatting>
  <conditionalFormatting sqref="J118:J126">
    <cfRule type="containsText" dxfId="737" priority="294" operator="containsText" text="Não">
      <formula>NOT(ISERROR(SEARCH("Não",J118)))</formula>
    </cfRule>
  </conditionalFormatting>
  <conditionalFormatting sqref="J128">
    <cfRule type="containsText" dxfId="736" priority="293" operator="containsText" text="Não">
      <formula>NOT(ISERROR(SEARCH("Não",J128)))</formula>
    </cfRule>
  </conditionalFormatting>
  <conditionalFormatting sqref="J132:J134">
    <cfRule type="containsText" dxfId="735" priority="292" operator="containsText" text="Não">
      <formula>NOT(ISERROR(SEARCH("Não",J132)))</formula>
    </cfRule>
  </conditionalFormatting>
  <conditionalFormatting sqref="J136:J140">
    <cfRule type="containsText" dxfId="734" priority="291" operator="containsText" text="Não">
      <formula>NOT(ISERROR(SEARCH("Não",J136)))</formula>
    </cfRule>
  </conditionalFormatting>
  <conditionalFormatting sqref="J142:J147">
    <cfRule type="containsText" dxfId="733" priority="290" operator="containsText" text="Não">
      <formula>NOT(ISERROR(SEARCH("Não",J142)))</formula>
    </cfRule>
  </conditionalFormatting>
  <conditionalFormatting sqref="J152:J153">
    <cfRule type="containsText" dxfId="732" priority="289" operator="containsText" text="Não">
      <formula>NOT(ISERROR(SEARCH("Não",J152)))</formula>
    </cfRule>
  </conditionalFormatting>
  <conditionalFormatting sqref="J154">
    <cfRule type="containsText" dxfId="731" priority="288" operator="containsText" text="Não">
      <formula>NOT(ISERROR(SEARCH("Não",J154)))</formula>
    </cfRule>
  </conditionalFormatting>
  <conditionalFormatting sqref="J157:J159">
    <cfRule type="containsText" dxfId="730" priority="287" operator="containsText" text="Não">
      <formula>NOT(ISERROR(SEARCH("Não",J157)))</formula>
    </cfRule>
  </conditionalFormatting>
  <conditionalFormatting sqref="K89">
    <cfRule type="containsText" dxfId="729" priority="286" operator="containsText" text="Não">
      <formula>NOT(ISERROR(SEARCH("Não",K89)))</formula>
    </cfRule>
  </conditionalFormatting>
  <conditionalFormatting sqref="K92:K94">
    <cfRule type="containsText" dxfId="728" priority="285" operator="containsText" text="Não">
      <formula>NOT(ISERROR(SEARCH("Não",K92)))</formula>
    </cfRule>
  </conditionalFormatting>
  <conditionalFormatting sqref="K98">
    <cfRule type="containsText" dxfId="727" priority="284" operator="containsText" text="Não">
      <formula>NOT(ISERROR(SEARCH("Não",K98)))</formula>
    </cfRule>
  </conditionalFormatting>
  <conditionalFormatting sqref="K100:K105">
    <cfRule type="containsText" dxfId="726" priority="283" operator="containsText" text="Não">
      <formula>NOT(ISERROR(SEARCH("Não",K100)))</formula>
    </cfRule>
  </conditionalFormatting>
  <conditionalFormatting sqref="K107:K109">
    <cfRule type="containsText" dxfId="725" priority="282" operator="containsText" text="Não">
      <formula>NOT(ISERROR(SEARCH("Não",K107)))</formula>
    </cfRule>
  </conditionalFormatting>
  <conditionalFormatting sqref="K114">
    <cfRule type="containsText" dxfId="724" priority="281" operator="containsText" text="Não">
      <formula>NOT(ISERROR(SEARCH("Não",K114)))</formula>
    </cfRule>
  </conditionalFormatting>
  <conditionalFormatting sqref="K118:K126">
    <cfRule type="containsText" dxfId="723" priority="280" operator="containsText" text="Não">
      <formula>NOT(ISERROR(SEARCH("Não",K118)))</formula>
    </cfRule>
  </conditionalFormatting>
  <conditionalFormatting sqref="K128">
    <cfRule type="containsText" dxfId="722" priority="279" operator="containsText" text="Não">
      <formula>NOT(ISERROR(SEARCH("Não",K128)))</formula>
    </cfRule>
  </conditionalFormatting>
  <conditionalFormatting sqref="K132:K134">
    <cfRule type="containsText" dxfId="721" priority="278" operator="containsText" text="Não">
      <formula>NOT(ISERROR(SEARCH("Não",K132)))</formula>
    </cfRule>
  </conditionalFormatting>
  <conditionalFormatting sqref="K142">
    <cfRule type="containsText" dxfId="720" priority="276" operator="containsText" text="Não">
      <formula>NOT(ISERROR(SEARCH("Não",K142)))</formula>
    </cfRule>
  </conditionalFormatting>
  <conditionalFormatting sqref="K143:K147">
    <cfRule type="containsText" dxfId="719" priority="275" operator="containsText" text="Não">
      <formula>NOT(ISERROR(SEARCH("Não",K143)))</formula>
    </cfRule>
  </conditionalFormatting>
  <conditionalFormatting sqref="J169">
    <cfRule type="containsText" dxfId="718" priority="271" operator="containsText" text="Não">
      <formula>NOT(ISERROR(SEARCH("Não",J169)))</formula>
    </cfRule>
  </conditionalFormatting>
  <conditionalFormatting sqref="J212">
    <cfRule type="containsText" dxfId="717" priority="231" operator="containsText" text="Não">
      <formula>NOT(ISERROR(SEARCH("Não",J212)))</formula>
    </cfRule>
  </conditionalFormatting>
  <conditionalFormatting sqref="J178:J181">
    <cfRule type="containsText" dxfId="716" priority="264" operator="containsText" text="Não">
      <formula>NOT(ISERROR(SEARCH("Não",J178)))</formula>
    </cfRule>
  </conditionalFormatting>
  <conditionalFormatting sqref="J186">
    <cfRule type="containsText" dxfId="715" priority="250" operator="containsText" text="Não">
      <formula>NOT(ISERROR(SEARCH("Não",J186)))</formula>
    </cfRule>
  </conditionalFormatting>
  <conditionalFormatting sqref="K186">
    <cfRule type="containsText" dxfId="714" priority="249" operator="containsText" text="Não">
      <formula>NOT(ISERROR(SEARCH("Não",K186)))</formula>
    </cfRule>
  </conditionalFormatting>
  <conditionalFormatting sqref="J199">
    <cfRule type="containsText" dxfId="713" priority="247" operator="containsText" text="Não">
      <formula>NOT(ISERROR(SEARCH("Não",J199)))</formula>
    </cfRule>
  </conditionalFormatting>
  <conditionalFormatting sqref="J206">
    <cfRule type="containsText" dxfId="712" priority="239" operator="containsText" text="Não">
      <formula>NOT(ISERROR(SEARCH("Não",J206)))</formula>
    </cfRule>
  </conditionalFormatting>
  <conditionalFormatting sqref="J246:J248">
    <cfRule type="containsText" dxfId="711" priority="202" operator="containsText" text="Não">
      <formula>NOT(ISERROR(SEARCH("Não",J246)))</formula>
    </cfRule>
  </conditionalFormatting>
  <conditionalFormatting sqref="H222 H225 H228">
    <cfRule type="containsText" dxfId="710" priority="217" operator="containsText" text="ANISTIADO">
      <formula>NOT(ISERROR(SEARCH("ANISTIADO",H222)))</formula>
    </cfRule>
    <cfRule type="containsText" dxfId="709" priority="218" operator="containsText" text="ED ">
      <formula>NOT(ISERROR(SEARCH("ED ",H222)))</formula>
    </cfRule>
  </conditionalFormatting>
  <conditionalFormatting sqref="J219:J220">
    <cfRule type="containsText" dxfId="708" priority="215" operator="containsText" text="Não">
      <formula>NOT(ISERROR(SEARCH("Não",J219)))</formula>
    </cfRule>
  </conditionalFormatting>
  <conditionalFormatting sqref="K220">
    <cfRule type="containsText" dxfId="707" priority="214" operator="containsText" text="Não">
      <formula>NOT(ISERROR(SEARCH("Não",K220)))</formula>
    </cfRule>
  </conditionalFormatting>
  <conditionalFormatting sqref="J230">
    <cfRule type="containsText" dxfId="706" priority="205" operator="containsText" text="Não">
      <formula>NOT(ISERROR(SEARCH("Não",J230)))</formula>
    </cfRule>
  </conditionalFormatting>
  <conditionalFormatting sqref="J234:J237">
    <cfRule type="containsText" dxfId="705" priority="204" operator="containsText" text="Não">
      <formula>NOT(ISERROR(SEARCH("Não",J234)))</formula>
    </cfRule>
  </conditionalFormatting>
  <conditionalFormatting sqref="J240:J243">
    <cfRule type="containsText" dxfId="704" priority="203" operator="containsText" text="Não">
      <formula>NOT(ISERROR(SEARCH("Não",J240)))</formula>
    </cfRule>
  </conditionalFormatting>
  <conditionalFormatting sqref="J250">
    <cfRule type="containsText" dxfId="703" priority="201" operator="containsText" text="Não">
      <formula>NOT(ISERROR(SEARCH("Não",J250)))</formula>
    </cfRule>
  </conditionalFormatting>
  <conditionalFormatting sqref="H258 H263:H264 H268 H275">
    <cfRule type="containsText" dxfId="702" priority="170" operator="containsText" text="ANISTIADO">
      <formula>NOT(ISERROR(SEARCH("ANISTIADO",H258)))</formula>
    </cfRule>
    <cfRule type="containsText" dxfId="701" priority="171" operator="containsText" text="ED ">
      <formula>NOT(ISERROR(SEARCH("ED ",H258)))</formula>
    </cfRule>
  </conditionalFormatting>
  <conditionalFormatting sqref="J255:J257">
    <cfRule type="containsText" dxfId="700" priority="168" operator="containsText" text="Não">
      <formula>NOT(ISERROR(SEARCH("Não",J255)))</formula>
    </cfRule>
  </conditionalFormatting>
  <conditionalFormatting sqref="J267">
    <cfRule type="containsText" dxfId="699" priority="131" operator="containsText" text="Não">
      <formula>NOT(ISERROR(SEARCH("Não",J267)))</formula>
    </cfRule>
  </conditionalFormatting>
  <conditionalFormatting sqref="J270">
    <cfRule type="containsText" dxfId="698" priority="130" operator="containsText" text="Não">
      <formula>NOT(ISERROR(SEARCH("Não",J270)))</formula>
    </cfRule>
  </conditionalFormatting>
  <conditionalFormatting sqref="J272">
    <cfRule type="containsText" dxfId="697" priority="129" operator="containsText" text="Não">
      <formula>NOT(ISERROR(SEARCH("Não",J272)))</formula>
    </cfRule>
  </conditionalFormatting>
  <conditionalFormatting sqref="J274">
    <cfRule type="containsText" dxfId="696" priority="128" operator="containsText" text="Não">
      <formula>NOT(ISERROR(SEARCH("Não",J274)))</formula>
    </cfRule>
  </conditionalFormatting>
  <conditionalFormatting sqref="J278:J279">
    <cfRule type="containsText" dxfId="695" priority="127" operator="containsText" text="Não">
      <formula>NOT(ISERROR(SEARCH("Não",J278)))</formula>
    </cfRule>
  </conditionalFormatting>
  <conditionalFormatting sqref="J281">
    <cfRule type="containsText" dxfId="694" priority="126" operator="containsText" text="Não">
      <formula>NOT(ISERROR(SEARCH("Não",J281)))</formula>
    </cfRule>
  </conditionalFormatting>
  <conditionalFormatting sqref="J283:J285">
    <cfRule type="containsText" dxfId="693" priority="125" operator="containsText" text="Não">
      <formula>NOT(ISERROR(SEARCH("Não",J283)))</formula>
    </cfRule>
  </conditionalFormatting>
  <conditionalFormatting sqref="J286">
    <cfRule type="containsText" dxfId="692" priority="124" operator="containsText" text="Não">
      <formula>NOT(ISERROR(SEARCH("Não",J286)))</formula>
    </cfRule>
  </conditionalFormatting>
  <conditionalFormatting sqref="J288:J289">
    <cfRule type="containsText" dxfId="691" priority="123" operator="containsText" text="Não">
      <formula>NOT(ISERROR(SEARCH("Não",J288)))</formula>
    </cfRule>
  </conditionalFormatting>
  <conditionalFormatting sqref="J304:J305">
    <cfRule type="containsText" dxfId="690" priority="96" operator="containsText" text="Não">
      <formula>NOT(ISERROR(SEARCH("Não",J304)))</formula>
    </cfRule>
  </conditionalFormatting>
  <conditionalFormatting sqref="H301">
    <cfRule type="containsText" dxfId="689" priority="105" operator="containsText" text="ANISTIADO">
      <formula>NOT(ISERROR(SEARCH("ANISTIADO",H301)))</formula>
    </cfRule>
    <cfRule type="containsText" dxfId="688" priority="106" operator="containsText" text="ED ">
      <formula>NOT(ISERROR(SEARCH("ED ",H301)))</formula>
    </cfRule>
  </conditionalFormatting>
  <conditionalFormatting sqref="J295:J296">
    <cfRule type="containsText" dxfId="687" priority="103" operator="containsText" text="Não">
      <formula>NOT(ISERROR(SEARCH("Não",J295)))</formula>
    </cfRule>
  </conditionalFormatting>
  <conditionalFormatting sqref="J307:J310">
    <cfRule type="containsText" dxfId="686" priority="95" operator="containsText" text="Não">
      <formula>NOT(ISERROR(SEARCH("Não",J307)))</formula>
    </cfRule>
  </conditionalFormatting>
  <conditionalFormatting sqref="J312:J314">
    <cfRule type="containsText" dxfId="685" priority="94" operator="containsText" text="Não">
      <formula>NOT(ISERROR(SEARCH("Não",J312)))</formula>
    </cfRule>
  </conditionalFormatting>
  <conditionalFormatting sqref="J316:J318">
    <cfRule type="containsText" dxfId="684" priority="93" operator="containsText" text="Não">
      <formula>NOT(ISERROR(SEARCH("Não",J316)))</formula>
    </cfRule>
  </conditionalFormatting>
  <conditionalFormatting sqref="J320:J321">
    <cfRule type="containsText" dxfId="683" priority="92" operator="containsText" text="Não">
      <formula>NOT(ISERROR(SEARCH("Não",J320)))</formula>
    </cfRule>
  </conditionalFormatting>
  <conditionalFormatting sqref="H331">
    <cfRule type="containsText" dxfId="682" priority="73" operator="containsText" text="ANISTIADO">
      <formula>NOT(ISERROR(SEARCH("ANISTIADO",H331)))</formula>
    </cfRule>
    <cfRule type="containsText" dxfId="681" priority="74" operator="containsText" text="ED ">
      <formula>NOT(ISERROR(SEARCH("ED ",H331)))</formula>
    </cfRule>
  </conditionalFormatting>
  <conditionalFormatting sqref="J325:J326">
    <cfRule type="containsText" dxfId="680" priority="71" operator="containsText" text="Não">
      <formula>NOT(ISERROR(SEARCH("Não",J325)))</formula>
    </cfRule>
  </conditionalFormatting>
  <conditionalFormatting sqref="J343:J345">
    <cfRule type="containsText" dxfId="679" priority="60" operator="containsText" text="Não">
      <formula>NOT(ISERROR(SEARCH("Não",J343)))</formula>
    </cfRule>
  </conditionalFormatting>
  <conditionalFormatting sqref="J333">
    <cfRule type="containsText" dxfId="678" priority="64" operator="containsText" text="Não">
      <formula>NOT(ISERROR(SEARCH("Não",J333)))</formula>
    </cfRule>
  </conditionalFormatting>
  <conditionalFormatting sqref="J336:J337">
    <cfRule type="containsText" dxfId="677" priority="63" operator="containsText" text="Não">
      <formula>NOT(ISERROR(SEARCH("Não",J336)))</formula>
    </cfRule>
  </conditionalFormatting>
  <conditionalFormatting sqref="J339">
    <cfRule type="containsText" dxfId="676" priority="62" operator="containsText" text="Não">
      <formula>NOT(ISERROR(SEARCH("Não",J339)))</formula>
    </cfRule>
  </conditionalFormatting>
  <conditionalFormatting sqref="J340">
    <cfRule type="containsText" dxfId="675" priority="61" operator="containsText" text="Não">
      <formula>NOT(ISERROR(SEARCH("Não",J340)))</formula>
    </cfRule>
  </conditionalFormatting>
  <conditionalFormatting sqref="J349:J350">
    <cfRule type="containsText" dxfId="674" priority="59" operator="containsText" text="Não">
      <formula>NOT(ISERROR(SEARCH("Não",J349)))</formula>
    </cfRule>
  </conditionalFormatting>
  <conditionalFormatting sqref="K157:K159">
    <cfRule type="containsText" dxfId="673" priority="40" operator="containsText" text="Não">
      <formula>NOT(ISERROR(SEARCH("Não",K157)))</formula>
    </cfRule>
  </conditionalFormatting>
  <conditionalFormatting sqref="J352">
    <cfRule type="containsText" dxfId="672" priority="58" operator="containsText" text="Não">
      <formula>NOT(ISERROR(SEARCH("Não",J352)))</formula>
    </cfRule>
  </conditionalFormatting>
  <conditionalFormatting sqref="J354">
    <cfRule type="containsText" dxfId="671" priority="57" operator="containsText" text="Não">
      <formula>NOT(ISERROR(SEARCH("Não",J354)))</formula>
    </cfRule>
  </conditionalFormatting>
  <conditionalFormatting sqref="K136:K140">
    <cfRule type="containsText" dxfId="670" priority="41" operator="containsText" text="Não">
      <formula>NOT(ISERROR(SEARCH("Não",K136)))</formula>
    </cfRule>
  </conditionalFormatting>
  <conditionalFormatting sqref="K152:K154">
    <cfRule type="containsText" dxfId="669" priority="42" operator="containsText" text="Não">
      <formula>NOT(ISERROR(SEARCH("Não",K152)))</formula>
    </cfRule>
  </conditionalFormatting>
  <conditionalFormatting sqref="K169">
    <cfRule type="containsText" dxfId="668" priority="39" operator="containsText" text="Não">
      <formula>NOT(ISERROR(SEARCH("Não",K169)))</formula>
    </cfRule>
  </conditionalFormatting>
  <conditionalFormatting sqref="K178:K181">
    <cfRule type="containsText" dxfId="667" priority="38" operator="containsText" text="Não">
      <formula>NOT(ISERROR(SEARCH("Não",K178)))</formula>
    </cfRule>
  </conditionalFormatting>
  <conditionalFormatting sqref="K199">
    <cfRule type="containsText" dxfId="666" priority="37" operator="containsText" text="Não">
      <formula>NOT(ISERROR(SEARCH("Não",K199)))</formula>
    </cfRule>
  </conditionalFormatting>
  <conditionalFormatting sqref="K206">
    <cfRule type="containsText" dxfId="665" priority="36" operator="containsText" text="Não">
      <formula>NOT(ISERROR(SEARCH("Não",K206)))</formula>
    </cfRule>
  </conditionalFormatting>
  <conditionalFormatting sqref="K212">
    <cfRule type="containsText" dxfId="664" priority="35" operator="containsText" text="Não">
      <formula>NOT(ISERROR(SEARCH("Não",K212)))</formula>
    </cfRule>
  </conditionalFormatting>
  <conditionalFormatting sqref="K219">
    <cfRule type="containsText" dxfId="663" priority="34" operator="containsText" text="Não">
      <formula>NOT(ISERROR(SEARCH("Não",K219)))</formula>
    </cfRule>
  </conditionalFormatting>
  <conditionalFormatting sqref="K230">
    <cfRule type="containsText" dxfId="662" priority="33" operator="containsText" text="Não">
      <formula>NOT(ISERROR(SEARCH("Não",K230)))</formula>
    </cfRule>
  </conditionalFormatting>
  <conditionalFormatting sqref="K234:K237">
    <cfRule type="containsText" dxfId="661" priority="32" operator="containsText" text="Não">
      <formula>NOT(ISERROR(SEARCH("Não",K234)))</formula>
    </cfRule>
  </conditionalFormatting>
  <conditionalFormatting sqref="K240:K243">
    <cfRule type="containsText" dxfId="660" priority="31" operator="containsText" text="Não">
      <formula>NOT(ISERROR(SEARCH("Não",K240)))</formula>
    </cfRule>
  </conditionalFormatting>
  <conditionalFormatting sqref="K246:K248">
    <cfRule type="containsText" dxfId="659" priority="30" operator="containsText" text="Não">
      <formula>NOT(ISERROR(SEARCH("Não",K246)))</formula>
    </cfRule>
  </conditionalFormatting>
  <conditionalFormatting sqref="K250">
    <cfRule type="containsText" dxfId="658" priority="29" operator="containsText" text="Não">
      <formula>NOT(ISERROR(SEARCH("Não",K250)))</formula>
    </cfRule>
  </conditionalFormatting>
  <conditionalFormatting sqref="K255">
    <cfRule type="containsText" dxfId="657" priority="28" operator="containsText" text="Não">
      <formula>NOT(ISERROR(SEARCH("Não",K255)))</formula>
    </cfRule>
  </conditionalFormatting>
  <conditionalFormatting sqref="K256">
    <cfRule type="containsText" dxfId="656" priority="27" operator="containsText" text="Não">
      <formula>NOT(ISERROR(SEARCH("Não",K256)))</formula>
    </cfRule>
  </conditionalFormatting>
  <conditionalFormatting sqref="K257">
    <cfRule type="containsText" dxfId="655" priority="26" operator="containsText" text="Não">
      <formula>NOT(ISERROR(SEARCH("Não",K257)))</formula>
    </cfRule>
  </conditionalFormatting>
  <conditionalFormatting sqref="K267">
    <cfRule type="containsText" dxfId="654" priority="25" operator="containsText" text="Não">
      <formula>NOT(ISERROR(SEARCH("Não",K267)))</formula>
    </cfRule>
  </conditionalFormatting>
  <conditionalFormatting sqref="K270">
    <cfRule type="containsText" dxfId="653" priority="24" operator="containsText" text="Não">
      <formula>NOT(ISERROR(SEARCH("Não",K270)))</formula>
    </cfRule>
  </conditionalFormatting>
  <conditionalFormatting sqref="K272">
    <cfRule type="containsText" dxfId="652" priority="23" operator="containsText" text="Não">
      <formula>NOT(ISERROR(SEARCH("Não",K272)))</formula>
    </cfRule>
  </conditionalFormatting>
  <conditionalFormatting sqref="K274">
    <cfRule type="containsText" dxfId="651" priority="22" operator="containsText" text="Não">
      <formula>NOT(ISERROR(SEARCH("Não",K274)))</formula>
    </cfRule>
  </conditionalFormatting>
  <conditionalFormatting sqref="K278">
    <cfRule type="containsText" dxfId="650" priority="21" operator="containsText" text="Não">
      <formula>NOT(ISERROR(SEARCH("Não",K278)))</formula>
    </cfRule>
  </conditionalFormatting>
  <conditionalFormatting sqref="K279">
    <cfRule type="containsText" dxfId="649" priority="20" operator="containsText" text="Não">
      <formula>NOT(ISERROR(SEARCH("Não",K279)))</formula>
    </cfRule>
  </conditionalFormatting>
  <conditionalFormatting sqref="K281">
    <cfRule type="containsText" dxfId="648" priority="19" operator="containsText" text="Não">
      <formula>NOT(ISERROR(SEARCH("Não",K281)))</formula>
    </cfRule>
  </conditionalFormatting>
  <conditionalFormatting sqref="K283:K286">
    <cfRule type="containsText" dxfId="647" priority="18" operator="containsText" text="Não">
      <formula>NOT(ISERROR(SEARCH("Não",K283)))</formula>
    </cfRule>
  </conditionalFormatting>
  <conditionalFormatting sqref="K288:K289">
    <cfRule type="containsText" dxfId="646" priority="17" operator="containsText" text="Não">
      <formula>NOT(ISERROR(SEARCH("Não",K288)))</formula>
    </cfRule>
  </conditionalFormatting>
  <conditionalFormatting sqref="K295:K296">
    <cfRule type="containsText" dxfId="645" priority="16" operator="containsText" text="Não">
      <formula>NOT(ISERROR(SEARCH("Não",K295)))</formula>
    </cfRule>
  </conditionalFormatting>
  <conditionalFormatting sqref="K304:K305">
    <cfRule type="containsText" dxfId="644" priority="15" operator="containsText" text="Não">
      <formula>NOT(ISERROR(SEARCH("Não",K304)))</formula>
    </cfRule>
  </conditionalFormatting>
  <conditionalFormatting sqref="K307:K310">
    <cfRule type="containsText" dxfId="643" priority="14" operator="containsText" text="Não">
      <formula>NOT(ISERROR(SEARCH("Não",K307)))</formula>
    </cfRule>
  </conditionalFormatting>
  <conditionalFormatting sqref="K312:K314">
    <cfRule type="containsText" dxfId="642" priority="13" operator="containsText" text="Não">
      <formula>NOT(ISERROR(SEARCH("Não",K312)))</formula>
    </cfRule>
  </conditionalFormatting>
  <conditionalFormatting sqref="K316:K318">
    <cfRule type="containsText" dxfId="641" priority="12" operator="containsText" text="Não">
      <formula>NOT(ISERROR(SEARCH("Não",K316)))</formula>
    </cfRule>
  </conditionalFormatting>
  <conditionalFormatting sqref="K320:K321">
    <cfRule type="containsText" dxfId="640" priority="11" operator="containsText" text="Não">
      <formula>NOT(ISERROR(SEARCH("Não",K320)))</formula>
    </cfRule>
  </conditionalFormatting>
  <conditionalFormatting sqref="K325:K326">
    <cfRule type="containsText" dxfId="639" priority="10" operator="containsText" text="Não">
      <formula>NOT(ISERROR(SEARCH("Não",K325)))</formula>
    </cfRule>
  </conditionalFormatting>
  <conditionalFormatting sqref="K333">
    <cfRule type="containsText" dxfId="638" priority="9" operator="containsText" text="Não">
      <formula>NOT(ISERROR(SEARCH("Não",K333)))</formula>
    </cfRule>
  </conditionalFormatting>
  <conditionalFormatting sqref="K336:K337">
    <cfRule type="containsText" dxfId="637" priority="8" operator="containsText" text="Não">
      <formula>NOT(ISERROR(SEARCH("Não",K336)))</formula>
    </cfRule>
  </conditionalFormatting>
  <conditionalFormatting sqref="K339:K340">
    <cfRule type="containsText" dxfId="636" priority="7" operator="containsText" text="Não">
      <formula>NOT(ISERROR(SEARCH("Não",K339)))</formula>
    </cfRule>
  </conditionalFormatting>
  <conditionalFormatting sqref="K343:K345">
    <cfRule type="containsText" dxfId="635" priority="6" operator="containsText" text="Não">
      <formula>NOT(ISERROR(SEARCH("Não",K343)))</formula>
    </cfRule>
  </conditionalFormatting>
  <conditionalFormatting sqref="K349:K350">
    <cfRule type="containsText" dxfId="634" priority="5" operator="containsText" text="Não">
      <formula>NOT(ISERROR(SEARCH("Não",K349)))</formula>
    </cfRule>
  </conditionalFormatting>
  <conditionalFormatting sqref="K352">
    <cfRule type="containsText" dxfId="633" priority="4" operator="containsText" text="Não">
      <formula>NOT(ISERROR(SEARCH("Não",K352)))</formula>
    </cfRule>
  </conditionalFormatting>
  <conditionalFormatting sqref="K354">
    <cfRule type="containsText" dxfId="632" priority="3" operator="containsText" text="Não">
      <formula>NOT(ISERROR(SEARCH("Não",K354)))</formula>
    </cfRule>
  </conditionalFormatting>
  <conditionalFormatting sqref="K4">
    <cfRule type="containsText" dxfId="631" priority="1" operator="containsText" text="Não">
      <formula>NOT(ISERROR(SEARCH("Não",K4)))</formula>
    </cfRule>
  </conditionalFormatting>
  <conditionalFormatting sqref="J4">
    <cfRule type="containsText" dxfId="630" priority="2" operator="containsText" text="Não">
      <formula>NOT(ISERROR(SEARCH("Não",J4)))</formula>
    </cfRule>
  </conditionalFormatting>
  <dataValidations count="4">
    <dataValidation type="list" allowBlank="1" showInputMessage="1" showErrorMessage="1" sqref="F96 F127 F129 F141 F162 F222:G222 F225:G225 F228:G228 F258:G258 F263:F264 F268 F275 F301:G301 F331:G331">
      <formula1>SEXO</formula1>
    </dataValidation>
    <dataValidation type="list" allowBlank="1" showInputMessage="1" showErrorMessage="1" sqref="L96 L127 L129 L141 L162 L170:L182 L222 L225 L228 L258 L263:L264 L268 L275 L301 L331">
      <formula1>LOCAL_DE_EXERCÍCIO</formula1>
    </dataValidation>
    <dataValidation type="list" allowBlank="1" showInputMessage="1" showErrorMessage="1" sqref="H96 H127 H129 H141 H162 H222 H228 H225 H258 H263:H264 H268 H275 H301 H331">
      <formula1>SITUAÇÃO</formula1>
    </dataValidation>
    <dataValidation type="list" allowBlank="1" showInputMessage="1" showErrorMessage="1" sqref="F195:H195 L195">
      <formula1>#REF!</formula1>
    </dataValidation>
  </dataValidations>
  <pageMargins left="0.511811024" right="0.511811024" top="0.78740157499999996" bottom="0.78740157499999996" header="0.31496062000000002" footer="0.31496062000000002"/>
  <pageSetup paperSize="9" scale="6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'I:\CGRH\GAB-CGRH\Carlos Eduardo - Trabalho\MeusDocumentos\GESTÃO CGRH\[Planinha Gestão RH JULHO 20-07-2020 display V1.xlsm]LISTA2'!#REF!</xm:f>
          </x14:formula1>
          <xm:sqref>G96 G127 G129 G141 G162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dimension ref="A1:H316"/>
  <sheetViews>
    <sheetView showGridLines="0" workbookViewId="0">
      <selection sqref="A1:H1"/>
    </sheetView>
  </sheetViews>
  <sheetFormatPr defaultColWidth="0" defaultRowHeight="15" zeroHeight="1" x14ac:dyDescent="0.25"/>
  <cols>
    <col min="1" max="1" width="94" customWidth="1"/>
    <col min="2" max="2" width="85" customWidth="1"/>
    <col min="3" max="3" width="15.28515625" customWidth="1"/>
    <col min="4" max="4" width="0" hidden="1" customWidth="1"/>
    <col min="5" max="5" width="1.7109375" hidden="1" customWidth="1"/>
    <col min="6" max="6" width="18" customWidth="1"/>
    <col min="7" max="7" width="19.42578125" customWidth="1"/>
    <col min="8" max="8" width="4.42578125" customWidth="1"/>
    <col min="9" max="16384" width="9.140625" hidden="1"/>
  </cols>
  <sheetData>
    <row r="1" spans="1:8" ht="43.5" customHeight="1" x14ac:dyDescent="0.25">
      <c r="A1" s="534" t="s">
        <v>59</v>
      </c>
      <c r="B1" s="534"/>
      <c r="C1" s="534"/>
      <c r="D1" s="534"/>
      <c r="E1" s="534"/>
      <c r="F1" s="534"/>
      <c r="G1" s="534"/>
      <c r="H1" s="534"/>
    </row>
    <row r="2" spans="1:8" x14ac:dyDescent="0.25"/>
    <row r="3" spans="1:8" ht="54" customHeight="1" x14ac:dyDescent="0.25">
      <c r="A3" s="221" t="str">
        <f>[1]IDFUNÇÃO!A3</f>
        <v>UNIDADE</v>
      </c>
      <c r="B3" s="221" t="str">
        <f>[1]IDFUNÇÃO!B3</f>
        <v>DENOMINAÇÃO CARGO/FUNÇÃO</v>
      </c>
      <c r="C3" s="221" t="str">
        <f>[1]IDFUNÇÃO!C3</f>
        <v>NE/DAS/FCPE</v>
      </c>
      <c r="D3" s="222" t="str">
        <f>[1]IDFUNÇÃO!D3</f>
        <v>ID FUNÇÃO</v>
      </c>
      <c r="E3" s="222" t="str">
        <f>[1]IDFUNÇÃO!E3</f>
        <v>ID SUBSTITUIÇÃO</v>
      </c>
      <c r="F3" s="222" t="str">
        <f>[1]IDFUNÇÃO!F3</f>
        <v>OBSERVAÇÃO           ID FUNÇÃO</v>
      </c>
      <c r="G3" s="222" t="str">
        <f>[1]IDFUNÇÃO!G3</f>
        <v>OBSERVAÇÃO           ID SUBSTITUIÇÃO</v>
      </c>
    </row>
    <row r="4" spans="1:8" ht="8.25" customHeight="1" x14ac:dyDescent="0.25">
      <c r="A4" s="193"/>
      <c r="B4" s="193"/>
      <c r="C4" s="194"/>
      <c r="D4" s="194"/>
      <c r="E4" s="194"/>
      <c r="F4" s="195"/>
      <c r="G4" s="195"/>
    </row>
    <row r="5" spans="1:8" x14ac:dyDescent="0.25">
      <c r="A5" s="196" t="str">
        <f>[1]IDFUNÇÃO!A5</f>
        <v>MME</v>
      </c>
      <c r="B5" s="197" t="str">
        <f>[1]IDFUNÇÃO!B5</f>
        <v>Ministro de Estado</v>
      </c>
      <c r="C5" s="198" t="str">
        <f>[1]IDFUNÇÃO!C5</f>
        <v>NE</v>
      </c>
      <c r="D5" s="199" t="str">
        <f>[1]IDFUNÇÃO!D5</f>
        <v>MIN01</v>
      </c>
      <c r="E5" s="199" t="str">
        <f>[1]IDFUNÇÃO!E5</f>
        <v>MIN01S</v>
      </c>
      <c r="F5" s="200" t="str">
        <f>[1]IDFUNÇÃO!F5</f>
        <v>OCUPADA</v>
      </c>
      <c r="G5" s="200" t="str">
        <f>[1]IDFUNÇÃO!G5</f>
        <v>OCUPADA</v>
      </c>
    </row>
    <row r="6" spans="1:8" ht="8.25" customHeight="1" x14ac:dyDescent="0.25">
      <c r="A6" s="201"/>
      <c r="B6" s="201"/>
      <c r="C6" s="202"/>
      <c r="D6" s="202"/>
      <c r="E6" s="202"/>
      <c r="F6" s="195"/>
      <c r="G6" s="195"/>
    </row>
    <row r="7" spans="1:8" x14ac:dyDescent="0.25">
      <c r="A7" s="544" t="str">
        <f>[1]IDFUNÇÃO!A7</f>
        <v>ESCRITÓRIO RIO DE JANEIRO/RJ</v>
      </c>
      <c r="B7" s="197" t="str">
        <f>[1]IDFUNÇÃO!B7</f>
        <v>Chefe de Escritório</v>
      </c>
      <c r="C7" s="198" t="str">
        <f>[1]IDFUNÇÃO!C7</f>
        <v>DAS 101.4</v>
      </c>
      <c r="D7" s="199" t="str">
        <f>[1]IDFUNÇÃO!D7</f>
        <v>TEMP01</v>
      </c>
      <c r="E7" s="199" t="str">
        <f>[1]IDFUNÇÃO!E7</f>
        <v>TEMP01S</v>
      </c>
      <c r="F7" s="200" t="str">
        <f>[1]IDFUNÇÃO!F7</f>
        <v>OCUPADA</v>
      </c>
      <c r="G7" s="200" t="str">
        <f>[1]IDFUNÇÃO!G7</f>
        <v>VAZIA</v>
      </c>
    </row>
    <row r="8" spans="1:8" x14ac:dyDescent="0.25">
      <c r="A8" s="542"/>
      <c r="B8" s="197" t="str">
        <f>[1]IDFUNÇÃO!B8</f>
        <v>Assessor Técnico</v>
      </c>
      <c r="C8" s="198" t="str">
        <f>[1]IDFUNÇÃO!C8</f>
        <v>DAS 102.3</v>
      </c>
      <c r="D8" s="199" t="str">
        <f>[1]IDFUNÇÃO!D8</f>
        <v>TEMP02</v>
      </c>
      <c r="E8" s="550"/>
      <c r="F8" s="200" t="str">
        <f>[1]IDFUNÇÃO!F8</f>
        <v>OCUPADA</v>
      </c>
      <c r="G8" s="550"/>
    </row>
    <row r="9" spans="1:8" x14ac:dyDescent="0.25">
      <c r="A9" s="542"/>
      <c r="B9" s="197" t="str">
        <f>[1]IDFUNÇÃO!B9</f>
        <v>Assessor Técnico</v>
      </c>
      <c r="C9" s="198" t="str">
        <f>[1]IDFUNÇÃO!C9</f>
        <v>DAS 102.3</v>
      </c>
      <c r="D9" s="199" t="str">
        <f>[1]IDFUNÇÃO!D9</f>
        <v>TEMP03</v>
      </c>
      <c r="E9" s="550"/>
      <c r="F9" s="200" t="str">
        <f>[1]IDFUNÇÃO!F9</f>
        <v>OCUPADA</v>
      </c>
      <c r="G9" s="550"/>
    </row>
    <row r="10" spans="1:8" x14ac:dyDescent="0.25">
      <c r="A10" s="543"/>
      <c r="B10" s="197" t="str">
        <f>[1]IDFUNÇÃO!B10</f>
        <v>Assessor Técnico</v>
      </c>
      <c r="C10" s="203" t="str">
        <f>[1]IDFUNÇÃO!C10</f>
        <v>DAS 102.3</v>
      </c>
      <c r="D10" s="199" t="str">
        <f>[1]IDFUNÇÃO!D10</f>
        <v>TEMP04</v>
      </c>
      <c r="E10" s="550"/>
      <c r="F10" s="200" t="str">
        <f>[1]IDFUNÇÃO!F10</f>
        <v>OCUPADA</v>
      </c>
      <c r="G10" s="550"/>
    </row>
    <row r="11" spans="1:8" ht="8.25" customHeight="1" x14ac:dyDescent="0.25">
      <c r="A11" s="201"/>
      <c r="B11" s="201"/>
      <c r="C11" s="202"/>
      <c r="D11" s="202"/>
      <c r="E11" s="202"/>
      <c r="F11" s="195"/>
      <c r="G11" s="195"/>
    </row>
    <row r="12" spans="1:8" x14ac:dyDescent="0.25">
      <c r="A12" s="544" t="str">
        <f>[1]IDFUNÇÃO!A12</f>
        <v>ASSESSORES DO MINISTRO</v>
      </c>
      <c r="B12" s="197" t="str">
        <f>[1]IDFUNÇÃO!B12</f>
        <v>Assessor Especial</v>
      </c>
      <c r="C12" s="198" t="str">
        <f>[1]IDFUNÇÃO!C12</f>
        <v>DAS 102.5</v>
      </c>
      <c r="D12" s="199" t="str">
        <f>[1]IDFUNÇÃO!D12</f>
        <v>GM01</v>
      </c>
      <c r="E12" s="539"/>
      <c r="F12" s="200" t="str">
        <f>[1]IDFUNÇÃO!F12</f>
        <v>OCUPADA</v>
      </c>
      <c r="G12" s="539"/>
    </row>
    <row r="13" spans="1:8" x14ac:dyDescent="0.25">
      <c r="A13" s="542"/>
      <c r="B13" s="197" t="str">
        <f>[1]IDFUNÇÃO!B13</f>
        <v>Assessor Especial</v>
      </c>
      <c r="C13" s="198" t="str">
        <f>[1]IDFUNÇÃO!C13</f>
        <v>DAS 102.5</v>
      </c>
      <c r="D13" s="199" t="str">
        <f>[1]IDFUNÇÃO!D13</f>
        <v>GM02</v>
      </c>
      <c r="E13" s="539"/>
      <c r="F13" s="200" t="str">
        <f>[1]IDFUNÇÃO!F13</f>
        <v>OCUPADA</v>
      </c>
      <c r="G13" s="539"/>
    </row>
    <row r="14" spans="1:8" x14ac:dyDescent="0.25">
      <c r="A14" s="542"/>
      <c r="B14" s="197" t="str">
        <f>[1]IDFUNÇÃO!B14</f>
        <v>Assessor Especial</v>
      </c>
      <c r="C14" s="198" t="str">
        <f>[1]IDFUNÇÃO!C14</f>
        <v>DAS 102.5</v>
      </c>
      <c r="D14" s="199" t="str">
        <f>[1]IDFUNÇÃO!D14</f>
        <v>GM03</v>
      </c>
      <c r="E14" s="539"/>
      <c r="F14" s="200" t="str">
        <f>[1]IDFUNÇÃO!F14</f>
        <v>OCUPADA</v>
      </c>
      <c r="G14" s="539"/>
    </row>
    <row r="15" spans="1:8" x14ac:dyDescent="0.25">
      <c r="A15" s="542"/>
      <c r="B15" s="197" t="str">
        <f>[1]IDFUNÇÃO!B15</f>
        <v>Assessor Especial</v>
      </c>
      <c r="C15" s="198" t="str">
        <f>[1]IDFUNÇÃO!C15</f>
        <v>DAS 102.5</v>
      </c>
      <c r="D15" s="199" t="str">
        <f>[1]IDFUNÇÃO!D15</f>
        <v>GM04</v>
      </c>
      <c r="E15" s="539"/>
      <c r="F15" s="200" t="str">
        <f>[1]IDFUNÇÃO!F15</f>
        <v>OCUPADA</v>
      </c>
      <c r="G15" s="539"/>
    </row>
    <row r="16" spans="1:8" x14ac:dyDescent="0.25">
      <c r="A16" s="542"/>
      <c r="B16" s="197" t="str">
        <f>[1]IDFUNÇÃO!B16</f>
        <v>Assessor Especial</v>
      </c>
      <c r="C16" s="198" t="str">
        <f>[1]IDFUNÇÃO!C16</f>
        <v>DAS 102.5</v>
      </c>
      <c r="D16" s="199" t="str">
        <f>[1]IDFUNÇÃO!D16</f>
        <v>GM05</v>
      </c>
      <c r="E16" s="539"/>
      <c r="F16" s="200" t="str">
        <f>[1]IDFUNÇÃO!F16</f>
        <v>OCUPADA</v>
      </c>
      <c r="G16" s="539"/>
    </row>
    <row r="17" spans="1:7" x14ac:dyDescent="0.25">
      <c r="A17" s="542"/>
      <c r="B17" s="197" t="str">
        <f>[1]IDFUNÇÃO!B17</f>
        <v>Diretor de Programa</v>
      </c>
      <c r="C17" s="198" t="str">
        <f>[1]IDFUNÇÃO!C17</f>
        <v>DAS 101.5</v>
      </c>
      <c r="D17" s="199" t="str">
        <f>[1]IDFUNÇÃO!D17</f>
        <v>GM06</v>
      </c>
      <c r="E17" s="204" t="str">
        <f>[1]IDFUNÇÃO!E17</f>
        <v>GM01S</v>
      </c>
      <c r="F17" s="200" t="str">
        <f>[1]IDFUNÇÃO!F17</f>
        <v>OCUPADA</v>
      </c>
      <c r="G17" s="200" t="str">
        <f>[1]IDFUNÇÃO!G17</f>
        <v>VAZIA</v>
      </c>
    </row>
    <row r="18" spans="1:7" x14ac:dyDescent="0.25">
      <c r="A18" s="542"/>
      <c r="B18" s="197" t="str">
        <f>[1]IDFUNÇÃO!B18</f>
        <v>Diretor de Programa</v>
      </c>
      <c r="C18" s="198" t="str">
        <f>[1]IDFUNÇÃO!C18</f>
        <v>DAS 101.5</v>
      </c>
      <c r="D18" s="199" t="str">
        <f>[1]IDFUNÇÃO!D18</f>
        <v>GM07</v>
      </c>
      <c r="E18" s="204" t="str">
        <f>[1]IDFUNÇÃO!E18</f>
        <v>GM02S</v>
      </c>
      <c r="F18" s="200" t="str">
        <f>[1]IDFUNÇÃO!F18</f>
        <v>VAZIA</v>
      </c>
      <c r="G18" s="200" t="str">
        <f>[1]IDFUNÇÃO!G18</f>
        <v>VAZIA</v>
      </c>
    </row>
    <row r="19" spans="1:7" x14ac:dyDescent="0.25">
      <c r="A19" s="542"/>
      <c r="B19" s="197" t="str">
        <f>[1]IDFUNÇÃO!B19</f>
        <v>Assessor</v>
      </c>
      <c r="C19" s="198" t="str">
        <f>[1]IDFUNÇÃO!C19</f>
        <v>DAS 102.4</v>
      </c>
      <c r="D19" s="199" t="str">
        <f>[1]IDFUNÇÃO!D19</f>
        <v>GM08</v>
      </c>
      <c r="E19" s="539"/>
      <c r="F19" s="200" t="str">
        <f>[1]IDFUNÇÃO!F19</f>
        <v>OCUPADA</v>
      </c>
      <c r="G19" s="539"/>
    </row>
    <row r="20" spans="1:7" x14ac:dyDescent="0.25">
      <c r="A20" s="542"/>
      <c r="B20" s="197" t="str">
        <f>[1]IDFUNÇÃO!B20</f>
        <v>Assessor</v>
      </c>
      <c r="C20" s="198" t="str">
        <f>[1]IDFUNÇÃO!C20</f>
        <v>DAS 102.4</v>
      </c>
      <c r="D20" s="199" t="str">
        <f>[1]IDFUNÇÃO!D20</f>
        <v>GM09</v>
      </c>
      <c r="E20" s="539"/>
      <c r="F20" s="200" t="str">
        <f>[1]IDFUNÇÃO!F20</f>
        <v>OCUPADA</v>
      </c>
      <c r="G20" s="539"/>
    </row>
    <row r="21" spans="1:7" x14ac:dyDescent="0.25">
      <c r="A21" s="542"/>
      <c r="B21" s="197" t="str">
        <f>[1]IDFUNÇÃO!B21</f>
        <v>Assessor</v>
      </c>
      <c r="C21" s="198" t="str">
        <f>[1]IDFUNÇÃO!C21</f>
        <v>DAS 102.4</v>
      </c>
      <c r="D21" s="199" t="str">
        <f>[1]IDFUNÇÃO!D21</f>
        <v>GM10</v>
      </c>
      <c r="E21" s="539"/>
      <c r="F21" s="200" t="str">
        <f>[1]IDFUNÇÃO!F21</f>
        <v>OCUPADA</v>
      </c>
      <c r="G21" s="539"/>
    </row>
    <row r="22" spans="1:7" x14ac:dyDescent="0.25">
      <c r="A22" s="205"/>
      <c r="B22" s="197" t="str">
        <f>[1]IDFUNÇÃO!B22</f>
        <v>Assessor</v>
      </c>
      <c r="C22" s="198" t="str">
        <f>[1]IDFUNÇÃO!C22</f>
        <v>DAS 102.4</v>
      </c>
      <c r="D22" s="199" t="str">
        <f>[1]IDFUNÇÃO!D22</f>
        <v>GM45</v>
      </c>
      <c r="E22" s="539"/>
      <c r="F22" s="200" t="str">
        <f>[1]IDFUNÇÃO!F22</f>
        <v>OCUPADA</v>
      </c>
      <c r="G22" s="539"/>
    </row>
    <row r="23" spans="1:7" x14ac:dyDescent="0.25">
      <c r="A23" s="205"/>
      <c r="B23" s="197" t="str">
        <f>[1]IDFUNÇÃO!B23</f>
        <v>Assessor</v>
      </c>
      <c r="C23" s="198" t="str">
        <f>[1]IDFUNÇÃO!C23</f>
        <v>DAS 102.4</v>
      </c>
      <c r="D23" s="199" t="str">
        <f>[1]IDFUNÇÃO!D23</f>
        <v>GM46</v>
      </c>
      <c r="E23" s="539"/>
      <c r="F23" s="200" t="str">
        <f>[1]IDFUNÇÃO!F23</f>
        <v>OCUPADA</v>
      </c>
      <c r="G23" s="539"/>
    </row>
    <row r="24" spans="1:7" x14ac:dyDescent="0.25">
      <c r="A24" s="205"/>
      <c r="B24" s="197" t="str">
        <f>[1]IDFUNÇÃO!B24</f>
        <v>Assessor</v>
      </c>
      <c r="C24" s="198" t="str">
        <f>[1]IDFUNÇÃO!C24</f>
        <v>DAS 102.4</v>
      </c>
      <c r="D24" s="199" t="str">
        <f>[1]IDFUNÇÃO!D24</f>
        <v>GM47</v>
      </c>
      <c r="E24" s="539"/>
      <c r="F24" s="200" t="str">
        <f>[1]IDFUNÇÃO!F24</f>
        <v>VAZIA</v>
      </c>
      <c r="G24" s="539"/>
    </row>
    <row r="25" spans="1:7" x14ac:dyDescent="0.25">
      <c r="A25" s="205"/>
      <c r="B25" s="197" t="str">
        <f>[1]IDFUNÇÃO!B25</f>
        <v>Assessor</v>
      </c>
      <c r="C25" s="198" t="str">
        <f>[1]IDFUNÇÃO!C25</f>
        <v>DAS 102.4</v>
      </c>
      <c r="D25" s="199" t="str">
        <f>[1]IDFUNÇÃO!D25</f>
        <v>GM48</v>
      </c>
      <c r="E25" s="539"/>
      <c r="F25" s="200" t="str">
        <f>[1]IDFUNÇÃO!F25</f>
        <v>VAZIA</v>
      </c>
      <c r="G25" s="539"/>
    </row>
    <row r="26" spans="1:7" x14ac:dyDescent="0.25">
      <c r="A26" s="205"/>
      <c r="B26" s="197" t="str">
        <f>[1]IDFUNÇÃO!B26</f>
        <v>Assessor Técnico</v>
      </c>
      <c r="C26" s="198" t="str">
        <f>[1]IDFUNÇÃO!C26</f>
        <v>DAS 102.3</v>
      </c>
      <c r="D26" s="199" t="str">
        <f>[1]IDFUNÇÃO!D26</f>
        <v>GM49</v>
      </c>
      <c r="E26" s="539"/>
      <c r="F26" s="200" t="str">
        <f>[1]IDFUNÇÃO!F26</f>
        <v>VAZIA</v>
      </c>
      <c r="G26" s="539"/>
    </row>
    <row r="27" spans="1:7" x14ac:dyDescent="0.25">
      <c r="A27" s="205"/>
      <c r="B27" s="197" t="str">
        <f>[1]IDFUNÇÃO!B27</f>
        <v>Assessor Técnico</v>
      </c>
      <c r="C27" s="198" t="str">
        <f>[1]IDFUNÇÃO!C27</f>
        <v>DAS 102.3</v>
      </c>
      <c r="D27" s="199" t="str">
        <f>[1]IDFUNÇÃO!D27</f>
        <v>GM50</v>
      </c>
      <c r="E27" s="539"/>
      <c r="F27" s="200" t="str">
        <f>[1]IDFUNÇÃO!F27</f>
        <v>OCUPADA</v>
      </c>
      <c r="G27" s="539"/>
    </row>
    <row r="28" spans="1:7" x14ac:dyDescent="0.25">
      <c r="A28" s="205"/>
      <c r="B28" s="197" t="str">
        <f>[1]IDFUNÇÃO!B28</f>
        <v>Assessor Técnico</v>
      </c>
      <c r="C28" s="198" t="str">
        <f>[1]IDFUNÇÃO!C28</f>
        <v>DAS 102.3</v>
      </c>
      <c r="D28" s="199" t="str">
        <f>[1]IDFUNÇÃO!D28</f>
        <v>GM51</v>
      </c>
      <c r="E28" s="539"/>
      <c r="F28" s="200" t="str">
        <f>[1]IDFUNÇÃO!F28</f>
        <v>VAZIA</v>
      </c>
      <c r="G28" s="539"/>
    </row>
    <row r="29" spans="1:7" x14ac:dyDescent="0.25">
      <c r="A29" s="546" t="str">
        <f>[1]IDFUNÇÃO!A29</f>
        <v>GABINETE DO MINISTRO</v>
      </c>
      <c r="B29" s="197" t="str">
        <f>[1]IDFUNÇÃO!B29</f>
        <v>Chefe de Gabinete</v>
      </c>
      <c r="C29" s="198" t="str">
        <f>[1]IDFUNÇÃO!C29</f>
        <v>DAS 101.5</v>
      </c>
      <c r="D29" s="199" t="str">
        <f>[1]IDFUNÇÃO!D29</f>
        <v>GM11</v>
      </c>
      <c r="E29" s="204" t="str">
        <f>[1]IDFUNÇÃO!E29</f>
        <v>GM03S</v>
      </c>
      <c r="F29" s="200" t="str">
        <f>[1]IDFUNÇÃO!F29</f>
        <v>OCUPADA</v>
      </c>
      <c r="G29" s="200" t="str">
        <f>[1]IDFUNÇÃO!G29</f>
        <v>OCUPADA</v>
      </c>
    </row>
    <row r="30" spans="1:7" x14ac:dyDescent="0.25">
      <c r="A30" s="546"/>
      <c r="B30" s="197" t="str">
        <f>[1]IDFUNÇÃO!B30</f>
        <v>Assessor Técnico</v>
      </c>
      <c r="C30" s="198" t="str">
        <f>[1]IDFUNÇÃO!C30</f>
        <v>DAS 102.3</v>
      </c>
      <c r="D30" s="199" t="str">
        <f>[1]IDFUNÇÃO!D30</f>
        <v>GM12</v>
      </c>
      <c r="E30" s="539"/>
      <c r="F30" s="200" t="str">
        <f>[1]IDFUNÇÃO!F30</f>
        <v>OCUPADA</v>
      </c>
      <c r="G30" s="539"/>
    </row>
    <row r="31" spans="1:7" x14ac:dyDescent="0.25">
      <c r="A31" s="546"/>
      <c r="B31" s="197" t="str">
        <f>[1]IDFUNÇÃO!B31</f>
        <v>Assistente</v>
      </c>
      <c r="C31" s="198" t="str">
        <f>[1]IDFUNÇÃO!C31</f>
        <v>DAS 102.2</v>
      </c>
      <c r="D31" s="199" t="str">
        <f>[1]IDFUNÇÃO!D31</f>
        <v>GM13</v>
      </c>
      <c r="E31" s="539"/>
      <c r="F31" s="200" t="str">
        <f>[1]IDFUNÇÃO!F31</f>
        <v>OCUPADA</v>
      </c>
      <c r="G31" s="539"/>
    </row>
    <row r="32" spans="1:7" x14ac:dyDescent="0.25">
      <c r="A32" s="546"/>
      <c r="B32" s="197" t="str">
        <f>[1]IDFUNÇÃO!B32</f>
        <v>Assistente</v>
      </c>
      <c r="C32" s="198" t="str">
        <f>[1]IDFUNÇÃO!C32</f>
        <v>FCPE 102.2</v>
      </c>
      <c r="D32" s="199" t="str">
        <f>[1]IDFUNÇÃO!D32</f>
        <v>GM14</v>
      </c>
      <c r="E32" s="539"/>
      <c r="F32" s="200" t="str">
        <f>[1]IDFUNÇÃO!F32</f>
        <v>OCUPADA</v>
      </c>
      <c r="G32" s="539"/>
    </row>
    <row r="33" spans="1:7" x14ac:dyDescent="0.25">
      <c r="A33" s="546"/>
      <c r="B33" s="197" t="str">
        <f>[1]IDFUNÇÃO!B33</f>
        <v>Assistente</v>
      </c>
      <c r="C33" s="198" t="str">
        <f>[1]IDFUNÇÃO!C33</f>
        <v>FCPE 102.2</v>
      </c>
      <c r="D33" s="199" t="str">
        <f>[1]IDFUNÇÃO!D33</f>
        <v>GM15</v>
      </c>
      <c r="E33" s="539"/>
      <c r="F33" s="200" t="str">
        <f>[1]IDFUNÇÃO!F33</f>
        <v>OCUPADA</v>
      </c>
      <c r="G33" s="539"/>
    </row>
    <row r="34" spans="1:7" x14ac:dyDescent="0.25">
      <c r="A34" s="546"/>
      <c r="B34" s="197" t="str">
        <f>[1]IDFUNÇÃO!B34</f>
        <v>Assistente</v>
      </c>
      <c r="C34" s="198" t="str">
        <f>[1]IDFUNÇÃO!C34</f>
        <v>FCPE 102.2</v>
      </c>
      <c r="D34" s="199" t="str">
        <f>[1]IDFUNÇÃO!D34</f>
        <v>GM16</v>
      </c>
      <c r="E34" s="539"/>
      <c r="F34" s="200" t="str">
        <f>[1]IDFUNÇÃO!F34</f>
        <v>OCUPADA</v>
      </c>
      <c r="G34" s="539"/>
    </row>
    <row r="35" spans="1:7" x14ac:dyDescent="0.25">
      <c r="A35" s="542" t="str">
        <f>[1]IDFUNÇÃO!A35</f>
        <v>Assessoria Técncia e Administrativa do GM</v>
      </c>
      <c r="B35" s="197" t="str">
        <f>[1]IDFUNÇÃO!B35</f>
        <v>Chefe de Assessoria</v>
      </c>
      <c r="C35" s="198" t="str">
        <f>[1]IDFUNÇÃO!C35</f>
        <v>DAS 101.4</v>
      </c>
      <c r="D35" s="199" t="str">
        <f>[1]IDFUNÇÃO!D35</f>
        <v>GM17</v>
      </c>
      <c r="E35" s="204" t="str">
        <f>[1]IDFUNÇÃO!E35</f>
        <v>GM04S</v>
      </c>
      <c r="F35" s="200" t="str">
        <f>[1]IDFUNÇÃO!F35</f>
        <v>OCUPADA</v>
      </c>
      <c r="G35" s="200" t="str">
        <f>[1]IDFUNÇÃO!G35</f>
        <v>OCUPADA</v>
      </c>
    </row>
    <row r="36" spans="1:7" x14ac:dyDescent="0.25">
      <c r="A36" s="542"/>
      <c r="B36" s="197" t="str">
        <f>[1]IDFUNÇÃO!B36</f>
        <v>Assessor Técnico</v>
      </c>
      <c r="C36" s="198" t="str">
        <f>[1]IDFUNÇÃO!C36</f>
        <v>FCPE 102.3</v>
      </c>
      <c r="D36" s="199" t="str">
        <f>[1]IDFUNÇÃO!D36</f>
        <v>GM18</v>
      </c>
      <c r="E36" s="206"/>
      <c r="F36" s="200" t="str">
        <f>[1]IDFUNÇÃO!F36</f>
        <v>OCUPADA</v>
      </c>
      <c r="G36" s="206"/>
    </row>
    <row r="37" spans="1:7" x14ac:dyDescent="0.25">
      <c r="A37" s="542" t="str">
        <f>[1]IDFUNÇÃO!A37</f>
        <v>Coordenação de Atividades Administrativas do GM</v>
      </c>
      <c r="B37" s="197" t="str">
        <f>[1]IDFUNÇÃO!B37</f>
        <v>Coordenador</v>
      </c>
      <c r="C37" s="198" t="str">
        <f>[1]IDFUNÇÃO!C37</f>
        <v>FCPE 101.3</v>
      </c>
      <c r="D37" s="199" t="str">
        <f>[1]IDFUNÇÃO!D37</f>
        <v>GM19</v>
      </c>
      <c r="E37" s="204" t="str">
        <f>[1]IDFUNÇÃO!E37</f>
        <v>GM05S</v>
      </c>
      <c r="F37" s="200" t="str">
        <f>[1]IDFUNÇÃO!F37</f>
        <v>OCUPADA</v>
      </c>
      <c r="G37" s="200" t="str">
        <f>[1]IDFUNÇÃO!G37</f>
        <v>VAZIA</v>
      </c>
    </row>
    <row r="38" spans="1:7" x14ac:dyDescent="0.25">
      <c r="A38" s="542"/>
      <c r="B38" s="197" t="str">
        <f>[1]IDFUNÇÃO!B38</f>
        <v>Assistente</v>
      </c>
      <c r="C38" s="198" t="str">
        <f>[1]IDFUNÇÃO!C38</f>
        <v>DAS 102.2</v>
      </c>
      <c r="D38" s="199" t="str">
        <f>[1]IDFUNÇÃO!D38</f>
        <v>GM20</v>
      </c>
      <c r="E38" s="539"/>
      <c r="F38" s="200" t="str">
        <f>[1]IDFUNÇÃO!F38</f>
        <v>OCUPADA</v>
      </c>
      <c r="G38" s="539"/>
    </row>
    <row r="39" spans="1:7" x14ac:dyDescent="0.25">
      <c r="A39" s="542"/>
      <c r="B39" s="197" t="str">
        <f>[1]IDFUNÇÃO!B39</f>
        <v>Assistente Técnico</v>
      </c>
      <c r="C39" s="198" t="str">
        <f>[1]IDFUNÇÃO!C39</f>
        <v>DAS 102.1</v>
      </c>
      <c r="D39" s="199" t="str">
        <f>[1]IDFUNÇÃO!D39</f>
        <v>GM21</v>
      </c>
      <c r="E39" s="539"/>
      <c r="F39" s="200" t="str">
        <f>[1]IDFUNÇÃO!F39</f>
        <v>OCUPADA</v>
      </c>
      <c r="G39" s="539"/>
    </row>
    <row r="40" spans="1:7" x14ac:dyDescent="0.25">
      <c r="A40" s="542"/>
      <c r="B40" s="197" t="str">
        <f>[1]IDFUNÇÃO!B40</f>
        <v>Assistente Técnico</v>
      </c>
      <c r="C40" s="198" t="str">
        <f>[1]IDFUNÇÃO!C40</f>
        <v>FCPE 102.1</v>
      </c>
      <c r="D40" s="199" t="str">
        <f>[1]IDFUNÇÃO!D40</f>
        <v>GM22</v>
      </c>
      <c r="E40" s="539"/>
      <c r="F40" s="200" t="str">
        <f>[1]IDFUNÇÃO!F40</f>
        <v>OCUPADA</v>
      </c>
      <c r="G40" s="539"/>
    </row>
    <row r="41" spans="1:7" x14ac:dyDescent="0.25">
      <c r="A41" s="542"/>
      <c r="B41" s="197" t="str">
        <f>[1]IDFUNÇÃO!B41</f>
        <v>Assistente Técnico</v>
      </c>
      <c r="C41" s="198" t="str">
        <f>[1]IDFUNÇÃO!C41</f>
        <v>FCPE 102.1</v>
      </c>
      <c r="D41" s="199" t="str">
        <f>[1]IDFUNÇÃO!D41</f>
        <v>GM23</v>
      </c>
      <c r="E41" s="539"/>
      <c r="F41" s="200" t="str">
        <f>[1]IDFUNÇÃO!F41</f>
        <v>OCUPADA</v>
      </c>
      <c r="G41" s="539"/>
    </row>
    <row r="42" spans="1:7" x14ac:dyDescent="0.25">
      <c r="A42" s="542"/>
      <c r="B42" s="197" t="str">
        <f>[1]IDFUNÇÃO!B42</f>
        <v>Assistente Técnico</v>
      </c>
      <c r="C42" s="198" t="str">
        <f>[1]IDFUNÇÃO!C42</f>
        <v>FCPE 102.1</v>
      </c>
      <c r="D42" s="199" t="str">
        <f>[1]IDFUNÇÃO!D42</f>
        <v>GM24</v>
      </c>
      <c r="E42" s="539"/>
      <c r="F42" s="200" t="str">
        <f>[1]IDFUNÇÃO!F42</f>
        <v>OCUPADA</v>
      </c>
      <c r="G42" s="539"/>
    </row>
    <row r="43" spans="1:7" x14ac:dyDescent="0.25">
      <c r="A43" s="542"/>
      <c r="B43" s="197" t="str">
        <f>[1]IDFUNÇÃO!B43</f>
        <v>Assistente Técnico</v>
      </c>
      <c r="C43" s="198" t="str">
        <f>[1]IDFUNÇÃO!C43</f>
        <v>FCPE 102.1</v>
      </c>
      <c r="D43" s="199" t="str">
        <f>[1]IDFUNÇÃO!D43</f>
        <v>GM25</v>
      </c>
      <c r="E43" s="539"/>
      <c r="F43" s="200" t="str">
        <f>[1]IDFUNÇÃO!F43</f>
        <v>OCUPADA</v>
      </c>
      <c r="G43" s="539"/>
    </row>
    <row r="44" spans="1:7" x14ac:dyDescent="0.25">
      <c r="A44" s="542" t="str">
        <f>[1]IDFUNÇÃO!A44</f>
        <v>Assessoria Parlamentar</v>
      </c>
      <c r="B44" s="197" t="str">
        <f>[1]IDFUNÇÃO!B44</f>
        <v>Chefe de Assessoria</v>
      </c>
      <c r="C44" s="198" t="str">
        <f>[1]IDFUNÇÃO!C44</f>
        <v>DAS 101.4</v>
      </c>
      <c r="D44" s="199" t="str">
        <f>[1]IDFUNÇÃO!D44</f>
        <v>GM26</v>
      </c>
      <c r="E44" s="204" t="str">
        <f>[1]IDFUNÇÃO!E44</f>
        <v>GM06S</v>
      </c>
      <c r="F44" s="200" t="str">
        <f>[1]IDFUNÇÃO!F44</f>
        <v>OCUPADA</v>
      </c>
      <c r="G44" s="200" t="str">
        <f>[1]IDFUNÇÃO!G44</f>
        <v>VAZIA</v>
      </c>
    </row>
    <row r="45" spans="1:7" x14ac:dyDescent="0.25">
      <c r="A45" s="542"/>
      <c r="B45" s="197" t="str">
        <f>[1]IDFUNÇÃO!B45</f>
        <v>Assessor Técnico</v>
      </c>
      <c r="C45" s="198" t="str">
        <f>[1]IDFUNÇÃO!C45</f>
        <v>DAS 102.3</v>
      </c>
      <c r="D45" s="199" t="str">
        <f>[1]IDFUNÇÃO!D45</f>
        <v>GM27</v>
      </c>
      <c r="E45" s="539"/>
      <c r="F45" s="200" t="str">
        <f>[1]IDFUNÇÃO!F45</f>
        <v>OCUPADA</v>
      </c>
      <c r="G45" s="539"/>
    </row>
    <row r="46" spans="1:7" x14ac:dyDescent="0.25">
      <c r="A46" s="542"/>
      <c r="B46" s="197" t="str">
        <f>[1]IDFUNÇÃO!B46</f>
        <v>Assistente Técnico</v>
      </c>
      <c r="C46" s="198" t="str">
        <f>[1]IDFUNÇÃO!C46</f>
        <v>DAS 102.1</v>
      </c>
      <c r="D46" s="199" t="str">
        <f>[1]IDFUNÇÃO!D46</f>
        <v>GM28</v>
      </c>
      <c r="E46" s="539"/>
      <c r="F46" s="200" t="str">
        <f>[1]IDFUNÇÃO!F46</f>
        <v>OCUPADA</v>
      </c>
      <c r="G46" s="539"/>
    </row>
    <row r="47" spans="1:7" x14ac:dyDescent="0.25">
      <c r="A47" s="542"/>
      <c r="B47" s="197" t="str">
        <f>[1]IDFUNÇÃO!B47</f>
        <v>Assistente Técnico</v>
      </c>
      <c r="C47" s="198" t="str">
        <f>[1]IDFUNÇÃO!C47</f>
        <v>DAS 102.1</v>
      </c>
      <c r="D47" s="199" t="str">
        <f>[1]IDFUNÇÃO!D47</f>
        <v>GM29</v>
      </c>
      <c r="E47" s="539"/>
      <c r="F47" s="200" t="str">
        <f>[1]IDFUNÇÃO!F47</f>
        <v>OCUPADA</v>
      </c>
      <c r="G47" s="539"/>
    </row>
    <row r="48" spans="1:7" x14ac:dyDescent="0.25">
      <c r="A48" s="542"/>
      <c r="B48" s="197" t="str">
        <f>[1]IDFUNÇÃO!B48</f>
        <v>Assistente Técnico</v>
      </c>
      <c r="C48" s="198" t="str">
        <f>[1]IDFUNÇÃO!C48</f>
        <v>DAS 102.1</v>
      </c>
      <c r="D48" s="199" t="str">
        <f>[1]IDFUNÇÃO!D48</f>
        <v>GM30</v>
      </c>
      <c r="E48" s="539"/>
      <c r="F48" s="200" t="str">
        <f>[1]IDFUNÇÃO!F48</f>
        <v>OCUPADA</v>
      </c>
      <c r="G48" s="539"/>
    </row>
    <row r="49" spans="1:7" x14ac:dyDescent="0.25">
      <c r="A49" s="542"/>
      <c r="B49" s="197" t="str">
        <f>[1]IDFUNÇÃO!B49</f>
        <v>Assistente Técnico</v>
      </c>
      <c r="C49" s="198" t="str">
        <f>[1]IDFUNÇÃO!C49</f>
        <v>DAS 102.1</v>
      </c>
      <c r="D49" s="199" t="str">
        <f>[1]IDFUNÇÃO!D49</f>
        <v>GM31</v>
      </c>
      <c r="E49" s="539"/>
      <c r="F49" s="200" t="str">
        <f>[1]IDFUNÇÃO!F49</f>
        <v>OCUPADA</v>
      </c>
      <c r="G49" s="539"/>
    </row>
    <row r="50" spans="1:7" x14ac:dyDescent="0.25">
      <c r="A50" s="542" t="str">
        <f>[1]IDFUNÇÃO!A50</f>
        <v>Assessoria de Comunicação Social</v>
      </c>
      <c r="B50" s="197" t="str">
        <f>[1]IDFUNÇÃO!B50</f>
        <v>Chefe de Assessoria</v>
      </c>
      <c r="C50" s="198" t="str">
        <f>[1]IDFUNÇÃO!C50</f>
        <v>DAS 101.4</v>
      </c>
      <c r="D50" s="199" t="str">
        <f>[1]IDFUNÇÃO!D50</f>
        <v>GM32</v>
      </c>
      <c r="E50" s="204" t="str">
        <f>[1]IDFUNÇÃO!E50</f>
        <v>GM07S</v>
      </c>
      <c r="F50" s="200" t="str">
        <f>[1]IDFUNÇÃO!F50</f>
        <v>OCUPADA</v>
      </c>
      <c r="G50" s="200" t="str">
        <f>[1]IDFUNÇÃO!G50</f>
        <v>VAZIA</v>
      </c>
    </row>
    <row r="51" spans="1:7" x14ac:dyDescent="0.25">
      <c r="A51" s="542"/>
      <c r="B51" s="197" t="str">
        <f>[1]IDFUNÇÃO!B51</f>
        <v>Assessor Técnico</v>
      </c>
      <c r="C51" s="198" t="str">
        <f>[1]IDFUNÇÃO!C51</f>
        <v>DAS 102.3</v>
      </c>
      <c r="D51" s="199" t="str">
        <f>[1]IDFUNÇÃO!D51</f>
        <v>GM33</v>
      </c>
      <c r="E51" s="539"/>
      <c r="F51" s="200" t="str">
        <f>[1]IDFUNÇÃO!F51</f>
        <v>OCUPADA</v>
      </c>
      <c r="G51" s="539"/>
    </row>
    <row r="52" spans="1:7" x14ac:dyDescent="0.25">
      <c r="A52" s="542"/>
      <c r="B52" s="197" t="str">
        <f>[1]IDFUNÇÃO!B52</f>
        <v>Assistente</v>
      </c>
      <c r="C52" s="198" t="str">
        <f>[1]IDFUNÇÃO!C52</f>
        <v>DAS 102.2</v>
      </c>
      <c r="D52" s="199" t="str">
        <f>[1]IDFUNÇÃO!D52</f>
        <v>GM34</v>
      </c>
      <c r="E52" s="539"/>
      <c r="F52" s="200" t="str">
        <f>[1]IDFUNÇÃO!F52</f>
        <v>OCUPADA</v>
      </c>
      <c r="G52" s="539"/>
    </row>
    <row r="53" spans="1:7" x14ac:dyDescent="0.25">
      <c r="A53" s="542"/>
      <c r="B53" s="197" t="str">
        <f>[1]IDFUNÇÃO!B53</f>
        <v>Assistente</v>
      </c>
      <c r="C53" s="198" t="str">
        <f>[1]IDFUNÇÃO!C53</f>
        <v>DAS 102.2</v>
      </c>
      <c r="D53" s="199" t="str">
        <f>[1]IDFUNÇÃO!D53</f>
        <v>GM35</v>
      </c>
      <c r="E53" s="539"/>
      <c r="F53" s="200" t="str">
        <f>[1]IDFUNÇÃO!F53</f>
        <v>OCUPADA</v>
      </c>
      <c r="G53" s="539"/>
    </row>
    <row r="54" spans="1:7" x14ac:dyDescent="0.25">
      <c r="A54" s="542"/>
      <c r="B54" s="197" t="str">
        <f>[1]IDFUNÇÃO!B54</f>
        <v>Assistente</v>
      </c>
      <c r="C54" s="198" t="str">
        <f>[1]IDFUNÇÃO!C54</f>
        <v>DAS 102.2</v>
      </c>
      <c r="D54" s="199" t="str">
        <f>[1]IDFUNÇÃO!D54</f>
        <v>GM36</v>
      </c>
      <c r="E54" s="539"/>
      <c r="F54" s="200" t="str">
        <f>[1]IDFUNÇÃO!F54</f>
        <v>OCUPADA</v>
      </c>
      <c r="G54" s="539"/>
    </row>
    <row r="55" spans="1:7" x14ac:dyDescent="0.25">
      <c r="A55" s="542" t="str">
        <f>[1]IDFUNÇÃO!A55</f>
        <v>Assessoria de Apoio ao Ministro</v>
      </c>
      <c r="B55" s="197" t="str">
        <f>[1]IDFUNÇÃO!B55</f>
        <v>Chefe de Assessoria</v>
      </c>
      <c r="C55" s="198" t="str">
        <f>[1]IDFUNÇÃO!C55</f>
        <v>DAS 101.4</v>
      </c>
      <c r="D55" s="199" t="str">
        <f>[1]IDFUNÇÃO!D55</f>
        <v>GM37</v>
      </c>
      <c r="E55" s="204" t="str">
        <f>[1]IDFUNÇÃO!E55</f>
        <v>GM08S</v>
      </c>
      <c r="F55" s="200" t="str">
        <f>[1]IDFUNÇÃO!F55</f>
        <v>OCUPADA</v>
      </c>
      <c r="G55" s="200" t="str">
        <f>[1]IDFUNÇÃO!G55</f>
        <v>VAZIA</v>
      </c>
    </row>
    <row r="56" spans="1:7" x14ac:dyDescent="0.25">
      <c r="A56" s="542"/>
      <c r="B56" s="197" t="str">
        <f>[1]IDFUNÇÃO!B56</f>
        <v>Assessor</v>
      </c>
      <c r="C56" s="198" t="str">
        <f>[1]IDFUNÇÃO!C56</f>
        <v>DAS 102.4</v>
      </c>
      <c r="D56" s="199" t="str">
        <f>[1]IDFUNÇÃO!D56</f>
        <v>GM38</v>
      </c>
      <c r="E56" s="539"/>
      <c r="F56" s="200" t="str">
        <f>[1]IDFUNÇÃO!F56</f>
        <v>OCUPADA</v>
      </c>
      <c r="G56" s="539"/>
    </row>
    <row r="57" spans="1:7" x14ac:dyDescent="0.25">
      <c r="A57" s="542"/>
      <c r="B57" s="197" t="str">
        <f>[1]IDFUNÇÃO!B57</f>
        <v>Assessor Técnico</v>
      </c>
      <c r="C57" s="198" t="str">
        <f>[1]IDFUNÇÃO!C57</f>
        <v>DAS 102.3</v>
      </c>
      <c r="D57" s="199" t="str">
        <f>[1]IDFUNÇÃO!D57</f>
        <v>GM39</v>
      </c>
      <c r="E57" s="539"/>
      <c r="F57" s="200" t="str">
        <f>[1]IDFUNÇÃO!F57</f>
        <v>OCUPADA</v>
      </c>
      <c r="G57" s="539"/>
    </row>
    <row r="58" spans="1:7" x14ac:dyDescent="0.25">
      <c r="A58" s="542"/>
      <c r="B58" s="197" t="str">
        <f>[1]IDFUNÇÃO!B58</f>
        <v>Assistente</v>
      </c>
      <c r="C58" s="198" t="str">
        <f>[1]IDFUNÇÃO!C58</f>
        <v>DAS 102.2</v>
      </c>
      <c r="D58" s="199" t="str">
        <f>[1]IDFUNÇÃO!D58</f>
        <v>GM40</v>
      </c>
      <c r="E58" s="539"/>
      <c r="F58" s="200" t="str">
        <f>[1]IDFUNÇÃO!F58</f>
        <v>OCUPADA</v>
      </c>
      <c r="G58" s="539"/>
    </row>
    <row r="59" spans="1:7" x14ac:dyDescent="0.25">
      <c r="A59" s="542"/>
      <c r="B59" s="197" t="str">
        <f>[1]IDFUNÇÃO!B59</f>
        <v>Assistente Técnico</v>
      </c>
      <c r="C59" s="198" t="str">
        <f>[1]IDFUNÇÃO!C59</f>
        <v>DAS 102.1</v>
      </c>
      <c r="D59" s="199" t="str">
        <f>[1]IDFUNÇÃO!D59</f>
        <v>GM41</v>
      </c>
      <c r="E59" s="539"/>
      <c r="F59" s="200" t="str">
        <f>[1]IDFUNÇÃO!F59</f>
        <v>OCUPADA</v>
      </c>
      <c r="G59" s="539"/>
    </row>
    <row r="60" spans="1:7" x14ac:dyDescent="0.25">
      <c r="A60" s="542" t="str">
        <f>[1]IDFUNÇÃO!A60</f>
        <v>Ouvidoria-Geral</v>
      </c>
      <c r="B60" s="197" t="str">
        <f>[1]IDFUNÇÃO!B60</f>
        <v>Ouvidor-Geral</v>
      </c>
      <c r="C60" s="198" t="str">
        <f>[1]IDFUNÇÃO!C60</f>
        <v>FCPE 101.4</v>
      </c>
      <c r="D60" s="199" t="str">
        <f>[1]IDFUNÇÃO!D60</f>
        <v>GM42</v>
      </c>
      <c r="E60" s="204" t="str">
        <f>[1]IDFUNÇÃO!E60</f>
        <v>GM09S</v>
      </c>
      <c r="F60" s="200" t="str">
        <f>[1]IDFUNÇÃO!F60</f>
        <v>OCUPADA</v>
      </c>
      <c r="G60" s="200" t="str">
        <f>[1]IDFUNÇÃO!G60</f>
        <v>OCUPADA</v>
      </c>
    </row>
    <row r="61" spans="1:7" x14ac:dyDescent="0.25">
      <c r="A61" s="542"/>
      <c r="B61" s="197" t="str">
        <f>[1]IDFUNÇÃO!B61</f>
        <v>Assistente</v>
      </c>
      <c r="C61" s="198" t="str">
        <f>[1]IDFUNÇÃO!C61</f>
        <v>DAS 102.2</v>
      </c>
      <c r="D61" s="199" t="str">
        <f>[1]IDFUNÇÃO!D61</f>
        <v>GM43</v>
      </c>
      <c r="E61" s="539"/>
      <c r="F61" s="200" t="str">
        <f>[1]IDFUNÇÃO!F61</f>
        <v>OCUPADA</v>
      </c>
      <c r="G61" s="539"/>
    </row>
    <row r="62" spans="1:7" x14ac:dyDescent="0.25">
      <c r="A62" s="543"/>
      <c r="B62" s="197" t="str">
        <f>[1]IDFUNÇÃO!B62</f>
        <v>Assistente Técnico</v>
      </c>
      <c r="C62" s="198" t="str">
        <f>[1]IDFUNÇÃO!C62</f>
        <v>FCPE 102.1</v>
      </c>
      <c r="D62" s="199" t="str">
        <f>[1]IDFUNÇÃO!D62</f>
        <v>GM44</v>
      </c>
      <c r="E62" s="539"/>
      <c r="F62" s="200" t="str">
        <f>[1]IDFUNÇÃO!F62</f>
        <v>OCUPADA</v>
      </c>
      <c r="G62" s="539"/>
    </row>
    <row r="63" spans="1:7" ht="8.25" customHeight="1" x14ac:dyDescent="0.25">
      <c r="A63" s="201"/>
      <c r="B63" s="201"/>
      <c r="C63" s="202"/>
      <c r="D63" s="202"/>
      <c r="E63" s="202"/>
      <c r="F63" s="195"/>
      <c r="G63" s="195"/>
    </row>
    <row r="64" spans="1:7" x14ac:dyDescent="0.25">
      <c r="A64" s="547" t="str">
        <f>[1]IDFUNÇÃO!A64</f>
        <v>SECRETARIA-EXECUTIVA</v>
      </c>
      <c r="B64" s="197" t="str">
        <f>[1]IDFUNÇÃO!B64</f>
        <v>Secretário-Executivo</v>
      </c>
      <c r="C64" s="198" t="str">
        <f>[1]IDFUNÇÃO!C64</f>
        <v>NE</v>
      </c>
      <c r="D64" s="199" t="str">
        <f>[1]IDFUNÇÃO!D64</f>
        <v>SE01</v>
      </c>
      <c r="E64" s="199" t="str">
        <f>[1]IDFUNÇÃO!E64</f>
        <v>SE01S</v>
      </c>
      <c r="F64" s="200" t="str">
        <f>[1]IDFUNÇÃO!F64</f>
        <v>OCUPADA</v>
      </c>
      <c r="G64" s="200" t="str">
        <f>[1]IDFUNÇÃO!G64</f>
        <v>OCUPADA</v>
      </c>
    </row>
    <row r="65" spans="1:7" x14ac:dyDescent="0.25">
      <c r="A65" s="546"/>
      <c r="B65" s="197" t="str">
        <f>[1]IDFUNÇÃO!B65</f>
        <v>Secretário-Executivo Adjunto</v>
      </c>
      <c r="C65" s="198" t="str">
        <f>[1]IDFUNÇÃO!C65</f>
        <v>DAS 101.6</v>
      </c>
      <c r="D65" s="199" t="str">
        <f>[1]IDFUNÇÃO!D65</f>
        <v>SE02</v>
      </c>
      <c r="E65" s="199" t="str">
        <f>[1]IDFUNÇÃO!E65</f>
        <v>SE02S</v>
      </c>
      <c r="F65" s="200" t="str">
        <f>[1]IDFUNÇÃO!F65</f>
        <v>OCUPADA</v>
      </c>
      <c r="G65" s="200" t="str">
        <f>[1]IDFUNÇÃO!G65</f>
        <v>VAZIA</v>
      </c>
    </row>
    <row r="66" spans="1:7" x14ac:dyDescent="0.25">
      <c r="A66" s="546"/>
      <c r="B66" s="197" t="str">
        <f>[1]IDFUNÇÃO!B66</f>
        <v>Diretor de Programa</v>
      </c>
      <c r="C66" s="198" t="str">
        <f>[1]IDFUNÇÃO!C66</f>
        <v>DAS 101.5</v>
      </c>
      <c r="D66" s="199" t="str">
        <f>[1]IDFUNÇÃO!D66</f>
        <v>SE03</v>
      </c>
      <c r="E66" s="199" t="str">
        <f>[1]IDFUNÇÃO!E66</f>
        <v>SE03S</v>
      </c>
      <c r="F66" s="200" t="str">
        <f>[1]IDFUNÇÃO!F66</f>
        <v>OCUPADA</v>
      </c>
      <c r="G66" s="200" t="str">
        <f>[1]IDFUNÇÃO!G66</f>
        <v>VAZIA</v>
      </c>
    </row>
    <row r="67" spans="1:7" x14ac:dyDescent="0.25">
      <c r="A67" s="546"/>
      <c r="B67" s="197" t="str">
        <f>[1]IDFUNÇÃO!B67</f>
        <v>Diretor de Programa</v>
      </c>
      <c r="C67" s="198" t="str">
        <f>[1]IDFUNÇÃO!C67</f>
        <v>DAS 101.5</v>
      </c>
      <c r="D67" s="199" t="str">
        <f>[1]IDFUNÇÃO!D67</f>
        <v>SE04</v>
      </c>
      <c r="E67" s="199" t="str">
        <f>[1]IDFUNÇÃO!E67</f>
        <v>SE04S</v>
      </c>
      <c r="F67" s="200" t="str">
        <f>[1]IDFUNÇÃO!F67</f>
        <v>OCUPADA</v>
      </c>
      <c r="G67" s="200" t="str">
        <f>[1]IDFUNÇÃO!G67</f>
        <v>VAZIA</v>
      </c>
    </row>
    <row r="68" spans="1:7" x14ac:dyDescent="0.25">
      <c r="A68" s="546"/>
      <c r="B68" s="197" t="str">
        <f>[1]IDFUNÇÃO!B68</f>
        <v>Assessor</v>
      </c>
      <c r="C68" s="198" t="str">
        <f>[1]IDFUNÇÃO!C68</f>
        <v>DAS 102.4</v>
      </c>
      <c r="D68" s="199" t="str">
        <f>[1]IDFUNÇÃO!D68</f>
        <v>SE05</v>
      </c>
      <c r="E68" s="549"/>
      <c r="F68" s="200" t="str">
        <f>[1]IDFUNÇÃO!F68</f>
        <v>OCUPADA</v>
      </c>
      <c r="G68" s="549"/>
    </row>
    <row r="69" spans="1:7" x14ac:dyDescent="0.25">
      <c r="A69" s="546"/>
      <c r="B69" s="197" t="str">
        <f>[1]IDFUNÇÃO!B69</f>
        <v>Assessor</v>
      </c>
      <c r="C69" s="198" t="str">
        <f>[1]IDFUNÇÃO!C69</f>
        <v>DAS 102.4</v>
      </c>
      <c r="D69" s="199" t="str">
        <f>[1]IDFUNÇÃO!D69</f>
        <v>SE06</v>
      </c>
      <c r="E69" s="549"/>
      <c r="F69" s="200" t="str">
        <f>[1]IDFUNÇÃO!F69</f>
        <v>OCUPADA</v>
      </c>
      <c r="G69" s="549"/>
    </row>
    <row r="70" spans="1:7" x14ac:dyDescent="0.25">
      <c r="A70" s="546"/>
      <c r="B70" s="197" t="str">
        <f>[1]IDFUNÇÃO!B70</f>
        <v>Assessor</v>
      </c>
      <c r="C70" s="198" t="str">
        <f>[1]IDFUNÇÃO!C70</f>
        <v>DAS 102.4</v>
      </c>
      <c r="D70" s="199" t="str">
        <f>[1]IDFUNÇÃO!D70</f>
        <v>SE07</v>
      </c>
      <c r="E70" s="549"/>
      <c r="F70" s="200" t="str">
        <f>[1]IDFUNÇÃO!F70</f>
        <v>OCUPADA</v>
      </c>
      <c r="G70" s="549"/>
    </row>
    <row r="71" spans="1:7" x14ac:dyDescent="0.25">
      <c r="A71" s="546"/>
      <c r="B71" s="197" t="str">
        <f>[1]IDFUNÇÃO!B71</f>
        <v>Assessor</v>
      </c>
      <c r="C71" s="198" t="str">
        <f>[1]IDFUNÇÃO!C71</f>
        <v>DAS 102.4</v>
      </c>
      <c r="D71" s="199" t="str">
        <f>[1]IDFUNÇÃO!D71</f>
        <v>SE08</v>
      </c>
      <c r="E71" s="549"/>
      <c r="F71" s="200" t="str">
        <f>[1]IDFUNÇÃO!F71</f>
        <v>OCUPADA</v>
      </c>
      <c r="G71" s="549"/>
    </row>
    <row r="72" spans="1:7" x14ac:dyDescent="0.25">
      <c r="A72" s="546"/>
      <c r="B72" s="197" t="str">
        <f>[1]IDFUNÇÃO!B72</f>
        <v>Assessor Técnico</v>
      </c>
      <c r="C72" s="198" t="str">
        <f>[1]IDFUNÇÃO!C72</f>
        <v>DAS 102.3</v>
      </c>
      <c r="D72" s="199" t="str">
        <f>[1]IDFUNÇÃO!D72</f>
        <v>SE09</v>
      </c>
      <c r="E72" s="549"/>
      <c r="F72" s="200" t="str">
        <f>[1]IDFUNÇÃO!F72</f>
        <v>OCUPADA</v>
      </c>
      <c r="G72" s="549"/>
    </row>
    <row r="73" spans="1:7" x14ac:dyDescent="0.25">
      <c r="A73" s="546"/>
      <c r="B73" s="197" t="str">
        <f>[1]IDFUNÇÃO!B73</f>
        <v>Assessor Técnico</v>
      </c>
      <c r="C73" s="198" t="str">
        <f>[1]IDFUNÇÃO!C73</f>
        <v>DAS 102.3</v>
      </c>
      <c r="D73" s="199" t="str">
        <f>[1]IDFUNÇÃO!D73</f>
        <v>SE10</v>
      </c>
      <c r="E73" s="549"/>
      <c r="F73" s="200" t="str">
        <f>[1]IDFUNÇÃO!F73</f>
        <v>OCUPADA</v>
      </c>
      <c r="G73" s="549"/>
    </row>
    <row r="74" spans="1:7" x14ac:dyDescent="0.25">
      <c r="A74" s="546"/>
      <c r="B74" s="197" t="str">
        <f>[1]IDFUNÇÃO!B74</f>
        <v>Assessor Técnico</v>
      </c>
      <c r="C74" s="198" t="str">
        <f>[1]IDFUNÇÃO!C74</f>
        <v>DAS 102.3</v>
      </c>
      <c r="D74" s="199" t="str">
        <f>[1]IDFUNÇÃO!D74</f>
        <v>SE11</v>
      </c>
      <c r="E74" s="549"/>
      <c r="F74" s="200" t="str">
        <f>[1]IDFUNÇÃO!F74</f>
        <v>OCUPADA</v>
      </c>
      <c r="G74" s="549"/>
    </row>
    <row r="75" spans="1:7" x14ac:dyDescent="0.25">
      <c r="A75" s="548"/>
      <c r="B75" s="197" t="str">
        <f>[1]IDFUNÇÃO!B75</f>
        <v>Assessor Técnico</v>
      </c>
      <c r="C75" s="198" t="str">
        <f>[1]IDFUNÇÃO!C75</f>
        <v>DAS 102.3</v>
      </c>
      <c r="D75" s="199" t="str">
        <f>[1]IDFUNÇÃO!D75</f>
        <v>SE12</v>
      </c>
      <c r="E75" s="549"/>
      <c r="F75" s="200" t="str">
        <f>[1]IDFUNÇÃO!F75</f>
        <v>OCUPADA</v>
      </c>
      <c r="G75" s="549"/>
    </row>
    <row r="76" spans="1:7" x14ac:dyDescent="0.25">
      <c r="A76" s="547" t="str">
        <f>[1]IDFUNÇÃO!A76</f>
        <v>GABINETE DA SECRETARIA EXECUTIVA</v>
      </c>
      <c r="B76" s="197" t="str">
        <f>[1]IDFUNÇÃO!B76</f>
        <v>Chefe de Gabinete</v>
      </c>
      <c r="C76" s="198" t="str">
        <f>[1]IDFUNÇÃO!C76</f>
        <v>DAS 101.4</v>
      </c>
      <c r="D76" s="199" t="str">
        <f>[1]IDFUNÇÃO!D76</f>
        <v>SE13</v>
      </c>
      <c r="E76" s="199" t="str">
        <f>[1]IDFUNÇÃO!E76</f>
        <v>SE05S</v>
      </c>
      <c r="F76" s="200" t="str">
        <f>[1]IDFUNÇÃO!F76</f>
        <v>OCUPADA</v>
      </c>
      <c r="G76" s="200" t="str">
        <f>[1]IDFUNÇÃO!G76</f>
        <v>VAZIA</v>
      </c>
    </row>
    <row r="77" spans="1:7" x14ac:dyDescent="0.25">
      <c r="A77" s="546"/>
      <c r="B77" s="197" t="str">
        <f>[1]IDFUNÇÃO!B77</f>
        <v>Assistente</v>
      </c>
      <c r="C77" s="198" t="str">
        <f>[1]IDFUNÇÃO!C77</f>
        <v>DAS 102.2</v>
      </c>
      <c r="D77" s="199" t="str">
        <f>[1]IDFUNÇÃO!D77</f>
        <v>SE14</v>
      </c>
      <c r="E77" s="549"/>
      <c r="F77" s="200" t="str">
        <f>[1]IDFUNÇÃO!F77</f>
        <v>OCUPADA</v>
      </c>
      <c r="G77" s="549"/>
    </row>
    <row r="78" spans="1:7" x14ac:dyDescent="0.25">
      <c r="A78" s="546"/>
      <c r="B78" s="197" t="str">
        <f>[1]IDFUNÇÃO!B78</f>
        <v>Assistente</v>
      </c>
      <c r="C78" s="198" t="str">
        <f>[1]IDFUNÇÃO!C78</f>
        <v>DAS 102.2</v>
      </c>
      <c r="D78" s="199" t="str">
        <f>[1]IDFUNÇÃO!D78</f>
        <v>SE15</v>
      </c>
      <c r="E78" s="549"/>
      <c r="F78" s="200" t="str">
        <f>[1]IDFUNÇÃO!F78</f>
        <v>OCUPADA</v>
      </c>
      <c r="G78" s="549"/>
    </row>
    <row r="79" spans="1:7" x14ac:dyDescent="0.25">
      <c r="A79" s="546"/>
      <c r="B79" s="197" t="str">
        <f>[1]IDFUNÇÃO!B79</f>
        <v>Assistente</v>
      </c>
      <c r="C79" s="198" t="str">
        <f>[1]IDFUNÇÃO!C79</f>
        <v>DAS 102.2</v>
      </c>
      <c r="D79" s="199" t="str">
        <f>[1]IDFUNÇÃO!D79</f>
        <v>SE16</v>
      </c>
      <c r="E79" s="549"/>
      <c r="F79" s="200" t="str">
        <f>[1]IDFUNÇÃO!F79</f>
        <v>OCUPADA</v>
      </c>
      <c r="G79" s="549"/>
    </row>
    <row r="80" spans="1:7" x14ac:dyDescent="0.25">
      <c r="A80" s="546"/>
      <c r="B80" s="197" t="str">
        <f>[1]IDFUNÇÃO!B80</f>
        <v>Assistente Técnico</v>
      </c>
      <c r="C80" s="198" t="str">
        <f>[1]IDFUNÇÃO!C80</f>
        <v>FCPE 102.1</v>
      </c>
      <c r="D80" s="199" t="str">
        <f>[1]IDFUNÇÃO!D80</f>
        <v>SE17</v>
      </c>
      <c r="E80" s="549"/>
      <c r="F80" s="200" t="str">
        <f>[1]IDFUNÇÃO!F80</f>
        <v>OCUPADA</v>
      </c>
      <c r="G80" s="549"/>
    </row>
    <row r="81" spans="1:7" x14ac:dyDescent="0.25">
      <c r="A81" s="546"/>
      <c r="B81" s="197" t="str">
        <f>[1]IDFUNÇÃO!B81</f>
        <v>Assistente Técnico</v>
      </c>
      <c r="C81" s="198" t="str">
        <f>[1]IDFUNÇÃO!C81</f>
        <v>FCPE 102.1</v>
      </c>
      <c r="D81" s="199" t="str">
        <f>[1]IDFUNÇÃO!D81</f>
        <v>SE18</v>
      </c>
      <c r="E81" s="549"/>
      <c r="F81" s="200" t="str">
        <f>[1]IDFUNÇÃO!F81</f>
        <v>OCUPADA</v>
      </c>
      <c r="G81" s="549"/>
    </row>
    <row r="82" spans="1:7" x14ac:dyDescent="0.25">
      <c r="A82" s="548"/>
      <c r="B82" s="197" t="str">
        <f>[1]IDFUNÇÃO!B82</f>
        <v>Assistente Técnico</v>
      </c>
      <c r="C82" s="198" t="str">
        <f>[1]IDFUNÇÃO!C82</f>
        <v>FCPE 102.1</v>
      </c>
      <c r="D82" s="199" t="str">
        <f>[1]IDFUNÇÃO!D82</f>
        <v>SE19</v>
      </c>
      <c r="E82" s="549"/>
      <c r="F82" s="200" t="str">
        <f>[1]IDFUNÇÃO!F82</f>
        <v>OCUPADA</v>
      </c>
      <c r="G82" s="549"/>
    </row>
    <row r="83" spans="1:7" x14ac:dyDescent="0.25">
      <c r="A83" s="547" t="str">
        <f>[1]IDFUNÇÃO!A83</f>
        <v>ASSESSORIA ESPECIAL DE GESTÃO ESTRATÉGICA</v>
      </c>
      <c r="B83" s="197" t="str">
        <f>[1]IDFUNÇÃO!B83</f>
        <v>Chefe da Assessoria Especial</v>
      </c>
      <c r="C83" s="198" t="str">
        <f>[1]IDFUNÇÃO!C83</f>
        <v>DAS 101.5</v>
      </c>
      <c r="D83" s="199" t="str">
        <f>[1]IDFUNÇÃO!D83</f>
        <v>SE20</v>
      </c>
      <c r="E83" s="199" t="str">
        <f>[1]IDFUNÇÃO!E83</f>
        <v>SE06S</v>
      </c>
      <c r="F83" s="200" t="str">
        <f>[1]IDFUNÇÃO!F83</f>
        <v>OCUPADA</v>
      </c>
      <c r="G83" s="200" t="str">
        <f>[1]IDFUNÇÃO!G83</f>
        <v>OCUPADA</v>
      </c>
    </row>
    <row r="84" spans="1:7" x14ac:dyDescent="0.25">
      <c r="A84" s="546"/>
      <c r="B84" s="197" t="str">
        <f>[1]IDFUNÇÃO!B84</f>
        <v>Assessor Técnico</v>
      </c>
      <c r="C84" s="198" t="str">
        <f>[1]IDFUNÇÃO!C84</f>
        <v>DAS 102.3</v>
      </c>
      <c r="D84" s="199" t="str">
        <f>[1]IDFUNÇÃO!D84</f>
        <v>SE21</v>
      </c>
      <c r="E84" s="549"/>
      <c r="F84" s="200" t="str">
        <f>[1]IDFUNÇÃO!F84</f>
        <v>OCUPADA</v>
      </c>
      <c r="G84" s="549"/>
    </row>
    <row r="85" spans="1:7" x14ac:dyDescent="0.25">
      <c r="A85" s="548"/>
      <c r="B85" s="197" t="str">
        <f>[1]IDFUNÇÃO!B85</f>
        <v>Assistente</v>
      </c>
      <c r="C85" s="198" t="str">
        <f>[1]IDFUNÇÃO!C85</f>
        <v>DAS 102.2</v>
      </c>
      <c r="D85" s="199" t="str">
        <f>[1]IDFUNÇÃO!D85</f>
        <v>SE22</v>
      </c>
      <c r="E85" s="549"/>
      <c r="F85" s="200" t="str">
        <f>[1]IDFUNÇÃO!F85</f>
        <v>OCUPADA</v>
      </c>
      <c r="G85" s="549"/>
    </row>
    <row r="86" spans="1:7" x14ac:dyDescent="0.25">
      <c r="A86" s="207" t="str">
        <f>[1]IDFUNÇÃO!A86</f>
        <v>Coordenação-Geral de Planejamento Estratégico, Supervisão e Avaliação da Gestão</v>
      </c>
      <c r="B86" s="197" t="str">
        <f>[1]IDFUNÇÃO!B86</f>
        <v>Coordenador-Geral</v>
      </c>
      <c r="C86" s="198" t="str">
        <f>[1]IDFUNÇÃO!C86</f>
        <v>DAS 101.4</v>
      </c>
      <c r="D86" s="199" t="str">
        <f>[1]IDFUNÇÃO!D86</f>
        <v>SE23</v>
      </c>
      <c r="E86" s="199" t="str">
        <f>[1]IDFUNÇÃO!E86</f>
        <v>SE07S</v>
      </c>
      <c r="F86" s="200" t="str">
        <f>[1]IDFUNÇÃO!F86</f>
        <v>OCUPADA</v>
      </c>
      <c r="G86" s="200" t="str">
        <f>[1]IDFUNÇÃO!G86</f>
        <v>OCUPADA</v>
      </c>
    </row>
    <row r="87" spans="1:7" x14ac:dyDescent="0.25">
      <c r="A87" s="208" t="str">
        <f>[1]IDFUNÇÃO!A87</f>
        <v>Coordenação de Supervisão e Avalliação da Gestão</v>
      </c>
      <c r="B87" s="197" t="str">
        <f>[1]IDFUNÇÃO!B87</f>
        <v>Coordenador</v>
      </c>
      <c r="C87" s="198" t="str">
        <f>[1]IDFUNÇÃO!C87</f>
        <v>DAS 101.3</v>
      </c>
      <c r="D87" s="199" t="str">
        <f>[1]IDFUNÇÃO!D87</f>
        <v>SE24</v>
      </c>
      <c r="E87" s="199" t="str">
        <f>[1]IDFUNÇÃO!E87</f>
        <v>SE08S</v>
      </c>
      <c r="F87" s="200" t="str">
        <f>[1]IDFUNÇÃO!F87</f>
        <v>OCUPADA</v>
      </c>
      <c r="G87" s="200" t="str">
        <f>[1]IDFUNÇÃO!G87</f>
        <v>VAZIA</v>
      </c>
    </row>
    <row r="88" spans="1:7" x14ac:dyDescent="0.25">
      <c r="A88" s="208" t="str">
        <f>[1]IDFUNÇÃO!A88</f>
        <v>Coordenação de Planejamento Estratégico e Orçamento</v>
      </c>
      <c r="B88" s="197" t="str">
        <f>[1]IDFUNÇÃO!B88</f>
        <v>Coordenador</v>
      </c>
      <c r="C88" s="198" t="str">
        <f>[1]IDFUNÇÃO!C88</f>
        <v>FCPE 101.3</v>
      </c>
      <c r="D88" s="199" t="str">
        <f>[1]IDFUNÇÃO!D88</f>
        <v>SE25</v>
      </c>
      <c r="E88" s="199" t="str">
        <f>[1]IDFUNÇÃO!E88</f>
        <v>SE09S</v>
      </c>
      <c r="F88" s="200" t="str">
        <f>[1]IDFUNÇÃO!F88</f>
        <v>OCUPADA</v>
      </c>
      <c r="G88" s="200" t="str">
        <f>[1]IDFUNÇÃO!G88</f>
        <v>VAZIA</v>
      </c>
    </row>
    <row r="89" spans="1:7" x14ac:dyDescent="0.25">
      <c r="A89" s="208"/>
      <c r="B89" s="197" t="str">
        <f>[1]IDFUNÇÃO!B89</f>
        <v>Assistente</v>
      </c>
      <c r="C89" s="198" t="str">
        <f>[1]IDFUNÇÃO!C89</f>
        <v>DAS 102.2</v>
      </c>
      <c r="D89" s="199" t="str">
        <f>[1]IDFUNÇÃO!D89</f>
        <v>SE26</v>
      </c>
      <c r="E89" s="549"/>
      <c r="F89" s="200" t="str">
        <f>[1]IDFUNÇÃO!F89</f>
        <v>OCUPADA</v>
      </c>
      <c r="G89" s="549"/>
    </row>
    <row r="90" spans="1:7" x14ac:dyDescent="0.25">
      <c r="A90" s="208"/>
      <c r="B90" s="197" t="str">
        <f>[1]IDFUNÇÃO!B90</f>
        <v>Assistente Técnico</v>
      </c>
      <c r="C90" s="198" t="str">
        <f>[1]IDFUNÇÃO!C90</f>
        <v>DAS 102.1</v>
      </c>
      <c r="D90" s="199" t="str">
        <f>[1]IDFUNÇÃO!D90</f>
        <v>SE27</v>
      </c>
      <c r="E90" s="549"/>
      <c r="F90" s="200" t="str">
        <f>[1]IDFUNÇÃO!F90</f>
        <v>OCUPADA</v>
      </c>
      <c r="G90" s="549"/>
    </row>
    <row r="91" spans="1:7" x14ac:dyDescent="0.25">
      <c r="A91" s="547" t="str">
        <f>[1]IDFUNÇÃO!A91</f>
        <v>ASSESSORIA ESPECIAL EM ASSUNTOS REGULATÓRIOS</v>
      </c>
      <c r="B91" s="197" t="str">
        <f>[1]IDFUNÇÃO!B91</f>
        <v>Chefe da Assessoria Especial</v>
      </c>
      <c r="C91" s="198" t="str">
        <f>[1]IDFUNÇÃO!C91</f>
        <v>DAS 101.5</v>
      </c>
      <c r="D91" s="199" t="str">
        <f>[1]IDFUNÇÃO!D91</f>
        <v>SE28</v>
      </c>
      <c r="E91" s="199" t="str">
        <f>[1]IDFUNÇÃO!E91</f>
        <v>SE10S</v>
      </c>
      <c r="F91" s="200" t="str">
        <f>[1]IDFUNÇÃO!F91</f>
        <v>OCUPADA</v>
      </c>
      <c r="G91" s="200" t="str">
        <f>[1]IDFUNÇÃO!G91</f>
        <v>VAZIA</v>
      </c>
    </row>
    <row r="92" spans="1:7" x14ac:dyDescent="0.25">
      <c r="A92" s="548"/>
      <c r="B92" s="197" t="str">
        <f>[1]IDFUNÇÃO!B92</f>
        <v>Assistente</v>
      </c>
      <c r="C92" s="198" t="str">
        <f>[1]IDFUNÇÃO!C92</f>
        <v>FCPE 102.2</v>
      </c>
      <c r="D92" s="199" t="str">
        <f>[1]IDFUNÇÃO!D92</f>
        <v>SE29</v>
      </c>
      <c r="E92" s="209"/>
      <c r="F92" s="200" t="str">
        <f>[1]IDFUNÇÃO!F92</f>
        <v>OCUPADA</v>
      </c>
      <c r="G92" s="209"/>
    </row>
    <row r="93" spans="1:7" x14ac:dyDescent="0.25">
      <c r="A93" s="210" t="str">
        <f>[1]IDFUNÇÃO!A93</f>
        <v>ASSESSORIA ESPECIAL DE GESTÃO DE PROJETOS</v>
      </c>
      <c r="B93" s="197" t="str">
        <f>[1]IDFUNÇÃO!B93</f>
        <v>Chefe da Assessoria Especial</v>
      </c>
      <c r="C93" s="198" t="str">
        <f>[1]IDFUNÇÃO!C93</f>
        <v>DAS 101.5</v>
      </c>
      <c r="D93" s="199" t="str">
        <f>[1]IDFUNÇÃO!D93</f>
        <v>SE30</v>
      </c>
      <c r="E93" s="199" t="str">
        <f>[1]IDFUNÇÃO!E93</f>
        <v>SE11S</v>
      </c>
      <c r="F93" s="200" t="str">
        <f>[1]IDFUNÇÃO!F93</f>
        <v>OCUPADA</v>
      </c>
      <c r="G93" s="200" t="str">
        <f>[1]IDFUNÇÃO!G93</f>
        <v>VAZIA</v>
      </c>
    </row>
    <row r="94" spans="1:7" x14ac:dyDescent="0.25">
      <c r="A94" s="205" t="str">
        <f>[1]IDFUNÇÃO!A94</f>
        <v>Coordenação-Geral de Planejamento, Finanças e Controle</v>
      </c>
      <c r="B94" s="197" t="str">
        <f>[1]IDFUNÇÃO!B94</f>
        <v>Coordenador-Geral</v>
      </c>
      <c r="C94" s="198" t="str">
        <f>[1]IDFUNÇÃO!C94</f>
        <v>FCPE 101.4</v>
      </c>
      <c r="D94" s="199" t="str">
        <f>[1]IDFUNÇÃO!D94</f>
        <v>SE31</v>
      </c>
      <c r="E94" s="199" t="str">
        <f>[1]IDFUNÇÃO!E94</f>
        <v>SE12S</v>
      </c>
      <c r="F94" s="200" t="str">
        <f>[1]IDFUNÇÃO!F94</f>
        <v>OCUPADA</v>
      </c>
      <c r="G94" s="200" t="str">
        <f>[1]IDFUNÇÃO!G94</f>
        <v>VAZIA</v>
      </c>
    </row>
    <row r="95" spans="1:7" x14ac:dyDescent="0.25">
      <c r="A95" s="208" t="str">
        <f>[1]IDFUNÇÃO!A95</f>
        <v>Coordenação Administrativa</v>
      </c>
      <c r="B95" s="197" t="str">
        <f>[1]IDFUNÇÃO!B95</f>
        <v>Coordenador</v>
      </c>
      <c r="C95" s="198" t="str">
        <f>[1]IDFUNÇÃO!C95</f>
        <v>DAS 101.3</v>
      </c>
      <c r="D95" s="199" t="str">
        <f>[1]IDFUNÇÃO!D95</f>
        <v>SE32</v>
      </c>
      <c r="E95" s="199" t="str">
        <f>[1]IDFUNÇÃO!E95</f>
        <v>SE13S</v>
      </c>
      <c r="F95" s="200" t="str">
        <f>[1]IDFUNÇÃO!F95</f>
        <v>OCUPADA</v>
      </c>
      <c r="G95" s="200" t="str">
        <f>[1]IDFUNÇÃO!G95</f>
        <v>OCUPADA</v>
      </c>
    </row>
    <row r="96" spans="1:7" x14ac:dyDescent="0.25">
      <c r="A96" s="205" t="str">
        <f>[1]IDFUNÇÃO!A96</f>
        <v>Coordenação-Geral de Gestão de Projetos</v>
      </c>
      <c r="B96" s="197" t="str">
        <f>[1]IDFUNÇÃO!B96</f>
        <v>Coordenador-Geral</v>
      </c>
      <c r="C96" s="198" t="str">
        <f>[1]IDFUNÇÃO!C96</f>
        <v>FCPE 101.4</v>
      </c>
      <c r="D96" s="199" t="str">
        <f>[1]IDFUNÇÃO!D96</f>
        <v>SE33</v>
      </c>
      <c r="E96" s="199" t="str">
        <f>[1]IDFUNÇÃO!E96</f>
        <v>SE14S</v>
      </c>
      <c r="F96" s="200" t="str">
        <f>[1]IDFUNÇÃO!F96</f>
        <v>OCUPADA</v>
      </c>
      <c r="G96" s="200" t="str">
        <f>[1]IDFUNÇÃO!G96</f>
        <v>OCUPADA</v>
      </c>
    </row>
    <row r="97" spans="1:7" x14ac:dyDescent="0.25">
      <c r="A97" s="208" t="str">
        <f>[1]IDFUNÇÃO!A97</f>
        <v>Coordenação de Licitação</v>
      </c>
      <c r="B97" s="197" t="str">
        <f>[1]IDFUNÇÃO!B97</f>
        <v>Coordenador</v>
      </c>
      <c r="C97" s="198" t="str">
        <f>[1]IDFUNÇÃO!C97</f>
        <v>FCPE 101.3</v>
      </c>
      <c r="D97" s="199" t="str">
        <f>[1]IDFUNÇÃO!D97</f>
        <v>SE34</v>
      </c>
      <c r="E97" s="199" t="str">
        <f>[1]IDFUNÇÃO!E97</f>
        <v>SE15S</v>
      </c>
      <c r="F97" s="200" t="str">
        <f>[1]IDFUNÇÃO!F97</f>
        <v>OCUPADA</v>
      </c>
      <c r="G97" s="200" t="str">
        <f>[1]IDFUNÇÃO!G97</f>
        <v>VAZIA</v>
      </c>
    </row>
    <row r="98" spans="1:7" x14ac:dyDescent="0.25">
      <c r="A98" s="546" t="str">
        <f>[1]IDFUNÇÃO!A98</f>
        <v>ASSESSORIA ESPECIAL DE MEIO AMBIENTE</v>
      </c>
      <c r="B98" s="197" t="str">
        <f>[1]IDFUNÇÃO!B98</f>
        <v>Chefe da Assessoria Especial</v>
      </c>
      <c r="C98" s="198" t="str">
        <f>[1]IDFUNÇÃO!C98</f>
        <v>DAS 101.5</v>
      </c>
      <c r="D98" s="199" t="str">
        <f>[1]IDFUNÇÃO!D98</f>
        <v>SE35</v>
      </c>
      <c r="E98" s="199" t="str">
        <f>[1]IDFUNÇÃO!E98</f>
        <v>SE16S</v>
      </c>
      <c r="F98" s="200" t="str">
        <f>[1]IDFUNÇÃO!F98</f>
        <v>OCUPADA</v>
      </c>
      <c r="G98" s="200" t="str">
        <f>[1]IDFUNÇÃO!G98</f>
        <v>OCUPADA</v>
      </c>
    </row>
    <row r="99" spans="1:7" x14ac:dyDescent="0.25">
      <c r="A99" s="546"/>
      <c r="B99" s="197" t="str">
        <f>[1]IDFUNÇÃO!B99</f>
        <v>Assistente</v>
      </c>
      <c r="C99" s="198" t="str">
        <f>[1]IDFUNÇÃO!C99</f>
        <v>DAS 102.2</v>
      </c>
      <c r="D99" s="199" t="str">
        <f>[1]IDFUNÇÃO!D99</f>
        <v>SE36</v>
      </c>
      <c r="E99" s="211"/>
      <c r="F99" s="200" t="str">
        <f>[1]IDFUNÇÃO!F99</f>
        <v>OCUPADA</v>
      </c>
      <c r="G99" s="211"/>
    </row>
    <row r="100" spans="1:7" x14ac:dyDescent="0.25">
      <c r="A100" s="205" t="str">
        <f>[1]IDFUNÇÃO!A100</f>
        <v>Coordenação-Geral de Avaliação Ambiental e Acompanhamento de Licenciamento</v>
      </c>
      <c r="B100" s="197" t="str">
        <f>[1]IDFUNÇÃO!B100</f>
        <v>Coordenador-Geral</v>
      </c>
      <c r="C100" s="198" t="str">
        <f>[1]IDFUNÇÃO!C100</f>
        <v>DAS 101.4</v>
      </c>
      <c r="D100" s="199" t="str">
        <f>[1]IDFUNÇÃO!D100</f>
        <v>SE37</v>
      </c>
      <c r="E100" s="199" t="str">
        <f>[1]IDFUNÇÃO!E100</f>
        <v>SE17S</v>
      </c>
      <c r="F100" s="200" t="str">
        <f>[1]IDFUNÇÃO!F100</f>
        <v>OCUPADA</v>
      </c>
      <c r="G100" s="200" t="str">
        <f>[1]IDFUNÇÃO!G100</f>
        <v>OCUPADA</v>
      </c>
    </row>
    <row r="101" spans="1:7" x14ac:dyDescent="0.25">
      <c r="A101" s="212" t="str">
        <f>[1]IDFUNÇÃO!A101</f>
        <v>Coordenação-Geral de Articulação Institucional em Meio Ambiente</v>
      </c>
      <c r="B101" s="197" t="str">
        <f>[1]IDFUNÇÃO!B101</f>
        <v>Coordenador-Geral</v>
      </c>
      <c r="C101" s="198" t="str">
        <f>[1]IDFUNÇÃO!C101</f>
        <v>FCPE 101.4</v>
      </c>
      <c r="D101" s="199" t="str">
        <f>[1]IDFUNÇÃO!D101</f>
        <v>SE38</v>
      </c>
      <c r="E101" s="199" t="str">
        <f>[1]IDFUNÇÃO!E101</f>
        <v>SE18S</v>
      </c>
      <c r="F101" s="200" t="str">
        <f>[1]IDFUNÇÃO!F101</f>
        <v>OCUPADA</v>
      </c>
      <c r="G101" s="200" t="str">
        <f>[1]IDFUNÇÃO!G101</f>
        <v>OCUPADA</v>
      </c>
    </row>
    <row r="102" spans="1:7" x14ac:dyDescent="0.25">
      <c r="A102" s="547" t="str">
        <f>[1]IDFUNÇÃO!A102</f>
        <v>Subsecretaria de Planejamento, Orçamento e Administração</v>
      </c>
      <c r="B102" s="197" t="str">
        <f>[1]IDFUNÇÃO!B102</f>
        <v>Subsecretário</v>
      </c>
      <c r="C102" s="198" t="str">
        <f>[1]IDFUNÇÃO!C102</f>
        <v>DAS 101.5</v>
      </c>
      <c r="D102" s="199" t="str">
        <f>[1]IDFUNÇÃO!D102</f>
        <v>SE39</v>
      </c>
      <c r="E102" s="199" t="str">
        <f>[1]IDFUNÇÃO!E102</f>
        <v>SE19S</v>
      </c>
      <c r="F102" s="200" t="str">
        <f>[1]IDFUNÇÃO!F102</f>
        <v>OCUPADA</v>
      </c>
      <c r="G102" s="200" t="str">
        <f>[1]IDFUNÇÃO!G102</f>
        <v>OCUPADA</v>
      </c>
    </row>
    <row r="103" spans="1:7" x14ac:dyDescent="0.25">
      <c r="A103" s="546"/>
      <c r="B103" s="197" t="str">
        <f>[1]IDFUNÇÃO!B103</f>
        <v>Assessor</v>
      </c>
      <c r="C103" s="198" t="str">
        <f>[1]IDFUNÇÃO!C103</f>
        <v>DAS 102.4</v>
      </c>
      <c r="D103" s="199" t="str">
        <f>[1]IDFUNÇÃO!D103</f>
        <v>SE40</v>
      </c>
      <c r="E103" s="535"/>
      <c r="F103" s="200" t="str">
        <f>[1]IDFUNÇÃO!F103</f>
        <v>OCUPADA</v>
      </c>
      <c r="G103" s="535"/>
    </row>
    <row r="104" spans="1:7" x14ac:dyDescent="0.25">
      <c r="A104" s="546"/>
      <c r="B104" s="197" t="str">
        <f>[1]IDFUNÇÃO!B104</f>
        <v>Assistente</v>
      </c>
      <c r="C104" s="198" t="str">
        <f>[1]IDFUNÇÃO!C104</f>
        <v>DAS 102.2</v>
      </c>
      <c r="D104" s="199" t="str">
        <f>[1]IDFUNÇÃO!D104</f>
        <v>SE41</v>
      </c>
      <c r="E104" s="535"/>
      <c r="F104" s="200" t="str">
        <f>[1]IDFUNÇÃO!F104</f>
        <v>OCUPADA</v>
      </c>
      <c r="G104" s="535"/>
    </row>
    <row r="105" spans="1:7" x14ac:dyDescent="0.25">
      <c r="A105" s="546"/>
      <c r="B105" s="197" t="str">
        <f>[1]IDFUNÇÃO!B105</f>
        <v>Assistente</v>
      </c>
      <c r="C105" s="198" t="str">
        <f>[1]IDFUNÇÃO!C105</f>
        <v>DAS 102.2</v>
      </c>
      <c r="D105" s="199" t="str">
        <f>[1]IDFUNÇÃO!D105</f>
        <v>SE42</v>
      </c>
      <c r="E105" s="535"/>
      <c r="F105" s="200" t="str">
        <f>[1]IDFUNÇÃO!F105</f>
        <v>OCUPADA</v>
      </c>
      <c r="G105" s="535"/>
    </row>
    <row r="106" spans="1:7" x14ac:dyDescent="0.25">
      <c r="A106" s="548"/>
      <c r="B106" s="197" t="str">
        <f>[1]IDFUNÇÃO!B106</f>
        <v>Assistente Técnico</v>
      </c>
      <c r="C106" s="198" t="str">
        <f>[1]IDFUNÇÃO!C106</f>
        <v>DAS 102.1</v>
      </c>
      <c r="D106" s="199" t="str">
        <f>[1]IDFUNÇÃO!D106</f>
        <v>SE43</v>
      </c>
      <c r="E106" s="535"/>
      <c r="F106" s="200" t="str">
        <f>[1]IDFUNÇÃO!F106</f>
        <v>OCUPADA</v>
      </c>
      <c r="G106" s="535"/>
    </row>
    <row r="107" spans="1:7" x14ac:dyDescent="0.25">
      <c r="A107" s="544" t="str">
        <f>[1]IDFUNÇÃO!A107</f>
        <v>Coordenação de Modernização Administrativa</v>
      </c>
      <c r="B107" s="197" t="str">
        <f>[1]IDFUNÇÃO!B107</f>
        <v>Coordenador</v>
      </c>
      <c r="C107" s="198" t="str">
        <f>[1]IDFUNÇÃO!C107</f>
        <v>DAS 101.3</v>
      </c>
      <c r="D107" s="199" t="str">
        <f>[1]IDFUNÇÃO!D107</f>
        <v>SE44</v>
      </c>
      <c r="E107" s="199" t="str">
        <f>[1]IDFUNÇÃO!E107</f>
        <v>SE20S</v>
      </c>
      <c r="F107" s="200" t="str">
        <f>[1]IDFUNÇÃO!F107</f>
        <v>OCUPADA</v>
      </c>
      <c r="G107" s="200" t="str">
        <f>[1]IDFUNÇÃO!G107</f>
        <v>OCUPADA</v>
      </c>
    </row>
    <row r="108" spans="1:7" x14ac:dyDescent="0.25">
      <c r="A108" s="542"/>
      <c r="B108" s="197" t="str">
        <f>[1]IDFUNÇÃO!B108</f>
        <v>Assistente Técnico</v>
      </c>
      <c r="C108" s="198" t="str">
        <f>[1]IDFUNÇÃO!C108</f>
        <v>FCPE 102.1</v>
      </c>
      <c r="D108" s="199" t="str">
        <f>[1]IDFUNÇÃO!D108</f>
        <v>SE45</v>
      </c>
      <c r="E108" s="535"/>
      <c r="F108" s="200" t="str">
        <f>[1]IDFUNÇÃO!F108</f>
        <v>OCUPADA</v>
      </c>
      <c r="G108" s="535"/>
    </row>
    <row r="109" spans="1:7" x14ac:dyDescent="0.25">
      <c r="A109" s="542"/>
      <c r="B109" s="197" t="str">
        <f>[1]IDFUNÇÃO!B109</f>
        <v>Assistente Técnico</v>
      </c>
      <c r="C109" s="198" t="str">
        <f>[1]IDFUNÇÃO!C109</f>
        <v>FCPE 102.1</v>
      </c>
      <c r="D109" s="199" t="str">
        <f>[1]IDFUNÇÃO!D109</f>
        <v>SE46</v>
      </c>
      <c r="E109" s="535"/>
      <c r="F109" s="200" t="str">
        <f>[1]IDFUNÇÃO!F109</f>
        <v>OCUPADA</v>
      </c>
      <c r="G109" s="535"/>
    </row>
    <row r="110" spans="1:7" x14ac:dyDescent="0.25">
      <c r="A110" s="543"/>
      <c r="B110" s="197" t="str">
        <f>[1]IDFUNÇÃO!B110</f>
        <v>Assistente Técnico</v>
      </c>
      <c r="C110" s="198" t="str">
        <f>[1]IDFUNÇÃO!C110</f>
        <v>FCPE 102.1</v>
      </c>
      <c r="D110" s="199" t="str">
        <f>[1]IDFUNÇÃO!D110</f>
        <v>SE47</v>
      </c>
      <c r="E110" s="535"/>
      <c r="F110" s="200" t="str">
        <f>[1]IDFUNÇÃO!F110</f>
        <v>OCUPADA</v>
      </c>
      <c r="G110" s="535"/>
    </row>
    <row r="111" spans="1:7" x14ac:dyDescent="0.25">
      <c r="A111" s="544" t="str">
        <f>[1]IDFUNÇÃO!A111</f>
        <v>Coordenação-Geral de Recursos Logísticos</v>
      </c>
      <c r="B111" s="197" t="str">
        <f>[1]IDFUNÇÃO!B111</f>
        <v>Coordenador-Geral</v>
      </c>
      <c r="C111" s="198" t="str">
        <f>[1]IDFUNÇÃO!C111</f>
        <v>DAS 101.4</v>
      </c>
      <c r="D111" s="199" t="str">
        <f>[1]IDFUNÇÃO!D111</f>
        <v>SE48</v>
      </c>
      <c r="E111" s="199" t="str">
        <f>[1]IDFUNÇÃO!E111</f>
        <v>SE21S</v>
      </c>
      <c r="F111" s="200" t="str">
        <f>[1]IDFUNÇÃO!F111</f>
        <v>OCUPADA</v>
      </c>
      <c r="G111" s="200" t="str">
        <f>[1]IDFUNÇÃO!G111</f>
        <v>OCUPADA</v>
      </c>
    </row>
    <row r="112" spans="1:7" x14ac:dyDescent="0.25">
      <c r="A112" s="542"/>
      <c r="B112" s="197" t="str">
        <f>[1]IDFUNÇÃO!B112</f>
        <v>Coordenador de Administração de Material e Execução Financeira</v>
      </c>
      <c r="C112" s="198" t="str">
        <f>[1]IDFUNÇÃO!C112</f>
        <v>DAS 101.3</v>
      </c>
      <c r="D112" s="199" t="str">
        <f>[1]IDFUNÇÃO!D112</f>
        <v>SE49</v>
      </c>
      <c r="E112" s="199" t="str">
        <f>[1]IDFUNÇÃO!E112</f>
        <v>SE22S</v>
      </c>
      <c r="F112" s="200" t="str">
        <f>[1]IDFUNÇÃO!F112</f>
        <v>OCUPADA</v>
      </c>
      <c r="G112" s="200" t="str">
        <f>[1]IDFUNÇÃO!G112</f>
        <v>OCUPADA</v>
      </c>
    </row>
    <row r="113" spans="1:7" x14ac:dyDescent="0.25">
      <c r="A113" s="542"/>
      <c r="B113" s="197" t="str">
        <f>[1]IDFUNÇÃO!B113</f>
        <v>Chefe de Serviço de Gestão de Patrimônio</v>
      </c>
      <c r="C113" s="198" t="str">
        <f>[1]IDFUNÇÃO!C113</f>
        <v>DAS 101.1</v>
      </c>
      <c r="D113" s="199" t="str">
        <f>[1]IDFUNÇÃO!D113</f>
        <v>SE50</v>
      </c>
      <c r="E113" s="199" t="str">
        <f>[1]IDFUNÇÃO!E113</f>
        <v>SE23S</v>
      </c>
      <c r="F113" s="200" t="str">
        <f>[1]IDFUNÇÃO!F113</f>
        <v>OCUPADA</v>
      </c>
      <c r="G113" s="200" t="str">
        <f>[1]IDFUNÇÃO!G113</f>
        <v>OCUPADA</v>
      </c>
    </row>
    <row r="114" spans="1:7" x14ac:dyDescent="0.25">
      <c r="A114" s="542"/>
      <c r="B114" s="197" t="str">
        <f>[1]IDFUNÇÃO!B114</f>
        <v>Chefe de Serviço de Almoxarifado</v>
      </c>
      <c r="C114" s="198" t="str">
        <f>[1]IDFUNÇÃO!C114</f>
        <v>DAS 101.1</v>
      </c>
      <c r="D114" s="199" t="str">
        <f>[1]IDFUNÇÃO!D114</f>
        <v>SE51</v>
      </c>
      <c r="E114" s="199" t="str">
        <f>[1]IDFUNÇÃO!E114</f>
        <v>SE24S</v>
      </c>
      <c r="F114" s="200" t="str">
        <f>[1]IDFUNÇÃO!F114</f>
        <v>VAZIA</v>
      </c>
      <c r="G114" s="200" t="str">
        <f>[1]IDFUNÇÃO!G114</f>
        <v>OCUPADA</v>
      </c>
    </row>
    <row r="115" spans="1:7" x14ac:dyDescent="0.25">
      <c r="A115" s="542"/>
      <c r="B115" s="197" t="str">
        <f>[1]IDFUNÇÃO!B115</f>
        <v>Chefe da Divisão de Controle de Diárias e Passagens</v>
      </c>
      <c r="C115" s="198" t="str">
        <f>[1]IDFUNÇÃO!C115</f>
        <v>DAS 101.2</v>
      </c>
      <c r="D115" s="199" t="str">
        <f>[1]IDFUNÇÃO!D115</f>
        <v>SE52</v>
      </c>
      <c r="E115" s="199" t="str">
        <f>[1]IDFUNÇÃO!E115</f>
        <v>SE25S</v>
      </c>
      <c r="F115" s="200" t="str">
        <f>[1]IDFUNÇÃO!F115</f>
        <v>OCUPADA</v>
      </c>
      <c r="G115" s="200" t="str">
        <f>[1]IDFUNÇÃO!G115</f>
        <v>OCUPADA</v>
      </c>
    </row>
    <row r="116" spans="1:7" x14ac:dyDescent="0.25">
      <c r="A116" s="542"/>
      <c r="B116" s="197" t="str">
        <f>[1]IDFUNÇÃO!B116</f>
        <v>Chefe da Divisão de Execução Orçamentária e Financeira</v>
      </c>
      <c r="C116" s="198" t="str">
        <f>[1]IDFUNÇÃO!C116</f>
        <v>DAS 101.2</v>
      </c>
      <c r="D116" s="199" t="str">
        <f>[1]IDFUNÇÃO!D116</f>
        <v>SE53</v>
      </c>
      <c r="E116" s="199" t="str">
        <f>[1]IDFUNÇÃO!E116</f>
        <v>SE26S</v>
      </c>
      <c r="F116" s="200" t="str">
        <f>[1]IDFUNÇÃO!F116</f>
        <v>OCUPADA</v>
      </c>
      <c r="G116" s="200" t="str">
        <f>[1]IDFUNÇÃO!G116</f>
        <v>VAZIA</v>
      </c>
    </row>
    <row r="117" spans="1:7" x14ac:dyDescent="0.25">
      <c r="A117" s="542"/>
      <c r="B117" s="197" t="str">
        <f>[1]IDFUNÇÃO!B117</f>
        <v>Coordenador de Atividades Gerais</v>
      </c>
      <c r="C117" s="198" t="str">
        <f>[1]IDFUNÇÃO!C117</f>
        <v>DAS 101.3</v>
      </c>
      <c r="D117" s="199" t="str">
        <f>[1]IDFUNÇÃO!D117</f>
        <v>SE54</v>
      </c>
      <c r="E117" s="199" t="str">
        <f>[1]IDFUNÇÃO!E117</f>
        <v>SE27S</v>
      </c>
      <c r="F117" s="200" t="str">
        <f>[1]IDFUNÇÃO!F117</f>
        <v>OCUPADA</v>
      </c>
      <c r="G117" s="200" t="str">
        <f>[1]IDFUNÇÃO!G117</f>
        <v>OCUPADA</v>
      </c>
    </row>
    <row r="118" spans="1:7" x14ac:dyDescent="0.25">
      <c r="A118" s="542"/>
      <c r="B118" s="197" t="str">
        <f>[1]IDFUNÇÃO!B118</f>
        <v>Chefe da Divisão de Gestão de Documentos e Informação Bibliográfica</v>
      </c>
      <c r="C118" s="198" t="str">
        <f>[1]IDFUNÇÃO!C118</f>
        <v>DAS 101.2</v>
      </c>
      <c r="D118" s="199" t="str">
        <f>[1]IDFUNÇÃO!D118</f>
        <v>SE55</v>
      </c>
      <c r="E118" s="199" t="str">
        <f>[1]IDFUNÇÃO!E118</f>
        <v>SE28S</v>
      </c>
      <c r="F118" s="200" t="str">
        <f>[1]IDFUNÇÃO!F118</f>
        <v>OCUPADA</v>
      </c>
      <c r="G118" s="200" t="str">
        <f>[1]IDFUNÇÃO!G118</f>
        <v>OCUPADA</v>
      </c>
    </row>
    <row r="119" spans="1:7" x14ac:dyDescent="0.25">
      <c r="A119" s="542"/>
      <c r="B119" s="197" t="str">
        <f>[1]IDFUNÇÃO!B119</f>
        <v>Chefe da Divisão de Administração de Transporte</v>
      </c>
      <c r="C119" s="198" t="str">
        <f>[1]IDFUNÇÃO!C119</f>
        <v>DAS 101.2</v>
      </c>
      <c r="D119" s="199" t="str">
        <f>[1]IDFUNÇÃO!D119</f>
        <v>SE56</v>
      </c>
      <c r="E119" s="199" t="str">
        <f>[1]IDFUNÇÃO!E119</f>
        <v>SE29S</v>
      </c>
      <c r="F119" s="200" t="str">
        <f>[1]IDFUNÇÃO!F119</f>
        <v>OCUPADA</v>
      </c>
      <c r="G119" s="200" t="str">
        <f>[1]IDFUNÇÃO!G119</f>
        <v>OCUPADA</v>
      </c>
    </row>
    <row r="120" spans="1:7" x14ac:dyDescent="0.25">
      <c r="A120" s="542"/>
      <c r="B120" s="197" t="str">
        <f>[1]IDFUNÇÃO!B120</f>
        <v>Chefe da Divisão de Segurança</v>
      </c>
      <c r="C120" s="198" t="str">
        <f>[1]IDFUNÇÃO!C120</f>
        <v>DAS 101.2</v>
      </c>
      <c r="D120" s="199" t="str">
        <f>[1]IDFUNÇÃO!D120</f>
        <v>SE57</v>
      </c>
      <c r="E120" s="199" t="str">
        <f>[1]IDFUNÇÃO!E120</f>
        <v>SE30S</v>
      </c>
      <c r="F120" s="200" t="str">
        <f>[1]IDFUNÇÃO!F120</f>
        <v>OCUPADA</v>
      </c>
      <c r="G120" s="200" t="str">
        <f>[1]IDFUNÇÃO!G120</f>
        <v>OCUPADA</v>
      </c>
    </row>
    <row r="121" spans="1:7" x14ac:dyDescent="0.25">
      <c r="A121" s="542"/>
      <c r="B121" s="197" t="str">
        <f>[1]IDFUNÇÃO!B121</f>
        <v>Assistente Técnico</v>
      </c>
      <c r="C121" s="198" t="str">
        <f>[1]IDFUNÇÃO!C121</f>
        <v>DAS 102.1</v>
      </c>
      <c r="D121" s="199" t="str">
        <f>[1]IDFUNÇÃO!D121</f>
        <v>SE58</v>
      </c>
      <c r="E121" s="535"/>
      <c r="F121" s="200" t="str">
        <f>[1]IDFUNÇÃO!F121</f>
        <v>OCUPADA</v>
      </c>
      <c r="G121" s="535"/>
    </row>
    <row r="122" spans="1:7" x14ac:dyDescent="0.25">
      <c r="A122" s="543"/>
      <c r="B122" s="197" t="str">
        <f>[1]IDFUNÇÃO!B122</f>
        <v>Assistente Técnico</v>
      </c>
      <c r="C122" s="198" t="str">
        <f>[1]IDFUNÇÃO!C122</f>
        <v>DAS 102.1</v>
      </c>
      <c r="D122" s="199" t="str">
        <f>[1]IDFUNÇÃO!D122</f>
        <v>SE59</v>
      </c>
      <c r="E122" s="535"/>
      <c r="F122" s="200" t="str">
        <f>[1]IDFUNÇÃO!F122</f>
        <v>OCUPADA</v>
      </c>
      <c r="G122" s="535"/>
    </row>
    <row r="123" spans="1:7" x14ac:dyDescent="0.25">
      <c r="A123" s="544" t="str">
        <f>[1]IDFUNÇÃO!A123</f>
        <v>Coordenação-Geral de Recursos Humanos</v>
      </c>
      <c r="B123" s="197" t="str">
        <f>[1]IDFUNÇÃO!B123</f>
        <v>Coordenador-Geral</v>
      </c>
      <c r="C123" s="198" t="str">
        <f>[1]IDFUNÇÃO!C123</f>
        <v>DAS 101.4</v>
      </c>
      <c r="D123" s="199" t="str">
        <f>[1]IDFUNÇÃO!D123</f>
        <v>SE60</v>
      </c>
      <c r="E123" s="199" t="str">
        <f>[1]IDFUNÇÃO!E123</f>
        <v>SE31S</v>
      </c>
      <c r="F123" s="200" t="str">
        <f>[1]IDFUNÇÃO!F123</f>
        <v>OCUPADA</v>
      </c>
      <c r="G123" s="200" t="str">
        <f>[1]IDFUNÇÃO!G123</f>
        <v>OCUPADA</v>
      </c>
    </row>
    <row r="124" spans="1:7" x14ac:dyDescent="0.25">
      <c r="A124" s="542"/>
      <c r="B124" s="197" t="str">
        <f>[1]IDFUNÇÃO!B124</f>
        <v>Coordenador de Administração de Pessoal</v>
      </c>
      <c r="C124" s="198" t="str">
        <f>[1]IDFUNÇÃO!C124</f>
        <v>DAS 101.3</v>
      </c>
      <c r="D124" s="199" t="str">
        <f>[1]IDFUNÇÃO!D124</f>
        <v>SE61</v>
      </c>
      <c r="E124" s="199" t="str">
        <f>[1]IDFUNÇÃO!E124</f>
        <v>SE32S</v>
      </c>
      <c r="F124" s="200" t="str">
        <f>[1]IDFUNÇÃO!F124</f>
        <v>OCUPADA</v>
      </c>
      <c r="G124" s="200" t="str">
        <f>[1]IDFUNÇÃO!G124</f>
        <v>OCUPADA</v>
      </c>
    </row>
    <row r="125" spans="1:7" x14ac:dyDescent="0.25">
      <c r="A125" s="542"/>
      <c r="B125" s="197" t="str">
        <f>[1]IDFUNÇÃO!B125</f>
        <v>Coordenador de Desenvolvimento e Seguridade Social</v>
      </c>
      <c r="C125" s="198" t="str">
        <f>[1]IDFUNÇÃO!C125</f>
        <v>DAS 101.3</v>
      </c>
      <c r="D125" s="199" t="str">
        <f>[1]IDFUNÇÃO!D125</f>
        <v>SE62</v>
      </c>
      <c r="E125" s="199" t="str">
        <f>[1]IDFUNÇÃO!E125</f>
        <v>SE33S</v>
      </c>
      <c r="F125" s="200" t="str">
        <f>[1]IDFUNÇÃO!F125</f>
        <v>OCUPADA</v>
      </c>
      <c r="G125" s="200" t="str">
        <f>[1]IDFUNÇÃO!G125</f>
        <v>OCUPADA</v>
      </c>
    </row>
    <row r="126" spans="1:7" x14ac:dyDescent="0.25">
      <c r="A126" s="542"/>
      <c r="B126" s="197" t="str">
        <f>[1]IDFUNÇÃO!B126</f>
        <v>Assistente</v>
      </c>
      <c r="C126" s="198" t="str">
        <f>[1]IDFUNÇÃO!C126</f>
        <v>DAS 102.2</v>
      </c>
      <c r="D126" s="199" t="str">
        <f>[1]IDFUNÇÃO!D126</f>
        <v>SE63</v>
      </c>
      <c r="E126" s="211"/>
      <c r="F126" s="200" t="str">
        <f>[1]IDFUNÇÃO!F126</f>
        <v>OCUPADA</v>
      </c>
      <c r="G126" s="211"/>
    </row>
    <row r="127" spans="1:7" x14ac:dyDescent="0.25">
      <c r="A127" s="542"/>
      <c r="B127" s="197" t="str">
        <f>[1]IDFUNÇÃO!B127</f>
        <v>Chefe de Divisão de Gestão de Estágio</v>
      </c>
      <c r="C127" s="198" t="str">
        <f>[1]IDFUNÇÃO!C127</f>
        <v>DAS 101.2</v>
      </c>
      <c r="D127" s="199" t="str">
        <f>[1]IDFUNÇÃO!D127</f>
        <v>SE64</v>
      </c>
      <c r="E127" s="199" t="str">
        <f>[1]IDFUNÇÃO!E127</f>
        <v>SE34S</v>
      </c>
      <c r="F127" s="200" t="str">
        <f>[1]IDFUNÇÃO!F127</f>
        <v>OCUPADA</v>
      </c>
      <c r="G127" s="200" t="str">
        <f>[1]IDFUNÇÃO!G127</f>
        <v>VAZIA</v>
      </c>
    </row>
    <row r="128" spans="1:7" x14ac:dyDescent="0.25">
      <c r="A128" s="542"/>
      <c r="B128" s="197" t="str">
        <f>[1]IDFUNÇÃO!B128</f>
        <v>Chefe de Divisão de Execução Orçamentária e Financeira de Despesas Diversas</v>
      </c>
      <c r="C128" s="198" t="str">
        <f>[1]IDFUNÇÃO!C128</f>
        <v>DAS 101.2</v>
      </c>
      <c r="D128" s="199" t="str">
        <f>[1]IDFUNÇÃO!D128</f>
        <v>SE65</v>
      </c>
      <c r="E128" s="199" t="str">
        <f>[1]IDFUNÇÃO!E128</f>
        <v>SE35S</v>
      </c>
      <c r="F128" s="200" t="str">
        <f>[1]IDFUNÇÃO!F128</f>
        <v>OCUPADA</v>
      </c>
      <c r="G128" s="200" t="str">
        <f>[1]IDFUNÇÃO!G128</f>
        <v>OCUPADA</v>
      </c>
    </row>
    <row r="129" spans="1:7" x14ac:dyDescent="0.25">
      <c r="A129" s="542"/>
      <c r="B129" s="197" t="str">
        <f>[1]IDFUNÇÃO!B129</f>
        <v>Chefe de Divisão de Concessão e Atualização dos Registros de Pagamento de Aposentados</v>
      </c>
      <c r="C129" s="198" t="str">
        <f>[1]IDFUNÇÃO!C129</f>
        <v>DAS 101.2</v>
      </c>
      <c r="D129" s="199" t="str">
        <f>[1]IDFUNÇÃO!D129</f>
        <v>SE66</v>
      </c>
      <c r="E129" s="199" t="str">
        <f>[1]IDFUNÇÃO!E129</f>
        <v>SE36S</v>
      </c>
      <c r="F129" s="200" t="str">
        <f>[1]IDFUNÇÃO!F129</f>
        <v>OCUPADA</v>
      </c>
      <c r="G129" s="200" t="str">
        <f>[1]IDFUNÇÃO!G129</f>
        <v>OCUPADA</v>
      </c>
    </row>
    <row r="130" spans="1:7" x14ac:dyDescent="0.25">
      <c r="A130" s="542"/>
      <c r="B130" s="197" t="str">
        <f>[1]IDFUNÇÃO!B130</f>
        <v>Chefe de Divisão de Concessão e Atualização dos Registros de Pagamento de Pensionista</v>
      </c>
      <c r="C130" s="198" t="str">
        <f>[1]IDFUNÇÃO!C130</f>
        <v>DAS 101.2</v>
      </c>
      <c r="D130" s="199" t="str">
        <f>[1]IDFUNÇÃO!D130</f>
        <v>SE67</v>
      </c>
      <c r="E130" s="199" t="str">
        <f>[1]IDFUNÇÃO!E130</f>
        <v>SE37S</v>
      </c>
      <c r="F130" s="200" t="str">
        <f>[1]IDFUNÇÃO!F130</f>
        <v>OCUPADA</v>
      </c>
      <c r="G130" s="200" t="str">
        <f>[1]IDFUNÇÃO!G130</f>
        <v>OCUPADA</v>
      </c>
    </row>
    <row r="131" spans="1:7" x14ac:dyDescent="0.25">
      <c r="A131" s="542"/>
      <c r="B131" s="197" t="str">
        <f>[1]IDFUNÇÃO!B131</f>
        <v>Chefe de Divisão de Treinamento e Desenvolvimento</v>
      </c>
      <c r="C131" s="198" t="str">
        <f>[1]IDFUNÇÃO!C131</f>
        <v>DAS 101.2</v>
      </c>
      <c r="D131" s="199" t="str">
        <f>[1]IDFUNÇÃO!D131</f>
        <v>SE68</v>
      </c>
      <c r="E131" s="199" t="str">
        <f>[1]IDFUNÇÃO!E131</f>
        <v>SE38S</v>
      </c>
      <c r="F131" s="200" t="str">
        <f>[1]IDFUNÇÃO!F131</f>
        <v>OCUPADA</v>
      </c>
      <c r="G131" s="200" t="str">
        <f>[1]IDFUNÇÃO!G131</f>
        <v>OCUPADA</v>
      </c>
    </row>
    <row r="132" spans="1:7" x14ac:dyDescent="0.25">
      <c r="A132" s="542"/>
      <c r="B132" s="197" t="str">
        <f>[1]IDFUNÇÃO!B132</f>
        <v>Chefe de Divisão de Execução Orçamentária e Financeira da Folha de Pagamento de Pessoal</v>
      </c>
      <c r="C132" s="198" t="str">
        <f>[1]IDFUNÇÃO!C132</f>
        <v>FCPE 101.2</v>
      </c>
      <c r="D132" s="199" t="str">
        <f>[1]IDFUNÇÃO!D132</f>
        <v>SE69</v>
      </c>
      <c r="E132" s="199" t="str">
        <f>[1]IDFUNÇÃO!E132</f>
        <v>SE39S</v>
      </c>
      <c r="F132" s="200" t="str">
        <f>[1]IDFUNÇÃO!F132</f>
        <v>OCUPADA</v>
      </c>
      <c r="G132" s="200" t="str">
        <f>[1]IDFUNÇÃO!G132</f>
        <v>OCUPADA</v>
      </c>
    </row>
    <row r="133" spans="1:7" x14ac:dyDescent="0.25">
      <c r="A133" s="543"/>
      <c r="B133" s="197" t="str">
        <f>[1]IDFUNÇÃO!B133</f>
        <v>Chefe de Divisão de Cadastro e Controle de Pessoal</v>
      </c>
      <c r="C133" s="198" t="str">
        <f>[1]IDFUNÇÃO!C133</f>
        <v>FCPE 101.2</v>
      </c>
      <c r="D133" s="199" t="str">
        <f>[1]IDFUNÇÃO!D133</f>
        <v>SE70</v>
      </c>
      <c r="E133" s="199" t="str">
        <f>[1]IDFUNÇÃO!E133</f>
        <v>SE40S</v>
      </c>
      <c r="F133" s="200" t="str">
        <f>[1]IDFUNÇÃO!F133</f>
        <v>OCUPADA</v>
      </c>
      <c r="G133" s="200" t="str">
        <f>[1]IDFUNÇÃO!G133</f>
        <v>OCUPADA</v>
      </c>
    </row>
    <row r="134" spans="1:7" x14ac:dyDescent="0.25">
      <c r="A134" s="544" t="str">
        <f>[1]IDFUNÇÃO!A134</f>
        <v>Coordenação-Geral de Orçamento e Finanças</v>
      </c>
      <c r="B134" s="197" t="str">
        <f>[1]IDFUNÇÃO!B134</f>
        <v>Coordenador-Geral</v>
      </c>
      <c r="C134" s="198" t="str">
        <f>[1]IDFUNÇÃO!C134</f>
        <v>DAS 101.4</v>
      </c>
      <c r="D134" s="199" t="str">
        <f>[1]IDFUNÇÃO!D134</f>
        <v>SE71</v>
      </c>
      <c r="E134" s="199" t="str">
        <f>[1]IDFUNÇÃO!E134</f>
        <v>SE41S</v>
      </c>
      <c r="F134" s="200" t="str">
        <f>[1]IDFUNÇÃO!F134</f>
        <v>OCUPADA</v>
      </c>
      <c r="G134" s="200" t="str">
        <f>[1]IDFUNÇÃO!G134</f>
        <v>OCUPADA</v>
      </c>
    </row>
    <row r="135" spans="1:7" x14ac:dyDescent="0.25">
      <c r="A135" s="542"/>
      <c r="B135" s="197" t="str">
        <f>[1]IDFUNÇÃO!B135</f>
        <v>Coordenador de Administração Financeira</v>
      </c>
      <c r="C135" s="198" t="str">
        <f>[1]IDFUNÇÃO!C135</f>
        <v>DAS 101.3</v>
      </c>
      <c r="D135" s="199" t="str">
        <f>[1]IDFUNÇÃO!D135</f>
        <v>SE72</v>
      </c>
      <c r="E135" s="199" t="str">
        <f>[1]IDFUNÇÃO!E135</f>
        <v>SE42S</v>
      </c>
      <c r="F135" s="200" t="str">
        <f>[1]IDFUNÇÃO!F135</f>
        <v>OCUPADA</v>
      </c>
      <c r="G135" s="200" t="str">
        <f>[1]IDFUNÇÃO!G135</f>
        <v>OCUPADA</v>
      </c>
    </row>
    <row r="136" spans="1:7" x14ac:dyDescent="0.25">
      <c r="A136" s="542"/>
      <c r="B136" s="197" t="str">
        <f>[1]IDFUNÇÃO!B136</f>
        <v>Coordenador de Contabilidade</v>
      </c>
      <c r="C136" s="198" t="str">
        <f>[1]IDFUNÇÃO!C136</f>
        <v>DAS 101.3</v>
      </c>
      <c r="D136" s="199" t="str">
        <f>[1]IDFUNÇÃO!D136</f>
        <v>SE73</v>
      </c>
      <c r="E136" s="199" t="str">
        <f>[1]IDFUNÇÃO!E136</f>
        <v>SE43S</v>
      </c>
      <c r="F136" s="200" t="str">
        <f>[1]IDFUNÇÃO!F136</f>
        <v>OCUPADA</v>
      </c>
      <c r="G136" s="200" t="str">
        <f>[1]IDFUNÇÃO!G136</f>
        <v>VAZIA</v>
      </c>
    </row>
    <row r="137" spans="1:7" x14ac:dyDescent="0.25">
      <c r="A137" s="542"/>
      <c r="B137" s="197" t="str">
        <f>[1]IDFUNÇÃO!B137</f>
        <v>Coordenador de Orçamento</v>
      </c>
      <c r="C137" s="198" t="str">
        <f>[1]IDFUNÇÃO!C137</f>
        <v>DAS 101.3</v>
      </c>
      <c r="D137" s="199" t="str">
        <f>[1]IDFUNÇÃO!D137</f>
        <v>SE74</v>
      </c>
      <c r="E137" s="199" t="str">
        <f>[1]IDFUNÇÃO!E137</f>
        <v>SE44S</v>
      </c>
      <c r="F137" s="200" t="str">
        <f>[1]IDFUNÇÃO!F137</f>
        <v>OCUPADA</v>
      </c>
      <c r="G137" s="200" t="str">
        <f>[1]IDFUNÇÃO!G137</f>
        <v>OCUPADA</v>
      </c>
    </row>
    <row r="138" spans="1:7" x14ac:dyDescent="0.25">
      <c r="A138" s="542"/>
      <c r="B138" s="197" t="str">
        <f>[1]IDFUNÇÃO!B138</f>
        <v>Assistente</v>
      </c>
      <c r="C138" s="198" t="str">
        <f>[1]IDFUNÇÃO!C138</f>
        <v>DAS 102.2</v>
      </c>
      <c r="D138" s="199" t="str">
        <f>[1]IDFUNÇÃO!D138</f>
        <v>SE75</v>
      </c>
      <c r="E138" s="535"/>
      <c r="F138" s="200" t="str">
        <f>[1]IDFUNÇÃO!F138</f>
        <v>OCUPADA</v>
      </c>
      <c r="G138" s="535"/>
    </row>
    <row r="139" spans="1:7" x14ac:dyDescent="0.25">
      <c r="A139" s="542"/>
      <c r="B139" s="197" t="str">
        <f>[1]IDFUNÇÃO!B139</f>
        <v>Assistente Técnico</v>
      </c>
      <c r="C139" s="198" t="str">
        <f>[1]IDFUNÇÃO!C139</f>
        <v>DAS 102.1</v>
      </c>
      <c r="D139" s="199" t="str">
        <f>[1]IDFUNÇÃO!D139</f>
        <v>SE76</v>
      </c>
      <c r="E139" s="535"/>
      <c r="F139" s="200" t="str">
        <f>[1]IDFUNÇÃO!F139</f>
        <v>OCUPADA</v>
      </c>
      <c r="G139" s="535"/>
    </row>
    <row r="140" spans="1:7" x14ac:dyDescent="0.25">
      <c r="A140" s="542"/>
      <c r="B140" s="197" t="str">
        <f>[1]IDFUNÇÃO!B140</f>
        <v>Assistente Técnico</v>
      </c>
      <c r="C140" s="198" t="str">
        <f>[1]IDFUNÇÃO!C140</f>
        <v>FCPE 102.1</v>
      </c>
      <c r="D140" s="199" t="str">
        <f>[1]IDFUNÇÃO!D140</f>
        <v>SE77</v>
      </c>
      <c r="E140" s="535"/>
      <c r="F140" s="200" t="str">
        <f>[1]IDFUNÇÃO!F140</f>
        <v>OCUPADA</v>
      </c>
      <c r="G140" s="535"/>
    </row>
    <row r="141" spans="1:7" x14ac:dyDescent="0.25">
      <c r="A141" s="543"/>
      <c r="B141" s="197" t="str">
        <f>[1]IDFUNÇÃO!B141</f>
        <v>Assistente Técnico</v>
      </c>
      <c r="C141" s="198" t="str">
        <f>[1]IDFUNÇÃO!C141</f>
        <v>FCPE 102.1</v>
      </c>
      <c r="D141" s="199" t="str">
        <f>[1]IDFUNÇÃO!D141</f>
        <v>SE78</v>
      </c>
      <c r="E141" s="535"/>
      <c r="F141" s="200" t="str">
        <f>[1]IDFUNÇÃO!F141</f>
        <v>OCUPADA</v>
      </c>
      <c r="G141" s="535"/>
    </row>
    <row r="142" spans="1:7" x14ac:dyDescent="0.25">
      <c r="A142" s="544" t="str">
        <f>[1]IDFUNÇÃO!A142</f>
        <v>Coordenação-Geral de Tecnologia da Informação</v>
      </c>
      <c r="B142" s="197" t="str">
        <f>[1]IDFUNÇÃO!B142</f>
        <v>Coordenador-Geral</v>
      </c>
      <c r="C142" s="198" t="str">
        <f>[1]IDFUNÇÃO!C142</f>
        <v>DAS 101.4</v>
      </c>
      <c r="D142" s="199" t="str">
        <f>[1]IDFUNÇÃO!D142</f>
        <v>SE79</v>
      </c>
      <c r="E142" s="199" t="str">
        <f>[1]IDFUNÇÃO!E142</f>
        <v>SE45S</v>
      </c>
      <c r="F142" s="200" t="str">
        <f>[1]IDFUNÇÃO!F142</f>
        <v>OCUPADA</v>
      </c>
      <c r="G142" s="200" t="str">
        <f>[1]IDFUNÇÃO!G142</f>
        <v>OCUPADA</v>
      </c>
    </row>
    <row r="143" spans="1:7" x14ac:dyDescent="0.25">
      <c r="A143" s="542"/>
      <c r="B143" s="197" t="str">
        <f>[1]IDFUNÇÃO!B143</f>
        <v>Coordenador de Infraestrutura Tecnológica</v>
      </c>
      <c r="C143" s="198" t="str">
        <f>[1]IDFUNÇÃO!C143</f>
        <v>DAS 101.3</v>
      </c>
      <c r="D143" s="199" t="str">
        <f>[1]IDFUNÇÃO!D143</f>
        <v>SE80</v>
      </c>
      <c r="E143" s="199" t="str">
        <f>[1]IDFUNÇÃO!E143</f>
        <v>SE46S</v>
      </c>
      <c r="F143" s="200" t="str">
        <f>[1]IDFUNÇÃO!F143</f>
        <v>OCUPADA</v>
      </c>
      <c r="G143" s="200" t="str">
        <f>[1]IDFUNÇÃO!G143</f>
        <v>OCUPADA</v>
      </c>
    </row>
    <row r="144" spans="1:7" x14ac:dyDescent="0.25">
      <c r="A144" s="542"/>
      <c r="B144" s="197" t="str">
        <f>[1]IDFUNÇÃO!B144</f>
        <v>Coordenador de Tecnologia de Sistemas de Informação</v>
      </c>
      <c r="C144" s="198" t="str">
        <f>[1]IDFUNÇÃO!C144</f>
        <v>DAS 101.3</v>
      </c>
      <c r="D144" s="199" t="str">
        <f>[1]IDFUNÇÃO!D144</f>
        <v>SE81</v>
      </c>
      <c r="E144" s="199" t="str">
        <f>[1]IDFUNÇÃO!E144</f>
        <v>SE47S</v>
      </c>
      <c r="F144" s="200" t="str">
        <f>[1]IDFUNÇÃO!F144</f>
        <v>OCUPADA</v>
      </c>
      <c r="G144" s="200" t="str">
        <f>[1]IDFUNÇÃO!G144</f>
        <v>OCUPADA</v>
      </c>
    </row>
    <row r="145" spans="1:7" x14ac:dyDescent="0.25">
      <c r="A145" s="542"/>
      <c r="B145" s="197" t="str">
        <f>[1]IDFUNÇÃO!B145</f>
        <v>Assistente</v>
      </c>
      <c r="C145" s="198" t="str">
        <f>[1]IDFUNÇÃO!C145</f>
        <v>DAS 102.2</v>
      </c>
      <c r="D145" s="199" t="str">
        <f>[1]IDFUNÇÃO!D145</f>
        <v>SE82</v>
      </c>
      <c r="E145" s="535"/>
      <c r="F145" s="200" t="str">
        <f>[1]IDFUNÇÃO!F145</f>
        <v>OCUPADA</v>
      </c>
      <c r="G145" s="535"/>
    </row>
    <row r="146" spans="1:7" x14ac:dyDescent="0.25">
      <c r="A146" s="543"/>
      <c r="B146" s="197" t="str">
        <f>[1]IDFUNÇÃO!B146</f>
        <v>Assistente</v>
      </c>
      <c r="C146" s="198" t="str">
        <f>[1]IDFUNÇÃO!C146</f>
        <v>DAS 102.2</v>
      </c>
      <c r="D146" s="199" t="str">
        <f>[1]IDFUNÇÃO!D146</f>
        <v>SE83</v>
      </c>
      <c r="E146" s="535"/>
      <c r="F146" s="200" t="str">
        <f>[1]IDFUNÇÃO!F146</f>
        <v>OCUPADA</v>
      </c>
      <c r="G146" s="535"/>
    </row>
    <row r="147" spans="1:7" x14ac:dyDescent="0.25">
      <c r="A147" s="544" t="str">
        <f>[1]IDFUNÇÃO!A147</f>
        <v>Coordenação-Geral de Compras e Contratos</v>
      </c>
      <c r="B147" s="197" t="str">
        <f>[1]IDFUNÇÃO!B147</f>
        <v>Coordenador-Geral</v>
      </c>
      <c r="C147" s="198" t="str">
        <f>[1]IDFUNÇÃO!C147</f>
        <v>DAS 101.4</v>
      </c>
      <c r="D147" s="199" t="str">
        <f>[1]IDFUNÇÃO!D147</f>
        <v>SE84</v>
      </c>
      <c r="E147" s="199" t="str">
        <f>[1]IDFUNÇÃO!E147</f>
        <v>SE48S</v>
      </c>
      <c r="F147" s="200" t="str">
        <f>[1]IDFUNÇÃO!F147</f>
        <v>OCUPADA</v>
      </c>
      <c r="G147" s="200" t="str">
        <f>[1]IDFUNÇÃO!G147</f>
        <v>OCUPADA</v>
      </c>
    </row>
    <row r="148" spans="1:7" x14ac:dyDescent="0.25">
      <c r="A148" s="542"/>
      <c r="B148" s="197" t="str">
        <f>[1]IDFUNÇÃO!B148</f>
        <v>Coordenador de Administração de Contratos</v>
      </c>
      <c r="C148" s="198" t="str">
        <f>[1]IDFUNÇÃO!C148</f>
        <v>DAS 101.3</v>
      </c>
      <c r="D148" s="199" t="str">
        <f>[1]IDFUNÇÃO!D148</f>
        <v>SE85</v>
      </c>
      <c r="E148" s="199" t="str">
        <f>[1]IDFUNÇÃO!E148</f>
        <v>SE49S</v>
      </c>
      <c r="F148" s="200" t="str">
        <f>[1]IDFUNÇÃO!F148</f>
        <v>OCUPADA</v>
      </c>
      <c r="G148" s="200" t="str">
        <f>[1]IDFUNÇÃO!G148</f>
        <v>OCUPADA</v>
      </c>
    </row>
    <row r="149" spans="1:7" x14ac:dyDescent="0.25">
      <c r="A149" s="542"/>
      <c r="B149" s="197" t="str">
        <f>[1]IDFUNÇÃO!B149</f>
        <v>Coordenador de Licitações e Compras</v>
      </c>
      <c r="C149" s="198" t="str">
        <f>[1]IDFUNÇÃO!C149</f>
        <v>DAS 101.3</v>
      </c>
      <c r="D149" s="199" t="str">
        <f>[1]IDFUNÇÃO!D149</f>
        <v>SE86</v>
      </c>
      <c r="E149" s="199" t="str">
        <f>[1]IDFUNÇÃO!E149</f>
        <v>SE50S</v>
      </c>
      <c r="F149" s="200" t="str">
        <f>[1]IDFUNÇÃO!F149</f>
        <v>VAZIA</v>
      </c>
      <c r="G149" s="200" t="str">
        <f>[1]IDFUNÇÃO!G149</f>
        <v>OCUPADA</v>
      </c>
    </row>
    <row r="150" spans="1:7" x14ac:dyDescent="0.25">
      <c r="A150" s="542"/>
      <c r="B150" s="197" t="str">
        <f>[1]IDFUNÇÃO!B150</f>
        <v>Assistente</v>
      </c>
      <c r="C150" s="198" t="str">
        <f>[1]IDFUNÇÃO!C150</f>
        <v>DAS 102.2</v>
      </c>
      <c r="D150" s="199" t="str">
        <f>[1]IDFUNÇÃO!D150</f>
        <v>SE87</v>
      </c>
      <c r="E150" s="535"/>
      <c r="F150" s="200" t="str">
        <f>[1]IDFUNÇÃO!F150</f>
        <v>OCUPADA</v>
      </c>
      <c r="G150" s="535"/>
    </row>
    <row r="151" spans="1:7" x14ac:dyDescent="0.25">
      <c r="A151" s="542"/>
      <c r="B151" s="197" t="str">
        <f>[1]IDFUNÇÃO!B151</f>
        <v>Assistente</v>
      </c>
      <c r="C151" s="198" t="str">
        <f>[1]IDFUNÇÃO!C151</f>
        <v>DAS 102.2</v>
      </c>
      <c r="D151" s="199" t="str">
        <f>[1]IDFUNÇÃO!D151</f>
        <v>SE88</v>
      </c>
      <c r="E151" s="535"/>
      <c r="F151" s="200" t="str">
        <f>[1]IDFUNÇÃO!F151</f>
        <v>OCUPADA</v>
      </c>
      <c r="G151" s="535"/>
    </row>
    <row r="152" spans="1:7" x14ac:dyDescent="0.25">
      <c r="A152" s="542"/>
      <c r="B152" s="197" t="str">
        <f>[1]IDFUNÇÃO!B152</f>
        <v>Assistente</v>
      </c>
      <c r="C152" s="198" t="str">
        <f>[1]IDFUNÇÃO!C152</f>
        <v>FCPE 102.2</v>
      </c>
      <c r="D152" s="199" t="str">
        <f>[1]IDFUNÇÃO!D152</f>
        <v>SE89</v>
      </c>
      <c r="E152" s="535"/>
      <c r="F152" s="200" t="str">
        <f>[1]IDFUNÇÃO!F152</f>
        <v>OCUPADA</v>
      </c>
      <c r="G152" s="535"/>
    </row>
    <row r="153" spans="1:7" x14ac:dyDescent="0.25">
      <c r="A153" s="542"/>
      <c r="B153" s="197" t="str">
        <f>[1]IDFUNÇÃO!B153</f>
        <v>Assistente</v>
      </c>
      <c r="C153" s="198" t="str">
        <f>[1]IDFUNÇÃO!C153</f>
        <v>FCPE 102.2</v>
      </c>
      <c r="D153" s="199" t="str">
        <f>[1]IDFUNÇÃO!D153</f>
        <v>SE90</v>
      </c>
      <c r="E153" s="535"/>
      <c r="F153" s="200" t="str">
        <f>[1]IDFUNÇÃO!F153</f>
        <v>OCUPADA</v>
      </c>
      <c r="G153" s="535"/>
    </row>
    <row r="154" spans="1:7" x14ac:dyDescent="0.25">
      <c r="A154" s="543"/>
      <c r="B154" s="197" t="str">
        <f>[1]IDFUNÇÃO!B154</f>
        <v>Assistente Técnico</v>
      </c>
      <c r="C154" s="198" t="str">
        <f>[1]IDFUNÇÃO!C154</f>
        <v>DAS 102.1</v>
      </c>
      <c r="D154" s="199" t="str">
        <f>[1]IDFUNÇÃO!D154</f>
        <v>SE91</v>
      </c>
      <c r="E154" s="535"/>
      <c r="F154" s="200" t="str">
        <f>[1]IDFUNÇÃO!F154</f>
        <v>VAZIA</v>
      </c>
      <c r="G154" s="535"/>
    </row>
    <row r="155" spans="1:7" ht="8.25" customHeight="1" x14ac:dyDescent="0.25">
      <c r="A155" s="201"/>
      <c r="B155" s="201"/>
      <c r="C155" s="202"/>
      <c r="D155" s="202"/>
      <c r="E155" s="202"/>
      <c r="F155" s="195"/>
      <c r="G155" s="195"/>
    </row>
    <row r="156" spans="1:7" x14ac:dyDescent="0.25">
      <c r="A156" s="544" t="str">
        <f>[1]IDFUNÇÃO!A156</f>
        <v>CONSULTORIA JURÍDICA</v>
      </c>
      <c r="B156" s="197" t="str">
        <f>[1]IDFUNÇÃO!B156</f>
        <v>Consultor Jurídico</v>
      </c>
      <c r="C156" s="198" t="str">
        <f>[1]IDFUNÇÃO!C156</f>
        <v>DAS 101.5</v>
      </c>
      <c r="D156" s="199" t="str">
        <f>[1]IDFUNÇÃO!D156</f>
        <v>CONJUR01</v>
      </c>
      <c r="E156" s="199" t="str">
        <f>[1]IDFUNÇÃO!E156</f>
        <v>CONJUR01S</v>
      </c>
      <c r="F156" s="200" t="str">
        <f>[1]IDFUNÇÃO!F156</f>
        <v>OCUPADA</v>
      </c>
      <c r="G156" s="200" t="str">
        <f>[1]IDFUNÇÃO!G156</f>
        <v>OCUPADA</v>
      </c>
    </row>
    <row r="157" spans="1:7" x14ac:dyDescent="0.25">
      <c r="A157" s="542"/>
      <c r="B157" s="197" t="str">
        <f>[1]IDFUNÇÃO!B157</f>
        <v>Assessor</v>
      </c>
      <c r="C157" s="203" t="str">
        <f>[1]IDFUNÇÃO!C157</f>
        <v>DAS 102.4</v>
      </c>
      <c r="D157" s="199" t="str">
        <f>[1]IDFUNÇÃO!D157</f>
        <v>CONJUR02</v>
      </c>
      <c r="E157" s="539"/>
      <c r="F157" s="200" t="str">
        <f>[1]IDFUNÇÃO!F157</f>
        <v>OCUPADA</v>
      </c>
      <c r="G157" s="539"/>
    </row>
    <row r="158" spans="1:7" x14ac:dyDescent="0.25">
      <c r="A158" s="542"/>
      <c r="B158" s="197" t="str">
        <f>[1]IDFUNÇÃO!B158</f>
        <v>Assessor Técnico</v>
      </c>
      <c r="C158" s="203" t="str">
        <f>[1]IDFUNÇÃO!C158</f>
        <v>FCPE 102.3</v>
      </c>
      <c r="D158" s="199" t="str">
        <f>[1]IDFUNÇÃO!D158</f>
        <v>CONJUR03</v>
      </c>
      <c r="E158" s="539"/>
      <c r="F158" s="200" t="str">
        <f>[1]IDFUNÇÃO!F158</f>
        <v>OCUPADA</v>
      </c>
      <c r="G158" s="539"/>
    </row>
    <row r="159" spans="1:7" x14ac:dyDescent="0.25">
      <c r="A159" s="542"/>
      <c r="B159" s="197" t="str">
        <f>[1]IDFUNÇÃO!B159</f>
        <v>Assistente</v>
      </c>
      <c r="C159" s="203" t="str">
        <f>[1]IDFUNÇÃO!C159</f>
        <v>FCPE 102.2</v>
      </c>
      <c r="D159" s="199" t="str">
        <f>[1]IDFUNÇÃO!D159</f>
        <v>CONJUR04</v>
      </c>
      <c r="E159" s="539"/>
      <c r="F159" s="200" t="str">
        <f>[1]IDFUNÇÃO!F159</f>
        <v>OCUPADA</v>
      </c>
      <c r="G159" s="539"/>
    </row>
    <row r="160" spans="1:7" x14ac:dyDescent="0.25">
      <c r="A160" s="542"/>
      <c r="B160" s="197" t="str">
        <f>[1]IDFUNÇÃO!B160</f>
        <v>Assistente</v>
      </c>
      <c r="C160" s="203" t="str">
        <f>[1]IDFUNÇÃO!C160</f>
        <v>DAS 102.2</v>
      </c>
      <c r="D160" s="199" t="str">
        <f>[1]IDFUNÇÃO!D160</f>
        <v>CONJUR05</v>
      </c>
      <c r="E160" s="539"/>
      <c r="F160" s="200" t="str">
        <f>[1]IDFUNÇÃO!F160</f>
        <v>OCUPADA</v>
      </c>
      <c r="G160" s="539"/>
    </row>
    <row r="161" spans="1:7" x14ac:dyDescent="0.25">
      <c r="A161" s="542"/>
      <c r="B161" s="197" t="str">
        <f>[1]IDFUNÇÃO!B161</f>
        <v>Assistente</v>
      </c>
      <c r="C161" s="203" t="str">
        <f>[1]IDFUNÇÃO!C161</f>
        <v>DAS 102.2</v>
      </c>
      <c r="D161" s="199" t="str">
        <f>[1]IDFUNÇÃO!D161</f>
        <v>CONJUR06</v>
      </c>
      <c r="E161" s="539"/>
      <c r="F161" s="200" t="str">
        <f>[1]IDFUNÇÃO!F161</f>
        <v>OCUPADA</v>
      </c>
      <c r="G161" s="539"/>
    </row>
    <row r="162" spans="1:7" x14ac:dyDescent="0.25">
      <c r="A162" s="542"/>
      <c r="B162" s="197" t="str">
        <f>[1]IDFUNÇÃO!B162</f>
        <v>Assistente</v>
      </c>
      <c r="C162" s="203" t="str">
        <f>[1]IDFUNÇÃO!C162</f>
        <v>DAS 102.2</v>
      </c>
      <c r="D162" s="199" t="str">
        <f>[1]IDFUNÇÃO!D162</f>
        <v>CONJUR07</v>
      </c>
      <c r="E162" s="539"/>
      <c r="F162" s="200" t="str">
        <f>[1]IDFUNÇÃO!F162</f>
        <v>OCUPADA</v>
      </c>
      <c r="G162" s="539"/>
    </row>
    <row r="163" spans="1:7" x14ac:dyDescent="0.25">
      <c r="A163" s="542"/>
      <c r="B163" s="197" t="str">
        <f>[1]IDFUNÇÃO!B163</f>
        <v>Assistente</v>
      </c>
      <c r="C163" s="203" t="str">
        <f>[1]IDFUNÇÃO!C163</f>
        <v>DAS 102.2</v>
      </c>
      <c r="D163" s="199" t="str">
        <f>[1]IDFUNÇÃO!D163</f>
        <v>CONJUR08</v>
      </c>
      <c r="E163" s="539"/>
      <c r="F163" s="200" t="str">
        <f>[1]IDFUNÇÃO!F163</f>
        <v>OCUPADA</v>
      </c>
      <c r="G163" s="539"/>
    </row>
    <row r="164" spans="1:7" x14ac:dyDescent="0.25">
      <c r="A164" s="542"/>
      <c r="B164" s="197" t="str">
        <f>[1]IDFUNÇÃO!B164</f>
        <v>Assistente</v>
      </c>
      <c r="C164" s="203" t="str">
        <f>[1]IDFUNÇÃO!C164</f>
        <v>DAS 102.2</v>
      </c>
      <c r="D164" s="199" t="str">
        <f>[1]IDFUNÇÃO!D164</f>
        <v>CONJUR09</v>
      </c>
      <c r="E164" s="539"/>
      <c r="F164" s="200" t="str">
        <f>[1]IDFUNÇÃO!F164</f>
        <v>OCUPADA</v>
      </c>
      <c r="G164" s="539"/>
    </row>
    <row r="165" spans="1:7" x14ac:dyDescent="0.25">
      <c r="A165" s="213" t="str">
        <f>[1]IDFUNÇÃO!A165</f>
        <v>Coordenação-Geral de Assuntos de Petróleo e Mineração</v>
      </c>
      <c r="B165" s="197" t="str">
        <f>[1]IDFUNÇÃO!B165</f>
        <v>Coordenador-Geral</v>
      </c>
      <c r="C165" s="203" t="str">
        <f>[1]IDFUNÇÃO!C165</f>
        <v>FCPE 101.4</v>
      </c>
      <c r="D165" s="199" t="str">
        <f>[1]IDFUNÇÃO!D165</f>
        <v>CONJUR10</v>
      </c>
      <c r="E165" s="199" t="str">
        <f>[1]IDFUNÇÃO!E165</f>
        <v>CONJUR02S</v>
      </c>
      <c r="F165" s="200" t="str">
        <f>[1]IDFUNÇÃO!F165</f>
        <v>OCUPADA</v>
      </c>
      <c r="G165" s="200" t="str">
        <f>[1]IDFUNÇÃO!G165</f>
        <v>OCUPADA</v>
      </c>
    </row>
    <row r="166" spans="1:7" x14ac:dyDescent="0.25">
      <c r="A166" s="213" t="str">
        <f>[1]IDFUNÇÃO!A166</f>
        <v>Coordenação-Geral de Assuntos de Energia</v>
      </c>
      <c r="B166" s="197" t="str">
        <f>[1]IDFUNÇÃO!B166</f>
        <v>Coordenador-Geral</v>
      </c>
      <c r="C166" s="203" t="str">
        <f>[1]IDFUNÇÃO!C166</f>
        <v>FCPE 101.4</v>
      </c>
      <c r="D166" s="199" t="str">
        <f>[1]IDFUNÇÃO!D166</f>
        <v>CONJUR11</v>
      </c>
      <c r="E166" s="199" t="str">
        <f>[1]IDFUNÇÃO!E166</f>
        <v>CONJUR03S</v>
      </c>
      <c r="F166" s="200" t="str">
        <f>[1]IDFUNÇÃO!F166</f>
        <v>OCUPADA</v>
      </c>
      <c r="G166" s="200" t="str">
        <f>[1]IDFUNÇÃO!G166</f>
        <v>OCUPADA</v>
      </c>
    </row>
    <row r="167" spans="1:7" x14ac:dyDescent="0.25">
      <c r="A167" s="213" t="str">
        <f>[1]IDFUNÇÃO!A167</f>
        <v>Coordenação-Geral de Assuntos Administrativos</v>
      </c>
      <c r="B167" s="197" t="str">
        <f>[1]IDFUNÇÃO!B167</f>
        <v>Coordenador-Geral</v>
      </c>
      <c r="C167" s="203" t="str">
        <f>[1]IDFUNÇÃO!C167</f>
        <v>FCPE 101.4</v>
      </c>
      <c r="D167" s="199" t="str">
        <f>[1]IDFUNÇÃO!D167</f>
        <v>CONJUR12</v>
      </c>
      <c r="E167" s="199" t="str">
        <f>[1]IDFUNÇÃO!E167</f>
        <v>CONJUR04S</v>
      </c>
      <c r="F167" s="200" t="str">
        <f>[1]IDFUNÇÃO!F167</f>
        <v>OCUPADA</v>
      </c>
      <c r="G167" s="200" t="str">
        <f>[1]IDFUNÇÃO!G167</f>
        <v>VAZIA</v>
      </c>
    </row>
    <row r="168" spans="1:7" x14ac:dyDescent="0.25">
      <c r="A168" s="541" t="str">
        <f>[1]IDFUNÇÃO!A168</f>
        <v>Coordenação de Apoio Administrativo</v>
      </c>
      <c r="B168" s="197" t="str">
        <f>[1]IDFUNÇÃO!B168</f>
        <v>Coordenador</v>
      </c>
      <c r="C168" s="203" t="str">
        <f>[1]IDFUNÇÃO!C168</f>
        <v>FCPE 101.3</v>
      </c>
      <c r="D168" s="199" t="str">
        <f>[1]IDFUNÇÃO!D168</f>
        <v>CONJUR13</v>
      </c>
      <c r="E168" s="199" t="str">
        <f>[1]IDFUNÇÃO!E168</f>
        <v>CONJUR05S</v>
      </c>
      <c r="F168" s="200" t="str">
        <f>[1]IDFUNÇÃO!F168</f>
        <v>OCUPADA</v>
      </c>
      <c r="G168" s="200" t="str">
        <f>[1]IDFUNÇÃO!G168</f>
        <v>OCUPADA</v>
      </c>
    </row>
    <row r="169" spans="1:7" x14ac:dyDescent="0.25">
      <c r="A169" s="545"/>
      <c r="B169" s="197" t="str">
        <f>[1]IDFUNÇÃO!B169</f>
        <v>Assistente Técnico</v>
      </c>
      <c r="C169" s="203" t="str">
        <f>[1]IDFUNÇÃO!C169</f>
        <v>DAS 102.1</v>
      </c>
      <c r="D169" s="199" t="str">
        <f>[1]IDFUNÇÃO!D169</f>
        <v>CONJUR14</v>
      </c>
      <c r="E169" s="206"/>
      <c r="F169" s="200" t="str">
        <f>[1]IDFUNÇÃO!F169</f>
        <v>OCUPADA</v>
      </c>
      <c r="G169" s="206"/>
    </row>
    <row r="170" spans="1:7" ht="8.25" customHeight="1" x14ac:dyDescent="0.25">
      <c r="A170" s="201"/>
      <c r="B170" s="201"/>
      <c r="C170" s="202"/>
      <c r="D170" s="202"/>
      <c r="E170" s="202"/>
      <c r="F170" s="195"/>
      <c r="G170" s="195"/>
    </row>
    <row r="171" spans="1:7" x14ac:dyDescent="0.25">
      <c r="A171" s="544" t="str">
        <f>[1]IDFUNÇÃO!A171</f>
        <v>ASSESSORIA ECONÔMICA</v>
      </c>
      <c r="B171" s="214" t="str">
        <f>[1]IDFUNÇÃO!B171</f>
        <v>Chefe de Assessoria Econômica</v>
      </c>
      <c r="C171" s="198" t="str">
        <f>[1]IDFUNÇÃO!C171</f>
        <v>DAS 101.5</v>
      </c>
      <c r="D171" s="199" t="str">
        <f>[1]IDFUNÇÃO!D171</f>
        <v>ASSEC01</v>
      </c>
      <c r="E171" s="199" t="str">
        <f>[1]IDFUNÇÃO!E171</f>
        <v>ASSEC01S</v>
      </c>
      <c r="F171" s="200" t="str">
        <f>[1]IDFUNÇÃO!F171</f>
        <v>OCUPADA</v>
      </c>
      <c r="G171" s="200" t="str">
        <f>[1]IDFUNÇÃO!G171</f>
        <v>OCUPADA</v>
      </c>
    </row>
    <row r="172" spans="1:7" x14ac:dyDescent="0.25">
      <c r="A172" s="542"/>
      <c r="B172" s="214" t="str">
        <f>[1]IDFUNÇÃO!B172</f>
        <v>Assessor</v>
      </c>
      <c r="C172" s="198" t="str">
        <f>[1]IDFUNÇÃO!C172</f>
        <v>DAS 102.4</v>
      </c>
      <c r="D172" s="199" t="str">
        <f>[1]IDFUNÇÃO!D172</f>
        <v>ASSEC02</v>
      </c>
      <c r="E172" s="539"/>
      <c r="F172" s="200" t="str">
        <f>[1]IDFUNÇÃO!F172</f>
        <v>OCUPADA</v>
      </c>
      <c r="G172" s="539"/>
    </row>
    <row r="173" spans="1:7" x14ac:dyDescent="0.25">
      <c r="A173" s="542"/>
      <c r="B173" s="214" t="str">
        <f>[1]IDFUNÇÃO!B173</f>
        <v>Assessor</v>
      </c>
      <c r="C173" s="198" t="str">
        <f>[1]IDFUNÇÃO!C173</f>
        <v>DAS 102.4</v>
      </c>
      <c r="D173" s="199" t="str">
        <f>[1]IDFUNÇÃO!D173</f>
        <v>ASSEC03</v>
      </c>
      <c r="E173" s="539"/>
      <c r="F173" s="200" t="str">
        <f>[1]IDFUNÇÃO!F173</f>
        <v>OCUPADA</v>
      </c>
      <c r="G173" s="539"/>
    </row>
    <row r="174" spans="1:7" x14ac:dyDescent="0.25">
      <c r="A174" s="542"/>
      <c r="B174" s="214" t="str">
        <f>[1]IDFUNÇÃO!B174</f>
        <v>Assessor</v>
      </c>
      <c r="C174" s="198" t="str">
        <f>[1]IDFUNÇÃO!C174</f>
        <v>DAS 102.4</v>
      </c>
      <c r="D174" s="199" t="str">
        <f>[1]IDFUNÇÃO!D174</f>
        <v>ASSEC04</v>
      </c>
      <c r="E174" s="539"/>
      <c r="F174" s="200" t="str">
        <f>[1]IDFUNÇÃO!F174</f>
        <v>OCUPADA</v>
      </c>
      <c r="G174" s="539"/>
    </row>
    <row r="175" spans="1:7" x14ac:dyDescent="0.25">
      <c r="A175" s="542"/>
      <c r="B175" s="214" t="str">
        <f>[1]IDFUNÇÃO!B175</f>
        <v>Assessor</v>
      </c>
      <c r="C175" s="198" t="str">
        <f>[1]IDFUNÇÃO!C175</f>
        <v>DAS 102.4</v>
      </c>
      <c r="D175" s="199" t="str">
        <f>[1]IDFUNÇÃO!D175</f>
        <v>ASSEC05</v>
      </c>
      <c r="E175" s="539"/>
      <c r="F175" s="200" t="str">
        <f>[1]IDFUNÇÃO!F175</f>
        <v>OCUPADA</v>
      </c>
      <c r="G175" s="539"/>
    </row>
    <row r="176" spans="1:7" x14ac:dyDescent="0.25">
      <c r="A176" s="542"/>
      <c r="B176" s="214" t="str">
        <f>[1]IDFUNÇÃO!B176</f>
        <v>Assessor</v>
      </c>
      <c r="C176" s="198" t="str">
        <f>[1]IDFUNÇÃO!C176</f>
        <v>DAS 102.4</v>
      </c>
      <c r="D176" s="199" t="str">
        <f>[1]IDFUNÇÃO!D176</f>
        <v>ASSEC06</v>
      </c>
      <c r="E176" s="539"/>
      <c r="F176" s="200" t="str">
        <f>[1]IDFUNÇÃO!F176</f>
        <v>OCUPADA</v>
      </c>
      <c r="G176" s="539"/>
    </row>
    <row r="177" spans="1:7" x14ac:dyDescent="0.25">
      <c r="A177" s="542"/>
      <c r="B177" s="214" t="str">
        <f>[1]IDFUNÇÃO!B177</f>
        <v>Assessor Técnico</v>
      </c>
      <c r="C177" s="198" t="str">
        <f>[1]IDFUNÇÃO!C177</f>
        <v>DAS 102.3</v>
      </c>
      <c r="D177" s="199" t="str">
        <f>[1]IDFUNÇÃO!D177</f>
        <v>ASSEC07</v>
      </c>
      <c r="E177" s="539"/>
      <c r="F177" s="200" t="str">
        <f>[1]IDFUNÇÃO!F177</f>
        <v>OCUPADA</v>
      </c>
      <c r="G177" s="539"/>
    </row>
    <row r="178" spans="1:7" x14ac:dyDescent="0.25">
      <c r="A178" s="542"/>
      <c r="B178" s="214" t="str">
        <f>[1]IDFUNÇÃO!B178</f>
        <v>Assessor Técnico</v>
      </c>
      <c r="C178" s="198" t="str">
        <f>[1]IDFUNÇÃO!C178</f>
        <v>DAS 102.3</v>
      </c>
      <c r="D178" s="199" t="str">
        <f>[1]IDFUNÇÃO!D178</f>
        <v>ASSEC08</v>
      </c>
      <c r="E178" s="539"/>
      <c r="F178" s="200" t="str">
        <f>[1]IDFUNÇÃO!F178</f>
        <v>OCUPADA</v>
      </c>
      <c r="G178" s="539"/>
    </row>
    <row r="179" spans="1:7" x14ac:dyDescent="0.25">
      <c r="A179" s="543"/>
      <c r="B179" s="215" t="str">
        <f>[1]IDFUNÇÃO!B179</f>
        <v>Assessor Técnico</v>
      </c>
      <c r="C179" s="203" t="str">
        <f>[1]IDFUNÇÃO!C179</f>
        <v>DAS 102.3</v>
      </c>
      <c r="D179" s="199" t="str">
        <f>[1]IDFUNÇÃO!D179</f>
        <v>ASSEC09</v>
      </c>
      <c r="E179" s="539"/>
      <c r="F179" s="200" t="str">
        <f>[1]IDFUNÇÃO!F179</f>
        <v>OCUPADA</v>
      </c>
      <c r="G179" s="539"/>
    </row>
    <row r="180" spans="1:7" ht="8.25" customHeight="1" x14ac:dyDescent="0.25">
      <c r="A180" s="201"/>
      <c r="B180" s="201"/>
      <c r="C180" s="202"/>
      <c r="D180" s="202"/>
      <c r="E180" s="202"/>
      <c r="F180" s="195"/>
      <c r="G180" s="195"/>
    </row>
    <row r="181" spans="1:7" x14ac:dyDescent="0.25">
      <c r="A181" s="540" t="str">
        <f>[1]IDFUNÇÃO!A181</f>
        <v>ASSESSORIA ESPECIAL DE RELAÇÕES INTERNACIONAIS</v>
      </c>
      <c r="B181" s="197" t="str">
        <f>[1]IDFUNÇÃO!B181</f>
        <v>Chefe da Assessoria Especial de Relações Internacionais</v>
      </c>
      <c r="C181" s="198" t="str">
        <f>[1]IDFUNÇÃO!C181</f>
        <v>DAS 101.5</v>
      </c>
      <c r="D181" s="199" t="str">
        <f>[1]IDFUNÇÃO!D181</f>
        <v>ASSINT01</v>
      </c>
      <c r="E181" s="199" t="str">
        <f>[1]IDFUNÇÃO!E181</f>
        <v>ASSINT01S</v>
      </c>
      <c r="F181" s="200" t="str">
        <f>[1]IDFUNÇÃO!F181</f>
        <v>OCUPADA</v>
      </c>
      <c r="G181" s="200" t="str">
        <f>[1]IDFUNÇÃO!G181</f>
        <v>OCUPADA</v>
      </c>
    </row>
    <row r="182" spans="1:7" x14ac:dyDescent="0.25">
      <c r="A182" s="541"/>
      <c r="B182" s="216" t="str">
        <f>[1]IDFUNÇÃO!B182</f>
        <v>Assessor</v>
      </c>
      <c r="C182" s="198" t="str">
        <f>[1]IDFUNÇÃO!C182</f>
        <v>DAS 102.4</v>
      </c>
      <c r="D182" s="199" t="str">
        <f>[1]IDFUNÇÃO!D182</f>
        <v>ASSINT02</v>
      </c>
      <c r="E182" s="539"/>
      <c r="F182" s="200" t="str">
        <f>[1]IDFUNÇÃO!F182</f>
        <v>OCUPADA</v>
      </c>
      <c r="G182" s="539"/>
    </row>
    <row r="183" spans="1:7" x14ac:dyDescent="0.25">
      <c r="A183" s="541"/>
      <c r="B183" s="197" t="str">
        <f>[1]IDFUNÇÃO!B183</f>
        <v>Assistente</v>
      </c>
      <c r="C183" s="198" t="str">
        <f>[1]IDFUNÇÃO!C183</f>
        <v>FCPE 102.2</v>
      </c>
      <c r="D183" s="199" t="str">
        <f>[1]IDFUNÇÃO!D183</f>
        <v>ASSINT03</v>
      </c>
      <c r="E183" s="539"/>
      <c r="F183" s="200" t="str">
        <f>[1]IDFUNÇÃO!F183</f>
        <v>OCUPADA</v>
      </c>
      <c r="G183" s="539"/>
    </row>
    <row r="184" spans="1:7" x14ac:dyDescent="0.25">
      <c r="A184" s="545"/>
      <c r="B184" s="216" t="str">
        <f>[1]IDFUNÇÃO!B184</f>
        <v>Assitente</v>
      </c>
      <c r="C184" s="198" t="str">
        <f>[1]IDFUNÇÃO!C184</f>
        <v>DAS 102.2</v>
      </c>
      <c r="D184" s="199" t="str">
        <f>[1]IDFUNÇÃO!D184</f>
        <v>ASSINT04</v>
      </c>
      <c r="E184" s="539"/>
      <c r="F184" s="200" t="str">
        <f>[1]IDFUNÇÃO!F184</f>
        <v>OCUPADA</v>
      </c>
      <c r="G184" s="539"/>
    </row>
    <row r="185" spans="1:7" ht="8.25" customHeight="1" x14ac:dyDescent="0.25">
      <c r="A185" s="201"/>
      <c r="B185" s="201"/>
      <c r="C185" s="202"/>
      <c r="D185" s="202"/>
      <c r="E185" s="202"/>
      <c r="F185" s="195"/>
      <c r="G185" s="195"/>
    </row>
    <row r="186" spans="1:7" ht="15" customHeight="1" x14ac:dyDescent="0.25">
      <c r="A186" s="544" t="str">
        <f>[1]IDFUNÇÃO!A186</f>
        <v>ASSESSORIA ESPECIAL DE CONTROLE INTERNO</v>
      </c>
      <c r="B186" s="214" t="str">
        <f>[1]IDFUNÇÃO!B186</f>
        <v xml:space="preserve">Chefe da Assessoria Especial </v>
      </c>
      <c r="C186" s="198" t="str">
        <f>[1]IDFUNÇÃO!C186</f>
        <v>DAS 101.5</v>
      </c>
      <c r="D186" s="199" t="str">
        <f>[1]IDFUNÇÃO!D186</f>
        <v>AECI01</v>
      </c>
      <c r="E186" s="199" t="str">
        <f>[1]IDFUNÇÃO!E186</f>
        <v>AECI01S</v>
      </c>
      <c r="F186" s="200" t="str">
        <f>[1]IDFUNÇÃO!F186</f>
        <v>OCUPADA</v>
      </c>
      <c r="G186" s="200" t="str">
        <f>[1]IDFUNÇÃO!G186</f>
        <v>OCUPADA</v>
      </c>
    </row>
    <row r="187" spans="1:7" ht="15" customHeight="1" x14ac:dyDescent="0.25">
      <c r="A187" s="542"/>
      <c r="B187" s="197" t="str">
        <f>[1]IDFUNÇÃO!B187</f>
        <v>Assessor</v>
      </c>
      <c r="C187" s="198" t="str">
        <f>[1]IDFUNÇÃO!C187</f>
        <v>FCPE 102.4</v>
      </c>
      <c r="D187" s="199" t="str">
        <f>[1]IDFUNÇÃO!D187</f>
        <v>AECI02</v>
      </c>
      <c r="E187" s="539"/>
      <c r="F187" s="200" t="str">
        <f>[1]IDFUNÇÃO!F187</f>
        <v>OCUPADA</v>
      </c>
      <c r="G187" s="539"/>
    </row>
    <row r="188" spans="1:7" ht="15" customHeight="1" x14ac:dyDescent="0.25">
      <c r="A188" s="543"/>
      <c r="B188" s="216" t="str">
        <f>[1]IDFUNÇÃO!B188</f>
        <v>Assintente</v>
      </c>
      <c r="C188" s="198" t="str">
        <f>[1]IDFUNÇÃO!C188</f>
        <v>FCPE 102.2</v>
      </c>
      <c r="D188" s="199" t="str">
        <f>[1]IDFUNÇÃO!D188</f>
        <v>AECI03</v>
      </c>
      <c r="E188" s="539"/>
      <c r="F188" s="200" t="str">
        <f>[1]IDFUNÇÃO!F188</f>
        <v>OCUPADA</v>
      </c>
      <c r="G188" s="539"/>
    </row>
    <row r="189" spans="1:7" ht="8.25" customHeight="1" x14ac:dyDescent="0.25">
      <c r="A189" s="201"/>
      <c r="B189" s="201"/>
      <c r="C189" s="202"/>
      <c r="D189" s="202"/>
      <c r="E189" s="202"/>
      <c r="F189" s="195"/>
      <c r="G189" s="195"/>
    </row>
    <row r="190" spans="1:7" ht="15" customHeight="1" x14ac:dyDescent="0.25">
      <c r="A190" s="544" t="str">
        <f>[1]IDFUNÇÃO!A190</f>
        <v>ASSESSORIA ESPECIAL DE ACOMPANHAMENTO DE POLÍTICAS, ESTRATÉGIAS E DESEMPENHO SETORIAIS</v>
      </c>
      <c r="B190" s="214" t="str">
        <f>[1]IDFUNÇÃO!B190</f>
        <v xml:space="preserve">Chefe da Assessoria Especial </v>
      </c>
      <c r="C190" s="198" t="str">
        <f>[1]IDFUNÇÃO!C190</f>
        <v>DAS 101.5</v>
      </c>
      <c r="D190" s="199" t="str">
        <f>[1]IDFUNÇÃO!D190</f>
        <v>AEPED01</v>
      </c>
      <c r="E190" s="199" t="str">
        <f>[1]IDFUNÇÃO!E190</f>
        <v>AEPED01S</v>
      </c>
      <c r="F190" s="200" t="str">
        <f>[1]IDFUNÇÃO!F190</f>
        <v>OCUPADA</v>
      </c>
      <c r="G190" s="200" t="str">
        <f>[1]IDFUNÇÃO!G190</f>
        <v>OCUPADA</v>
      </c>
    </row>
    <row r="191" spans="1:7" ht="15" customHeight="1" x14ac:dyDescent="0.25">
      <c r="A191" s="542"/>
      <c r="B191" s="197" t="str">
        <f>[1]IDFUNÇÃO!B191</f>
        <v>Assessor</v>
      </c>
      <c r="C191" s="198" t="str">
        <f>[1]IDFUNÇÃO!C191</f>
        <v>DAS 102.4</v>
      </c>
      <c r="D191" s="199" t="str">
        <f>[1]IDFUNÇÃO!D191</f>
        <v>AEPED02</v>
      </c>
      <c r="E191" s="539"/>
      <c r="F191" s="200" t="str">
        <f>[1]IDFUNÇÃO!F191</f>
        <v>OCUPADA</v>
      </c>
      <c r="G191" s="539"/>
    </row>
    <row r="192" spans="1:7" ht="15" customHeight="1" x14ac:dyDescent="0.25">
      <c r="A192" s="542"/>
      <c r="B192" s="197" t="str">
        <f>[1]IDFUNÇÃO!B192</f>
        <v>Assessor</v>
      </c>
      <c r="C192" s="198" t="str">
        <f>[1]IDFUNÇÃO!C192</f>
        <v>FCPE 102.4</v>
      </c>
      <c r="D192" s="199" t="str">
        <f>[1]IDFUNÇÃO!D192</f>
        <v>AEPED03</v>
      </c>
      <c r="E192" s="539"/>
      <c r="F192" s="200" t="str">
        <f>[1]IDFUNÇÃO!F192</f>
        <v>OCUPADA</v>
      </c>
      <c r="G192" s="539"/>
    </row>
    <row r="193" spans="1:7" ht="15" customHeight="1" x14ac:dyDescent="0.25">
      <c r="A193" s="543"/>
      <c r="B193" s="216" t="str">
        <f>[1]IDFUNÇÃO!B193</f>
        <v>Assessor Técnico</v>
      </c>
      <c r="C193" s="198" t="str">
        <f>[1]IDFUNÇÃO!C193</f>
        <v>DAS 102.3</v>
      </c>
      <c r="D193" s="199" t="str">
        <f>[1]IDFUNÇÃO!D193</f>
        <v>AEPED04</v>
      </c>
      <c r="E193" s="539"/>
      <c r="F193" s="200" t="str">
        <f>[1]IDFUNÇÃO!F193</f>
        <v>OCUPADA</v>
      </c>
      <c r="G193" s="539"/>
    </row>
    <row r="194" spans="1:7" ht="8.25" customHeight="1" x14ac:dyDescent="0.25">
      <c r="A194" s="201"/>
      <c r="B194" s="201"/>
      <c r="C194" s="202"/>
      <c r="D194" s="202"/>
      <c r="E194" s="202"/>
      <c r="F194" s="195"/>
      <c r="G194" s="195"/>
    </row>
    <row r="195" spans="1:7" x14ac:dyDescent="0.25">
      <c r="A195" s="544" t="str">
        <f>[1]IDFUNÇÃO!A195</f>
        <v>SECRETARIA DE PLANEJAMENTO E DESENVOLVIMENTO ENERGÉTICO</v>
      </c>
      <c r="B195" s="197" t="str">
        <f>[1]IDFUNÇÃO!B195</f>
        <v>Secretário</v>
      </c>
      <c r="C195" s="198" t="str">
        <f>[1]IDFUNÇÃO!C195</f>
        <v>DAS 101.6</v>
      </c>
      <c r="D195" s="199" t="str">
        <f>[1]IDFUNÇÃO!D195</f>
        <v>SPE01</v>
      </c>
      <c r="E195" s="199" t="str">
        <f>[1]IDFUNÇÃO!E195</f>
        <v>SPE01S</v>
      </c>
      <c r="F195" s="200" t="str">
        <f>[1]IDFUNÇÃO!F195</f>
        <v>VAZIA</v>
      </c>
      <c r="G195" s="200" t="str">
        <f>[1]IDFUNÇÃO!G195</f>
        <v>OCUPADA</v>
      </c>
    </row>
    <row r="196" spans="1:7" x14ac:dyDescent="0.25">
      <c r="A196" s="542"/>
      <c r="B196" s="197" t="str">
        <f>[1]IDFUNÇÃO!B196</f>
        <v>Secretário-Adjunto</v>
      </c>
      <c r="C196" s="198" t="str">
        <f>[1]IDFUNÇÃO!C196</f>
        <v>DAS 101.5</v>
      </c>
      <c r="D196" s="199" t="str">
        <f>[1]IDFUNÇÃO!D196</f>
        <v>SPE02</v>
      </c>
      <c r="E196" s="199" t="str">
        <f>[1]IDFUNÇÃO!E196</f>
        <v>SPE02S</v>
      </c>
      <c r="F196" s="200" t="str">
        <f>[1]IDFUNÇÃO!F196</f>
        <v>OCUPADA</v>
      </c>
      <c r="G196" s="200" t="str">
        <f>[1]IDFUNÇÃO!G196</f>
        <v>VAZIA</v>
      </c>
    </row>
    <row r="197" spans="1:7" x14ac:dyDescent="0.25">
      <c r="A197" s="542"/>
      <c r="B197" s="197" t="str">
        <f>[1]IDFUNÇÃO!B197</f>
        <v>Assessor</v>
      </c>
      <c r="C197" s="198" t="str">
        <f>[1]IDFUNÇÃO!C197</f>
        <v>DAS 102.4</v>
      </c>
      <c r="D197" s="199" t="str">
        <f>[1]IDFUNÇÃO!D197</f>
        <v>SPE03</v>
      </c>
      <c r="E197" s="539"/>
      <c r="F197" s="200" t="str">
        <f>[1]IDFUNÇÃO!F197</f>
        <v>OCUPADA</v>
      </c>
      <c r="G197" s="539"/>
    </row>
    <row r="198" spans="1:7" x14ac:dyDescent="0.25">
      <c r="A198" s="542"/>
      <c r="B198" s="197" t="str">
        <f>[1]IDFUNÇÃO!B198</f>
        <v>Assessor</v>
      </c>
      <c r="C198" s="198" t="str">
        <f>[1]IDFUNÇÃO!C198</f>
        <v>DAS 102.4</v>
      </c>
      <c r="D198" s="199" t="str">
        <f>[1]IDFUNÇÃO!D198</f>
        <v>SPE04</v>
      </c>
      <c r="E198" s="539"/>
      <c r="F198" s="200" t="str">
        <f>[1]IDFUNÇÃO!F198</f>
        <v>OCUPADA</v>
      </c>
      <c r="G198" s="539"/>
    </row>
    <row r="199" spans="1:7" x14ac:dyDescent="0.25">
      <c r="A199" s="542"/>
      <c r="B199" s="197" t="str">
        <f>[1]IDFUNÇÃO!B199</f>
        <v>Assessor Técnico</v>
      </c>
      <c r="C199" s="198" t="str">
        <f>[1]IDFUNÇÃO!C199</f>
        <v>FCPE 102.3</v>
      </c>
      <c r="D199" s="199" t="str">
        <f>[1]IDFUNÇÃO!D199</f>
        <v>SPE05</v>
      </c>
      <c r="E199" s="539"/>
      <c r="F199" s="200" t="str">
        <f>[1]IDFUNÇÃO!F199</f>
        <v>OCUPADA</v>
      </c>
      <c r="G199" s="539"/>
    </row>
    <row r="200" spans="1:7" x14ac:dyDescent="0.25">
      <c r="A200" s="542"/>
      <c r="B200" s="197" t="str">
        <f>[1]IDFUNÇÃO!B200</f>
        <v>Assistente</v>
      </c>
      <c r="C200" s="198" t="str">
        <f>[1]IDFUNÇÃO!C200</f>
        <v>DAS 102.2</v>
      </c>
      <c r="D200" s="199" t="str">
        <f>[1]IDFUNÇÃO!D200</f>
        <v>SPE06</v>
      </c>
      <c r="E200" s="539"/>
      <c r="F200" s="200" t="str">
        <f>[1]IDFUNÇÃO!F200</f>
        <v>OCUPADA</v>
      </c>
      <c r="G200" s="539"/>
    </row>
    <row r="201" spans="1:7" x14ac:dyDescent="0.25">
      <c r="A201" s="542"/>
      <c r="B201" s="197" t="str">
        <f>[1]IDFUNÇÃO!B201</f>
        <v>Assistente</v>
      </c>
      <c r="C201" s="198" t="str">
        <f>[1]IDFUNÇÃO!C201</f>
        <v>DAS 102.2</v>
      </c>
      <c r="D201" s="199" t="str">
        <f>[1]IDFUNÇÃO!D201</f>
        <v>SPE07</v>
      </c>
      <c r="E201" s="539"/>
      <c r="F201" s="200" t="str">
        <f>[1]IDFUNÇÃO!F201</f>
        <v>OCUPADA</v>
      </c>
      <c r="G201" s="539"/>
    </row>
    <row r="202" spans="1:7" x14ac:dyDescent="0.25">
      <c r="A202" s="543"/>
      <c r="B202" s="197" t="str">
        <f>[1]IDFUNÇÃO!B202</f>
        <v>Assistente</v>
      </c>
      <c r="C202" s="198" t="str">
        <f>[1]IDFUNÇÃO!C202</f>
        <v>DAS 102.2</v>
      </c>
      <c r="D202" s="199" t="str">
        <f>[1]IDFUNÇÃO!D202</f>
        <v>SPE08</v>
      </c>
      <c r="E202" s="539"/>
      <c r="F202" s="200" t="str">
        <f>[1]IDFUNÇÃO!F202</f>
        <v>OCUPADA</v>
      </c>
      <c r="G202" s="539"/>
    </row>
    <row r="203" spans="1:7" x14ac:dyDescent="0.25">
      <c r="A203" s="544" t="str">
        <f>[1]IDFUNÇÃO!A203</f>
        <v>Departamento de Planejamento Energético</v>
      </c>
      <c r="B203" s="197" t="str">
        <f>[1]IDFUNÇÃO!B203</f>
        <v>Diretor</v>
      </c>
      <c r="C203" s="198" t="str">
        <f>[1]IDFUNÇÃO!C203</f>
        <v>DAS 101.5</v>
      </c>
      <c r="D203" s="199" t="str">
        <f>[1]IDFUNÇÃO!D203</f>
        <v>SPE09</v>
      </c>
      <c r="E203" s="199" t="str">
        <f>[1]IDFUNÇÃO!E203</f>
        <v>SPE03S</v>
      </c>
      <c r="F203" s="200" t="str">
        <f>[1]IDFUNÇÃO!F203</f>
        <v>OCUPADA</v>
      </c>
      <c r="G203" s="200" t="str">
        <f>[1]IDFUNÇÃO!G203</f>
        <v>VAZIA</v>
      </c>
    </row>
    <row r="204" spans="1:7" x14ac:dyDescent="0.25">
      <c r="A204" s="542"/>
      <c r="B204" s="197" t="str">
        <f>[1]IDFUNÇÃO!B204</f>
        <v>Assessor</v>
      </c>
      <c r="C204" s="198" t="str">
        <f>[1]IDFUNÇÃO!C204</f>
        <v>DAS 102.4</v>
      </c>
      <c r="D204" s="199" t="str">
        <f>[1]IDFUNÇÃO!D204</f>
        <v>SPE10</v>
      </c>
      <c r="E204" s="539"/>
      <c r="F204" s="200" t="str">
        <f>[1]IDFUNÇÃO!F204</f>
        <v>OCUPADA</v>
      </c>
      <c r="G204" s="539"/>
    </row>
    <row r="205" spans="1:7" x14ac:dyDescent="0.25">
      <c r="A205" s="542"/>
      <c r="B205" s="197" t="str">
        <f>[1]IDFUNÇÃO!B205</f>
        <v>Assessor Técnico</v>
      </c>
      <c r="C205" s="198" t="str">
        <f>[1]IDFUNÇÃO!C205</f>
        <v>DAS 102.3</v>
      </c>
      <c r="D205" s="199" t="str">
        <f>[1]IDFUNÇÃO!D205</f>
        <v>SPE11</v>
      </c>
      <c r="E205" s="539"/>
      <c r="F205" s="200" t="str">
        <f>[1]IDFUNÇÃO!F205</f>
        <v>OCUPADA</v>
      </c>
      <c r="G205" s="539"/>
    </row>
    <row r="206" spans="1:7" x14ac:dyDescent="0.25">
      <c r="A206" s="542"/>
      <c r="B206" s="197" t="str">
        <f>[1]IDFUNÇÃO!B206</f>
        <v>Assistente</v>
      </c>
      <c r="C206" s="198" t="str">
        <f>[1]IDFUNÇÃO!C206</f>
        <v>FCPE 102.2</v>
      </c>
      <c r="D206" s="199" t="str">
        <f>[1]IDFUNÇÃO!D206</f>
        <v>SPE12</v>
      </c>
      <c r="E206" s="539"/>
      <c r="F206" s="200" t="str">
        <f>[1]IDFUNÇÃO!F206</f>
        <v>OCUPADA</v>
      </c>
      <c r="G206" s="539"/>
    </row>
    <row r="207" spans="1:7" x14ac:dyDescent="0.25">
      <c r="A207" s="205" t="str">
        <f>[1]IDFUNÇÃO!A207</f>
        <v>Coordenação-Geral de Planejamento da Transmissão</v>
      </c>
      <c r="B207" s="197" t="str">
        <f>[1]IDFUNÇÃO!B207</f>
        <v>Coordenador-Geral</v>
      </c>
      <c r="C207" s="198" t="str">
        <f>[1]IDFUNÇÃO!C207</f>
        <v>DAS 101.4</v>
      </c>
      <c r="D207" s="199" t="str">
        <f>[1]IDFUNÇÃO!D207</f>
        <v>SPE13</v>
      </c>
      <c r="E207" s="199" t="str">
        <f>[1]IDFUNÇÃO!E207</f>
        <v>SPE04S</v>
      </c>
      <c r="F207" s="200" t="str">
        <f>[1]IDFUNÇÃO!F207</f>
        <v>OCUPADA</v>
      </c>
      <c r="G207" s="200" t="str">
        <f>[1]IDFUNÇÃO!G207</f>
        <v>OCUPADA</v>
      </c>
    </row>
    <row r="208" spans="1:7" x14ac:dyDescent="0.25">
      <c r="A208" s="205" t="str">
        <f>[1]IDFUNÇÃO!A208</f>
        <v>Coordenação-Geral de Planejamento da Geração</v>
      </c>
      <c r="B208" s="197" t="str">
        <f>[1]IDFUNÇÃO!B208</f>
        <v>Coordenador-Geral</v>
      </c>
      <c r="C208" s="198" t="str">
        <f>[1]IDFUNÇÃO!C208</f>
        <v>DAS 101.4</v>
      </c>
      <c r="D208" s="199" t="str">
        <f>[1]IDFUNÇÃO!D208</f>
        <v>SPE14</v>
      </c>
      <c r="E208" s="199" t="str">
        <f>[1]IDFUNÇÃO!E208</f>
        <v>SPE05S</v>
      </c>
      <c r="F208" s="200" t="str">
        <f>[1]IDFUNÇÃO!F208</f>
        <v>OCUPADA</v>
      </c>
      <c r="G208" s="200" t="str">
        <f>[1]IDFUNÇÃO!G208</f>
        <v>OCUPADA</v>
      </c>
    </row>
    <row r="209" spans="1:7" x14ac:dyDescent="0.25">
      <c r="A209" s="212" t="str">
        <f>[1]IDFUNÇÃO!A209</f>
        <v>Coordenação-Geral da Expansão Eletroenergética</v>
      </c>
      <c r="B209" s="197" t="str">
        <f>[1]IDFUNÇÃO!B209</f>
        <v>Coordenador-Geral</v>
      </c>
      <c r="C209" s="198" t="str">
        <f>[1]IDFUNÇÃO!C209</f>
        <v>DAS 101.4</v>
      </c>
      <c r="D209" s="199" t="str">
        <f>[1]IDFUNÇÃO!D209</f>
        <v>SPE15</v>
      </c>
      <c r="E209" s="199" t="str">
        <f>[1]IDFUNÇÃO!E209</f>
        <v>SPE06S</v>
      </c>
      <c r="F209" s="200" t="str">
        <f>[1]IDFUNÇÃO!F209</f>
        <v>OCUPADA</v>
      </c>
      <c r="G209" s="200" t="str">
        <f>[1]IDFUNÇÃO!G209</f>
        <v>OCUPADA</v>
      </c>
    </row>
    <row r="210" spans="1:7" x14ac:dyDescent="0.25">
      <c r="A210" s="544" t="str">
        <f>[1]IDFUNÇÃO!A210</f>
        <v>Departamento de Desenvolvimento Energético</v>
      </c>
      <c r="B210" s="197" t="str">
        <f>[1]IDFUNÇÃO!B210</f>
        <v>Diretor</v>
      </c>
      <c r="C210" s="198" t="str">
        <f>[1]IDFUNÇÃO!C210</f>
        <v>DAS 101.5</v>
      </c>
      <c r="D210" s="199" t="str">
        <f>[1]IDFUNÇÃO!D210</f>
        <v>SPE16</v>
      </c>
      <c r="E210" s="199" t="str">
        <f>[1]IDFUNÇÃO!E210</f>
        <v>SPE07S</v>
      </c>
      <c r="F210" s="200" t="str">
        <f>[1]IDFUNÇÃO!F210</f>
        <v>OCUPADA</v>
      </c>
      <c r="G210" s="200" t="str">
        <f>[1]IDFUNÇÃO!G210</f>
        <v>OCUPADA</v>
      </c>
    </row>
    <row r="211" spans="1:7" x14ac:dyDescent="0.25">
      <c r="A211" s="542"/>
      <c r="B211" s="197" t="str">
        <f>[1]IDFUNÇÃO!B211</f>
        <v>Assistente</v>
      </c>
      <c r="C211" s="198" t="str">
        <f>[1]IDFUNÇÃO!C211</f>
        <v>DAS 102.2</v>
      </c>
      <c r="D211" s="199" t="str">
        <f>[1]IDFUNÇÃO!D211</f>
        <v>SPE17</v>
      </c>
      <c r="E211" s="539"/>
      <c r="F211" s="200" t="str">
        <f>[1]IDFUNÇÃO!F211</f>
        <v>OCUPADA</v>
      </c>
      <c r="G211" s="539"/>
    </row>
    <row r="212" spans="1:7" x14ac:dyDescent="0.25">
      <c r="A212" s="542"/>
      <c r="B212" s="197" t="str">
        <f>[1]IDFUNÇÃO!B212</f>
        <v>Assistente</v>
      </c>
      <c r="C212" s="198" t="str">
        <f>[1]IDFUNÇÃO!C212</f>
        <v>FCPE 102.2</v>
      </c>
      <c r="D212" s="199" t="str">
        <f>[1]IDFUNÇÃO!D212</f>
        <v>SPE18</v>
      </c>
      <c r="E212" s="539"/>
      <c r="F212" s="200" t="str">
        <f>[1]IDFUNÇÃO!F212</f>
        <v>OCUPADA</v>
      </c>
      <c r="G212" s="539"/>
    </row>
    <row r="213" spans="1:7" x14ac:dyDescent="0.25">
      <c r="A213" s="205" t="str">
        <f>[1]IDFUNÇÃO!A213</f>
        <v>Coordenação-Geral de Eficiência Energética</v>
      </c>
      <c r="B213" s="197" t="str">
        <f>[1]IDFUNÇÃO!B213</f>
        <v>Coordenador-Geral</v>
      </c>
      <c r="C213" s="198" t="str">
        <f>[1]IDFUNÇÃO!C213</f>
        <v>DAS 101.4</v>
      </c>
      <c r="D213" s="199" t="str">
        <f>[1]IDFUNÇÃO!D213</f>
        <v>SPE19</v>
      </c>
      <c r="E213" s="199" t="str">
        <f>[1]IDFUNÇÃO!E213</f>
        <v>SPE08S</v>
      </c>
      <c r="F213" s="200" t="str">
        <f>[1]IDFUNÇÃO!F213</f>
        <v>OCUPADA</v>
      </c>
      <c r="G213" s="200" t="str">
        <f>[1]IDFUNÇÃO!G213</f>
        <v>OCUPADA</v>
      </c>
    </row>
    <row r="214" spans="1:7" x14ac:dyDescent="0.25">
      <c r="A214" s="205" t="str">
        <f>[1]IDFUNÇÃO!A214</f>
        <v>Coordenação-Geral Sustentabilidade Ambiental do Setor Energético</v>
      </c>
      <c r="B214" s="197" t="str">
        <f>[1]IDFUNÇÃO!B214</f>
        <v>Coordenador-Geral</v>
      </c>
      <c r="C214" s="198" t="str">
        <f>[1]IDFUNÇÃO!C214</f>
        <v>FCPE 101.4</v>
      </c>
      <c r="D214" s="199" t="str">
        <f>[1]IDFUNÇÃO!D214</f>
        <v>SPE20</v>
      </c>
      <c r="E214" s="199" t="str">
        <f>[1]IDFUNÇÃO!E214</f>
        <v>SPE09S</v>
      </c>
      <c r="F214" s="200" t="str">
        <f>[1]IDFUNÇÃO!F214</f>
        <v>OCUPADA</v>
      </c>
      <c r="G214" s="200" t="str">
        <f>[1]IDFUNÇÃO!G214</f>
        <v>OCUPADA</v>
      </c>
    </row>
    <row r="215" spans="1:7" x14ac:dyDescent="0.25">
      <c r="A215" s="212" t="str">
        <f>[1]IDFUNÇÃO!A215</f>
        <v>Coordenação-Geral de Fontes Alternativas</v>
      </c>
      <c r="B215" s="197" t="str">
        <f>[1]IDFUNÇÃO!B215</f>
        <v>Coordenador-Geral</v>
      </c>
      <c r="C215" s="198" t="str">
        <f>[1]IDFUNÇÃO!C215</f>
        <v>DAS 101.4</v>
      </c>
      <c r="D215" s="199" t="str">
        <f>[1]IDFUNÇÃO!D215</f>
        <v>SPE21</v>
      </c>
      <c r="E215" s="199" t="str">
        <f>[1]IDFUNÇÃO!E215</f>
        <v>SPE10S</v>
      </c>
      <c r="F215" s="200" t="str">
        <f>[1]IDFUNÇÃO!F215</f>
        <v>OCUPADA</v>
      </c>
      <c r="G215" s="200" t="str">
        <f>[1]IDFUNÇÃO!G215</f>
        <v>VAZIA</v>
      </c>
    </row>
    <row r="216" spans="1:7" x14ac:dyDescent="0.25">
      <c r="A216" s="540" t="str">
        <f>[1]IDFUNÇÃO!A216</f>
        <v>Departamento de Outorgas de Concessões, Permissões e Autorizações</v>
      </c>
      <c r="B216" s="197" t="str">
        <f>[1]IDFUNÇÃO!B216</f>
        <v>Diretor</v>
      </c>
      <c r="C216" s="198" t="str">
        <f>[1]IDFUNÇÃO!C216</f>
        <v>DAS 101.5</v>
      </c>
      <c r="D216" s="199" t="str">
        <f>[1]IDFUNÇÃO!D216</f>
        <v>SPE22</v>
      </c>
      <c r="E216" s="199" t="str">
        <f>[1]IDFUNÇÃO!E216</f>
        <v>SPE11S</v>
      </c>
      <c r="F216" s="200" t="str">
        <f>[1]IDFUNÇÃO!F216</f>
        <v>OCUPADA</v>
      </c>
      <c r="G216" s="200" t="str">
        <f>[1]IDFUNÇÃO!G216</f>
        <v>OCUPADA</v>
      </c>
    </row>
    <row r="217" spans="1:7" x14ac:dyDescent="0.25">
      <c r="A217" s="541"/>
      <c r="B217" s="197" t="str">
        <f>[1]IDFUNÇÃO!B217</f>
        <v>Assistente</v>
      </c>
      <c r="C217" s="198" t="str">
        <f>[1]IDFUNÇÃO!C217</f>
        <v>DAS 102.2</v>
      </c>
      <c r="D217" s="199" t="str">
        <f>[1]IDFUNÇÃO!D217</f>
        <v>SPE23</v>
      </c>
      <c r="E217" s="539"/>
      <c r="F217" s="200" t="str">
        <f>[1]IDFUNÇÃO!F217</f>
        <v>OCUPADA</v>
      </c>
      <c r="G217" s="539"/>
    </row>
    <row r="218" spans="1:7" x14ac:dyDescent="0.25">
      <c r="A218" s="541"/>
      <c r="B218" s="197" t="str">
        <f>[1]IDFUNÇÃO!B218</f>
        <v>Assistente</v>
      </c>
      <c r="C218" s="198" t="str">
        <f>[1]IDFUNÇÃO!C218</f>
        <v>FCPE 102.2</v>
      </c>
      <c r="D218" s="199" t="str">
        <f>[1]IDFUNÇÃO!D218</f>
        <v>SPE24</v>
      </c>
      <c r="E218" s="539"/>
      <c r="F218" s="200" t="str">
        <f>[1]IDFUNÇÃO!F218</f>
        <v>OCUPADA</v>
      </c>
      <c r="G218" s="539"/>
    </row>
    <row r="219" spans="1:7" x14ac:dyDescent="0.25">
      <c r="A219" s="205" t="str">
        <f>[1]IDFUNÇÃO!A219</f>
        <v>Coordenação-Geral de Outorgas de Geração de Energia Elétrica</v>
      </c>
      <c r="B219" s="197" t="str">
        <f>[1]IDFUNÇÃO!B219</f>
        <v>Coordenador-Geral</v>
      </c>
      <c r="C219" s="198" t="str">
        <f>[1]IDFUNÇÃO!C219</f>
        <v>DAS 101.4</v>
      </c>
      <c r="D219" s="199" t="str">
        <f>[1]IDFUNÇÃO!D219</f>
        <v>SPE25</v>
      </c>
      <c r="E219" s="199" t="str">
        <f>[1]IDFUNÇÃO!E219</f>
        <v>SPE12S</v>
      </c>
      <c r="F219" s="200" t="str">
        <f>[1]IDFUNÇÃO!F219</f>
        <v>OCUPADA</v>
      </c>
      <c r="G219" s="200" t="str">
        <f>[1]IDFUNÇÃO!G219</f>
        <v>OCUPADA</v>
      </c>
    </row>
    <row r="220" spans="1:7" x14ac:dyDescent="0.25">
      <c r="A220" s="212" t="str">
        <f>[1]IDFUNÇÃO!A220</f>
        <v>Coordenação-Geral de Outorgas de Serviços de Transmissão e Distribuição de Energia Elétrica</v>
      </c>
      <c r="B220" s="197" t="str">
        <f>[1]IDFUNÇÃO!B220</f>
        <v>Coordenador-Geral</v>
      </c>
      <c r="C220" s="198" t="str">
        <f>[1]IDFUNÇÃO!C220</f>
        <v>DAS 101.4</v>
      </c>
      <c r="D220" s="199" t="str">
        <f>[1]IDFUNÇÃO!D220</f>
        <v>SPE26</v>
      </c>
      <c r="E220" s="199" t="str">
        <f>[1]IDFUNÇÃO!E220</f>
        <v>SPE13S</v>
      </c>
      <c r="F220" s="200" t="str">
        <f>[1]IDFUNÇÃO!F220</f>
        <v>OCUPADA</v>
      </c>
      <c r="G220" s="200" t="str">
        <f>[1]IDFUNÇÃO!G220</f>
        <v>OCUPADA</v>
      </c>
    </row>
    <row r="221" spans="1:7" x14ac:dyDescent="0.25">
      <c r="A221" s="540" t="str">
        <f>[1]IDFUNÇÃO!A221</f>
        <v>Departamento de Informações e Estudos Energéticos</v>
      </c>
      <c r="B221" s="197" t="str">
        <f>[1]IDFUNÇÃO!B221</f>
        <v>Diretor</v>
      </c>
      <c r="C221" s="198" t="str">
        <f>[1]IDFUNÇÃO!C221</f>
        <v>DAS 101.5</v>
      </c>
      <c r="D221" s="199" t="str">
        <f>[1]IDFUNÇÃO!D221</f>
        <v>SPE27</v>
      </c>
      <c r="E221" s="199" t="str">
        <f>[1]IDFUNÇÃO!E221</f>
        <v>SPE14S</v>
      </c>
      <c r="F221" s="200" t="str">
        <f>[1]IDFUNÇÃO!F221</f>
        <v>OCUPADA</v>
      </c>
      <c r="G221" s="200" t="str">
        <f>[1]IDFUNÇÃO!G221</f>
        <v>OCUPADA</v>
      </c>
    </row>
    <row r="222" spans="1:7" x14ac:dyDescent="0.25">
      <c r="A222" s="541"/>
      <c r="B222" s="197" t="str">
        <f>[1]IDFUNÇÃO!B222</f>
        <v>Assistente</v>
      </c>
      <c r="C222" s="198" t="str">
        <f>[1]IDFUNÇÃO!C222</f>
        <v>DAS 102.2</v>
      </c>
      <c r="D222" s="199" t="str">
        <f>[1]IDFUNÇÃO!D222</f>
        <v>SPE28</v>
      </c>
      <c r="E222" s="206"/>
      <c r="F222" s="200" t="str">
        <f>[1]IDFUNÇÃO!F222</f>
        <v>OCUPADA</v>
      </c>
      <c r="G222" s="206"/>
    </row>
    <row r="223" spans="1:7" x14ac:dyDescent="0.25">
      <c r="A223" s="542" t="str">
        <f>[1]IDFUNÇÃO!A223</f>
        <v>Coordenação-Geral de Informações Energéticas</v>
      </c>
      <c r="B223" s="197" t="str">
        <f>[1]IDFUNÇÃO!B223</f>
        <v>Coordenador-Geral</v>
      </c>
      <c r="C223" s="198" t="str">
        <f>[1]IDFUNÇÃO!C223</f>
        <v>DAS 101.4</v>
      </c>
      <c r="D223" s="199" t="str">
        <f>[1]IDFUNÇÃO!D223</f>
        <v>SPE29</v>
      </c>
      <c r="E223" s="199" t="str">
        <f>[1]IDFUNÇÃO!E223</f>
        <v>SPE15S</v>
      </c>
      <c r="F223" s="200" t="str">
        <f>[1]IDFUNÇÃO!F223</f>
        <v>OCUPADA</v>
      </c>
      <c r="G223" s="200" t="str">
        <f>[1]IDFUNÇÃO!G223</f>
        <v>VAZIA</v>
      </c>
    </row>
    <row r="224" spans="1:7" x14ac:dyDescent="0.25">
      <c r="A224" s="543"/>
      <c r="B224" s="197" t="str">
        <f>[1]IDFUNÇÃO!B224</f>
        <v>Assessor Técnico</v>
      </c>
      <c r="C224" s="198" t="str">
        <f>[1]IDFUNÇÃO!C224</f>
        <v>DAS 102.3</v>
      </c>
      <c r="D224" s="199" t="str">
        <f>[1]IDFUNÇÃO!D224</f>
        <v>SPE30</v>
      </c>
      <c r="E224" s="206"/>
      <c r="F224" s="200" t="str">
        <f>[1]IDFUNÇÃO!F224</f>
        <v>OCUPADA</v>
      </c>
      <c r="G224" s="206"/>
    </row>
    <row r="225" spans="1:7" ht="8.25" customHeight="1" x14ac:dyDescent="0.25">
      <c r="A225" s="217"/>
      <c r="B225" s="201"/>
      <c r="C225" s="202"/>
      <c r="D225" s="202"/>
      <c r="E225" s="218"/>
      <c r="F225" s="195"/>
      <c r="G225" s="195"/>
    </row>
    <row r="226" spans="1:7" x14ac:dyDescent="0.25">
      <c r="A226" s="531" t="str">
        <f>[1]IDFUNÇÃO!A226</f>
        <v>SECRETARIA DE ENERGIA ELÉTRICA</v>
      </c>
      <c r="B226" s="197" t="str">
        <f>[1]IDFUNÇÃO!B226</f>
        <v>Secretário</v>
      </c>
      <c r="C226" s="198" t="str">
        <f>[1]IDFUNÇÃO!C226</f>
        <v>DAS 101.6</v>
      </c>
      <c r="D226" s="199" t="str">
        <f>[1]IDFUNÇÃO!D226</f>
        <v>SEE01</v>
      </c>
      <c r="E226" s="199" t="str">
        <f>[1]IDFUNÇÃO!E226</f>
        <v>SEE01S</v>
      </c>
      <c r="F226" s="200" t="str">
        <f>[1]IDFUNÇÃO!F226</f>
        <v>OCUPADA</v>
      </c>
      <c r="G226" s="200" t="str">
        <f>[1]IDFUNÇÃO!G226</f>
        <v>OCUPADA</v>
      </c>
    </row>
    <row r="227" spans="1:7" x14ac:dyDescent="0.25">
      <c r="A227" s="532"/>
      <c r="B227" s="197" t="str">
        <f>[1]IDFUNÇÃO!B227</f>
        <v>Secretário-Adjunto</v>
      </c>
      <c r="C227" s="198" t="str">
        <f>[1]IDFUNÇÃO!C227</f>
        <v>DAS 101.5</v>
      </c>
      <c r="D227" s="199" t="str">
        <f>[1]IDFUNÇÃO!D227</f>
        <v>SEE02</v>
      </c>
      <c r="E227" s="199" t="str">
        <f>[1]IDFUNÇÃO!E227</f>
        <v>SEE02S</v>
      </c>
      <c r="F227" s="200" t="str">
        <f>[1]IDFUNÇÃO!F227</f>
        <v>OCUPADA</v>
      </c>
      <c r="G227" s="200" t="str">
        <f>[1]IDFUNÇÃO!G227</f>
        <v>OCUPADA</v>
      </c>
    </row>
    <row r="228" spans="1:7" x14ac:dyDescent="0.25">
      <c r="A228" s="532"/>
      <c r="B228" s="197" t="str">
        <f>[1]IDFUNÇÃO!B228</f>
        <v>Diretor de Programa</v>
      </c>
      <c r="C228" s="198" t="str">
        <f>[1]IDFUNÇÃO!C228</f>
        <v>DAS 101.5</v>
      </c>
      <c r="D228" s="199" t="str">
        <f>[1]IDFUNÇÃO!D228</f>
        <v>SEE03</v>
      </c>
      <c r="E228" s="199" t="str">
        <f>[1]IDFUNÇÃO!E228</f>
        <v>SEE03S</v>
      </c>
      <c r="F228" s="200" t="str">
        <f>[1]IDFUNÇÃO!F228</f>
        <v>OCUPADA</v>
      </c>
      <c r="G228" s="200" t="str">
        <f>[1]IDFUNÇÃO!G228</f>
        <v>OCUPADA</v>
      </c>
    </row>
    <row r="229" spans="1:7" x14ac:dyDescent="0.25">
      <c r="A229" s="532"/>
      <c r="B229" s="197" t="str">
        <f>[1]IDFUNÇÃO!B229</f>
        <v>Assessor</v>
      </c>
      <c r="C229" s="198" t="str">
        <f>[1]IDFUNÇÃO!C229</f>
        <v>DAS 102.4</v>
      </c>
      <c r="D229" s="199" t="str">
        <f>[1]IDFUNÇÃO!D229</f>
        <v>SEE04</v>
      </c>
      <c r="E229" s="539"/>
      <c r="F229" s="200" t="str">
        <f>[1]IDFUNÇÃO!F229</f>
        <v>OCUPADA</v>
      </c>
      <c r="G229" s="539"/>
    </row>
    <row r="230" spans="1:7" x14ac:dyDescent="0.25">
      <c r="A230" s="532"/>
      <c r="B230" s="197" t="str">
        <f>[1]IDFUNÇÃO!B230</f>
        <v>Assessor Técnico</v>
      </c>
      <c r="C230" s="198" t="str">
        <f>[1]IDFUNÇÃO!C230</f>
        <v>FCPE 102.3</v>
      </c>
      <c r="D230" s="199" t="str">
        <f>[1]IDFUNÇÃO!D230</f>
        <v>SEE05</v>
      </c>
      <c r="E230" s="539"/>
      <c r="F230" s="200" t="str">
        <f>[1]IDFUNÇÃO!F230</f>
        <v>OCUPADA</v>
      </c>
      <c r="G230" s="539"/>
    </row>
    <row r="231" spans="1:7" x14ac:dyDescent="0.25">
      <c r="A231" s="532"/>
      <c r="B231" s="197" t="str">
        <f>[1]IDFUNÇÃO!B231</f>
        <v>Assistente</v>
      </c>
      <c r="C231" s="198" t="str">
        <f>[1]IDFUNÇÃO!C231</f>
        <v>DAS 102.2</v>
      </c>
      <c r="D231" s="199" t="str">
        <f>[1]IDFUNÇÃO!D231</f>
        <v>SEE06</v>
      </c>
      <c r="E231" s="539"/>
      <c r="F231" s="200" t="str">
        <f>[1]IDFUNÇÃO!F231</f>
        <v>OCUPADA</v>
      </c>
      <c r="G231" s="539"/>
    </row>
    <row r="232" spans="1:7" x14ac:dyDescent="0.25">
      <c r="A232" s="532"/>
      <c r="B232" s="197" t="str">
        <f>[1]IDFUNÇÃO!B232</f>
        <v>Assistente</v>
      </c>
      <c r="C232" s="198" t="str">
        <f>[1]IDFUNÇÃO!C232</f>
        <v>DAS 102.2</v>
      </c>
      <c r="D232" s="199" t="str">
        <f>[1]IDFUNÇÃO!D232</f>
        <v>SEE07</v>
      </c>
      <c r="E232" s="539"/>
      <c r="F232" s="200" t="str">
        <f>[1]IDFUNÇÃO!F232</f>
        <v>OCUPADA</v>
      </c>
      <c r="G232" s="539"/>
    </row>
    <row r="233" spans="1:7" x14ac:dyDescent="0.25">
      <c r="A233" s="532"/>
      <c r="B233" s="197" t="str">
        <f>[1]IDFUNÇÃO!B233</f>
        <v>Assistente</v>
      </c>
      <c r="C233" s="198" t="str">
        <f>[1]IDFUNÇÃO!C233</f>
        <v>DAS 102.2</v>
      </c>
      <c r="D233" s="199" t="str">
        <f>[1]IDFUNÇÃO!D233</f>
        <v>SEE08</v>
      </c>
      <c r="E233" s="539"/>
      <c r="F233" s="200" t="str">
        <f>[1]IDFUNÇÃO!F233</f>
        <v>OCUPADA</v>
      </c>
      <c r="G233" s="539"/>
    </row>
    <row r="234" spans="1:7" x14ac:dyDescent="0.25">
      <c r="A234" s="532"/>
      <c r="B234" s="197" t="str">
        <f>[1]IDFUNÇÃO!B234</f>
        <v>Assistente</v>
      </c>
      <c r="C234" s="198" t="str">
        <f>[1]IDFUNÇÃO!C234</f>
        <v>DAS 102.2</v>
      </c>
      <c r="D234" s="199" t="str">
        <f>[1]IDFUNÇÃO!D234</f>
        <v>SEE09</v>
      </c>
      <c r="E234" s="539"/>
      <c r="F234" s="200" t="str">
        <f>[1]IDFUNÇÃO!F234</f>
        <v>OCUPADA</v>
      </c>
      <c r="G234" s="539"/>
    </row>
    <row r="235" spans="1:7" x14ac:dyDescent="0.25">
      <c r="A235" s="532" t="str">
        <f>[1]IDFUNÇÃO!A235</f>
        <v>Departamento de Gestão do Setor Elétrico</v>
      </c>
      <c r="B235" s="197" t="str">
        <f>[1]IDFUNÇÃO!B235</f>
        <v>Diretor</v>
      </c>
      <c r="C235" s="198" t="str">
        <f>[1]IDFUNÇÃO!C235</f>
        <v>DAS 101.5</v>
      </c>
      <c r="D235" s="199" t="str">
        <f>[1]IDFUNÇÃO!D235</f>
        <v>SEE10</v>
      </c>
      <c r="E235" s="199" t="str">
        <f>[1]IDFUNÇÃO!E235</f>
        <v>SEE04S</v>
      </c>
      <c r="F235" s="200" t="str">
        <f>[1]IDFUNÇÃO!F235</f>
        <v>OCUPADA</v>
      </c>
      <c r="G235" s="200" t="str">
        <f>[1]IDFUNÇÃO!G235</f>
        <v>OCUPADA</v>
      </c>
    </row>
    <row r="236" spans="1:7" x14ac:dyDescent="0.25">
      <c r="A236" s="532"/>
      <c r="B236" s="197" t="str">
        <f>[1]IDFUNÇÃO!B236</f>
        <v>Assistente</v>
      </c>
      <c r="C236" s="198" t="str">
        <f>[1]IDFUNÇÃO!C236</f>
        <v>DAS 102.2</v>
      </c>
      <c r="D236" s="199" t="str">
        <f>[1]IDFUNÇÃO!D236</f>
        <v>SEE11</v>
      </c>
      <c r="E236" s="206"/>
      <c r="F236" s="200" t="str">
        <f>[1]IDFUNÇÃO!F236</f>
        <v>OCUPADA</v>
      </c>
      <c r="G236" s="206"/>
    </row>
    <row r="237" spans="1:7" x14ac:dyDescent="0.25">
      <c r="A237" s="532" t="str">
        <f>[1]IDFUNÇÃO!A237</f>
        <v>Coordenação-Geral de Gestão da Comercialização de Energia</v>
      </c>
      <c r="B237" s="197" t="str">
        <f>[1]IDFUNÇÃO!B237</f>
        <v>Coordenador-Geral</v>
      </c>
      <c r="C237" s="198" t="str">
        <f>[1]IDFUNÇÃO!C237</f>
        <v>DAS 101.4</v>
      </c>
      <c r="D237" s="199" t="str">
        <f>[1]IDFUNÇÃO!D237</f>
        <v>SEE12</v>
      </c>
      <c r="E237" s="199" t="str">
        <f>[1]IDFUNÇÃO!E237</f>
        <v>SEE05S</v>
      </c>
      <c r="F237" s="200" t="str">
        <f>[1]IDFUNÇÃO!F237</f>
        <v>OCUPADA</v>
      </c>
      <c r="G237" s="200" t="str">
        <f>[1]IDFUNÇÃO!G237</f>
        <v>OCUPADA</v>
      </c>
    </row>
    <row r="238" spans="1:7" x14ac:dyDescent="0.25">
      <c r="A238" s="532"/>
      <c r="B238" s="197" t="str">
        <f>[1]IDFUNÇÃO!B238</f>
        <v>Assistente</v>
      </c>
      <c r="C238" s="198" t="str">
        <f>[1]IDFUNÇÃO!C238</f>
        <v>DAS 102.2</v>
      </c>
      <c r="D238" s="199" t="str">
        <f>[1]IDFUNÇÃO!D238</f>
        <v>SEE13</v>
      </c>
      <c r="E238" s="206"/>
      <c r="F238" s="200" t="str">
        <f>[1]IDFUNÇÃO!F238</f>
        <v>OCUPADA</v>
      </c>
      <c r="G238" s="206"/>
    </row>
    <row r="239" spans="1:7" x14ac:dyDescent="0.25">
      <c r="A239" s="532" t="str">
        <f>[1]IDFUNÇÃO!A239</f>
        <v>Coordenação-Geral Gestão de Programas e Regulamentação</v>
      </c>
      <c r="B239" s="197" t="str">
        <f>[1]IDFUNÇÃO!B239</f>
        <v>Coordenador-Geral</v>
      </c>
      <c r="C239" s="198" t="str">
        <f>[1]IDFUNÇÃO!C239</f>
        <v>DAS 101.4</v>
      </c>
      <c r="D239" s="199" t="str">
        <f>[1]IDFUNÇÃO!D239</f>
        <v>SEE14</v>
      </c>
      <c r="E239" s="199" t="str">
        <f>[1]IDFUNÇÃO!E239</f>
        <v>SEE06S</v>
      </c>
      <c r="F239" s="200" t="str">
        <f>[1]IDFUNÇÃO!F239</f>
        <v>OCUPADA</v>
      </c>
      <c r="G239" s="200" t="str">
        <f>[1]IDFUNÇÃO!G239</f>
        <v>VAZIA</v>
      </c>
    </row>
    <row r="240" spans="1:7" x14ac:dyDescent="0.25">
      <c r="A240" s="532"/>
      <c r="B240" s="197" t="str">
        <f>[1]IDFUNÇÃO!B240</f>
        <v>Assessor Técnico</v>
      </c>
      <c r="C240" s="198" t="str">
        <f>[1]IDFUNÇÃO!C240</f>
        <v>FCPE 102.3</v>
      </c>
      <c r="D240" s="199" t="str">
        <f>[1]IDFUNÇÃO!D240</f>
        <v>SEE15</v>
      </c>
      <c r="E240" s="206"/>
      <c r="F240" s="200" t="str">
        <f>[1]IDFUNÇÃO!F240</f>
        <v>OCUPADA</v>
      </c>
      <c r="G240" s="206"/>
    </row>
    <row r="241" spans="1:7" x14ac:dyDescent="0.25">
      <c r="A241" s="532" t="str">
        <f>[1]IDFUNÇÃO!A241</f>
        <v>Departamento de Monitoramento do Sistema Elétrico</v>
      </c>
      <c r="B241" s="197" t="str">
        <f>[1]IDFUNÇÃO!B241</f>
        <v>Diretor</v>
      </c>
      <c r="C241" s="198" t="str">
        <f>[1]IDFUNÇÃO!C241</f>
        <v>DAS 101.5</v>
      </c>
      <c r="D241" s="199" t="str">
        <f>[1]IDFUNÇÃO!D241</f>
        <v>SEE16</v>
      </c>
      <c r="E241" s="199" t="str">
        <f>[1]IDFUNÇÃO!E241</f>
        <v>SEE07S</v>
      </c>
      <c r="F241" s="200" t="str">
        <f>[1]IDFUNÇÃO!F241</f>
        <v>OCUPADA</v>
      </c>
      <c r="G241" s="200" t="str">
        <f>[1]IDFUNÇÃO!G241</f>
        <v>OCUPADA</v>
      </c>
    </row>
    <row r="242" spans="1:7" x14ac:dyDescent="0.25">
      <c r="A242" s="532"/>
      <c r="B242" s="197" t="str">
        <f>[1]IDFUNÇÃO!B242</f>
        <v>Assistente</v>
      </c>
      <c r="C242" s="198" t="str">
        <f>[1]IDFUNÇÃO!C242</f>
        <v>DAS 102.2</v>
      </c>
      <c r="D242" s="199" t="str">
        <f>[1]IDFUNÇÃO!D242</f>
        <v>SEE17</v>
      </c>
      <c r="E242" s="539"/>
      <c r="F242" s="200" t="str">
        <f>[1]IDFUNÇÃO!F242</f>
        <v>OCUPADA</v>
      </c>
      <c r="G242" s="539"/>
    </row>
    <row r="243" spans="1:7" x14ac:dyDescent="0.25">
      <c r="A243" s="532"/>
      <c r="B243" s="197" t="str">
        <f>[1]IDFUNÇÃO!B243</f>
        <v>Assistente</v>
      </c>
      <c r="C243" s="198" t="str">
        <f>[1]IDFUNÇÃO!C243</f>
        <v>DAS 102.2</v>
      </c>
      <c r="D243" s="199" t="str">
        <f>[1]IDFUNÇÃO!D243</f>
        <v>SEE18</v>
      </c>
      <c r="E243" s="539"/>
      <c r="F243" s="200" t="str">
        <f>[1]IDFUNÇÃO!F243</f>
        <v>OCUPADA</v>
      </c>
      <c r="G243" s="539"/>
    </row>
    <row r="244" spans="1:7" x14ac:dyDescent="0.25">
      <c r="A244" s="532" t="str">
        <f>[1]IDFUNÇÃO!A244</f>
        <v>Coordenação-Geral de Monitoramento da Expansão da Geração</v>
      </c>
      <c r="B244" s="197" t="str">
        <f>[1]IDFUNÇÃO!B244</f>
        <v>Coordenador-Geral</v>
      </c>
      <c r="C244" s="198" t="str">
        <f>[1]IDFUNÇÃO!C244</f>
        <v>DAS 101.4</v>
      </c>
      <c r="D244" s="199" t="str">
        <f>[1]IDFUNÇÃO!D244</f>
        <v>SEE19</v>
      </c>
      <c r="E244" s="199" t="str">
        <f>[1]IDFUNÇÃO!E244</f>
        <v>SEE08S</v>
      </c>
      <c r="F244" s="200" t="str">
        <f>[1]IDFUNÇÃO!F244</f>
        <v>OCUPADA</v>
      </c>
      <c r="G244" s="200" t="str">
        <f>[1]IDFUNÇÃO!G244</f>
        <v>OCUPADA</v>
      </c>
    </row>
    <row r="245" spans="1:7" x14ac:dyDescent="0.25">
      <c r="A245" s="532"/>
      <c r="B245" s="197" t="str">
        <f>[1]IDFUNÇÃO!B245</f>
        <v>Gerente de Projeto</v>
      </c>
      <c r="C245" s="198" t="str">
        <f>[1]IDFUNÇÃO!C245</f>
        <v>DAS 101.4</v>
      </c>
      <c r="D245" s="199" t="str">
        <f>[1]IDFUNÇÃO!D245</f>
        <v>SEE20</v>
      </c>
      <c r="E245" s="199" t="str">
        <f>[1]IDFUNÇÃO!E245</f>
        <v>SEE09S</v>
      </c>
      <c r="F245" s="200" t="str">
        <f>[1]IDFUNÇÃO!F245</f>
        <v>OCUPADA</v>
      </c>
      <c r="G245" s="200" t="str">
        <f>[1]IDFUNÇÃO!G245</f>
        <v>VAZIA</v>
      </c>
    </row>
    <row r="246" spans="1:7" x14ac:dyDescent="0.25">
      <c r="A246" s="532"/>
      <c r="B246" s="197" t="str">
        <f>[1]IDFUNÇÃO!B246</f>
        <v>Assistente</v>
      </c>
      <c r="C246" s="198" t="str">
        <f>[1]IDFUNÇÃO!C246</f>
        <v>DAS 102.2</v>
      </c>
      <c r="D246" s="199" t="str">
        <f>[1]IDFUNÇÃO!D246</f>
        <v>SEE21</v>
      </c>
      <c r="E246" s="206"/>
      <c r="F246" s="200" t="str">
        <f>[1]IDFUNÇÃO!F246</f>
        <v>OCUPADA</v>
      </c>
      <c r="G246" s="206"/>
    </row>
    <row r="247" spans="1:7" x14ac:dyDescent="0.25">
      <c r="A247" s="532" t="str">
        <f>[1]IDFUNÇÃO!A247</f>
        <v xml:space="preserve">Coordenação-Geral de Monitoramento da Expansão da Transmissão </v>
      </c>
      <c r="B247" s="197" t="str">
        <f>[1]IDFUNÇÃO!B247</f>
        <v>Coordenador-Geral</v>
      </c>
      <c r="C247" s="198" t="str">
        <f>[1]IDFUNÇÃO!C247</f>
        <v xml:space="preserve"> FCPE 101.4</v>
      </c>
      <c r="D247" s="199" t="str">
        <f>[1]IDFUNÇÃO!D247</f>
        <v>SEE22</v>
      </c>
      <c r="E247" s="199" t="str">
        <f>[1]IDFUNÇÃO!E247</f>
        <v>SEE10S</v>
      </c>
      <c r="F247" s="200" t="str">
        <f>[1]IDFUNÇÃO!F247</f>
        <v>OCUPADA</v>
      </c>
      <c r="G247" s="200" t="str">
        <f>[1]IDFUNÇÃO!G247</f>
        <v>OCUPADA</v>
      </c>
    </row>
    <row r="248" spans="1:7" x14ac:dyDescent="0.25">
      <c r="A248" s="532"/>
      <c r="B248" s="197" t="str">
        <f>[1]IDFUNÇÃO!B248</f>
        <v>Assessor Técnico</v>
      </c>
      <c r="C248" s="198" t="str">
        <f>[1]IDFUNÇÃO!C248</f>
        <v>DAS 102.3</v>
      </c>
      <c r="D248" s="199" t="str">
        <f>[1]IDFUNÇÃO!D248</f>
        <v>SEE23</v>
      </c>
      <c r="E248" s="206"/>
      <c r="F248" s="200" t="str">
        <f>[1]IDFUNÇÃO!F248</f>
        <v>OCUPADA</v>
      </c>
      <c r="G248" s="206"/>
    </row>
    <row r="249" spans="1:7" x14ac:dyDescent="0.25">
      <c r="A249" s="205" t="str">
        <f>[1]IDFUNÇÃO!A249</f>
        <v>Coordenação-Geral de Monitoramento da Distribuição</v>
      </c>
      <c r="B249" s="197" t="str">
        <f>[1]IDFUNÇÃO!B249</f>
        <v>Coordenador-Geral</v>
      </c>
      <c r="C249" s="198" t="str">
        <f>[1]IDFUNÇÃO!C249</f>
        <v>DAS 101.4</v>
      </c>
      <c r="D249" s="199" t="str">
        <f>[1]IDFUNÇÃO!D249</f>
        <v>SEE24</v>
      </c>
      <c r="E249" s="199" t="str">
        <f>[1]IDFUNÇÃO!E249</f>
        <v>SEE11S</v>
      </c>
      <c r="F249" s="200" t="str">
        <f>[1]IDFUNÇÃO!F249</f>
        <v>OCUPADA</v>
      </c>
      <c r="G249" s="200" t="str">
        <f>[1]IDFUNÇÃO!G249</f>
        <v>OCUPADA</v>
      </c>
    </row>
    <row r="250" spans="1:7" x14ac:dyDescent="0.25">
      <c r="A250" s="532" t="str">
        <f>[1]IDFUNÇÃO!A250</f>
        <v>Coordenação-Geral Monitoramento do Desempenho do Sistema Elétrico</v>
      </c>
      <c r="B250" s="197" t="str">
        <f>[1]IDFUNÇÃO!B250</f>
        <v>Coordenador-Geral</v>
      </c>
      <c r="C250" s="198" t="str">
        <f>[1]IDFUNÇÃO!C250</f>
        <v xml:space="preserve">  FCPE 101.4</v>
      </c>
      <c r="D250" s="199" t="str">
        <f>[1]IDFUNÇÃO!D250</f>
        <v>SEE25</v>
      </c>
      <c r="E250" s="199" t="str">
        <f>[1]IDFUNÇÃO!E250</f>
        <v>SEE12S</v>
      </c>
      <c r="F250" s="200" t="str">
        <f>[1]IDFUNÇÃO!F250</f>
        <v>OCUPADA</v>
      </c>
      <c r="G250" s="200" t="str">
        <f>[1]IDFUNÇÃO!G250</f>
        <v>OCUPADA</v>
      </c>
    </row>
    <row r="251" spans="1:7" x14ac:dyDescent="0.25">
      <c r="A251" s="532"/>
      <c r="B251" s="197" t="str">
        <f>[1]IDFUNÇÃO!B251</f>
        <v>Gerente de Projeto</v>
      </c>
      <c r="C251" s="198" t="str">
        <f>[1]IDFUNÇÃO!C251</f>
        <v>DAS 101.4</v>
      </c>
      <c r="D251" s="199" t="str">
        <f>[1]IDFUNÇÃO!D251</f>
        <v>SEE26</v>
      </c>
      <c r="E251" s="199" t="str">
        <f>[1]IDFUNÇÃO!E251</f>
        <v>SEE13S</v>
      </c>
      <c r="F251" s="200" t="str">
        <f>[1]IDFUNÇÃO!F251</f>
        <v>OCUPADA</v>
      </c>
      <c r="G251" s="200" t="str">
        <f>[1]IDFUNÇÃO!G251</f>
        <v>VAZIA</v>
      </c>
    </row>
    <row r="252" spans="1:7" x14ac:dyDescent="0.25">
      <c r="A252" s="205" t="str">
        <f>[1]IDFUNÇÃO!A252</f>
        <v>Departamento de Políticas Sociais e Universalização do Acesso à Energia</v>
      </c>
      <c r="B252" s="197" t="str">
        <f>[1]IDFUNÇÃO!B252</f>
        <v>Diretor</v>
      </c>
      <c r="C252" s="198" t="str">
        <f>[1]IDFUNÇÃO!C252</f>
        <v>DAS 101.5</v>
      </c>
      <c r="D252" s="199" t="str">
        <f>[1]IDFUNÇÃO!D252</f>
        <v>SEE27</v>
      </c>
      <c r="E252" s="199" t="str">
        <f>[1]IDFUNÇÃO!E252</f>
        <v>SEE14S</v>
      </c>
      <c r="F252" s="200" t="str">
        <f>[1]IDFUNÇÃO!F252</f>
        <v>OCUPADA</v>
      </c>
      <c r="G252" s="200" t="str">
        <f>[1]IDFUNÇÃO!G252</f>
        <v>OCUPADA</v>
      </c>
    </row>
    <row r="253" spans="1:7" x14ac:dyDescent="0.25">
      <c r="A253" s="208"/>
      <c r="B253" s="197" t="str">
        <f>[1]IDFUNÇÃO!B253</f>
        <v>Assistente</v>
      </c>
      <c r="C253" s="198" t="str">
        <f>[1]IDFUNÇÃO!C253</f>
        <v>DAS 102.2</v>
      </c>
      <c r="D253" s="199" t="str">
        <f>[1]IDFUNÇÃO!D253</f>
        <v>SEE28</v>
      </c>
      <c r="E253" s="206"/>
      <c r="F253" s="200" t="str">
        <f>[1]IDFUNÇÃO!F253</f>
        <v>VAZIA</v>
      </c>
      <c r="G253" s="206"/>
    </row>
    <row r="254" spans="1:7" x14ac:dyDescent="0.25">
      <c r="A254" s="205" t="str">
        <f>[1]IDFUNÇÃO!A254</f>
        <v>Coordenação-Geral de Desenvolvimento de Políticas Sociais</v>
      </c>
      <c r="B254" s="197" t="str">
        <f>[1]IDFUNÇÃO!B254</f>
        <v>Coordenador-Geral</v>
      </c>
      <c r="C254" s="198" t="str">
        <f>[1]IDFUNÇÃO!C254</f>
        <v>DAS 101.4</v>
      </c>
      <c r="D254" s="199" t="str">
        <f>[1]IDFUNÇÃO!D254</f>
        <v>SEE29</v>
      </c>
      <c r="E254" s="199" t="str">
        <f>[1]IDFUNÇÃO!E254</f>
        <v>SEE15S</v>
      </c>
      <c r="F254" s="200" t="str">
        <f>[1]IDFUNÇÃO!F254</f>
        <v>OCUPADA</v>
      </c>
      <c r="G254" s="200" t="str">
        <f>[1]IDFUNÇÃO!G254</f>
        <v>OCUPADA</v>
      </c>
    </row>
    <row r="255" spans="1:7" x14ac:dyDescent="0.25">
      <c r="A255" s="532" t="str">
        <f>[1]IDFUNÇÃO!A255</f>
        <v>Coordenação-Geral de Universalização do Acesso à Energia</v>
      </c>
      <c r="B255" s="197" t="str">
        <f>[1]IDFUNÇÃO!B255</f>
        <v>Coordenador-Geral</v>
      </c>
      <c r="C255" s="198" t="str">
        <f>[1]IDFUNÇÃO!C255</f>
        <v>DAS 101.4</v>
      </c>
      <c r="D255" s="199" t="str">
        <f>[1]IDFUNÇÃO!D255</f>
        <v>SEE30</v>
      </c>
      <c r="E255" s="199" t="str">
        <f>[1]IDFUNÇÃO!E255</f>
        <v>SEE16S</v>
      </c>
      <c r="F255" s="200" t="str">
        <f>[1]IDFUNÇÃO!F255</f>
        <v>OCUPADA</v>
      </c>
      <c r="G255" s="200" t="str">
        <f>[1]IDFUNÇÃO!G255</f>
        <v>OCUPADA</v>
      </c>
    </row>
    <row r="256" spans="1:7" x14ac:dyDescent="0.25">
      <c r="A256" s="532"/>
      <c r="B256" s="197" t="str">
        <f>[1]IDFUNÇÃO!B256</f>
        <v>Assessor Técnico</v>
      </c>
      <c r="C256" s="198" t="str">
        <f>[1]IDFUNÇÃO!C256</f>
        <v>DAS 102.3</v>
      </c>
      <c r="D256" s="199" t="str">
        <f>[1]IDFUNÇÃO!D256</f>
        <v>SEE31</v>
      </c>
      <c r="E256" s="539"/>
      <c r="F256" s="200" t="str">
        <f>[1]IDFUNÇÃO!F256</f>
        <v>OCUPADA</v>
      </c>
      <c r="G256" s="539"/>
    </row>
    <row r="257" spans="1:7" x14ac:dyDescent="0.25">
      <c r="A257" s="533"/>
      <c r="B257" s="197" t="str">
        <f>[1]IDFUNÇÃO!B257</f>
        <v>Assistente</v>
      </c>
      <c r="C257" s="198" t="str">
        <f>[1]IDFUNÇÃO!C257</f>
        <v>DAS 102.2</v>
      </c>
      <c r="D257" s="199" t="str">
        <f>[1]IDFUNÇÃO!D257</f>
        <v>SEE32</v>
      </c>
      <c r="E257" s="539"/>
      <c r="F257" s="200" t="str">
        <f>[1]IDFUNÇÃO!F257</f>
        <v>OCUPADA</v>
      </c>
      <c r="G257" s="539"/>
    </row>
    <row r="258" spans="1:7" ht="8.25" customHeight="1" x14ac:dyDescent="0.25">
      <c r="A258" s="201"/>
      <c r="B258" s="201"/>
      <c r="C258" s="202"/>
      <c r="D258" s="202"/>
      <c r="E258" s="202"/>
      <c r="F258" s="195"/>
      <c r="G258" s="195"/>
    </row>
    <row r="259" spans="1:7" x14ac:dyDescent="0.25">
      <c r="A259" s="536" t="str">
        <f>[1]IDFUNÇÃO!A259</f>
        <v>SECRETARIA DE PETRÓLEO, GÁS NATURAL E BIOCOMBUSTÍVEIS</v>
      </c>
      <c r="B259" s="219" t="str">
        <f>[1]IDFUNÇÃO!B259</f>
        <v>Secretário</v>
      </c>
      <c r="C259" s="220" t="str">
        <f>[1]IDFUNÇÃO!C259</f>
        <v>DAS 101.6</v>
      </c>
      <c r="D259" s="199" t="str">
        <f>[1]IDFUNÇÃO!D259</f>
        <v>SPG01</v>
      </c>
      <c r="E259" s="199" t="str">
        <f>[1]IDFUNÇÃO!E259</f>
        <v>SPG01S</v>
      </c>
      <c r="F259" s="200" t="str">
        <f>[1]IDFUNÇÃO!F259</f>
        <v>OCUPADA</v>
      </c>
      <c r="G259" s="200" t="str">
        <f>[1]IDFUNÇÃO!G259</f>
        <v>OCUPADA</v>
      </c>
    </row>
    <row r="260" spans="1:7" x14ac:dyDescent="0.25">
      <c r="A260" s="537"/>
      <c r="B260" s="197" t="str">
        <f>[1]IDFUNÇÃO!B260</f>
        <v>Secretário-Adjunto</v>
      </c>
      <c r="C260" s="198" t="str">
        <f>[1]IDFUNÇÃO!C260</f>
        <v>DAS 101.5</v>
      </c>
      <c r="D260" s="199" t="str">
        <f>[1]IDFUNÇÃO!D260</f>
        <v>SPG02</v>
      </c>
      <c r="E260" s="199" t="str">
        <f>[1]IDFUNÇÃO!E260</f>
        <v>SPG02S</v>
      </c>
      <c r="F260" s="200" t="str">
        <f>[1]IDFUNÇÃO!F260</f>
        <v>OCUPADA</v>
      </c>
      <c r="G260" s="200" t="str">
        <f>[1]IDFUNÇÃO!G260</f>
        <v>VAZIA</v>
      </c>
    </row>
    <row r="261" spans="1:7" x14ac:dyDescent="0.25">
      <c r="A261" s="537"/>
      <c r="B261" s="197" t="str">
        <f>[1]IDFUNÇÃO!B261</f>
        <v>Assessor</v>
      </c>
      <c r="C261" s="198" t="str">
        <f>[1]IDFUNÇÃO!C261</f>
        <v>DAS 102.4</v>
      </c>
      <c r="D261" s="199" t="str">
        <f>[1]IDFUNÇÃO!D261</f>
        <v>SPG03</v>
      </c>
      <c r="E261" s="535"/>
      <c r="F261" s="200" t="str">
        <f>[1]IDFUNÇÃO!F261</f>
        <v>OCUPADA</v>
      </c>
      <c r="G261" s="535"/>
    </row>
    <row r="262" spans="1:7" x14ac:dyDescent="0.25">
      <c r="A262" s="537"/>
      <c r="B262" s="197" t="str">
        <f>[1]IDFUNÇÃO!B262</f>
        <v>Assessor</v>
      </c>
      <c r="C262" s="198" t="str">
        <f>[1]IDFUNÇÃO!C262</f>
        <v>DAS 102.4</v>
      </c>
      <c r="D262" s="199" t="str">
        <f>[1]IDFUNÇÃO!D262</f>
        <v>SPG04</v>
      </c>
      <c r="E262" s="535"/>
      <c r="F262" s="200" t="str">
        <f>[1]IDFUNÇÃO!F262</f>
        <v>OCUPADA</v>
      </c>
      <c r="G262" s="535"/>
    </row>
    <row r="263" spans="1:7" x14ac:dyDescent="0.25">
      <c r="A263" s="537"/>
      <c r="B263" s="197" t="str">
        <f>[1]IDFUNÇÃO!B263</f>
        <v>Assessor Técnico</v>
      </c>
      <c r="C263" s="198" t="str">
        <f>[1]IDFUNÇÃO!C263</f>
        <v>DAS 102.3</v>
      </c>
      <c r="D263" s="199" t="str">
        <f>[1]IDFUNÇÃO!D263</f>
        <v>SPG05</v>
      </c>
      <c r="E263" s="535"/>
      <c r="F263" s="200" t="str">
        <f>[1]IDFUNÇÃO!F263</f>
        <v>OCUPADA</v>
      </c>
      <c r="G263" s="535"/>
    </row>
    <row r="264" spans="1:7" x14ac:dyDescent="0.25">
      <c r="A264" s="537"/>
      <c r="B264" s="197" t="str">
        <f>[1]IDFUNÇÃO!B264</f>
        <v>Assistente</v>
      </c>
      <c r="C264" s="198" t="str">
        <f>[1]IDFUNÇÃO!C264</f>
        <v>DAS 102.2</v>
      </c>
      <c r="D264" s="199" t="str">
        <f>[1]IDFUNÇÃO!D264</f>
        <v>SPG06</v>
      </c>
      <c r="E264" s="535"/>
      <c r="F264" s="200" t="str">
        <f>[1]IDFUNÇÃO!F264</f>
        <v>OCUPADA</v>
      </c>
      <c r="G264" s="535"/>
    </row>
    <row r="265" spans="1:7" x14ac:dyDescent="0.25">
      <c r="A265" s="537"/>
      <c r="B265" s="197" t="str">
        <f>[1]IDFUNÇÃO!B265</f>
        <v>Assistente</v>
      </c>
      <c r="C265" s="198" t="str">
        <f>[1]IDFUNÇÃO!C265</f>
        <v>DAS 102.2</v>
      </c>
      <c r="D265" s="199" t="str">
        <f>[1]IDFUNÇÃO!D265</f>
        <v>SPG07</v>
      </c>
      <c r="E265" s="535"/>
      <c r="F265" s="200" t="str">
        <f>[1]IDFUNÇÃO!F265</f>
        <v>OCUPADA</v>
      </c>
      <c r="G265" s="535"/>
    </row>
    <row r="266" spans="1:7" x14ac:dyDescent="0.25">
      <c r="A266" s="538"/>
      <c r="B266" s="197" t="str">
        <f>[1]IDFUNÇÃO!B266</f>
        <v>Assistente Técnico</v>
      </c>
      <c r="C266" s="198" t="str">
        <f>[1]IDFUNÇÃO!C266</f>
        <v>DAS 102.1</v>
      </c>
      <c r="D266" s="199" t="str">
        <f>[1]IDFUNÇÃO!D266</f>
        <v>SPG08</v>
      </c>
      <c r="E266" s="535"/>
      <c r="F266" s="200" t="str">
        <f>[1]IDFUNÇÃO!F266</f>
        <v>VAZIA</v>
      </c>
      <c r="G266" s="535"/>
    </row>
    <row r="267" spans="1:7" x14ac:dyDescent="0.25">
      <c r="A267" s="531" t="str">
        <f>[1]IDFUNÇÃO!A267</f>
        <v>Departamento de Política de Exploração e Produção de Petróleo e Gás Natural</v>
      </c>
      <c r="B267" s="197" t="str">
        <f>[1]IDFUNÇÃO!B267</f>
        <v>Diretor</v>
      </c>
      <c r="C267" s="198" t="str">
        <f>[1]IDFUNÇÃO!C267</f>
        <v>DAS 101.5</v>
      </c>
      <c r="D267" s="199" t="str">
        <f>[1]IDFUNÇÃO!D267</f>
        <v>SPG09</v>
      </c>
      <c r="E267" s="199" t="str">
        <f>[1]IDFUNÇÃO!E267</f>
        <v>SPG03S</v>
      </c>
      <c r="F267" s="200" t="str">
        <f>[1]IDFUNÇÃO!F267</f>
        <v>OCUPADA</v>
      </c>
      <c r="G267" s="200" t="str">
        <f>[1]IDFUNÇÃO!G267</f>
        <v>OCUPADA</v>
      </c>
    </row>
    <row r="268" spans="1:7" x14ac:dyDescent="0.25">
      <c r="A268" s="532"/>
      <c r="B268" s="197" t="str">
        <f>[1]IDFUNÇÃO!B268</f>
        <v>Gerente de Projeto</v>
      </c>
      <c r="C268" s="198" t="str">
        <f>[1]IDFUNÇÃO!C268</f>
        <v>DAS 101.4</v>
      </c>
      <c r="D268" s="199" t="str">
        <f>[1]IDFUNÇÃO!D268</f>
        <v>SPG10</v>
      </c>
      <c r="E268" s="199" t="str">
        <f>[1]IDFUNÇÃO!E268</f>
        <v>SPG04S</v>
      </c>
      <c r="F268" s="200" t="str">
        <f>[1]IDFUNÇÃO!F268</f>
        <v>OCUPADA</v>
      </c>
      <c r="G268" s="200" t="str">
        <f>[1]IDFUNÇÃO!G268</f>
        <v>OCUPADA</v>
      </c>
    </row>
    <row r="269" spans="1:7" x14ac:dyDescent="0.25">
      <c r="A269" s="532"/>
      <c r="B269" s="197" t="str">
        <f>[1]IDFUNÇÃO!B269</f>
        <v>Assistente</v>
      </c>
      <c r="C269" s="198" t="str">
        <f>[1]IDFUNÇÃO!C269</f>
        <v>FCPE 102.2</v>
      </c>
      <c r="D269" s="199" t="str">
        <f>[1]IDFUNÇÃO!D269</f>
        <v>SPG11</v>
      </c>
      <c r="E269" s="211"/>
      <c r="F269" s="200" t="str">
        <f>[1]IDFUNÇÃO!F269</f>
        <v>OCUPADA</v>
      </c>
      <c r="G269" s="211"/>
    </row>
    <row r="270" spans="1:7" x14ac:dyDescent="0.25">
      <c r="A270" s="205" t="str">
        <f>[1]IDFUNÇÃO!A270</f>
        <v>Coordenação-Geral de Reserva, Exploração e Produção de Petróleo e Gás Natural</v>
      </c>
      <c r="B270" s="197" t="str">
        <f>[1]IDFUNÇÃO!B270</f>
        <v>Coordenador-Geral</v>
      </c>
      <c r="C270" s="198" t="str">
        <f>[1]IDFUNÇÃO!C270</f>
        <v>DAS 101.4</v>
      </c>
      <c r="D270" s="199" t="str">
        <f>[1]IDFUNÇÃO!D270</f>
        <v>SPG12</v>
      </c>
      <c r="E270" s="199" t="str">
        <f>[1]IDFUNÇÃO!E270</f>
        <v>SPG05S</v>
      </c>
      <c r="F270" s="200" t="str">
        <f>[1]IDFUNÇÃO!F270</f>
        <v>OCUPADA</v>
      </c>
      <c r="G270" s="200" t="str">
        <f>[1]IDFUNÇÃO!G270</f>
        <v>OCUPADA</v>
      </c>
    </row>
    <row r="271" spans="1:7" x14ac:dyDescent="0.25">
      <c r="A271" s="212" t="str">
        <f>[1]IDFUNÇÃO!A271</f>
        <v>Coordenação-Geral de Política de Concessão de Blocos Exploratórios</v>
      </c>
      <c r="B271" s="197" t="str">
        <f>[1]IDFUNÇÃO!B271</f>
        <v>Coordenador-Geral</v>
      </c>
      <c r="C271" s="198" t="str">
        <f>[1]IDFUNÇÃO!C271</f>
        <v>DAS 101.4</v>
      </c>
      <c r="D271" s="199" t="str">
        <f>[1]IDFUNÇÃO!D271</f>
        <v>SPG13</v>
      </c>
      <c r="E271" s="199" t="str">
        <f>[1]IDFUNÇÃO!E271</f>
        <v>SPG06S</v>
      </c>
      <c r="F271" s="200" t="str">
        <f>[1]IDFUNÇÃO!F271</f>
        <v>OCUPADA</v>
      </c>
      <c r="G271" s="200" t="str">
        <f>[1]IDFUNÇÃO!G271</f>
        <v>OCUPADA</v>
      </c>
    </row>
    <row r="272" spans="1:7" x14ac:dyDescent="0.25">
      <c r="A272" s="531" t="str">
        <f>[1]IDFUNÇÃO!A272</f>
        <v>Departamento de Gás Natural</v>
      </c>
      <c r="B272" s="197" t="str">
        <f>[1]IDFUNÇÃO!B272</f>
        <v>Diretor</v>
      </c>
      <c r="C272" s="198" t="str">
        <f>[1]IDFUNÇÃO!C272</f>
        <v>DAS 101.5</v>
      </c>
      <c r="D272" s="199" t="str">
        <f>[1]IDFUNÇÃO!D272</f>
        <v>SPG14</v>
      </c>
      <c r="E272" s="199" t="str">
        <f>[1]IDFUNÇÃO!E272</f>
        <v>SPG07S</v>
      </c>
      <c r="F272" s="200" t="str">
        <f>[1]IDFUNÇÃO!F272</f>
        <v>OCUPADA</v>
      </c>
      <c r="G272" s="200" t="str">
        <f>[1]IDFUNÇÃO!G272</f>
        <v>OCUPADA</v>
      </c>
    </row>
    <row r="273" spans="1:7" x14ac:dyDescent="0.25">
      <c r="A273" s="532"/>
      <c r="B273" s="197" t="str">
        <f>[1]IDFUNÇÃO!B273</f>
        <v>Gerente de Projeto</v>
      </c>
      <c r="C273" s="198" t="str">
        <f>[1]IDFUNÇÃO!C273</f>
        <v>DAS 101.4</v>
      </c>
      <c r="D273" s="199" t="str">
        <f>[1]IDFUNÇÃO!D273</f>
        <v>SPG15</v>
      </c>
      <c r="E273" s="199" t="str">
        <f>[1]IDFUNÇÃO!E273</f>
        <v>SPG08S</v>
      </c>
      <c r="F273" s="200" t="str">
        <f>[1]IDFUNÇÃO!F273</f>
        <v>OCUPADA</v>
      </c>
      <c r="G273" s="200" t="str">
        <f>[1]IDFUNÇÃO!G273</f>
        <v>OCUPADA</v>
      </c>
    </row>
    <row r="274" spans="1:7" x14ac:dyDescent="0.25">
      <c r="A274" s="532"/>
      <c r="B274" s="197" t="str">
        <f>[1]IDFUNÇÃO!B274</f>
        <v>Assistente</v>
      </c>
      <c r="C274" s="198" t="str">
        <f>[1]IDFUNÇÃO!C274</f>
        <v>FCPE 102.2</v>
      </c>
      <c r="D274" s="199" t="str">
        <f>[1]IDFUNÇÃO!D274</f>
        <v>SPG16</v>
      </c>
      <c r="E274" s="211"/>
      <c r="F274" s="200" t="str">
        <f>[1]IDFUNÇÃO!F274</f>
        <v>OCUPADA</v>
      </c>
      <c r="G274" s="211"/>
    </row>
    <row r="275" spans="1:7" x14ac:dyDescent="0.25">
      <c r="A275" s="205" t="str">
        <f>[1]IDFUNÇÃO!A275</f>
        <v>Coordenação-Geral de Acompanhamento, Desenvolvimento de Mercado e Produção</v>
      </c>
      <c r="B275" s="197" t="str">
        <f>[1]IDFUNÇÃO!B275</f>
        <v>Coordenador-Geral</v>
      </c>
      <c r="C275" s="198" t="str">
        <f>[1]IDFUNÇÃO!C275</f>
        <v>DAS 101.4</v>
      </c>
      <c r="D275" s="199" t="str">
        <f>[1]IDFUNÇÃO!D275</f>
        <v>SPG17</v>
      </c>
      <c r="E275" s="199" t="str">
        <f>[1]IDFUNÇÃO!E275</f>
        <v>SPG09S</v>
      </c>
      <c r="F275" s="200" t="str">
        <f>[1]IDFUNÇÃO!F275</f>
        <v>OCUPADA</v>
      </c>
      <c r="G275" s="200" t="str">
        <f>[1]IDFUNÇÃO!G275</f>
        <v>VAZIA</v>
      </c>
    </row>
    <row r="276" spans="1:7" x14ac:dyDescent="0.25">
      <c r="A276" s="212" t="str">
        <f>[1]IDFUNÇÃO!A276</f>
        <v>Coordenação-Geral de Processamento de Infraestrutura e Logística</v>
      </c>
      <c r="B276" s="197" t="str">
        <f>[1]IDFUNÇÃO!B276</f>
        <v>Coordenador-Geral</v>
      </c>
      <c r="C276" s="198" t="str">
        <f>[1]IDFUNÇÃO!C276</f>
        <v>DAS 101.4</v>
      </c>
      <c r="D276" s="199" t="str">
        <f>[1]IDFUNÇÃO!D276</f>
        <v>SPG18</v>
      </c>
      <c r="E276" s="199" t="str">
        <f>[1]IDFUNÇÃO!E276</f>
        <v>SPG10S</v>
      </c>
      <c r="F276" s="200" t="str">
        <f>[1]IDFUNÇÃO!F276</f>
        <v>OCUPADA</v>
      </c>
      <c r="G276" s="200" t="str">
        <f>[1]IDFUNÇÃO!G276</f>
        <v>VAZIA</v>
      </c>
    </row>
    <row r="277" spans="1:7" x14ac:dyDescent="0.25">
      <c r="A277" s="531" t="str">
        <f>[1]IDFUNÇÃO!A277</f>
        <v xml:space="preserve">Departamento de Combustíveis Derivados de Petróleo </v>
      </c>
      <c r="B277" s="197" t="str">
        <f>[1]IDFUNÇÃO!B277</f>
        <v>Diretor</v>
      </c>
      <c r="C277" s="198" t="str">
        <f>[1]IDFUNÇÃO!C277</f>
        <v>DAS 101.5</v>
      </c>
      <c r="D277" s="199" t="str">
        <f>[1]IDFUNÇÃO!D277</f>
        <v>SPG19</v>
      </c>
      <c r="E277" s="199" t="str">
        <f>[1]IDFUNÇÃO!E277</f>
        <v>SPG11S</v>
      </c>
      <c r="F277" s="200" t="str">
        <f>[1]IDFUNÇÃO!F277</f>
        <v>OCUPADA</v>
      </c>
      <c r="G277" s="200" t="str">
        <f>[1]IDFUNÇÃO!G277</f>
        <v>OCUPADA</v>
      </c>
    </row>
    <row r="278" spans="1:7" x14ac:dyDescent="0.25">
      <c r="A278" s="532"/>
      <c r="B278" s="197" t="str">
        <f>[1]IDFUNÇÃO!B278</f>
        <v>Assistente</v>
      </c>
      <c r="C278" s="198" t="str">
        <f>[1]IDFUNÇÃO!C278</f>
        <v>FCPE 102.2</v>
      </c>
      <c r="D278" s="199" t="str">
        <f>[1]IDFUNÇÃO!D278</f>
        <v>SPG20</v>
      </c>
      <c r="E278" s="211"/>
      <c r="F278" s="200" t="str">
        <f>[1]IDFUNÇÃO!F278</f>
        <v>OCUPADA</v>
      </c>
      <c r="G278" s="211"/>
    </row>
    <row r="279" spans="1:7" x14ac:dyDescent="0.25">
      <c r="A279" s="205" t="str">
        <f>[1]IDFUNÇÃO!A279</f>
        <v>Coordenação-Geral de Acompanhamento do Mercado</v>
      </c>
      <c r="B279" s="197" t="str">
        <f>[1]IDFUNÇÃO!B279</f>
        <v>Coordenador-Geral</v>
      </c>
      <c r="C279" s="198" t="str">
        <f>[1]IDFUNÇÃO!C279</f>
        <v>DAS 101.4</v>
      </c>
      <c r="D279" s="199" t="str">
        <f>[1]IDFUNÇÃO!D279</f>
        <v>SPG21</v>
      </c>
      <c r="E279" s="199" t="str">
        <f>[1]IDFUNÇÃO!E279</f>
        <v>SPG12S</v>
      </c>
      <c r="F279" s="200" t="str">
        <f>[1]IDFUNÇÃO!F279</f>
        <v>OCUPADA</v>
      </c>
      <c r="G279" s="200" t="str">
        <f>[1]IDFUNÇÃO!G279</f>
        <v>VAZIA</v>
      </c>
    </row>
    <row r="280" spans="1:7" x14ac:dyDescent="0.25">
      <c r="A280" s="212" t="str">
        <f>[1]IDFUNÇÃO!A280</f>
        <v>Coordenação-Geral de Refino, Abastecimento e Infraestrutura</v>
      </c>
      <c r="B280" s="197" t="str">
        <f>[1]IDFUNÇÃO!B280</f>
        <v>Coordenador-Geral</v>
      </c>
      <c r="C280" s="198" t="str">
        <f>[1]IDFUNÇÃO!C280</f>
        <v>DAS 101.4</v>
      </c>
      <c r="D280" s="199" t="str">
        <f>[1]IDFUNÇÃO!D280</f>
        <v>SPG22</v>
      </c>
      <c r="E280" s="199" t="str">
        <f>[1]IDFUNÇÃO!E280</f>
        <v>SPG13S</v>
      </c>
      <c r="F280" s="200" t="str">
        <f>[1]IDFUNÇÃO!F280</f>
        <v>OCUPADA</v>
      </c>
      <c r="G280" s="200" t="str">
        <f>[1]IDFUNÇÃO!G280</f>
        <v>OCUPADA</v>
      </c>
    </row>
    <row r="281" spans="1:7" x14ac:dyDescent="0.25">
      <c r="A281" s="531" t="str">
        <f>[1]IDFUNÇÃO!A281</f>
        <v>Departamento de Biocombustíveis</v>
      </c>
      <c r="B281" s="197" t="str">
        <f>[1]IDFUNÇÃO!B281</f>
        <v>Diretor</v>
      </c>
      <c r="C281" s="198" t="str">
        <f>[1]IDFUNÇÃO!C281</f>
        <v>DAS 101.5</v>
      </c>
      <c r="D281" s="199" t="str">
        <f>[1]IDFUNÇÃO!D281</f>
        <v>SPG23</v>
      </c>
      <c r="E281" s="199" t="str">
        <f>[1]IDFUNÇÃO!E281</f>
        <v>SPG14S</v>
      </c>
      <c r="F281" s="200" t="str">
        <f>[1]IDFUNÇÃO!F281</f>
        <v>VAZIA</v>
      </c>
      <c r="G281" s="200" t="str">
        <f>[1]IDFUNÇÃO!G281</f>
        <v>OCUPADA</v>
      </c>
    </row>
    <row r="282" spans="1:7" x14ac:dyDescent="0.25">
      <c r="A282" s="532"/>
      <c r="B282" s="197" t="str">
        <f>[1]IDFUNÇÃO!B282</f>
        <v>Assistente</v>
      </c>
      <c r="C282" s="198" t="str">
        <f>[1]IDFUNÇÃO!C282</f>
        <v>FCPE 102.2</v>
      </c>
      <c r="D282" s="199" t="str">
        <f>[1]IDFUNÇÃO!D282</f>
        <v>SPG24</v>
      </c>
      <c r="E282" s="211"/>
      <c r="F282" s="200" t="str">
        <f>[1]IDFUNÇÃO!F282</f>
        <v>OCUPADA</v>
      </c>
      <c r="G282" s="211"/>
    </row>
    <row r="283" spans="1:7" x14ac:dyDescent="0.25">
      <c r="A283" s="213" t="str">
        <f>[1]IDFUNÇÃO!A283</f>
        <v>Coordenação-Geral de Biodiesel e outros BIocombustíveis</v>
      </c>
      <c r="B283" s="197" t="str">
        <f>[1]IDFUNÇÃO!B283</f>
        <v>Coordenador-Geral</v>
      </c>
      <c r="C283" s="198" t="str">
        <f>[1]IDFUNÇÃO!C283</f>
        <v>DAS 101.4</v>
      </c>
      <c r="D283" s="199" t="str">
        <f>[1]IDFUNÇÃO!D283</f>
        <v>SPG25</v>
      </c>
      <c r="E283" s="199" t="str">
        <f>[1]IDFUNÇÃO!E283</f>
        <v>SPG15S</v>
      </c>
      <c r="F283" s="200" t="str">
        <f>[1]IDFUNÇÃO!F283</f>
        <v>OCUPADA</v>
      </c>
      <c r="G283" s="200" t="str">
        <f>[1]IDFUNÇÃO!G283</f>
        <v>OCUPADA</v>
      </c>
    </row>
    <row r="284" spans="1:7" x14ac:dyDescent="0.25">
      <c r="A284" s="212" t="str">
        <f>[1]IDFUNÇÃO!A284</f>
        <v>Coordenação-Geral de Etanol</v>
      </c>
      <c r="B284" s="197" t="str">
        <f>[1]IDFUNÇÃO!B284</f>
        <v>Coordenador-Geral</v>
      </c>
      <c r="C284" s="198" t="str">
        <f>[1]IDFUNÇÃO!C284</f>
        <v>DAS 101.4</v>
      </c>
      <c r="D284" s="199" t="str">
        <f>[1]IDFUNÇÃO!D284</f>
        <v>SPG26</v>
      </c>
      <c r="E284" s="199" t="str">
        <f>[1]IDFUNÇÃO!E284</f>
        <v>SPG16S</v>
      </c>
      <c r="F284" s="200" t="str">
        <f>[1]IDFUNÇÃO!F284</f>
        <v>OCUPADA</v>
      </c>
      <c r="G284" s="200" t="str">
        <f>[1]IDFUNÇÃO!G284</f>
        <v>OCUPADA</v>
      </c>
    </row>
    <row r="285" spans="1:7" ht="8.25" customHeight="1" x14ac:dyDescent="0.25">
      <c r="A285" s="201"/>
      <c r="B285" s="201"/>
      <c r="C285" s="202"/>
      <c r="D285" s="202"/>
      <c r="E285" s="202"/>
      <c r="F285" s="195"/>
      <c r="G285" s="195"/>
    </row>
    <row r="286" spans="1:7" x14ac:dyDescent="0.25">
      <c r="A286" s="531" t="str">
        <f>[1]IDFUNÇÃO!A286</f>
        <v>SECRETARIA DE GEOLOGIA, MINERAÇÃO E TRANSFORMAÇÃO MINERAL</v>
      </c>
      <c r="B286" s="197" t="str">
        <f>[1]IDFUNÇÃO!B286</f>
        <v>Secretário</v>
      </c>
      <c r="C286" s="198" t="str">
        <f>[1]IDFUNÇÃO!C286</f>
        <v>DAS 101.6</v>
      </c>
      <c r="D286" s="199" t="str">
        <f>[1]IDFUNÇÃO!D286</f>
        <v>SGM01</v>
      </c>
      <c r="E286" s="199" t="str">
        <f>[1]IDFUNÇÃO!E286</f>
        <v>SGM01S</v>
      </c>
      <c r="F286" s="200" t="str">
        <f>[1]IDFUNÇÃO!F286</f>
        <v>OCUPADA</v>
      </c>
      <c r="G286" s="200" t="str">
        <f>[1]IDFUNÇÃO!G286</f>
        <v>OCUPADA</v>
      </c>
    </row>
    <row r="287" spans="1:7" x14ac:dyDescent="0.25">
      <c r="A287" s="532"/>
      <c r="B287" s="197" t="str">
        <f>[1]IDFUNÇÃO!B287</f>
        <v>Secretário-Adjunto</v>
      </c>
      <c r="C287" s="198" t="str">
        <f>[1]IDFUNÇÃO!C287</f>
        <v>DAS 101.5</v>
      </c>
      <c r="D287" s="199" t="str">
        <f>[1]IDFUNÇÃO!D287</f>
        <v>SGM02</v>
      </c>
      <c r="E287" s="199" t="str">
        <f>[1]IDFUNÇÃO!E287</f>
        <v>SGM02S</v>
      </c>
      <c r="F287" s="200" t="str">
        <f>[1]IDFUNÇÃO!F287</f>
        <v>OCUPADA</v>
      </c>
      <c r="G287" s="200" t="str">
        <f>[1]IDFUNÇÃO!G287</f>
        <v>OCUPADA</v>
      </c>
    </row>
    <row r="288" spans="1:7" x14ac:dyDescent="0.25">
      <c r="A288" s="532"/>
      <c r="B288" s="197" t="str">
        <f>[1]IDFUNÇÃO!B288</f>
        <v>Assessor Técnico</v>
      </c>
      <c r="C288" s="198" t="str">
        <f>[1]IDFUNÇÃO!C288</f>
        <v>DAS 102.3</v>
      </c>
      <c r="D288" s="199" t="str">
        <f>[1]IDFUNÇÃO!D288</f>
        <v>SGM03</v>
      </c>
      <c r="E288" s="535"/>
      <c r="F288" s="200" t="str">
        <f>[1]IDFUNÇÃO!F288</f>
        <v>OCUPADA</v>
      </c>
      <c r="G288" s="535"/>
    </row>
    <row r="289" spans="1:7" x14ac:dyDescent="0.25">
      <c r="A289" s="532"/>
      <c r="B289" s="197" t="str">
        <f>[1]IDFUNÇÃO!B289</f>
        <v>Assessor Técnico</v>
      </c>
      <c r="C289" s="198" t="str">
        <f>[1]IDFUNÇÃO!C289</f>
        <v>FCPE 102.3</v>
      </c>
      <c r="D289" s="199" t="str">
        <f>[1]IDFUNÇÃO!D289</f>
        <v>SGM04</v>
      </c>
      <c r="E289" s="535"/>
      <c r="F289" s="200" t="str">
        <f>[1]IDFUNÇÃO!F289</f>
        <v>OCUPADA</v>
      </c>
      <c r="G289" s="535"/>
    </row>
    <row r="290" spans="1:7" x14ac:dyDescent="0.25">
      <c r="A290" s="532"/>
      <c r="B290" s="197" t="str">
        <f>[1]IDFUNÇÃO!B290</f>
        <v>Assessor Técnico</v>
      </c>
      <c r="C290" s="198" t="str">
        <f>[1]IDFUNÇÃO!C290</f>
        <v>FCPE 102.3</v>
      </c>
      <c r="D290" s="199" t="str">
        <f>[1]IDFUNÇÃO!D290</f>
        <v>SGM05</v>
      </c>
      <c r="E290" s="535"/>
      <c r="F290" s="200" t="str">
        <f>[1]IDFUNÇÃO!F290</f>
        <v>OCUPADA</v>
      </c>
      <c r="G290" s="535"/>
    </row>
    <row r="291" spans="1:7" x14ac:dyDescent="0.25">
      <c r="A291" s="532"/>
      <c r="B291" s="197" t="str">
        <f>[1]IDFUNÇÃO!B291</f>
        <v>Assistente</v>
      </c>
      <c r="C291" s="198" t="str">
        <f>[1]IDFUNÇÃO!C291</f>
        <v>DAS 102.2</v>
      </c>
      <c r="D291" s="199" t="str">
        <f>[1]IDFUNÇÃO!D291</f>
        <v>SGM06</v>
      </c>
      <c r="E291" s="535"/>
      <c r="F291" s="200" t="str">
        <f>[1]IDFUNÇÃO!F291</f>
        <v>OCUPADA</v>
      </c>
      <c r="G291" s="535"/>
    </row>
    <row r="292" spans="1:7" x14ac:dyDescent="0.25">
      <c r="A292" s="533"/>
      <c r="B292" s="197" t="str">
        <f>[1]IDFUNÇÃO!B292</f>
        <v>Assistente Técnico</v>
      </c>
      <c r="C292" s="198" t="str">
        <f>[1]IDFUNÇÃO!C292</f>
        <v>DAS 102.1</v>
      </c>
      <c r="D292" s="199" t="str">
        <f>[1]IDFUNÇÃO!D292</f>
        <v>SGM07</v>
      </c>
      <c r="E292" s="535"/>
      <c r="F292" s="200" t="str">
        <f>[1]IDFUNÇÃO!F292</f>
        <v>OCUPADA</v>
      </c>
      <c r="G292" s="535"/>
    </row>
    <row r="293" spans="1:7" x14ac:dyDescent="0.25">
      <c r="A293" s="531" t="str">
        <f>[1]IDFUNÇÃO!A293</f>
        <v>Departamento de Gestão das Políticas de Geologia, Mineração e Transformação Mineral</v>
      </c>
      <c r="B293" s="197" t="str">
        <f>[1]IDFUNÇÃO!B293</f>
        <v>Diretor</v>
      </c>
      <c r="C293" s="198" t="str">
        <f>[1]IDFUNÇÃO!C293</f>
        <v>DAS 101.5</v>
      </c>
      <c r="D293" s="199" t="str">
        <f>[1]IDFUNÇÃO!D293</f>
        <v>SGM08</v>
      </c>
      <c r="E293" s="199" t="str">
        <f>[1]IDFUNÇÃO!E293</f>
        <v>SGM03S</v>
      </c>
      <c r="F293" s="200" t="str">
        <f>[1]IDFUNÇÃO!F293</f>
        <v>OCUPADA</v>
      </c>
      <c r="G293" s="200" t="str">
        <f>[1]IDFUNÇÃO!G293</f>
        <v>OCUPADA</v>
      </c>
    </row>
    <row r="294" spans="1:7" x14ac:dyDescent="0.25">
      <c r="A294" s="532"/>
      <c r="B294" s="197" t="str">
        <f>[1]IDFUNÇÃO!B294</f>
        <v>Assessor Técnico</v>
      </c>
      <c r="C294" s="198" t="str">
        <f>[1]IDFUNÇÃO!C294</f>
        <v>DAS 102.3</v>
      </c>
      <c r="D294" s="199" t="str">
        <f>[1]IDFUNÇÃO!D294</f>
        <v>SGM09</v>
      </c>
      <c r="E294" s="535"/>
      <c r="F294" s="200" t="str">
        <f>[1]IDFUNÇÃO!F294</f>
        <v>OCUPADA</v>
      </c>
      <c r="G294" s="535"/>
    </row>
    <row r="295" spans="1:7" x14ac:dyDescent="0.25">
      <c r="A295" s="532"/>
      <c r="B295" s="197" t="str">
        <f>[1]IDFUNÇÃO!B295</f>
        <v>Assitente</v>
      </c>
      <c r="C295" s="198" t="str">
        <f>[1]IDFUNÇÃO!C295</f>
        <v>DAS 102.2</v>
      </c>
      <c r="D295" s="199" t="str">
        <f>[1]IDFUNÇÃO!D295</f>
        <v>SGM10</v>
      </c>
      <c r="E295" s="535"/>
      <c r="F295" s="200" t="str">
        <f>[1]IDFUNÇÃO!F295</f>
        <v>OCUPADA</v>
      </c>
      <c r="G295" s="535"/>
    </row>
    <row r="296" spans="1:7" x14ac:dyDescent="0.25">
      <c r="A296" s="205" t="str">
        <f>[1]IDFUNÇÃO!A296</f>
        <v>Coordenação-Geral de Política e Programas para Mineração</v>
      </c>
      <c r="B296" s="197" t="str">
        <f>[1]IDFUNÇÃO!B296</f>
        <v>Coordenador-Geral</v>
      </c>
      <c r="C296" s="198" t="str">
        <f>[1]IDFUNÇÃO!C296</f>
        <v>FCPE 101.4</v>
      </c>
      <c r="D296" s="199" t="str">
        <f>[1]IDFUNÇÃO!D296</f>
        <v>SGM11</v>
      </c>
      <c r="E296" s="199" t="str">
        <f>[1]IDFUNÇÃO!E296</f>
        <v>SGM04S</v>
      </c>
      <c r="F296" s="200" t="str">
        <f>[1]IDFUNÇÃO!F296</f>
        <v>OCUPADA</v>
      </c>
      <c r="G296" s="200" t="str">
        <f>[1]IDFUNÇÃO!G296</f>
        <v>OCUPADA</v>
      </c>
    </row>
    <row r="297" spans="1:7" x14ac:dyDescent="0.25">
      <c r="A297" s="532" t="str">
        <f>[1]IDFUNÇÃO!A297</f>
        <v>Coordenação-Geral de Monitoramento e Controle da Gestão de Programa</v>
      </c>
      <c r="B297" s="197" t="str">
        <f>[1]IDFUNÇÃO!B297</f>
        <v>Coordenador-Geral</v>
      </c>
      <c r="C297" s="198" t="str">
        <f>[1]IDFUNÇÃO!C297</f>
        <v>DAS 101.4</v>
      </c>
      <c r="D297" s="199" t="str">
        <f>[1]IDFUNÇÃO!D297</f>
        <v>SGM12</v>
      </c>
      <c r="E297" s="199" t="str">
        <f>[1]IDFUNÇÃO!E297</f>
        <v>SGM05S</v>
      </c>
      <c r="F297" s="200" t="str">
        <f>[1]IDFUNÇÃO!F297</f>
        <v>OCUPADA</v>
      </c>
      <c r="G297" s="200" t="str">
        <f>[1]IDFUNÇÃO!G297</f>
        <v>OCUPADA</v>
      </c>
    </row>
    <row r="298" spans="1:7" x14ac:dyDescent="0.25">
      <c r="A298" s="532"/>
      <c r="B298" s="197" t="str">
        <f>[1]IDFUNÇÃO!B298</f>
        <v>Assistente</v>
      </c>
      <c r="C298" s="198" t="str">
        <f>[1]IDFUNÇÃO!C298</f>
        <v>DAS 102.2</v>
      </c>
      <c r="D298" s="199" t="str">
        <f>[1]IDFUNÇÃO!D298</f>
        <v>SGM13</v>
      </c>
      <c r="E298" s="211"/>
      <c r="F298" s="200" t="str">
        <f>[1]IDFUNÇÃO!F298</f>
        <v>OCUPADA</v>
      </c>
      <c r="G298" s="211"/>
    </row>
    <row r="299" spans="1:7" x14ac:dyDescent="0.25">
      <c r="A299" s="212" t="str">
        <f>[1]IDFUNÇÃO!A299</f>
        <v>Coordenação-Geral de Economia Mineral</v>
      </c>
      <c r="B299" s="197" t="str">
        <f>[1]IDFUNÇÃO!B299</f>
        <v>Coordenador-Geral</v>
      </c>
      <c r="C299" s="198" t="str">
        <f>[1]IDFUNÇÃO!C299</f>
        <v>FCPE 101.4</v>
      </c>
      <c r="D299" s="199" t="str">
        <f>[1]IDFUNÇÃO!D299</f>
        <v>SGM14</v>
      </c>
      <c r="E299" s="199" t="str">
        <f>[1]IDFUNÇÃO!E299</f>
        <v>SGM06S</v>
      </c>
      <c r="F299" s="200" t="str">
        <f>[1]IDFUNÇÃO!F299</f>
        <v>OCUPADA</v>
      </c>
      <c r="G299" s="200" t="str">
        <f>[1]IDFUNÇÃO!G299</f>
        <v>VAZIA</v>
      </c>
    </row>
    <row r="300" spans="1:7" x14ac:dyDescent="0.25">
      <c r="A300" s="531" t="str">
        <f>[1]IDFUNÇÃO!A300</f>
        <v>Departamento de Geologia e Produção Mineral</v>
      </c>
      <c r="B300" s="197" t="str">
        <f>[1]IDFUNÇÃO!B300</f>
        <v>Diretor</v>
      </c>
      <c r="C300" s="198" t="str">
        <f>[1]IDFUNÇÃO!C300</f>
        <v>DAS 101.5</v>
      </c>
      <c r="D300" s="199" t="str">
        <f>[1]IDFUNÇÃO!D300</f>
        <v>SGM15</v>
      </c>
      <c r="E300" s="199" t="str">
        <f>[1]IDFUNÇÃO!E300</f>
        <v>SGM07S</v>
      </c>
      <c r="F300" s="200" t="str">
        <f>[1]IDFUNÇÃO!F300</f>
        <v>OCUPADA</v>
      </c>
      <c r="G300" s="200" t="str">
        <f>[1]IDFUNÇÃO!G300</f>
        <v>OCUPADA</v>
      </c>
    </row>
    <row r="301" spans="1:7" x14ac:dyDescent="0.25">
      <c r="A301" s="532"/>
      <c r="B301" s="197" t="str">
        <f>[1]IDFUNÇÃO!B301</f>
        <v>Assistente</v>
      </c>
      <c r="C301" s="198" t="str">
        <f>[1]IDFUNÇÃO!C301</f>
        <v>DAS 102.2</v>
      </c>
      <c r="D301" s="199" t="str">
        <f>[1]IDFUNÇÃO!D301</f>
        <v>SGM16</v>
      </c>
      <c r="E301" s="535"/>
      <c r="F301" s="200" t="str">
        <f>[1]IDFUNÇÃO!F301</f>
        <v>OCUPADA</v>
      </c>
      <c r="G301" s="535"/>
    </row>
    <row r="302" spans="1:7" x14ac:dyDescent="0.25">
      <c r="A302" s="532"/>
      <c r="B302" s="197" t="str">
        <f>[1]IDFUNÇÃO!B302</f>
        <v>Assistente</v>
      </c>
      <c r="C302" s="198" t="str">
        <f>[1]IDFUNÇÃO!C302</f>
        <v>FCPE 102.2</v>
      </c>
      <c r="D302" s="199" t="str">
        <f>[1]IDFUNÇÃO!D302</f>
        <v>SGM17</v>
      </c>
      <c r="E302" s="535"/>
      <c r="F302" s="200" t="str">
        <f>[1]IDFUNÇÃO!F302</f>
        <v>OCUPADA</v>
      </c>
      <c r="G302" s="535"/>
    </row>
    <row r="303" spans="1:7" x14ac:dyDescent="0.25">
      <c r="A303" s="205" t="str">
        <f>[1]IDFUNÇÃO!A303</f>
        <v>Coordenação-Geral de Geologia e Recursos Minerais</v>
      </c>
      <c r="B303" s="197" t="str">
        <f>[1]IDFUNÇÃO!B303</f>
        <v>Coordenador-Geral</v>
      </c>
      <c r="C303" s="198" t="str">
        <f>[1]IDFUNÇÃO!C303</f>
        <v>FCPE 101.4</v>
      </c>
      <c r="D303" s="199" t="str">
        <f>[1]IDFUNÇÃO!D303</f>
        <v>SGM18</v>
      </c>
      <c r="E303" s="199" t="str">
        <f>[1]IDFUNÇÃO!E303</f>
        <v>SGM08S</v>
      </c>
      <c r="F303" s="200" t="str">
        <f>[1]IDFUNÇÃO!F303</f>
        <v>OCUPADA</v>
      </c>
      <c r="G303" s="200" t="str">
        <f>[1]IDFUNÇÃO!G303</f>
        <v>OCUPADA</v>
      </c>
    </row>
    <row r="304" spans="1:7" x14ac:dyDescent="0.25">
      <c r="A304" s="212" t="str">
        <f>[1]IDFUNÇÃO!A304</f>
        <v>Coordenação-Geral de Monitoramento e Controle de Concessões Minerais</v>
      </c>
      <c r="B304" s="197" t="str">
        <f>[1]IDFUNÇÃO!B304</f>
        <v>Coordenador-Geral</v>
      </c>
      <c r="C304" s="198" t="str">
        <f>[1]IDFUNÇÃO!C304</f>
        <v>DAS 101.4</v>
      </c>
      <c r="D304" s="199" t="str">
        <f>[1]IDFUNÇÃO!D304</f>
        <v>SGM19</v>
      </c>
      <c r="E304" s="199" t="str">
        <f>[1]IDFUNÇÃO!E304</f>
        <v>SGM09S</v>
      </c>
      <c r="F304" s="200" t="str">
        <f>[1]IDFUNÇÃO!F304</f>
        <v>OCUPADA</v>
      </c>
      <c r="G304" s="200" t="str">
        <f>[1]IDFUNÇÃO!G304</f>
        <v>OCUPADA</v>
      </c>
    </row>
    <row r="305" spans="1:7" x14ac:dyDescent="0.25">
      <c r="A305" s="531" t="str">
        <f>[1]IDFUNÇÃO!A305</f>
        <v>Departamento de Transformação e Tecnologia Mineral</v>
      </c>
      <c r="B305" s="197" t="str">
        <f>[1]IDFUNÇÃO!B305</f>
        <v>Diretor</v>
      </c>
      <c r="C305" s="198" t="str">
        <f>[1]IDFUNÇÃO!C305</f>
        <v>DAS 101.5</v>
      </c>
      <c r="D305" s="199" t="str">
        <f>[1]IDFUNÇÃO!D305</f>
        <v>SGM20</v>
      </c>
      <c r="E305" s="199" t="str">
        <f>[1]IDFUNÇÃO!E305</f>
        <v>SGM10S</v>
      </c>
      <c r="F305" s="200" t="str">
        <f>[1]IDFUNÇÃO!F305</f>
        <v>OCUPADA</v>
      </c>
      <c r="G305" s="200" t="str">
        <f>[1]IDFUNÇÃO!G305</f>
        <v>OCUPADA</v>
      </c>
    </row>
    <row r="306" spans="1:7" x14ac:dyDescent="0.25">
      <c r="A306" s="532"/>
      <c r="B306" s="197" t="str">
        <f>[1]IDFUNÇÃO!B306</f>
        <v>Assistente</v>
      </c>
      <c r="C306" s="198" t="str">
        <f>[1]IDFUNÇÃO!C306</f>
        <v>DAS 102.2</v>
      </c>
      <c r="D306" s="199" t="str">
        <f>[1]IDFUNÇÃO!D306</f>
        <v>SGM21</v>
      </c>
      <c r="E306" s="535"/>
      <c r="F306" s="200" t="str">
        <f>[1]IDFUNÇÃO!F306</f>
        <v>OCUPADA</v>
      </c>
      <c r="G306" s="535"/>
    </row>
    <row r="307" spans="1:7" x14ac:dyDescent="0.25">
      <c r="A307" s="532"/>
      <c r="B307" s="197" t="str">
        <f>[1]IDFUNÇÃO!B307</f>
        <v>Assistente</v>
      </c>
      <c r="C307" s="198" t="str">
        <f>[1]IDFUNÇÃO!C307</f>
        <v>FCPE 102.2</v>
      </c>
      <c r="D307" s="199" t="str">
        <f>[1]IDFUNÇÃO!D307</f>
        <v>SGM22</v>
      </c>
      <c r="E307" s="535"/>
      <c r="F307" s="200" t="str">
        <f>[1]IDFUNÇÃO!F307</f>
        <v>OCUPADA</v>
      </c>
      <c r="G307" s="535"/>
    </row>
    <row r="308" spans="1:7" x14ac:dyDescent="0.25">
      <c r="A308" s="532"/>
      <c r="B308" s="197" t="str">
        <f>[1]IDFUNÇÃO!B308</f>
        <v>Assistente</v>
      </c>
      <c r="C308" s="198" t="str">
        <f>[1]IDFUNÇÃO!C308</f>
        <v>FCPE 102.2</v>
      </c>
      <c r="D308" s="199" t="str">
        <f>[1]IDFUNÇÃO!D308</f>
        <v>SGM23</v>
      </c>
      <c r="E308" s="535"/>
      <c r="F308" s="200" t="str">
        <f>[1]IDFUNÇÃO!F308</f>
        <v>OCUPADA</v>
      </c>
      <c r="G308" s="535"/>
    </row>
    <row r="309" spans="1:7" x14ac:dyDescent="0.25">
      <c r="A309" s="212" t="str">
        <f>[1]IDFUNÇÃO!A309</f>
        <v>Coordenação-Geral de Capacitação e Desenvolvimento Tecnológico</v>
      </c>
      <c r="B309" s="197" t="str">
        <f>[1]IDFUNÇÃO!B309</f>
        <v>Coordenador-Geral</v>
      </c>
      <c r="C309" s="198" t="str">
        <f>[1]IDFUNÇÃO!C309</f>
        <v>DAS 101.4</v>
      </c>
      <c r="D309" s="199" t="str">
        <f>[1]IDFUNÇÃO!D309</f>
        <v>SGM24</v>
      </c>
      <c r="E309" s="199" t="str">
        <f>[1]IDFUNÇÃO!E309</f>
        <v>SGM11S</v>
      </c>
      <c r="F309" s="200" t="str">
        <f>[1]IDFUNÇÃO!F309</f>
        <v>OCUPADA</v>
      </c>
      <c r="G309" s="200" t="str">
        <f>[1]IDFUNÇÃO!G309</f>
        <v>VAZIA</v>
      </c>
    </row>
    <row r="310" spans="1:7" x14ac:dyDescent="0.25">
      <c r="A310" s="531" t="str">
        <f>[1]IDFUNÇÃO!A310</f>
        <v>Departamento de Desenvolvimento Sustentável na Mineração</v>
      </c>
      <c r="B310" s="197" t="str">
        <f>[1]IDFUNÇÃO!B310</f>
        <v>Diretor</v>
      </c>
      <c r="C310" s="198" t="str">
        <f>[1]IDFUNÇÃO!C310</f>
        <v>DAS 101.5</v>
      </c>
      <c r="D310" s="199" t="str">
        <f>[1]IDFUNÇÃO!D310</f>
        <v>SGM25</v>
      </c>
      <c r="E310" s="199" t="str">
        <f>[1]IDFUNÇÃO!E310</f>
        <v>SGM12S</v>
      </c>
      <c r="F310" s="200" t="str">
        <f>[1]IDFUNÇÃO!F310</f>
        <v>OCUPADA</v>
      </c>
      <c r="G310" s="200" t="str">
        <f>[1]IDFUNÇÃO!G310</f>
        <v>OCUPADA</v>
      </c>
    </row>
    <row r="311" spans="1:7" x14ac:dyDescent="0.25">
      <c r="A311" s="532"/>
      <c r="B311" s="197" t="str">
        <f>[1]IDFUNÇÃO!B311</f>
        <v>Assistente</v>
      </c>
      <c r="C311" s="198" t="str">
        <f>[1]IDFUNÇÃO!C311</f>
        <v>DAS 102.2</v>
      </c>
      <c r="D311" s="199" t="str">
        <f>[1]IDFUNÇÃO!D311</f>
        <v>SGM26</v>
      </c>
      <c r="E311" s="211"/>
      <c r="F311" s="200" t="str">
        <f>[1]IDFUNÇÃO!F311</f>
        <v>OCUPADA</v>
      </c>
      <c r="G311" s="211"/>
    </row>
    <row r="312" spans="1:7" x14ac:dyDescent="0.25">
      <c r="A312" s="532" t="str">
        <f>[1]IDFUNÇÃO!A312</f>
        <v>Coordenação-Geral de Desenvolvimento Sócio Ambiental na Mineração</v>
      </c>
      <c r="B312" s="197" t="str">
        <f>[1]IDFUNÇÃO!B312</f>
        <v>Coordenador-Geral</v>
      </c>
      <c r="C312" s="198" t="str">
        <f>[1]IDFUNÇÃO!C312</f>
        <v>DAS 101.4</v>
      </c>
      <c r="D312" s="199" t="str">
        <f>[1]IDFUNÇÃO!D312</f>
        <v>SGM27</v>
      </c>
      <c r="E312" s="199" t="str">
        <f>[1]IDFUNÇÃO!E312</f>
        <v>SGM13S</v>
      </c>
      <c r="F312" s="200" t="str">
        <f>[1]IDFUNÇÃO!F312</f>
        <v>OCUPADA</v>
      </c>
      <c r="G312" s="200" t="str">
        <f>[1]IDFUNÇÃO!G312</f>
        <v>OCUPADA</v>
      </c>
    </row>
    <row r="313" spans="1:7" x14ac:dyDescent="0.25">
      <c r="A313" s="532"/>
      <c r="B313" s="197" t="str">
        <f>[1]IDFUNÇÃO!B313</f>
        <v>Assistente</v>
      </c>
      <c r="C313" s="198" t="str">
        <f>[1]IDFUNÇÃO!C313</f>
        <v>DAS 102.2</v>
      </c>
      <c r="D313" s="199" t="str">
        <f>[1]IDFUNÇÃO!D313</f>
        <v>SGM28</v>
      </c>
      <c r="E313" s="211"/>
      <c r="F313" s="200" t="str">
        <f>[1]IDFUNÇÃO!F313</f>
        <v>OCUPADA</v>
      </c>
      <c r="G313" s="211"/>
    </row>
    <row r="314" spans="1:7" x14ac:dyDescent="0.25">
      <c r="A314" s="532" t="str">
        <f>[1]IDFUNÇÃO!A314</f>
        <v>Coordenação-Geral de Mineração em Áreas de Conservação e Conflito</v>
      </c>
      <c r="B314" s="197" t="str">
        <f>[1]IDFUNÇÃO!B314</f>
        <v>Coordenador-Geral</v>
      </c>
      <c r="C314" s="198" t="str">
        <f>[1]IDFUNÇÃO!C314</f>
        <v>FCPE 101.4</v>
      </c>
      <c r="D314" s="199" t="str">
        <f>[1]IDFUNÇÃO!D314</f>
        <v>SGM29</v>
      </c>
      <c r="E314" s="199" t="str">
        <f>[1]IDFUNÇÃO!E314</f>
        <v>SGM14S</v>
      </c>
      <c r="F314" s="200" t="str">
        <f>[1]IDFUNÇÃO!F314</f>
        <v>OCUPADA</v>
      </c>
      <c r="G314" s="200" t="str">
        <f>[1]IDFUNÇÃO!G314</f>
        <v>VAZIA</v>
      </c>
    </row>
    <row r="315" spans="1:7" x14ac:dyDescent="0.25">
      <c r="A315" s="533"/>
      <c r="B315" s="197" t="str">
        <f>[1]IDFUNÇÃO!B315</f>
        <v>Assistente</v>
      </c>
      <c r="C315" s="198" t="str">
        <f>[1]IDFUNÇÃO!C315</f>
        <v>FCPE 102.2</v>
      </c>
      <c r="D315" s="199" t="str">
        <f>[1]IDFUNÇÃO!D315</f>
        <v>SGM30</v>
      </c>
      <c r="E315" s="211"/>
      <c r="F315" s="200" t="str">
        <f>[1]IDFUNÇÃO!F315</f>
        <v>OCUPADA</v>
      </c>
      <c r="G315" s="211"/>
    </row>
    <row r="316" spans="1:7" x14ac:dyDescent="0.25"/>
  </sheetData>
  <mergeCells count="128">
    <mergeCell ref="A29:A34"/>
    <mergeCell ref="E30:E34"/>
    <mergeCell ref="G30:G34"/>
    <mergeCell ref="A35:A36"/>
    <mergeCell ref="A37:A43"/>
    <mergeCell ref="E38:E43"/>
    <mergeCell ref="G38:G43"/>
    <mergeCell ref="A7:A10"/>
    <mergeCell ref="E8:E10"/>
    <mergeCell ref="G8:G10"/>
    <mergeCell ref="A12:A21"/>
    <mergeCell ref="E12:E16"/>
    <mergeCell ref="G12:G16"/>
    <mergeCell ref="E19:E28"/>
    <mergeCell ref="G19:G28"/>
    <mergeCell ref="A55:A59"/>
    <mergeCell ref="E56:E59"/>
    <mergeCell ref="G56:G59"/>
    <mergeCell ref="A60:A62"/>
    <mergeCell ref="E61:E62"/>
    <mergeCell ref="G61:G62"/>
    <mergeCell ref="A44:A49"/>
    <mergeCell ref="E45:E49"/>
    <mergeCell ref="G45:G49"/>
    <mergeCell ref="A50:A54"/>
    <mergeCell ref="E51:E54"/>
    <mergeCell ref="G51:G54"/>
    <mergeCell ref="A83:A85"/>
    <mergeCell ref="E84:E85"/>
    <mergeCell ref="G84:G85"/>
    <mergeCell ref="E89:E90"/>
    <mergeCell ref="G89:G90"/>
    <mergeCell ref="A91:A92"/>
    <mergeCell ref="A64:A75"/>
    <mergeCell ref="E68:E75"/>
    <mergeCell ref="G68:G75"/>
    <mergeCell ref="A76:A82"/>
    <mergeCell ref="E77:E82"/>
    <mergeCell ref="G77:G82"/>
    <mergeCell ref="A111:A122"/>
    <mergeCell ref="E121:E122"/>
    <mergeCell ref="G121:G122"/>
    <mergeCell ref="A123:A133"/>
    <mergeCell ref="A134:A141"/>
    <mergeCell ref="E138:E141"/>
    <mergeCell ref="G138:G141"/>
    <mergeCell ref="A98:A99"/>
    <mergeCell ref="A102:A106"/>
    <mergeCell ref="E103:E106"/>
    <mergeCell ref="G103:G106"/>
    <mergeCell ref="A107:A110"/>
    <mergeCell ref="E108:E110"/>
    <mergeCell ref="G108:G110"/>
    <mergeCell ref="A156:A164"/>
    <mergeCell ref="E157:E164"/>
    <mergeCell ref="G157:G164"/>
    <mergeCell ref="A168:A169"/>
    <mergeCell ref="A171:A179"/>
    <mergeCell ref="E172:E179"/>
    <mergeCell ref="G172:G179"/>
    <mergeCell ref="A142:A146"/>
    <mergeCell ref="E145:E146"/>
    <mergeCell ref="G145:G146"/>
    <mergeCell ref="A147:A154"/>
    <mergeCell ref="E150:E154"/>
    <mergeCell ref="G150:G154"/>
    <mergeCell ref="A190:A193"/>
    <mergeCell ref="E191:E193"/>
    <mergeCell ref="G191:G193"/>
    <mergeCell ref="A195:A202"/>
    <mergeCell ref="E197:E202"/>
    <mergeCell ref="G197:G202"/>
    <mergeCell ref="A181:A184"/>
    <mergeCell ref="E182:E184"/>
    <mergeCell ref="G182:G184"/>
    <mergeCell ref="A186:A188"/>
    <mergeCell ref="E187:E188"/>
    <mergeCell ref="G187:G188"/>
    <mergeCell ref="A216:A218"/>
    <mergeCell ref="E217:E218"/>
    <mergeCell ref="G217:G218"/>
    <mergeCell ref="A221:A222"/>
    <mergeCell ref="A223:A224"/>
    <mergeCell ref="A226:A234"/>
    <mergeCell ref="E229:E234"/>
    <mergeCell ref="G229:G234"/>
    <mergeCell ref="A203:A206"/>
    <mergeCell ref="E204:E206"/>
    <mergeCell ref="G204:G206"/>
    <mergeCell ref="A210:A212"/>
    <mergeCell ref="E211:E212"/>
    <mergeCell ref="G211:G212"/>
    <mergeCell ref="A244:A246"/>
    <mergeCell ref="A247:A248"/>
    <mergeCell ref="A250:A251"/>
    <mergeCell ref="A255:A257"/>
    <mergeCell ref="E256:E257"/>
    <mergeCell ref="G256:G257"/>
    <mergeCell ref="A235:A236"/>
    <mergeCell ref="A237:A238"/>
    <mergeCell ref="A239:A240"/>
    <mergeCell ref="A241:A243"/>
    <mergeCell ref="E242:E243"/>
    <mergeCell ref="G242:G243"/>
    <mergeCell ref="A310:A311"/>
    <mergeCell ref="A312:A313"/>
    <mergeCell ref="A314:A315"/>
    <mergeCell ref="A1:H1"/>
    <mergeCell ref="A297:A298"/>
    <mergeCell ref="A300:A302"/>
    <mergeCell ref="E301:E302"/>
    <mergeCell ref="G301:G302"/>
    <mergeCell ref="A305:A308"/>
    <mergeCell ref="E306:E308"/>
    <mergeCell ref="G306:G308"/>
    <mergeCell ref="A281:A282"/>
    <mergeCell ref="A286:A292"/>
    <mergeCell ref="E288:E292"/>
    <mergeCell ref="G288:G292"/>
    <mergeCell ref="A293:A295"/>
    <mergeCell ref="E294:E295"/>
    <mergeCell ref="G294:G295"/>
    <mergeCell ref="A259:A266"/>
    <mergeCell ref="E261:E266"/>
    <mergeCell ref="G261:G266"/>
    <mergeCell ref="A267:A269"/>
    <mergeCell ref="A272:A274"/>
    <mergeCell ref="A277:A278"/>
  </mergeCells>
  <conditionalFormatting sqref="G29 G35 G37 G44 G50 G55 G60 F12:F62 G17:G18">
    <cfRule type="containsText" dxfId="629" priority="25" operator="containsText" text="OCUPADA">
      <formula>NOT(ISERROR(SEARCH("OCUPADA",F12)))</formula>
    </cfRule>
    <cfRule type="containsText" dxfId="628" priority="26" operator="containsText" text="VAZIA">
      <formula>NOT(ISERROR(SEARCH("VAZIA",F12)))</formula>
    </cfRule>
  </conditionalFormatting>
  <conditionalFormatting sqref="F7:G7 F8:F10">
    <cfRule type="containsText" dxfId="627" priority="23" operator="containsText" text="OCUPADA">
      <formula>NOT(ISERROR(SEARCH("OCUPADA",F7)))</formula>
    </cfRule>
    <cfRule type="containsText" dxfId="626" priority="24" operator="containsText" text="VAZIA">
      <formula>NOT(ISERROR(SEARCH("VAZIA",F7)))</formula>
    </cfRule>
  </conditionalFormatting>
  <conditionalFormatting sqref="F64:G67 F150:F154 F147:G149 F145:F146 F142:G144 F138:F141 F127:G137 F126 F123:G125 F121:F122 F111:G120 F108:F110 F107:G107 F103:F106 F100:G102 F99 F93:G98 F92 F91:G91 F89:F90 F86:G88 F84:F85 F83:G83 F77:F82 F76:G76 F68:F75">
    <cfRule type="containsText" dxfId="625" priority="21" operator="containsText" text="OCUPADA">
      <formula>NOT(ISERROR(SEARCH("OCUPADA",F64)))</formula>
    </cfRule>
    <cfRule type="containsText" dxfId="624" priority="22" operator="containsText" text="VAZIA">
      <formula>NOT(ISERROR(SEARCH("VAZIA",F64)))</formula>
    </cfRule>
  </conditionalFormatting>
  <conditionalFormatting sqref="F156:G156 F165:G168 F157:F164 F169">
    <cfRule type="containsText" dxfId="623" priority="19" operator="containsText" text="OCUPADA">
      <formula>NOT(ISERROR(SEARCH("OCUPADA",F156)))</formula>
    </cfRule>
    <cfRule type="containsText" dxfId="622" priority="20" operator="containsText" text="VAZIA">
      <formula>NOT(ISERROR(SEARCH("VAZIA",F156)))</formula>
    </cfRule>
  </conditionalFormatting>
  <conditionalFormatting sqref="F171:G171 F172:F179">
    <cfRule type="containsText" dxfId="621" priority="17" operator="containsText" text="OCUPADA">
      <formula>NOT(ISERROR(SEARCH("OCUPADA",F171)))</formula>
    </cfRule>
    <cfRule type="containsText" dxfId="620" priority="18" operator="containsText" text="VAZIA">
      <formula>NOT(ISERROR(SEARCH("VAZIA",F171)))</formula>
    </cfRule>
  </conditionalFormatting>
  <conditionalFormatting sqref="F181:G181 F182:F184">
    <cfRule type="containsText" dxfId="619" priority="15" operator="containsText" text="OCUPADA">
      <formula>NOT(ISERROR(SEARCH("OCUPADA",F181)))</formula>
    </cfRule>
    <cfRule type="containsText" dxfId="618" priority="16" operator="containsText" text="VAZIA">
      <formula>NOT(ISERROR(SEARCH("VAZIA",F181)))</formula>
    </cfRule>
  </conditionalFormatting>
  <conditionalFormatting sqref="F186:G186 F187:F188">
    <cfRule type="containsText" dxfId="617" priority="13" operator="containsText" text="OCUPADA">
      <formula>NOT(ISERROR(SEARCH("OCUPADA",F186)))</formula>
    </cfRule>
    <cfRule type="containsText" dxfId="616" priority="14" operator="containsText" text="VAZIA">
      <formula>NOT(ISERROR(SEARCH("VAZIA",F186)))</formula>
    </cfRule>
  </conditionalFormatting>
  <conditionalFormatting sqref="F190:G190 F191:F193">
    <cfRule type="containsText" dxfId="615" priority="11" operator="containsText" text="OCUPADA">
      <formula>NOT(ISERROR(SEARCH("OCUPADA",F190)))</formula>
    </cfRule>
    <cfRule type="containsText" dxfId="614" priority="12" operator="containsText" text="VAZIA">
      <formula>NOT(ISERROR(SEARCH("VAZIA",F190)))</formula>
    </cfRule>
  </conditionalFormatting>
  <conditionalFormatting sqref="F195:G196 F224 F223:G223 F222 F219:G221 F217:F218 F213:G216 F211:F212 F207:G210 F204:F206 F203:G203 F197:F202">
    <cfRule type="containsText" dxfId="613" priority="9" operator="containsText" text="OCUPADA">
      <formula>NOT(ISERROR(SEARCH("OCUPADA",F195)))</formula>
    </cfRule>
    <cfRule type="containsText" dxfId="612" priority="10" operator="containsText" text="VAZIA">
      <formula>NOT(ISERROR(SEARCH("VAZIA",F195)))</formula>
    </cfRule>
  </conditionalFormatting>
  <conditionalFormatting sqref="F226:G228 F235:G235 F229:F234 F237:G237 F236 F239:G239 F238 F241:G241 F240 F244:G245 F242:F243 F247:G247 F246 F249:G252 F248 F254:G255 F253 F256:F257">
    <cfRule type="containsText" dxfId="611" priority="7" operator="containsText" text="OCUPADA">
      <formula>NOT(ISERROR(SEARCH("OCUPADA",F226)))</formula>
    </cfRule>
    <cfRule type="containsText" dxfId="610" priority="8" operator="containsText" text="VAZIA">
      <formula>NOT(ISERROR(SEARCH("VAZIA",F226)))</formula>
    </cfRule>
  </conditionalFormatting>
  <conditionalFormatting sqref="F259:G260 F267:G268 F261:F266 F270:G273 F269 F275:G277 F274 F279:G281 F278 F283:G284 F282">
    <cfRule type="containsText" dxfId="609" priority="5" operator="containsText" text="OCUPADA">
      <formula>NOT(ISERROR(SEARCH("OCUPADA",F259)))</formula>
    </cfRule>
    <cfRule type="containsText" dxfId="608" priority="6" operator="containsText" text="VAZIA">
      <formula>NOT(ISERROR(SEARCH("VAZIA",F259)))</formula>
    </cfRule>
  </conditionalFormatting>
  <conditionalFormatting sqref="F286:G287 F315 F314:G314 F313 F312:G312 F311 F309:G310 F306:F308 F303:G305 F301:F302 F299:G300 F298 F296:G297 F294:F295 F293:G293 F288:F292">
    <cfRule type="containsText" dxfId="607" priority="3" operator="containsText" text="OCUPADA">
      <formula>NOT(ISERROR(SEARCH("OCUPADA",F286)))</formula>
    </cfRule>
    <cfRule type="containsText" dxfId="606" priority="4" operator="containsText" text="VAZIA">
      <formula>NOT(ISERROR(SEARCH("VAZIA",F286)))</formula>
    </cfRule>
  </conditionalFormatting>
  <conditionalFormatting sqref="F5:G5">
    <cfRule type="containsText" dxfId="605" priority="1" operator="containsText" text="OCUPADA">
      <formula>NOT(ISERROR(SEARCH("OCUPADA",F5)))</formula>
    </cfRule>
    <cfRule type="containsText" dxfId="604" priority="2" operator="containsText" text="VAZIA">
      <formula>NOT(ISERROR(SEARCH("VAZIA",F5)))</formula>
    </cfRule>
  </conditionalFormatting>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dimension ref="A1:AX58"/>
  <sheetViews>
    <sheetView showGridLines="0" workbookViewId="0">
      <selection sqref="A1:AB1"/>
    </sheetView>
  </sheetViews>
  <sheetFormatPr defaultColWidth="0" defaultRowHeight="15" zeroHeight="1" x14ac:dyDescent="0.25"/>
  <cols>
    <col min="1" max="1" width="13.85546875" bestFit="1" customWidth="1"/>
    <col min="2" max="2" width="13" customWidth="1"/>
    <col min="3" max="3" width="12" customWidth="1"/>
    <col min="4" max="4" width="11.7109375" customWidth="1"/>
    <col min="5" max="5" width="11.85546875" customWidth="1"/>
    <col min="6" max="6" width="9.140625" customWidth="1"/>
    <col min="7" max="7" width="13.5703125" customWidth="1"/>
    <col min="8" max="8" width="10.85546875" customWidth="1"/>
    <col min="9" max="9" width="9.140625" customWidth="1"/>
    <col min="10" max="10" width="12.42578125" customWidth="1"/>
    <col min="11" max="11" width="10.7109375" customWidth="1"/>
    <col min="12" max="13" width="9.140625" customWidth="1"/>
    <col min="14" max="14" width="13.85546875" bestFit="1" customWidth="1"/>
    <col min="15" max="15" width="9.140625" customWidth="1"/>
    <col min="16" max="16" width="11.28515625" customWidth="1"/>
    <col min="17" max="17" width="12.28515625" customWidth="1"/>
    <col min="18" max="18" width="10.85546875" customWidth="1"/>
    <col min="19" max="19" width="11.28515625" customWidth="1"/>
    <col min="20" max="20" width="11.5703125" customWidth="1"/>
    <col min="21" max="21" width="11.140625" customWidth="1"/>
    <col min="22" max="22" width="13.85546875" bestFit="1" customWidth="1"/>
    <col min="23" max="23" width="12" bestFit="1" customWidth="1"/>
    <col min="24" max="24" width="10.28515625" bestFit="1" customWidth="1"/>
    <col min="25" max="25" width="9.140625" customWidth="1"/>
    <col min="26" max="26" width="12" bestFit="1" customWidth="1"/>
    <col min="27" max="27" width="10.28515625" bestFit="1" customWidth="1"/>
    <col min="28" max="49" width="9.140625" customWidth="1"/>
    <col min="50" max="50" width="4" customWidth="1"/>
    <col min="51" max="16384" width="9.140625" hidden="1"/>
  </cols>
  <sheetData>
    <row r="1" spans="1:28" ht="43.5" customHeight="1" x14ac:dyDescent="0.25">
      <c r="A1" s="553" t="s">
        <v>58</v>
      </c>
      <c r="B1" s="553"/>
      <c r="C1" s="553"/>
      <c r="D1" s="553"/>
      <c r="E1" s="553"/>
      <c r="F1" s="553"/>
      <c r="G1" s="553"/>
      <c r="H1" s="553"/>
      <c r="I1" s="553"/>
      <c r="J1" s="553"/>
      <c r="K1" s="553"/>
      <c r="L1" s="553"/>
      <c r="M1" s="553"/>
      <c r="N1" s="553"/>
      <c r="O1" s="553"/>
      <c r="P1" s="553"/>
      <c r="Q1" s="553"/>
      <c r="R1" s="553"/>
      <c r="S1" s="553"/>
      <c r="T1" s="553"/>
      <c r="U1" s="553"/>
      <c r="V1" s="553"/>
      <c r="W1" s="553"/>
      <c r="X1" s="553"/>
      <c r="Y1" s="553"/>
      <c r="Z1" s="553"/>
      <c r="AA1" s="553"/>
      <c r="AB1" s="553"/>
    </row>
    <row r="2" spans="1:28" x14ac:dyDescent="0.25"/>
    <row r="3" spans="1:28" x14ac:dyDescent="0.25">
      <c r="A3" s="587" t="s">
        <v>16</v>
      </c>
      <c r="B3" s="587" t="s">
        <v>17</v>
      </c>
      <c r="C3" s="568" t="s">
        <v>18</v>
      </c>
      <c r="D3" s="568"/>
      <c r="E3" s="568"/>
      <c r="F3" s="568"/>
      <c r="G3" s="568"/>
      <c r="H3" s="568"/>
      <c r="I3" s="568"/>
      <c r="J3" s="569" t="s">
        <v>19</v>
      </c>
      <c r="K3" s="570"/>
      <c r="L3" s="571"/>
      <c r="N3" s="500" t="s">
        <v>16</v>
      </c>
      <c r="O3" s="587" t="s">
        <v>17</v>
      </c>
      <c r="P3" s="62"/>
      <c r="Q3" s="146"/>
      <c r="R3" s="146"/>
      <c r="S3" s="147"/>
      <c r="T3" s="62"/>
      <c r="V3" s="500" t="s">
        <v>16</v>
      </c>
      <c r="W3" s="569" t="s">
        <v>43</v>
      </c>
      <c r="X3" s="570"/>
      <c r="Y3" s="571"/>
      <c r="Z3" s="569" t="s">
        <v>44</v>
      </c>
      <c r="AA3" s="570"/>
      <c r="AB3" s="571"/>
    </row>
    <row r="4" spans="1:28" ht="76.5" x14ac:dyDescent="0.25">
      <c r="A4" s="588"/>
      <c r="B4" s="588"/>
      <c r="C4" s="45" t="s">
        <v>6</v>
      </c>
      <c r="D4" s="45" t="s">
        <v>7</v>
      </c>
      <c r="E4" s="45" t="s">
        <v>20</v>
      </c>
      <c r="F4" s="54" t="s">
        <v>21</v>
      </c>
      <c r="G4" s="44" t="s">
        <v>22</v>
      </c>
      <c r="H4" s="54" t="s">
        <v>8</v>
      </c>
      <c r="I4" s="54" t="s">
        <v>23</v>
      </c>
      <c r="J4" s="65" t="s">
        <v>24</v>
      </c>
      <c r="K4" s="90" t="s">
        <v>25</v>
      </c>
      <c r="L4" s="89" t="s">
        <v>23</v>
      </c>
      <c r="N4" s="501"/>
      <c r="O4" s="588"/>
      <c r="P4" s="90" t="s">
        <v>38</v>
      </c>
      <c r="Q4" s="90" t="s">
        <v>39</v>
      </c>
      <c r="R4" s="58" t="s">
        <v>40</v>
      </c>
      <c r="S4" s="148" t="s">
        <v>41</v>
      </c>
      <c r="T4" s="58" t="s">
        <v>42</v>
      </c>
      <c r="V4" s="501"/>
      <c r="W4" s="89" t="s">
        <v>45</v>
      </c>
      <c r="X4" s="89" t="s">
        <v>46</v>
      </c>
      <c r="Y4" s="89" t="s">
        <v>47</v>
      </c>
      <c r="Z4" s="89" t="s">
        <v>45</v>
      </c>
      <c r="AA4" s="154" t="s">
        <v>46</v>
      </c>
      <c r="AB4" s="54" t="s">
        <v>47</v>
      </c>
    </row>
    <row r="5" spans="1:28" x14ac:dyDescent="0.25">
      <c r="A5" s="82" t="s">
        <v>26</v>
      </c>
      <c r="B5" s="145">
        <v>51</v>
      </c>
      <c r="C5" s="91">
        <f>COUNTIF([1]GM!$G$3:$G$53,"ATIVO PERMANENTE")</f>
        <v>9</v>
      </c>
      <c r="D5" s="91">
        <f>COUNTIF([1]GM!$G$3:$G$53,"requisitado de órgãos")+COUNTIF([1]GM!$G$3:$G$53,"requisitado militar")</f>
        <v>10</v>
      </c>
      <c r="E5" s="91">
        <f>COUNTIF([1]GM!$G$3:$G$53,"requisitado de empresa")</f>
        <v>0</v>
      </c>
      <c r="F5" s="91">
        <f>COUNTIF([1]GM!$G$3:$G$53,"Sem Vínculo")</f>
        <v>25</v>
      </c>
      <c r="G5" s="91">
        <f>COUNTIF([1]GM!$G$3:$G$53,"EXERCÍCIO DESCENTRALIZADO")</f>
        <v>2</v>
      </c>
      <c r="H5" s="91">
        <f>COUNTIF([1]GM!$G$3:$G$53,"anistiado mme")</f>
        <v>0</v>
      </c>
      <c r="I5" s="91">
        <f>COUNTIF([1]GM!$G$3:$G$53,"-")</f>
        <v>5</v>
      </c>
      <c r="J5" s="91">
        <f>COUNTIF([1]GM!$M$3:$M$53,"FA")</f>
        <v>41</v>
      </c>
      <c r="K5" s="91">
        <f>COUNTIF([1]GM!$M$3:$M$53,"DIR")</f>
        <v>5</v>
      </c>
      <c r="L5" s="91">
        <f>COUNTIF([1]GM!$M$3:$M$53,"-")</f>
        <v>5</v>
      </c>
      <c r="N5" s="82" t="s">
        <v>26</v>
      </c>
      <c r="O5" s="145">
        <v>51</v>
      </c>
      <c r="P5" s="149">
        <v>9</v>
      </c>
      <c r="Q5" s="145">
        <f>O5-P5</f>
        <v>42</v>
      </c>
      <c r="R5" s="150">
        <f>COUNTIFS([1]GM!$D$3:$D$53,"GER",[1]GM!$G$3:$G$53,"ATIVO PERMANENTE")+COUNTIFS([1]GM!$D$3:$D$53,"GER",[1]GM!$G$3:$G$53,"ANISTIADO mme")</f>
        <v>1</v>
      </c>
      <c r="S5" s="151">
        <f>P5-R5-T5</f>
        <v>7</v>
      </c>
      <c r="T5" s="150">
        <f>COUNTIFS([1]GM!$D$3:$D$53,"GER",[1]GM!$G$3:$G$53,"-")</f>
        <v>1</v>
      </c>
      <c r="V5" s="82" t="s">
        <v>26</v>
      </c>
      <c r="W5" s="153">
        <f>COUNTIF([1]GM!$F$3:$F$53,"M")</f>
        <v>26</v>
      </c>
      <c r="X5" s="153">
        <f>COUNTIF([1]GM!$F$3:$F$53,"F")</f>
        <v>20</v>
      </c>
      <c r="Y5" s="153">
        <f>COUNTIF([1]GM!$F$3:$F$53,"-")</f>
        <v>5</v>
      </c>
      <c r="Z5" s="91">
        <f>COUNTIFS([1]GM!$D$3:$D$53,"GER",[1]GM!$F$3:$F$53,"M")</f>
        <v>4</v>
      </c>
      <c r="AA5" s="91">
        <f>COUNTIFS([1]GM!$D$3:$D$53,"GER",[1]GM!$F$3:$F$53,"F")</f>
        <v>4</v>
      </c>
      <c r="AB5" s="91">
        <f>COUNTIFS([1]GM!$D$3:$D$53,"GER",[1]GM!$F$3:$F$53,"-")</f>
        <v>1</v>
      </c>
    </row>
    <row r="6" spans="1:28" x14ac:dyDescent="0.25">
      <c r="A6" s="82" t="s">
        <v>27</v>
      </c>
      <c r="B6" s="145">
        <v>91</v>
      </c>
      <c r="C6" s="91">
        <f>COUNTIF([1]SE!$G$3:$G$98,"ATIVO PERMANENTE")</f>
        <v>21</v>
      </c>
      <c r="D6" s="91">
        <f>COUNTIF([1]SE!$G$3:$G$98,"requisitado de órgãos")+COUNTIF([1]SE!$G$3:$G$98,"requisitado militar")</f>
        <v>12</v>
      </c>
      <c r="E6" s="91">
        <f>COUNTIF([1]SE!$G$3:$G$98,"requisitado de empresa")</f>
        <v>1</v>
      </c>
      <c r="F6" s="91">
        <f>COUNTIF([1]SE!$G$3:$G$98,"Sem Vínculo")</f>
        <v>34</v>
      </c>
      <c r="G6" s="91">
        <f>COUNTIF([1]SE!$G$3:$G$98,"EXERCÍCIO DESCENTRALIZADO")</f>
        <v>10</v>
      </c>
      <c r="H6" s="91">
        <f>COUNTIF([1]SE!$G$3:$G$98,"anistiado mme")</f>
        <v>10</v>
      </c>
      <c r="I6" s="91">
        <f>COUNTIF([1]SE!$G$3:$G$98,"-")</f>
        <v>3</v>
      </c>
      <c r="J6" s="91">
        <f>COUNTIF([1]SE!$M$3:$M$98,"FA")</f>
        <v>87</v>
      </c>
      <c r="K6" s="91">
        <f>COUNTIF([1]SE!$M$3:$M$98,"DIR")</f>
        <v>1</v>
      </c>
      <c r="L6" s="91">
        <f>COUNTIF([1]SE!$M$3:$M$98,"-")</f>
        <v>3</v>
      </c>
      <c r="N6" s="82" t="s">
        <v>27</v>
      </c>
      <c r="O6" s="145">
        <v>91</v>
      </c>
      <c r="P6" s="149">
        <v>50</v>
      </c>
      <c r="Q6" s="145">
        <f t="shared" ref="Q6:Q16" si="0">O6-P6</f>
        <v>41</v>
      </c>
      <c r="R6" s="150">
        <f>COUNTIFS([1]SE!$D$3:$D$98,"GER",[1]SE!$G$3:$G$98,"ATIVO PERMANENTE")+COUNTIFS([1]SE!$D$3:$D$98,"GER",[1]SE!$G$3:$G$98,"ANISTIADO mme")</f>
        <v>15</v>
      </c>
      <c r="S6" s="151">
        <f t="shared" ref="S6:S16" si="1">P6-R6-T6</f>
        <v>33</v>
      </c>
      <c r="T6" s="150">
        <f>COUNTIFS([1]SE!$D$3:$D$98,"GER",[1]SE!$G$3:$G$98,"-")</f>
        <v>2</v>
      </c>
      <c r="V6" s="82" t="s">
        <v>27</v>
      </c>
      <c r="W6" s="153">
        <f>COUNTIF([1]SE!$F$3:$F$98,"M")</f>
        <v>45</v>
      </c>
      <c r="X6" s="153">
        <f>COUNTIF([1]SE!$F$3:$F$98,"F")</f>
        <v>43</v>
      </c>
      <c r="Y6" s="153">
        <f>COUNTIF([1]SE!$F$3:$F$98,"-")</f>
        <v>3</v>
      </c>
      <c r="Z6" s="91">
        <f>COUNTIFS([1]SE!$D$3:$D$98,"GER",[1]SE!$F$3:$F$98,"M")</f>
        <v>25</v>
      </c>
      <c r="AA6" s="91">
        <f>COUNTIFS([1]SE!$D$3:$D$98,"GER",[1]SE!$F$3:$F$98,"F")</f>
        <v>23</v>
      </c>
      <c r="AB6" s="91">
        <f>COUNTIFS([1]SE!$D$3:$D$98,"GER",[1]SE!$F$3:$F$98,"-")</f>
        <v>2</v>
      </c>
    </row>
    <row r="7" spans="1:28" x14ac:dyDescent="0.25">
      <c r="A7" s="82" t="s">
        <v>28</v>
      </c>
      <c r="B7" s="145">
        <v>14</v>
      </c>
      <c r="C7" s="91">
        <f>COUNTIF([1]CONJUR!$G$3:$G$16,"ATIVO PERMANENTE")</f>
        <v>1</v>
      </c>
      <c r="D7" s="91">
        <f>COUNTIF([1]CONJUR!$G$3:$G$16,"requisitado de órgãos")+COUNTIF([1]CONJUR!$G$3:$G$16,"requisitado militar")</f>
        <v>0</v>
      </c>
      <c r="E7" s="91">
        <f>COUNTIF([1]CONJUR!$G$3:$G$16,"requisitado de empresa")</f>
        <v>0</v>
      </c>
      <c r="F7" s="91">
        <f>COUNTIF([1]CONJUR!$G$3:$G$16,"Sem Vínculo")</f>
        <v>7</v>
      </c>
      <c r="G7" s="91">
        <f>COUNTIF([1]CONJUR!$G$3:$G$16,"EXERCÍCIO DESCENTRALIZADO")</f>
        <v>6</v>
      </c>
      <c r="H7" s="91">
        <f>COUNTIF([1]CONJUR!$G$3:$G$16,"anistiado mme")</f>
        <v>0</v>
      </c>
      <c r="I7" s="91">
        <f>COUNTIF([1]CONJUR!$G$3:$G$16,"-")</f>
        <v>0</v>
      </c>
      <c r="J7" s="91">
        <f>COUNTIF([1]CONJUR!$M$3:$M$16,"FA")</f>
        <v>14</v>
      </c>
      <c r="K7" s="91">
        <f>COUNTIF([1]CONJUR!$M$3:$M$16,"DIR")</f>
        <v>0</v>
      </c>
      <c r="L7" s="91">
        <f>COUNTIF([1]CONJUR!$M$3:$M$16,"-")</f>
        <v>0</v>
      </c>
      <c r="N7" s="82" t="s">
        <v>28</v>
      </c>
      <c r="O7" s="145">
        <v>14</v>
      </c>
      <c r="P7" s="149">
        <v>5</v>
      </c>
      <c r="Q7" s="145">
        <f t="shared" si="0"/>
        <v>9</v>
      </c>
      <c r="R7" s="150">
        <f>COUNTIFS([1]CONJUR!$D$3:$D$16,"GER",[1]CONJUR!$G$3:$G$16,"ATIVO PERMANENTE")+COUNTIFS([1]CONJUR!$D$3:$D$16,"GER",[1]CONJUR!$G$3:$G$16,"ANISTIADO mme")</f>
        <v>1</v>
      </c>
      <c r="S7" s="151">
        <f t="shared" si="1"/>
        <v>4</v>
      </c>
      <c r="T7" s="150">
        <f>COUNTIFS([1]CONJUR!$D$3:$D$16,"GER",[1]CONJUR!$G$3:$G$16,"-")</f>
        <v>0</v>
      </c>
      <c r="V7" s="82" t="s">
        <v>28</v>
      </c>
      <c r="W7" s="153">
        <f>COUNTIF([1]CONJUR!$F$3:$F$16,"M")</f>
        <v>6</v>
      </c>
      <c r="X7" s="153">
        <f>COUNTIF([1]CONJUR!$F$3:$F$16,"F")</f>
        <v>8</v>
      </c>
      <c r="Y7" s="153">
        <f>COUNTIF([1]CONJUR!$F$3:$F$16,"-")</f>
        <v>0</v>
      </c>
      <c r="Z7" s="91">
        <f>COUNTIFS([1]CONJUR!$D$3:$D$16,"GER",[1]CONJUR!$F$3:$F$16,"M")</f>
        <v>3</v>
      </c>
      <c r="AA7" s="91">
        <f>COUNTIFS([1]CONJUR!$D$3:$D$16,"GER",[1]CONJUR!$F$3:$F$16,"F")</f>
        <v>2</v>
      </c>
      <c r="AB7" s="91">
        <f>COUNTIFS([1]CONJUR!$D$3:$D$16,"GER",[1]CONJUR!$F$3:$F$16,"-")</f>
        <v>0</v>
      </c>
    </row>
    <row r="8" spans="1:28" x14ac:dyDescent="0.25">
      <c r="A8" s="82" t="s">
        <v>29</v>
      </c>
      <c r="B8" s="145">
        <v>9</v>
      </c>
      <c r="C8" s="91">
        <f>COUNTIF([1]ASSEC!$G$3:$G$11,"ATIVO PERMANENTE")</f>
        <v>0</v>
      </c>
      <c r="D8" s="91">
        <f>COUNTIF([1]ASSEC!$G$3:$G$11,"requisitado de órgãos")+COUNTIF([1]ASSEC!$G$3:$G$11,"requisitado militar")</f>
        <v>5</v>
      </c>
      <c r="E8" s="91">
        <f>COUNTIF([1]ASSEC!$G$3:$G$11,"requisitado de empresa")</f>
        <v>0</v>
      </c>
      <c r="F8" s="91">
        <f>COUNTIF([1]ASSEC!$G$3:$G$11,"Sem Vínculo")</f>
        <v>4</v>
      </c>
      <c r="G8" s="91">
        <f>COUNTIF([1]ASSEC!$G$3:$G$11,"EXERCÍCIO DESCENTRALIZADO")</f>
        <v>0</v>
      </c>
      <c r="H8" s="91">
        <f>COUNTIF([1]ASSEC!$G$3:$G$11,"anistiado mme")</f>
        <v>0</v>
      </c>
      <c r="I8" s="91">
        <f>COUNTIF([1]ASSEC!$G$3:$G$11,"-")</f>
        <v>0</v>
      </c>
      <c r="J8" s="91">
        <f>COUNTIF([1]ASSEC!$M$3:$M$11,"FA")</f>
        <v>9</v>
      </c>
      <c r="K8" s="91">
        <f>COUNTIF([1]ASSEC!$M$3:$M$11,"DIR")</f>
        <v>0</v>
      </c>
      <c r="L8" s="91">
        <f>COUNTIF([1]ASSEC!$M$3:$M$11,"-")</f>
        <v>0</v>
      </c>
      <c r="N8" s="82" t="s">
        <v>29</v>
      </c>
      <c r="O8" s="145">
        <v>9</v>
      </c>
      <c r="P8" s="149">
        <v>1</v>
      </c>
      <c r="Q8" s="145">
        <f t="shared" si="0"/>
        <v>8</v>
      </c>
      <c r="R8" s="150">
        <f>COUNTIFS([1]ASSEC!$D$3:$D$11,"GER",[1]ASSEC!$G$3:$G$11,"ATIVO PERMANENTE")+COUNTIFS([1]ASSEC!$D$3:$D$11,"GER",[1]ASSEC!$G$3:$G$11,"ANISTIADO mme")</f>
        <v>0</v>
      </c>
      <c r="S8" s="151">
        <f t="shared" si="1"/>
        <v>1</v>
      </c>
      <c r="T8" s="150">
        <f>COUNTIFS([1]ASSEC!$D$3:$D$11,"GER",[1]ASSEC!$G$3:$G$11,"-")</f>
        <v>0</v>
      </c>
      <c r="V8" s="82" t="s">
        <v>29</v>
      </c>
      <c r="W8" s="153">
        <f>COUNTIF([1]ASSEC!$F$3:$F$11,"M")</f>
        <v>3</v>
      </c>
      <c r="X8" s="153">
        <f>COUNTIF([1]ASSEC!$F$3:$F$11,"F")</f>
        <v>6</v>
      </c>
      <c r="Y8" s="153">
        <f>COUNTIF([1]ASSEC!$F$3:$F$11,"-")</f>
        <v>0</v>
      </c>
      <c r="Z8" s="91">
        <f>COUNTIFS([1]ASSEC!$D$3:$D$11,"GER",[1]ASSEC!$F$3:$F$11,"M")</f>
        <v>1</v>
      </c>
      <c r="AA8" s="91">
        <f>COUNTIFS([1]ASSEC!$D$3:$D$11,"GER",[1]ASSEC!$F$3:$F$11,"F")</f>
        <v>0</v>
      </c>
      <c r="AB8" s="91">
        <f>COUNTIFS([1]ASSEC!$D$3:$D$11,"GER",[1]ASSEC!$F$3:$F$11,"-")</f>
        <v>0</v>
      </c>
    </row>
    <row r="9" spans="1:28" x14ac:dyDescent="0.25">
      <c r="A9" s="82" t="s">
        <v>30</v>
      </c>
      <c r="B9" s="145">
        <v>4</v>
      </c>
      <c r="C9" s="91">
        <f>COUNTIF([1]ASSINT!$G$3:$G$6,"ATIVO PERMANENTE")</f>
        <v>1</v>
      </c>
      <c r="D9" s="91">
        <f>COUNTIF([1]ASSINT!$G$3:$G$6,"requisitado de órgãos")+COUNTIF([1]ASSINT!$G$3:$G$6,"requisitado militar")</f>
        <v>1</v>
      </c>
      <c r="E9" s="91">
        <f>COUNTIF([1]ASSINT!$G$3:$G$6,"requisitado de empresa")</f>
        <v>0</v>
      </c>
      <c r="F9" s="91">
        <f>COUNTIF([1]ASSINT!$G$3:$G$6,"Sem Vínculo")</f>
        <v>2</v>
      </c>
      <c r="G9" s="91">
        <f>COUNTIF([1]ASSINT!$G$3:$G$6,"EXERCÍCIO DESCENTRALIZADO")</f>
        <v>0</v>
      </c>
      <c r="H9" s="91">
        <f>COUNTIF([1]ASSINT!$G$3:$G$6,"anistiado mme")</f>
        <v>0</v>
      </c>
      <c r="I9" s="91">
        <f>COUNTIF([1]ASSINT!$G$3:$G$6,"-")</f>
        <v>0</v>
      </c>
      <c r="J9" s="91">
        <f>COUNTIF([1]ASSINT!$M$3:$M$6,"FA")</f>
        <v>4</v>
      </c>
      <c r="K9" s="91">
        <f>COUNTIF([1]ASSINT!$M$3:$M$6,"DIR")</f>
        <v>0</v>
      </c>
      <c r="L9" s="91">
        <f>COUNTIF([1]ASSINT!$M$3:$M$6,"-")</f>
        <v>0</v>
      </c>
      <c r="N9" s="82" t="s">
        <v>30</v>
      </c>
      <c r="O9" s="145">
        <v>4</v>
      </c>
      <c r="P9" s="149">
        <v>1</v>
      </c>
      <c r="Q9" s="145">
        <f t="shared" si="0"/>
        <v>3</v>
      </c>
      <c r="R9" s="150">
        <f>COUNTIFS([1]ASSINT!$D$3:$D$6,"GER",[1]ASSINT!$G$3:$G$6,"ATIVO PERMANENTE")+COUNTIFS([1]ASSINT!$D$3:$D$6,"GER",[1]ASSINT!$G$3:$G$6,"ANISTIADO mme")</f>
        <v>0</v>
      </c>
      <c r="S9" s="151">
        <f t="shared" si="1"/>
        <v>1</v>
      </c>
      <c r="T9" s="150">
        <f>COUNTIFS([1]ASSINT!$D$3:$D$6,"GER",[1]ASSINT!$G$3:$G$6,"-")</f>
        <v>0</v>
      </c>
      <c r="V9" s="82" t="s">
        <v>30</v>
      </c>
      <c r="W9" s="153">
        <f>COUNTIF([1]ASSINT!$F$3:$F$6,"M")</f>
        <v>3</v>
      </c>
      <c r="X9" s="153">
        <f>COUNTIF([1]ASSINT!$F$3:$F$6,"F")</f>
        <v>1</v>
      </c>
      <c r="Y9" s="153">
        <f>COUNTIF([1]ASSINT!$F$3:$F$6,"-")</f>
        <v>0</v>
      </c>
      <c r="Z9" s="91">
        <f>COUNTIFS([1]ASSINT!$D$3:$D$6,"GER",[1]ASSINT!$F$3:$F$6,"M")</f>
        <v>1</v>
      </c>
      <c r="AA9" s="91">
        <f>COUNTIFS([1]ASSINT!$D$3:$D$6,"GER",[1]ASSINT!$F$3:$F$6,"F")</f>
        <v>0</v>
      </c>
      <c r="AB9" s="91">
        <f>COUNTIFS([1]ASSINT!$D$3:$D$6,"GER",[1]ASSINT!$F$3:$F$6,"-")</f>
        <v>0</v>
      </c>
    </row>
    <row r="10" spans="1:28" x14ac:dyDescent="0.25">
      <c r="A10" s="82" t="s">
        <v>31</v>
      </c>
      <c r="B10" s="145">
        <v>3</v>
      </c>
      <c r="C10" s="91">
        <f>COUNTIF([1]AECI!$G$3:$G$5,"ATIVO PERMANENTE")</f>
        <v>1</v>
      </c>
      <c r="D10" s="91">
        <f>COUNTIF([1]AECI!$G$3:$G$5,"requisitado de órgãos")+COUNTIF([1]AECI!$G$3:$G$5,"requisitado militar")</f>
        <v>1</v>
      </c>
      <c r="E10" s="91">
        <f>COUNTIF([1]AECI!$G$3:$G$5,"requisitado de empresa")</f>
        <v>0</v>
      </c>
      <c r="F10" s="91">
        <f>COUNTIF([1]AECI!$G$3:$G$5,"Sem Vínculo")</f>
        <v>1</v>
      </c>
      <c r="G10" s="91">
        <f>COUNTIF([1]AECI!$G$3:$G$5,"EXERCÍCIO DESCENTRALIZADO")</f>
        <v>0</v>
      </c>
      <c r="H10" s="91">
        <f>COUNTIF([1]AECI!$G$3:$G$5,"anistiado mme")</f>
        <v>0</v>
      </c>
      <c r="I10" s="91">
        <f>COUNTIF([1]AECI!$G$3:$G$5,"-")</f>
        <v>0</v>
      </c>
      <c r="J10" s="91">
        <f>COUNTIF([1]AECI!$M$3:$M$5,"FA")</f>
        <v>2</v>
      </c>
      <c r="K10" s="91">
        <f>COUNTIF([1]AECI!$M$3:$M$5,"DIR")</f>
        <v>1</v>
      </c>
      <c r="L10" s="91">
        <f>COUNTIF([1]AECI!$M$3:$M$5,"-")</f>
        <v>0</v>
      </c>
      <c r="N10" s="82" t="s">
        <v>31</v>
      </c>
      <c r="O10" s="145">
        <v>3</v>
      </c>
      <c r="P10" s="149">
        <v>1</v>
      </c>
      <c r="Q10" s="145">
        <f t="shared" si="0"/>
        <v>2</v>
      </c>
      <c r="R10" s="150">
        <f>COUNTIFS([1]AECI!$D$3:$D$5,"GER",[1]AECI!$G$3:$G$5,"ATIVO PERMANENTE")+COUNTIFS([1]AECI!$D$3:$D$5,"GER",[1]AECI!$G$3:$G$5,"ANISTIADO mme")</f>
        <v>0</v>
      </c>
      <c r="S10" s="151">
        <f t="shared" si="1"/>
        <v>1</v>
      </c>
      <c r="T10" s="150">
        <f>COUNTIFS([1]AECI!$D$3:$D$5,"GER",[1]AECI!$G$3:$G$5,"-")</f>
        <v>0</v>
      </c>
      <c r="V10" s="82" t="s">
        <v>31</v>
      </c>
      <c r="W10" s="153">
        <f>COUNTIF([1]AECI!$F$3:$F$5,"M")</f>
        <v>1</v>
      </c>
      <c r="X10" s="153">
        <f>COUNTIF([1]AECI!$F$3:$F$5,"F")</f>
        <v>2</v>
      </c>
      <c r="Y10" s="153">
        <f>COUNTIF([1]AECI!$F$3:$F$5,"-")</f>
        <v>0</v>
      </c>
      <c r="Z10" s="91">
        <f>COUNTIFS([1]AECI!$D$3:$D$5,"GER",[1]AECI!$F$3:$F$5,"M")</f>
        <v>1</v>
      </c>
      <c r="AA10" s="91">
        <f>COUNTIFS([1]AECI!$D$3:$D$5,"GER",[1]AECI!$F$3:$F$5,"F")</f>
        <v>0</v>
      </c>
      <c r="AB10" s="91">
        <f>COUNTIFS([1]AECI!$D$3:$D$5,"GER",[1]AECI!$F$3:$F$5,"-")</f>
        <v>0</v>
      </c>
    </row>
    <row r="11" spans="1:28" x14ac:dyDescent="0.25">
      <c r="A11" s="82" t="s">
        <v>32</v>
      </c>
      <c r="B11" s="145">
        <v>4</v>
      </c>
      <c r="C11" s="91">
        <f>COUNTIF([1]AEPED!$G$3:$G$6,"ATIVO PERMANENTE")</f>
        <v>1</v>
      </c>
      <c r="D11" s="91">
        <f>COUNTIF([1]AEPED!$G$3:$G$6,"requisitado de órgãos")+COUNTIF([1]AEPED!$G$3:$G$6,"requisitado militar")</f>
        <v>1</v>
      </c>
      <c r="E11" s="91">
        <f>COUNTIF([1]AEPED!$G$3:$G$6,"requisitado de empresa")</f>
        <v>0</v>
      </c>
      <c r="F11" s="91">
        <f>COUNTIF([1]AEPED!$G$3:$G$6,"Sem Vínculo")</f>
        <v>2</v>
      </c>
      <c r="G11" s="91">
        <f>COUNTIF([1]AEPED!$G$3:$G$6,"EXERCÍCIO DESCENTRALIZADO")</f>
        <v>0</v>
      </c>
      <c r="H11" s="91">
        <f>COUNTIF([1]AEPED!$G$3:$G$6,"anistiado mme")</f>
        <v>0</v>
      </c>
      <c r="I11" s="91">
        <f>COUNTIF([1]AEPED!$G$3:$G$6,"-")</f>
        <v>0</v>
      </c>
      <c r="J11" s="91">
        <f>COUNTIF([1]AEPED!M3:$M$6,"FA")</f>
        <v>4</v>
      </c>
      <c r="K11" s="91">
        <f>COUNTIF([1]AEPED!$M3:N$6,"DIR")</f>
        <v>0</v>
      </c>
      <c r="L11" s="91">
        <f>COUNTIF([1]AEPED!$M3:M$6,"-")</f>
        <v>0</v>
      </c>
      <c r="N11" s="82" t="s">
        <v>32</v>
      </c>
      <c r="O11" s="145">
        <v>4</v>
      </c>
      <c r="P11" s="149">
        <v>1</v>
      </c>
      <c r="Q11" s="145">
        <f t="shared" si="0"/>
        <v>3</v>
      </c>
      <c r="R11" s="150">
        <f>COUNTIFS([1]AEPED!$D$3:$D$6,"GER",[1]AEPED!$G$3:$G$6,"ATIVO PERMANENTE")+COUNTIFS([1]AEPED!$D$3:$D$6,"GER",[1]AEPED!$G$3:$G$6,"ANISTIADO mme")</f>
        <v>0</v>
      </c>
      <c r="S11" s="151">
        <f t="shared" si="1"/>
        <v>1</v>
      </c>
      <c r="T11" s="150">
        <f>COUNTIFS([1]AEPED!$D$3:$D$6,"GER",[1]AEPED!$G$3:$G$6,"-")</f>
        <v>0</v>
      </c>
      <c r="V11" s="82" t="s">
        <v>32</v>
      </c>
      <c r="W11" s="153">
        <f>COUNTIF([1]AEPED!$F$3:$F$6,"M")</f>
        <v>4</v>
      </c>
      <c r="X11" s="153">
        <f>COUNTIF([1]AEPED!$F$3:$F$6,"F")</f>
        <v>0</v>
      </c>
      <c r="Y11" s="153">
        <f>COUNTIF([1]AEPED!$F$3:$F$6,"-")</f>
        <v>0</v>
      </c>
      <c r="Z11" s="91">
        <f>COUNTIFS([1]AEPED!$D$3:$D$6,"GER",[1]AEPED!$F$3:$F$6,"M")</f>
        <v>1</v>
      </c>
      <c r="AA11" s="91">
        <f>COUNTIFS([1]AEPED!$D$3:$D$6,"GER",[1]AEPED!$F$3:$F$6,"F")</f>
        <v>0</v>
      </c>
      <c r="AB11" s="91">
        <f>COUNTIFS([1]AEPED!$D$3:$D$6,"GER",[1]AEPED!$F$3:$F$6,"-")</f>
        <v>0</v>
      </c>
    </row>
    <row r="12" spans="1:28" x14ac:dyDescent="0.25">
      <c r="A12" s="82" t="s">
        <v>33</v>
      </c>
      <c r="B12" s="145">
        <v>30</v>
      </c>
      <c r="C12" s="91">
        <f>COUNTIF([1]SPE!$G$3:$G$35,"ATIVO PERMANENTE")</f>
        <v>3</v>
      </c>
      <c r="D12" s="91">
        <f>COUNTIF([1]SPE!$G$3:$G$35,"requisitado de órgãos")+COUNTIF([1]SPE!$G$3:$G$35,"requisitado militar")</f>
        <v>6</v>
      </c>
      <c r="E12" s="91">
        <f>COUNTIF([1]SPE!$G$3:$G$35,"requisitado de empresa")</f>
        <v>0</v>
      </c>
      <c r="F12" s="91">
        <f>COUNTIF([1]SPE!$G$3:$G$35,"Sem Vínculo")</f>
        <v>11</v>
      </c>
      <c r="G12" s="91">
        <f>COUNTIF([1]SPE!$G$3:$G$35,"EXERCÍCIO DESCENTRALIZADO")</f>
        <v>9</v>
      </c>
      <c r="H12" s="91">
        <f>COUNTIF([1]SPE!$G$3:$G$35,"anistiado mme")</f>
        <v>0</v>
      </c>
      <c r="I12" s="91">
        <f>COUNTIF([1]SPE!$G$3:$G$35,"-")</f>
        <v>1</v>
      </c>
      <c r="J12" s="91">
        <f>COUNTIF([1]SPE!$M$3:$M$35,"FA")</f>
        <v>29</v>
      </c>
      <c r="K12" s="91">
        <f>COUNTIF([1]SPE!$M$3:$M$35,"DIR")</f>
        <v>0</v>
      </c>
      <c r="L12" s="91">
        <f>COUNTIF([1]SPE!$M$3:$M$35,"-")</f>
        <v>1</v>
      </c>
      <c r="N12" s="82" t="s">
        <v>33</v>
      </c>
      <c r="O12" s="145">
        <v>30</v>
      </c>
      <c r="P12" s="149">
        <v>15</v>
      </c>
      <c r="Q12" s="145">
        <f t="shared" si="0"/>
        <v>15</v>
      </c>
      <c r="R12" s="150">
        <f>COUNTIFS([1]SPE!$D$3:$D$35,"GER",[1]SPE!$G$3:$G$35,"ATIVO PERMANENTE")+COUNTIFS([1]SPE!$D$3:$D$35,"GER",[1]SPE!$G$3:$G$35,"ANISTIADO mme")</f>
        <v>0</v>
      </c>
      <c r="S12" s="151">
        <f t="shared" si="1"/>
        <v>14</v>
      </c>
      <c r="T12" s="150">
        <f>COUNTIFS([1]SPE!$D$3:$D$35,"GER",[1]SPE!$G$3:$G$35,"-")</f>
        <v>1</v>
      </c>
      <c r="V12" s="82" t="s">
        <v>33</v>
      </c>
      <c r="W12" s="153">
        <f>COUNTIF([1]SPE!$F$3:$F$35,"M")</f>
        <v>16</v>
      </c>
      <c r="X12" s="153">
        <f>COUNTIF([1]SPE!$F$3:$F$35,"F")</f>
        <v>13</v>
      </c>
      <c r="Y12" s="153">
        <f>COUNTIF([1]SPE!$F$3:$F$35,"-")</f>
        <v>1</v>
      </c>
      <c r="Z12" s="91">
        <f>COUNTIFS([1]SPE!$D$3:$D$35,"GER",[1]SPE!$F$3:$F$35,"M")</f>
        <v>12</v>
      </c>
      <c r="AA12" s="91">
        <f>COUNTIFS([1]SPE!$D$3:$D$35,"GER",[1]SPE!$F$3:$F$35,"F")</f>
        <v>2</v>
      </c>
      <c r="AB12" s="91">
        <f>COUNTIFS([1]SPE!$D$3:$D$35,"GER",[1]SPE!$F$3:$F$35,"-")</f>
        <v>1</v>
      </c>
    </row>
    <row r="13" spans="1:28" x14ac:dyDescent="0.25">
      <c r="A13" s="82" t="s">
        <v>34</v>
      </c>
      <c r="B13" s="145">
        <v>32</v>
      </c>
      <c r="C13" s="91">
        <f>COUNTIF([1]SEE!$G$3:$G$39,"ATIVO PERMANENTE")</f>
        <v>0</v>
      </c>
      <c r="D13" s="91">
        <f>COUNTIF([1]SEE!$G$3:$G$39,"requisitado de órgãos")+COUNTIF([1]SEE!$G$3:$G$39,"requisitado de militar")</f>
        <v>2</v>
      </c>
      <c r="E13" s="91">
        <f>COUNTIF([1]SEE!$G$3:$G$39,"requisitado de empresa")</f>
        <v>4</v>
      </c>
      <c r="F13" s="91">
        <f>COUNTIF([1]SEE!$G$3:$G$39,"Sem Vínculo")</f>
        <v>12</v>
      </c>
      <c r="G13" s="91">
        <f>COUNTIF([1]SEE!$G$3:$G$39,"EXERCÍCIO DESCENTRALIZADO")</f>
        <v>12</v>
      </c>
      <c r="H13" s="91">
        <f>COUNTIF([1]SEE!$G$3:$G$39,"anistiado mme")</f>
        <v>1</v>
      </c>
      <c r="I13" s="91">
        <f>COUNTIF([1]SEE!$G$3:$G$39,"-")</f>
        <v>1</v>
      </c>
      <c r="J13" s="91">
        <f>COUNTIF([1]SEE!$M$3:$M$39,"FA")</f>
        <v>31</v>
      </c>
      <c r="K13" s="91">
        <f>COUNTIF([1]SEE!$M$3:$M$39,"DIR")</f>
        <v>0</v>
      </c>
      <c r="L13" s="91">
        <f>COUNTIF([1]SEE!$M$3:$M$39,"-")</f>
        <v>1</v>
      </c>
      <c r="N13" s="82" t="s">
        <v>34</v>
      </c>
      <c r="O13" s="145">
        <v>32</v>
      </c>
      <c r="P13" s="149">
        <v>16</v>
      </c>
      <c r="Q13" s="145">
        <f t="shared" si="0"/>
        <v>16</v>
      </c>
      <c r="R13" s="150">
        <f>COUNTIFS([1]SEE!$D$3:$D$39,"GER",[1]SEE!$G$3:$G$39,"ATIVO PERMANENTE")+COUNTIFS([1]SEE!$D$3:$D$39,"GER",[1]SEE!$G$3:$G$39,"ANISTIADO mme")</f>
        <v>0</v>
      </c>
      <c r="S13" s="151">
        <f t="shared" si="1"/>
        <v>16</v>
      </c>
      <c r="T13" s="150">
        <f>COUNTIFS([1]SEE!$D$3:$D$39,"GER",[1]SEE!$G$3:$G$39,"-")</f>
        <v>0</v>
      </c>
      <c r="V13" s="82" t="s">
        <v>34</v>
      </c>
      <c r="W13" s="153">
        <f>COUNTIF([1]SEE!$F$3:$F$39,"M")</f>
        <v>19</v>
      </c>
      <c r="X13" s="153">
        <f>COUNTIF([1]SEE!$F$3:$F$39,"F")</f>
        <v>12</v>
      </c>
      <c r="Y13" s="153">
        <f>COUNTIF([1]SEE!$F$3:$F$39,"-")</f>
        <v>1</v>
      </c>
      <c r="Z13" s="91">
        <f>COUNTIFS([1]SEE!$D$3:$D$39,"GER",[1]SEE!$F$3:$F$39,"M")</f>
        <v>13</v>
      </c>
      <c r="AA13" s="91">
        <f>COUNTIFS([1]SEE!$D$3:$D$39,"GER",[1]SEE!$F$3:$F$39,"F")</f>
        <v>3</v>
      </c>
      <c r="AB13" s="91">
        <f>COUNTIFS([1]SEE!$D$3:$D$39,"GER",[1]SEE!$F$3:$F$39,"-")</f>
        <v>0</v>
      </c>
    </row>
    <row r="14" spans="1:28" x14ac:dyDescent="0.25">
      <c r="A14" s="82" t="s">
        <v>35</v>
      </c>
      <c r="B14" s="145">
        <v>26</v>
      </c>
      <c r="C14" s="91">
        <f>COUNTIF([1]SPG!$G$3:$G$29,"ATIVO PERMANENTE")</f>
        <v>0</v>
      </c>
      <c r="D14" s="91">
        <f>COUNTIF([1]SPG!$G$3:$G$29,"requisitado de órgãos")+COUNTIF([1]SPG!$G$3:$G$29,"requisitado de militar")</f>
        <v>9</v>
      </c>
      <c r="E14" s="91">
        <f>COUNTIF([1]SPG!$G$3:$G$29,"requisitado de empresa")</f>
        <v>0</v>
      </c>
      <c r="F14" s="91">
        <f>COUNTIF([1]SPG!$G$3:$G$29,"Sem Vínculo")</f>
        <v>4</v>
      </c>
      <c r="G14" s="91">
        <f>COUNTIF([1]SPG!$G$3:$G$29,"EXERCÍCIO DESCENTRALIZADO")</f>
        <v>11</v>
      </c>
      <c r="H14" s="91">
        <f>COUNTIF([1]SPG!$G$3:$G$29,"anistiado mme")</f>
        <v>0</v>
      </c>
      <c r="I14" s="91">
        <f>COUNTIF([1]SPG!$G$3:$G$29,"-")</f>
        <v>2</v>
      </c>
      <c r="J14" s="91">
        <f>COUNTIF([1]SPG!$M$3:$M$29,"FA")</f>
        <v>24</v>
      </c>
      <c r="K14" s="91">
        <f>COUNTIF([1]SPG!$M$3:$M$29,"DIR")</f>
        <v>0</v>
      </c>
      <c r="L14" s="91">
        <f>COUNTIF([1]SPG!$M$3:$M$29,"-")</f>
        <v>2</v>
      </c>
      <c r="N14" s="82" t="s">
        <v>35</v>
      </c>
      <c r="O14" s="145">
        <v>26</v>
      </c>
      <c r="P14" s="149">
        <v>16</v>
      </c>
      <c r="Q14" s="145">
        <f t="shared" si="0"/>
        <v>10</v>
      </c>
      <c r="R14" s="150">
        <f>COUNTIFS([1]SPG!$D$3:$D$29,"GER",[1]SPG!$G$3:$G$29,"ATIVO PERMANENTE")+COUNTIFS([1]SPG!$D$3:$D$29,"GER",[1]SPG!$G$3:$G$29,"ANISTIADO mme")</f>
        <v>0</v>
      </c>
      <c r="S14" s="151">
        <f t="shared" si="1"/>
        <v>15</v>
      </c>
      <c r="T14" s="150">
        <f>COUNTIFS([1]SPG!$D$3:$D$29,"GER",[1]SPG!$G$3:$G$29,"-")</f>
        <v>1</v>
      </c>
      <c r="V14" s="82" t="s">
        <v>35</v>
      </c>
      <c r="W14" s="153">
        <f>COUNTIF([1]SPG!$F$3:$F$29,"M")</f>
        <v>17</v>
      </c>
      <c r="X14" s="153">
        <f>COUNTIF([1]SPG!$F$3:$F$29,"F")</f>
        <v>7</v>
      </c>
      <c r="Y14" s="153">
        <f>COUNTIF([1]SPG!$F$3:$F$29,"-")</f>
        <v>2</v>
      </c>
      <c r="Z14" s="91">
        <f>COUNTIFS([1]SPG!$D$3:$D$29,"GER",[1]SPG!$F$3:$F$29,"M")</f>
        <v>11</v>
      </c>
      <c r="AA14" s="91">
        <f>COUNTIFS([1]SPG!$D$3:$D$29,"GER",[1]SPG!$F$3:$F$29,"F")</f>
        <v>4</v>
      </c>
      <c r="AB14" s="91">
        <f>COUNTIFS([1]SPG!$D$3:$D$29,"GER",[1]SPG!$F$3:$F$29,"-")</f>
        <v>1</v>
      </c>
    </row>
    <row r="15" spans="1:28" x14ac:dyDescent="0.25">
      <c r="A15" s="82" t="s">
        <v>36</v>
      </c>
      <c r="B15" s="145">
        <v>30</v>
      </c>
      <c r="C15" s="91">
        <f>COUNTIF([1]SGM!$G$3:$G$33,"ATIVO PERMANENTE")</f>
        <v>3</v>
      </c>
      <c r="D15" s="91">
        <f>COUNTIF([1]SGM!$G$3:$G$33,"requisitado de órgãos")+COUNTIF([1]SGM!$G$3:$G$33,"requisitado militar")</f>
        <v>4</v>
      </c>
      <c r="E15" s="91">
        <f>COUNTIF([1]SGM!$G$3:$G$33,"requisitado de empresa")</f>
        <v>0</v>
      </c>
      <c r="F15" s="91">
        <f>COUNTIF([1]SGM!$G$3:$G$33,"Sem Vínculo")</f>
        <v>18</v>
      </c>
      <c r="G15" s="91">
        <f>COUNTIF([1]SGM!$G$3:$G$33,"EXERCÍCIO DESCENTRALIZADO")</f>
        <v>5</v>
      </c>
      <c r="H15" s="91">
        <f>COUNTIF([1]SGM!$G$3:$G$33,"anistiado mme")</f>
        <v>0</v>
      </c>
      <c r="I15" s="91">
        <f>COUNTIF([1]SGM!$G$3:$G$33,"-")</f>
        <v>0</v>
      </c>
      <c r="J15" s="91">
        <f>COUNTIF([1]SGM!$M$3:$M$33,"FA")</f>
        <v>30</v>
      </c>
      <c r="K15" s="91">
        <f>COUNTIF([1]SGM!$M$3:$M$33,"DIR")</f>
        <v>0</v>
      </c>
      <c r="L15" s="91">
        <f>COUNTIF([1]SGM!$M$3:$M$33,"-")</f>
        <v>0</v>
      </c>
      <c r="N15" s="82" t="s">
        <v>36</v>
      </c>
      <c r="O15" s="145">
        <v>30</v>
      </c>
      <c r="P15" s="149">
        <v>14</v>
      </c>
      <c r="Q15" s="145">
        <f t="shared" si="0"/>
        <v>16</v>
      </c>
      <c r="R15" s="150">
        <f>COUNTIFS([1]SGM!$D$3:$D$33,"GER",[1]SGM!$G$3:$G$33,"ATIVO PERMANENTE")+COUNTIFS([1]SGM!$D$3:$D$33,"GER",[1]SGM!$G$3:$G$33,"ANISTIADO")</f>
        <v>0</v>
      </c>
      <c r="S15" s="151">
        <f t="shared" si="1"/>
        <v>14</v>
      </c>
      <c r="T15" s="150">
        <f>COUNTIFS([1]SGM!$D$3:$D$33,"GER",[1]SGM!$G$3:$G$33,"-")</f>
        <v>0</v>
      </c>
      <c r="V15" s="82" t="s">
        <v>36</v>
      </c>
      <c r="W15" s="153">
        <f>COUNTIF([1]SGM!$F$3:$F$33,"M")</f>
        <v>14</v>
      </c>
      <c r="X15" s="153">
        <f>COUNTIF([1]SGM!$F$3:$F$33,"F")</f>
        <v>16</v>
      </c>
      <c r="Y15" s="153">
        <f>COUNTIF([1]SGM!$F$3:$F$33,"-")</f>
        <v>0</v>
      </c>
      <c r="Z15" s="145">
        <f>COUNTIFS([1]SGM!$D$3:$D$33,"GER",[1]SGM!$F$3:$F$33,"M")</f>
        <v>9</v>
      </c>
      <c r="AA15" s="145">
        <f>COUNTIFS([1]SGM!$D$3:$D$33,"GER",[1]SGM!$F$3:$F$33,"F")</f>
        <v>5</v>
      </c>
      <c r="AB15" s="145">
        <f>COUNTIFS([1]SGM!$D$3:$D$33,"GER",[1]SGM!$F$3:$F$33,"-")</f>
        <v>0</v>
      </c>
    </row>
    <row r="16" spans="1:28" x14ac:dyDescent="0.25">
      <c r="A16" s="82" t="s">
        <v>37</v>
      </c>
      <c r="B16" s="145">
        <v>4</v>
      </c>
      <c r="C16" s="91">
        <f>COUNTIF([1]TEMPORÁRIO!$G$3:$G$6,"ATIVO PERMANENTE")</f>
        <v>0</v>
      </c>
      <c r="D16" s="91">
        <f>COUNTIF([1]TEMPORÁRIO!$G$3:$G$6,"requisitado de órgãos")+COUNTIF([1]TEMPORÁRIO!$G$3:$G$6,"requisitado militar")</f>
        <v>4</v>
      </c>
      <c r="E16" s="91">
        <f>COUNTIF([1]TEMPORÁRIO!$G$3:$G$6,"requisitado de empresa")</f>
        <v>0</v>
      </c>
      <c r="F16" s="91">
        <f>COUNTIF([1]TEMPORÁRIO!$G$3:$G$6,"Sem Vínculo")</f>
        <v>0</v>
      </c>
      <c r="G16" s="91">
        <f>COUNTIF([1]TEMPORÁRIO!$G$3:$G$6,"EXERCÍCIO DESCENTRALIZADO")</f>
        <v>0</v>
      </c>
      <c r="H16" s="91">
        <f>COUNTIF([1]TEMPORÁRIO!$G$3:$G$6,"anistiado mme")</f>
        <v>0</v>
      </c>
      <c r="I16" s="91">
        <f>COUNTIF([1]TEMPORÁRIO!$G$3:$G$6,"-")</f>
        <v>0</v>
      </c>
      <c r="J16" s="91">
        <f>COUNTIF([1]TEMPORÁRIO!$M$3:$M$6,"FA")</f>
        <v>4</v>
      </c>
      <c r="K16" s="91">
        <f>COUNTIF([1]TEMPORÁRIO!$M$3:$M$6,"DIR")</f>
        <v>0</v>
      </c>
      <c r="L16" s="91">
        <f>COUNTIF([1]TEMPORÁRIO!$M$3:$M$6,"-")</f>
        <v>0</v>
      </c>
      <c r="N16" s="82" t="s">
        <v>37</v>
      </c>
      <c r="O16" s="145">
        <v>4</v>
      </c>
      <c r="P16" s="149">
        <v>1</v>
      </c>
      <c r="Q16" s="145">
        <f t="shared" si="0"/>
        <v>3</v>
      </c>
      <c r="R16" s="150">
        <f>COUNTIFS([1]TEMPORÁRIO!$D$3:$D$6,"GER",[1]TEMPORÁRIO!$G$3:$G$6,"ATIVO PERMANENTE")+COUNTIFS([1]TEMPORÁRIO!$D$3:$D$6,"GER",[1]TEMPORÁRIO!$G$3:$G$6,"ANISTIADO")</f>
        <v>0</v>
      </c>
      <c r="S16" s="151">
        <f t="shared" si="1"/>
        <v>1</v>
      </c>
      <c r="T16" s="150">
        <f>COUNTIFS([1]TEMPORÁRIO!$D$3:$D$6,"GER",[1]TEMPORÁRIO!$G$3:$G$6,"-")</f>
        <v>0</v>
      </c>
      <c r="V16" s="82" t="s">
        <v>37</v>
      </c>
      <c r="W16" s="153">
        <f>COUNTIF([1]TEMPORÁRIO!$F$3:$F$6,"M")</f>
        <v>3</v>
      </c>
      <c r="X16" s="153">
        <f>COUNTIF([1]TEMPORÁRIO!$F$3:$F$6,"F")</f>
        <v>1</v>
      </c>
      <c r="Y16" s="153">
        <f>COUNTIF([1]TEMPORÁRIO!$F$3:$F$6,"-")</f>
        <v>0</v>
      </c>
      <c r="Z16" s="145">
        <f>COUNTIFS([1]TEMPORÁRIO!$D$3:$D$6,"GER",[1]TEMPORÁRIO!$F$3:$F$6,"M")</f>
        <v>1</v>
      </c>
      <c r="AA16" s="145">
        <f>COUNTIFS([1]TEMPORÁRIO!$D$3:$D$6,"GER",[1]TEMPORÁRIO!$F$3:$F$6,"F")</f>
        <v>0</v>
      </c>
      <c r="AB16" s="145">
        <f>COUNTIFS([1]TEMPORÁRIO!$D$3:$D$6,"GER",[1]TEMPORÁRIO!$F$3:$F$6,"-")</f>
        <v>0</v>
      </c>
    </row>
    <row r="17" spans="1:28" x14ac:dyDescent="0.25">
      <c r="A17" s="86" t="s">
        <v>10</v>
      </c>
      <c r="B17" s="88">
        <f>SUM(B5:B16)</f>
        <v>298</v>
      </c>
      <c r="C17" s="88">
        <f>SUM(C5:C16)</f>
        <v>40</v>
      </c>
      <c r="D17" s="88">
        <f>SUM(D5:D16)</f>
        <v>55</v>
      </c>
      <c r="E17" s="88">
        <f>SUM(E5:E16)</f>
        <v>5</v>
      </c>
      <c r="F17" s="88">
        <f>SUM(F5:F16)</f>
        <v>120</v>
      </c>
      <c r="G17" s="88">
        <f t="shared" ref="G17" si="2">SUM(G5:G15)</f>
        <v>55</v>
      </c>
      <c r="H17" s="88">
        <f>SUM(H5:H16)</f>
        <v>11</v>
      </c>
      <c r="I17" s="88">
        <f>SUM(I5:I16)</f>
        <v>12</v>
      </c>
      <c r="J17" s="88">
        <f>SUM(J5:J16)</f>
        <v>279</v>
      </c>
      <c r="K17" s="88">
        <f>SUM(K5:K16)</f>
        <v>7</v>
      </c>
      <c r="L17" s="88">
        <f>SUM(L5:L16)</f>
        <v>12</v>
      </c>
      <c r="N17" s="86" t="s">
        <v>10</v>
      </c>
      <c r="O17" s="88">
        <f t="shared" ref="O17:T17" si="3">SUM(O5:O16)</f>
        <v>298</v>
      </c>
      <c r="P17" s="88">
        <f t="shared" si="3"/>
        <v>130</v>
      </c>
      <c r="Q17" s="88">
        <f t="shared" si="3"/>
        <v>168</v>
      </c>
      <c r="R17" s="88">
        <f t="shared" si="3"/>
        <v>17</v>
      </c>
      <c r="S17" s="152">
        <f t="shared" si="3"/>
        <v>108</v>
      </c>
      <c r="T17" s="88">
        <f t="shared" si="3"/>
        <v>5</v>
      </c>
      <c r="V17" s="86" t="s">
        <v>10</v>
      </c>
      <c r="W17" s="88">
        <f t="shared" ref="W17:AB17" si="4">SUM(W5:W16)</f>
        <v>157</v>
      </c>
      <c r="X17" s="88">
        <f t="shared" si="4"/>
        <v>129</v>
      </c>
      <c r="Y17" s="88">
        <f t="shared" si="4"/>
        <v>12</v>
      </c>
      <c r="Z17" s="88">
        <f t="shared" si="4"/>
        <v>82</v>
      </c>
      <c r="AA17" s="152">
        <f t="shared" si="4"/>
        <v>43</v>
      </c>
      <c r="AB17" s="88">
        <f t="shared" si="4"/>
        <v>5</v>
      </c>
    </row>
    <row r="18" spans="1:28" x14ac:dyDescent="0.25">
      <c r="C18" s="572">
        <f>SUM(C17:I17)</f>
        <v>298</v>
      </c>
      <c r="D18" s="573"/>
      <c r="E18" s="573"/>
      <c r="F18" s="573"/>
      <c r="G18" s="573"/>
      <c r="H18" s="573"/>
      <c r="I18" s="574"/>
      <c r="J18" s="575">
        <f>SUM(J17:L17)</f>
        <v>298</v>
      </c>
      <c r="K18" s="575"/>
      <c r="L18" s="575"/>
      <c r="P18" s="572">
        <f>SUM(P17:Q17)</f>
        <v>298</v>
      </c>
      <c r="Q18" s="574"/>
      <c r="R18" s="575">
        <f>SUM(R17:T17)</f>
        <v>130</v>
      </c>
      <c r="S18" s="585"/>
      <c r="T18" s="585"/>
      <c r="W18" s="572">
        <f>SUM(W17:Y17)</f>
        <v>298</v>
      </c>
      <c r="X18" s="573"/>
      <c r="Y18" s="574"/>
      <c r="Z18" s="575">
        <f>SUM(Z17:AB17)</f>
        <v>130</v>
      </c>
      <c r="AA18" s="585"/>
      <c r="AB18" s="585"/>
    </row>
    <row r="19" spans="1:28" x14ac:dyDescent="0.25"/>
    <row r="20" spans="1:28" x14ac:dyDescent="0.25"/>
    <row r="21" spans="1:28" x14ac:dyDescent="0.25">
      <c r="A21" s="521" t="s">
        <v>16</v>
      </c>
      <c r="B21" s="586" t="s">
        <v>48</v>
      </c>
      <c r="C21" s="521" t="s">
        <v>49</v>
      </c>
      <c r="D21" s="521"/>
      <c r="E21" s="521"/>
      <c r="F21" s="521"/>
      <c r="G21" s="521"/>
      <c r="H21" s="521"/>
      <c r="J21" s="521" t="s">
        <v>16</v>
      </c>
      <c r="K21" s="589" t="s">
        <v>56</v>
      </c>
      <c r="L21" s="568" t="s">
        <v>57</v>
      </c>
      <c r="M21" s="568"/>
      <c r="N21" s="568"/>
      <c r="O21" s="568"/>
      <c r="P21" s="568"/>
      <c r="Q21" s="568"/>
      <c r="S21" s="500" t="s">
        <v>16</v>
      </c>
      <c r="T21" s="569" t="s">
        <v>43</v>
      </c>
      <c r="U21" s="570"/>
      <c r="V21" s="571"/>
      <c r="W21" s="569" t="s">
        <v>44</v>
      </c>
      <c r="X21" s="570"/>
      <c r="Y21" s="571"/>
    </row>
    <row r="22" spans="1:28" ht="36" x14ac:dyDescent="0.25">
      <c r="A22" s="521"/>
      <c r="B22" s="586"/>
      <c r="C22" s="160" t="s">
        <v>50</v>
      </c>
      <c r="D22" s="160" t="s">
        <v>51</v>
      </c>
      <c r="E22" s="160" t="s">
        <v>52</v>
      </c>
      <c r="F22" s="160" t="s">
        <v>53</v>
      </c>
      <c r="G22" s="160" t="s">
        <v>54</v>
      </c>
      <c r="H22" s="161" t="s">
        <v>55</v>
      </c>
      <c r="J22" s="521"/>
      <c r="K22" s="589"/>
      <c r="L22" s="160" t="s">
        <v>50</v>
      </c>
      <c r="M22" s="160" t="s">
        <v>51</v>
      </c>
      <c r="N22" s="160" t="s">
        <v>52</v>
      </c>
      <c r="O22" s="160" t="s">
        <v>53</v>
      </c>
      <c r="P22" s="160" t="s">
        <v>54</v>
      </c>
      <c r="Q22" s="161" t="s">
        <v>55</v>
      </c>
      <c r="S22" s="501"/>
      <c r="T22" s="89" t="s">
        <v>45</v>
      </c>
      <c r="U22" s="89" t="s">
        <v>46</v>
      </c>
      <c r="V22" s="89" t="s">
        <v>47</v>
      </c>
      <c r="W22" s="89" t="s">
        <v>45</v>
      </c>
      <c r="X22" s="154" t="s">
        <v>46</v>
      </c>
      <c r="Y22" s="54" t="s">
        <v>47</v>
      </c>
    </row>
    <row r="23" spans="1:28" x14ac:dyDescent="0.25">
      <c r="A23" s="155" t="s">
        <v>26</v>
      </c>
      <c r="B23" s="145">
        <v>51</v>
      </c>
      <c r="C23" s="91">
        <f>COUNTIF([1]GM!$O$3:$O$53,"BRANCA")</f>
        <v>23</v>
      </c>
      <c r="D23" s="91">
        <f>COUNTIF([1]GM!$O$3:$O$53,"AMARELA")</f>
        <v>0</v>
      </c>
      <c r="E23" s="91">
        <f>COUNTIF([1]GM!$O$3:$O$53,"PARDA")</f>
        <v>21</v>
      </c>
      <c r="F23" s="91">
        <f>COUNTIF([1]GM!$O$3:$O$53,"INDIGINA")</f>
        <v>0</v>
      </c>
      <c r="G23" s="91">
        <f>COUNTIF([1]GM!$O$3:$O$53,"PRETA")</f>
        <v>2</v>
      </c>
      <c r="H23" s="91">
        <f>COUNTIF([1]GM!$O$3:$O$53,"-")+COUNTIF([1]GM!$O$3:$O$53,"não informado")</f>
        <v>5</v>
      </c>
      <c r="J23" s="155" t="s">
        <v>26</v>
      </c>
      <c r="K23" s="149">
        <v>9</v>
      </c>
      <c r="L23" s="91">
        <f>COUNTIFS([1]GM!$D$3:$D$53,"GER",[1]GM!$O$3:$O$53,"BRANCA")</f>
        <v>6</v>
      </c>
      <c r="M23" s="91">
        <f>COUNTIFS([1]GM!$D$3:$D$53,"GER",[1]GM!$O$3:$O$53,"AMARELA")</f>
        <v>0</v>
      </c>
      <c r="N23" s="91">
        <f>COUNTIFS([1]GM!$D$3:$D$53,"GER",[1]GM!$O$3:$O$53,"PARDA")</f>
        <v>2</v>
      </c>
      <c r="O23" s="91">
        <f>COUNTIFS([1]GM!$D$3:$D$53,"GER",[1]GM!$O$3:$O$53,"INDIGINA")</f>
        <v>0</v>
      </c>
      <c r="P23" s="91">
        <f>COUNTIFS([1]GM!$D$3:$D$53,"GER",[1]GM!$O$3:$O$53,"PRETA")</f>
        <v>0</v>
      </c>
      <c r="Q23" s="91">
        <f>COUNTIFS([1]GM!$D$3:$D$53,"GER",[1]GM!$O$3:$O$53,"-")+COUNTIFS([1]GM!$D$3:$D$53,"GER",[1]GM!$O$3:$O$53,"não informado")</f>
        <v>1</v>
      </c>
      <c r="S23" s="82" t="s">
        <v>26</v>
      </c>
      <c r="T23" s="153">
        <f>COUNTIF([1]GM!$F$3:$F$53,"M")</f>
        <v>26</v>
      </c>
      <c r="U23" s="153">
        <f>COUNTIF([1]GM!$F$3:$F$53,"F")</f>
        <v>20</v>
      </c>
      <c r="V23" s="153">
        <f>COUNTIF([1]GM!$F$3:$F$53,"-")</f>
        <v>5</v>
      </c>
      <c r="W23" s="91">
        <f>COUNTIFS([1]GM!$D$3:$D$53,"GER",[1]GM!$F$3:$F$53,"M")</f>
        <v>4</v>
      </c>
      <c r="X23" s="91">
        <f>COUNTIFS([1]GM!$D$3:$D$53,"GER",[1]GM!$F$3:$F$53,"F")</f>
        <v>4</v>
      </c>
      <c r="Y23" s="91">
        <f>COUNTIFS([1]GM!$D$3:$D$53,"GER",[1]GM!$F$3:$F$53,"-")</f>
        <v>1</v>
      </c>
    </row>
    <row r="24" spans="1:28" x14ac:dyDescent="0.25">
      <c r="A24" s="82" t="s">
        <v>27</v>
      </c>
      <c r="B24" s="145">
        <v>91</v>
      </c>
      <c r="C24" s="91">
        <f>COUNTIF([1]SE!$O$3:$O$98,"BRANCA")</f>
        <v>60</v>
      </c>
      <c r="D24" s="91">
        <f>COUNTIF([1]SE!$O$3:$O$98,"AMARELA")</f>
        <v>3</v>
      </c>
      <c r="E24" s="91">
        <f>COUNTIF([1]SE!$O$3:$O$98,"PARDA")</f>
        <v>23</v>
      </c>
      <c r="F24" s="91">
        <f>COUNTIF([1]SE!$O$3:$O$98,"INDIGENA")</f>
        <v>0</v>
      </c>
      <c r="G24" s="91">
        <f>COUNTIF([1]SE!$O$3:$O$98,"PRETA")</f>
        <v>2</v>
      </c>
      <c r="H24" s="91">
        <f>COUNTIF([1]SE!$O$3:$O$98,"-")+COUNTIF([1]SE!$O$3:$O$98,"não informado")</f>
        <v>3</v>
      </c>
      <c r="J24" s="82" t="s">
        <v>27</v>
      </c>
      <c r="K24" s="149">
        <v>50</v>
      </c>
      <c r="L24" s="91">
        <f>COUNTIFS([1]SE!$D$3:$D$98,"GER",[1]SE!$O$3:$O$98,"BRANCA")</f>
        <v>31</v>
      </c>
      <c r="M24" s="91">
        <f>COUNTIFS([1]SE!$D$3:$D$98,"GER",[1]SE!$O$3:$O$98,"AMARELA")</f>
        <v>2</v>
      </c>
      <c r="N24" s="91">
        <f>COUNTIFS([1]SE!$D$3:$D$98,"GER",[1]SE!$O$3:$O$98,"PARDA")</f>
        <v>14</v>
      </c>
      <c r="O24" s="91">
        <f>COUNTIFS([1]SE!$D$3:$D$98,"GER",[1]SE!$O$3:$O$98,"INDIGINA")</f>
        <v>0</v>
      </c>
      <c r="P24" s="91">
        <f>COUNTIFS([1]SE!$D$3:$D$98,"GER",[1]SE!$O$3:$O$98,"PRETA")</f>
        <v>1</v>
      </c>
      <c r="Q24" s="91">
        <f>COUNTIFS([1]SE!$D$3:$D$98,"GER",[1]SE!$O$3:$O$98,"-")+COUNTIFS([1]SE!$D$3:$D$98,"GER",[1]SE!$O$3:$O$98,"não informado")</f>
        <v>2</v>
      </c>
      <c r="S24" s="82" t="s">
        <v>27</v>
      </c>
      <c r="T24" s="153">
        <f>COUNTIF([1]SE!$F$3:$F$98,"M")</f>
        <v>45</v>
      </c>
      <c r="U24" s="153">
        <f>COUNTIF([1]SE!$F$3:$F$98,"F")</f>
        <v>43</v>
      </c>
      <c r="V24" s="153">
        <f>COUNTIF([1]SE!$F$3:$F$98,"-")</f>
        <v>3</v>
      </c>
      <c r="W24" s="91">
        <f>COUNTIFS([1]SE!$D$3:$D$98,"GER",[1]SE!$F$3:$F$98,"M")</f>
        <v>25</v>
      </c>
      <c r="X24" s="91">
        <f>COUNTIFS([1]SE!$D$3:$D$98,"GER",[1]SE!$F$3:$F$98,"F")</f>
        <v>23</v>
      </c>
      <c r="Y24" s="91">
        <f>COUNTIFS([1]SE!$D$3:$D$98,"GER",[1]SE!$F$3:$F$98,"-")</f>
        <v>2</v>
      </c>
    </row>
    <row r="25" spans="1:28" x14ac:dyDescent="0.25">
      <c r="A25" s="82" t="s">
        <v>28</v>
      </c>
      <c r="B25" s="145">
        <v>14</v>
      </c>
      <c r="C25" s="91">
        <f>COUNTIF([1]CONJUR!$O$3:$O$16,"BRANCA")</f>
        <v>10</v>
      </c>
      <c r="D25" s="91">
        <f>COUNTIF([1]CONJUR!$O$3:$O$16,"AMARELA")</f>
        <v>0</v>
      </c>
      <c r="E25" s="91">
        <f>COUNTIF([1]CONJUR!$O$3:$O$16,"PARDA")</f>
        <v>4</v>
      </c>
      <c r="F25" s="91">
        <f>COUNTIF([1]CONJUR!$O$3:$O$16,"INDIGINA")</f>
        <v>0</v>
      </c>
      <c r="G25" s="91">
        <f>COUNTIF([1]CONJUR!$O$3:$O$16,"PRETA")</f>
        <v>0</v>
      </c>
      <c r="H25" s="91">
        <f>COUNTIF([1]CONJUR!$O$3:$O$16,"-")+COUNTIF([1]CONJUR!$O$3:$O$16,"não informado")</f>
        <v>0</v>
      </c>
      <c r="J25" s="82" t="s">
        <v>28</v>
      </c>
      <c r="K25" s="149">
        <v>5</v>
      </c>
      <c r="L25" s="91">
        <f>COUNTIFS([1]CONJUR!$D$3:$D$16,"GER",[1]CONJUR!$O$3:$O$16,"BRANCA")</f>
        <v>4</v>
      </c>
      <c r="M25" s="91">
        <f>COUNTIFS([1]CONJUR!$D$3:$D$16,"GER",[1]CONJUR!$O$3:$O$16,"AMARELA")</f>
        <v>0</v>
      </c>
      <c r="N25" s="91">
        <f>COUNTIFS([1]CONJUR!$D$3:$D$16,"GER",[1]CONJUR!$O$3:$O$16,"PARDA")</f>
        <v>1</v>
      </c>
      <c r="O25" s="91">
        <f>COUNTIFS([1]CONJUR!$D$3:$D$16,"GER",[1]CONJUR!$O$3:$O$16,"INDIGINA")</f>
        <v>0</v>
      </c>
      <c r="P25" s="91">
        <f>COUNTIFS([1]CONJUR!$D$3:$D$16,"GER",[1]CONJUR!$O$3:$O$16,"PRETA")</f>
        <v>0</v>
      </c>
      <c r="Q25" s="91">
        <f>COUNTIFS([1]CONJUR!$D$3:$D$16,"GER",[1]CONJUR!$O$3:$O$16,"-")+COUNTIFS([1]CONJUR!$D$3:$D$16,"GER",[1]CONJUR!$O$3:$O$16,"não informado")</f>
        <v>0</v>
      </c>
      <c r="S25" s="82" t="s">
        <v>28</v>
      </c>
      <c r="T25" s="153">
        <f>COUNTIF([1]CONJUR!$F$3:$F$16,"M")</f>
        <v>6</v>
      </c>
      <c r="U25" s="153">
        <f>COUNTIF([1]CONJUR!$F$3:$F$16,"F")</f>
        <v>8</v>
      </c>
      <c r="V25" s="153">
        <f>COUNTIF([1]CONJUR!$F$3:$F$16,"-")</f>
        <v>0</v>
      </c>
      <c r="W25" s="91">
        <f>COUNTIFS([1]CONJUR!$D$3:$D$16,"GER",[1]CONJUR!$F$3:$F$16,"M")</f>
        <v>3</v>
      </c>
      <c r="X25" s="91">
        <f>COUNTIFS([1]CONJUR!$D$3:$D$16,"GER",[1]CONJUR!$F$3:$F$16,"F")</f>
        <v>2</v>
      </c>
      <c r="Y25" s="91">
        <f>COUNTIFS([1]CONJUR!$D$3:$D$16,"GER",[1]CONJUR!$F$3:$F$16,"-")</f>
        <v>0</v>
      </c>
    </row>
    <row r="26" spans="1:28" x14ac:dyDescent="0.25">
      <c r="A26" s="82" t="s">
        <v>29</v>
      </c>
      <c r="B26" s="145">
        <v>9</v>
      </c>
      <c r="C26" s="91">
        <f>COUNTIF([1]ASSEC!$O$3:$O$11,"BRANCA")</f>
        <v>5</v>
      </c>
      <c r="D26" s="91">
        <f>COUNTIF([1]ASSEC!$O$3:$O$11,"AMARELA")</f>
        <v>0</v>
      </c>
      <c r="E26" s="91">
        <f>COUNTIF([1]ASSEC!$O$3:$O$11,"PARDA")</f>
        <v>3</v>
      </c>
      <c r="F26" s="91">
        <f>COUNTIF([1]ASSEC!$O$3:$O$11,"INDIGINA")</f>
        <v>0</v>
      </c>
      <c r="G26" s="91">
        <f>COUNTIF([1]ASSEC!$O$3:$O$11,"PRETA")</f>
        <v>1</v>
      </c>
      <c r="H26" s="91">
        <f>COUNTIF([1]ASSEC!$O$3:$O$11,"-")+COUNTIF([1]ASSEC!$O$3:$O$11,"não informado")</f>
        <v>0</v>
      </c>
      <c r="J26" s="82" t="s">
        <v>29</v>
      </c>
      <c r="K26" s="149">
        <v>1</v>
      </c>
      <c r="L26" s="91">
        <f>COUNTIFS([1]ASSEC!$D$3:$D$11,"GER",[1]ASSEC!$O$3:$O$11,"BRANCA")</f>
        <v>1</v>
      </c>
      <c r="M26" s="91">
        <f>COUNTIFS([1]ASSEC!$D$3:$D$11,"GER",[1]ASSEC!$O$3:$O$11,"AMARELA")</f>
        <v>0</v>
      </c>
      <c r="N26" s="91">
        <f>COUNTIFS([1]ASSEC!$D$3:$D$11,"GER",[1]ASSEC!$O$3:$O$11,"PARDA")</f>
        <v>0</v>
      </c>
      <c r="O26" s="91">
        <f>COUNTIFS([1]ASSEC!$D$3:$D$11,"GER",[1]ASSEC!$O$3:$O$11,"INDIGINA")</f>
        <v>0</v>
      </c>
      <c r="P26" s="91">
        <f>COUNTIFS([1]ASSEC!$D$3:$D$11,"GER",[1]ASSEC!$O$3:$O$11,"PRETA")</f>
        <v>0</v>
      </c>
      <c r="Q26" s="91">
        <f>COUNTIFS([1]ASSEC!$D$3:$D$11,"GER",[1]ASSEC!$O$3:$O$11,"-")+COUNTIFS([1]ASSEC!$D$3:$D$11,"GER",[1]ASSEC!$O$3:$O$11,"não informado")</f>
        <v>0</v>
      </c>
      <c r="S26" s="82" t="s">
        <v>29</v>
      </c>
      <c r="T26" s="153">
        <f>COUNTIF([1]ASSEC!$F$3:$F$11,"M")</f>
        <v>3</v>
      </c>
      <c r="U26" s="153">
        <f>COUNTIF([1]ASSEC!$F$3:$F$11,"F")</f>
        <v>6</v>
      </c>
      <c r="V26" s="153">
        <f>COUNTIF([1]ASSEC!$F$3:$F$11,"-")</f>
        <v>0</v>
      </c>
      <c r="W26" s="91">
        <f>COUNTIFS([1]ASSEC!$D$3:$D$11,"GER",[1]ASSEC!$F$3:$F$11,"M")</f>
        <v>1</v>
      </c>
      <c r="X26" s="91">
        <f>COUNTIFS([1]ASSEC!$D$3:$D$11,"GER",[1]ASSEC!$F$3:$F$11,"F")</f>
        <v>0</v>
      </c>
      <c r="Y26" s="91">
        <f>COUNTIFS([1]ASSEC!$D$3:$D$11,"GER",[1]ASSEC!$F$3:$F$11,"-")</f>
        <v>0</v>
      </c>
    </row>
    <row r="27" spans="1:28" x14ac:dyDescent="0.25">
      <c r="A27" s="82" t="s">
        <v>30</v>
      </c>
      <c r="B27" s="145">
        <v>4</v>
      </c>
      <c r="C27" s="91">
        <f>COUNTIF([1]ASSINT!$O$3:$O$6,"BRANCA")</f>
        <v>3</v>
      </c>
      <c r="D27" s="91">
        <f>COUNTIF([1]ASSINT!$O$3:$O$6,"AMARELA")</f>
        <v>1</v>
      </c>
      <c r="E27" s="91">
        <f>COUNTIF([1]ASSINT!$O$3:$O$6,"PARDA")</f>
        <v>0</v>
      </c>
      <c r="F27" s="91">
        <f>COUNTIF([1]ASSINT!$O$3:$O$6,"INDIGINA")</f>
        <v>0</v>
      </c>
      <c r="G27" s="91">
        <f>COUNTIF([1]ASSINT!$O$3:$O$6,"PRETA")</f>
        <v>0</v>
      </c>
      <c r="H27" s="91">
        <f>COUNTIF([1]ASSINT!$O$3:$O$6,"-")+COUNTIF([1]ASSINT!$O$3:$O$6,"não informado")</f>
        <v>0</v>
      </c>
      <c r="J27" s="82" t="s">
        <v>30</v>
      </c>
      <c r="K27" s="149">
        <v>1</v>
      </c>
      <c r="L27" s="91">
        <f>COUNTIFS([1]ASSINT!$D$3:$D$6,"GER",[1]ASSINT!$O$3:$O$6,"BRANCA")</f>
        <v>1</v>
      </c>
      <c r="M27" s="91">
        <f>COUNTIFS([1]ASSINT!$D$3:$D$6,"GER",[1]ASSINT!$O$3:$O$6,"AMARELA")</f>
        <v>0</v>
      </c>
      <c r="N27" s="91">
        <f>COUNTIFS([1]ASSINT!$D$3:$D$6,"GER",[1]ASSINT!$O$3:$O$6,"PARDA")</f>
        <v>0</v>
      </c>
      <c r="O27" s="91">
        <f>COUNTIFS([1]ASSINT!$D$3:$D$6,"GER",[1]ASSINT!$O$3:$O$6,"INDIGINA")</f>
        <v>0</v>
      </c>
      <c r="P27" s="91">
        <f>COUNTIFS([1]ASSINT!$D$3:$D$6,"GER",[1]ASSINT!$O$3:$O$6,"PRETA")</f>
        <v>0</v>
      </c>
      <c r="Q27" s="91">
        <f>COUNTIFS([1]ASSINT!$D$3:$D$6,"GER",[1]ASSINT!$O$3:$O$6,"-")+COUNTIFS([1]ASSINT!$D$3:$D$6,"GER",[1]ASSINT!$O$3:$O$6,"não informado")</f>
        <v>0</v>
      </c>
      <c r="S27" s="82" t="s">
        <v>30</v>
      </c>
      <c r="T27" s="153">
        <f>COUNTIF([1]ASSINT!$F$3:$F$6,"M")</f>
        <v>3</v>
      </c>
      <c r="U27" s="153">
        <f>COUNTIF([1]ASSINT!$F$3:$F$6,"F")</f>
        <v>1</v>
      </c>
      <c r="V27" s="153">
        <f>COUNTIF([1]ASSINT!$F$3:$F$6,"-")</f>
        <v>0</v>
      </c>
      <c r="W27" s="91">
        <f>COUNTIFS([1]ASSINT!$D$3:$D$6,"GER",[1]ASSINT!$F$3:$F$6,"M")</f>
        <v>1</v>
      </c>
      <c r="X27" s="91">
        <f>COUNTIFS([1]ASSINT!$D$3:$D$6,"GER",[1]ASSINT!$F$3:$F$6,"F")</f>
        <v>0</v>
      </c>
      <c r="Y27" s="91">
        <f>COUNTIFS([1]ASSINT!$D$3:$D$6,"GER",[1]ASSINT!$F$3:$F$6,"-")</f>
        <v>0</v>
      </c>
    </row>
    <row r="28" spans="1:28" x14ac:dyDescent="0.25">
      <c r="A28" s="82" t="s">
        <v>31</v>
      </c>
      <c r="B28" s="145">
        <v>3</v>
      </c>
      <c r="C28" s="91">
        <f>COUNTIF([1]AECI!$O$3:$O$5,"BRANCA")</f>
        <v>1</v>
      </c>
      <c r="D28" s="91">
        <f>COUNTIF([1]AECI!$O$3:$O$5,"AMARELA")</f>
        <v>0</v>
      </c>
      <c r="E28" s="91">
        <f>COUNTIF([1]AECI!$O$3:$O$5,"PARDA")</f>
        <v>1</v>
      </c>
      <c r="F28" s="91">
        <f>COUNTIF([1]AECI!$O$3:$O$5,"INDIGINA")</f>
        <v>0</v>
      </c>
      <c r="G28" s="91">
        <f>COUNTIF([1]AECI!$O$3:$O$5,"PRETA")</f>
        <v>1</v>
      </c>
      <c r="H28" s="91">
        <f>COUNTIF([1]AECI!$O$3:$O$5,"-")+COUNTIF([1]AECI!$O$3:$O$5,"não informado")</f>
        <v>0</v>
      </c>
      <c r="J28" s="82" t="s">
        <v>31</v>
      </c>
      <c r="K28" s="149">
        <v>1</v>
      </c>
      <c r="L28" s="91">
        <f>COUNTIFS([1]AECI!$D$3:$D$5,"GER",[1]AECI!$O$3:$O$5,"BRANCA")</f>
        <v>1</v>
      </c>
      <c r="M28" s="91">
        <f>COUNTIFS([1]AECI!$D$3:$D$5,"GER",[1]AECI!$O$3:$O$5,"AMARELA")</f>
        <v>0</v>
      </c>
      <c r="N28" s="91">
        <f>COUNTIFS([1]AECI!$D$3:$D$5,"GER",[1]AECI!$O$3:$O$5,"PARDA")</f>
        <v>0</v>
      </c>
      <c r="O28" s="91">
        <f>COUNTIFS([1]AECI!$D$3:$D$5,"GER",[1]AECI!$O$3:$O$5,"INDIGINA")</f>
        <v>0</v>
      </c>
      <c r="P28" s="91">
        <f>COUNTIFS([1]AECI!$D$3:$D$5,"GER",[1]AECI!$O$3:$O$5,"PRETA")</f>
        <v>0</v>
      </c>
      <c r="Q28" s="91">
        <f>COUNTIFS([1]AECI!$D$3:$D$5,"GER",[1]AECI!$O$3:$O$5,"-")+COUNTIFS([1]AECI!$D$3:$D$5,"GER",[1]AECI!$O$3:$O$5,"não informado")</f>
        <v>0</v>
      </c>
      <c r="S28" s="82" t="s">
        <v>31</v>
      </c>
      <c r="T28" s="153">
        <f>COUNTIF([1]AECI!$F$3:$F$5,"M")</f>
        <v>1</v>
      </c>
      <c r="U28" s="153">
        <f>COUNTIF([1]AECI!$F$3:$F$5,"F")</f>
        <v>2</v>
      </c>
      <c r="V28" s="153">
        <f>COUNTIF([1]AECI!$F$3:$F$5,"-")</f>
        <v>0</v>
      </c>
      <c r="W28" s="91">
        <f>COUNTIFS([1]AECI!$D$3:$D$5,"GER",[1]AECI!$F$3:$F$5,"M")</f>
        <v>1</v>
      </c>
      <c r="X28" s="91">
        <f>COUNTIFS([1]AECI!$D$3:$D$5,"GER",[1]AECI!$F$3:$F$5,"F")</f>
        <v>0</v>
      </c>
      <c r="Y28" s="91">
        <f>COUNTIFS([1]AECI!$D$3:$D$5,"GER",[1]AECI!$F$3:$F$5,"-")</f>
        <v>0</v>
      </c>
    </row>
    <row r="29" spans="1:28" x14ac:dyDescent="0.25">
      <c r="A29" s="82" t="s">
        <v>32</v>
      </c>
      <c r="B29" s="145">
        <v>4</v>
      </c>
      <c r="C29" s="91">
        <f>COUNTIF([1]AEPED!$O$3:$O$6,"BRANCA")</f>
        <v>2</v>
      </c>
      <c r="D29" s="91">
        <f>COUNTIF([1]AEPED!$O$3:$O$6,"AMARELA")</f>
        <v>0</v>
      </c>
      <c r="E29" s="91">
        <f>COUNTIF([1]AEPED!$O$3:$O$6,"PARDA")</f>
        <v>2</v>
      </c>
      <c r="F29" s="91">
        <f>COUNTIF([1]AEPED!$O$3:$O$6,"INDIGINA")</f>
        <v>0</v>
      </c>
      <c r="G29" s="91">
        <f>COUNTIF([1]AEPED!$O$3:$O$6,"PRETA")</f>
        <v>0</v>
      </c>
      <c r="H29" s="91">
        <f>COUNTIF([1]AEPED!$O$3:$O$6,"-")+COUNTIF([1]AEPED!$O$3:$O$6,"não informado")</f>
        <v>0</v>
      </c>
      <c r="J29" s="82" t="s">
        <v>32</v>
      </c>
      <c r="K29" s="149">
        <v>1</v>
      </c>
      <c r="L29" s="91">
        <f>COUNTIFS([1]AEPED!$D$3:$D$6,"GER",[1]AEPED!$O$3:$O$6,"BRANCA")</f>
        <v>1</v>
      </c>
      <c r="M29" s="91">
        <f>COUNTIFS([1]AEPED!$D$3:$D$6,"GER",[1]AEPED!$O$3:$O$6,"AMARELA")</f>
        <v>0</v>
      </c>
      <c r="N29" s="91">
        <f>COUNTIFS([1]AEPED!$D$3:$D$6,"GER",[1]AEPED!$O$3:$O$6,"PARDA")</f>
        <v>0</v>
      </c>
      <c r="O29" s="91">
        <f>COUNTIFS([1]AEPED!$D$3:$D$6,"GER",[1]AEPED!$O$3:$O$6,"INDIGINA")</f>
        <v>0</v>
      </c>
      <c r="P29" s="91">
        <f>COUNTIFS([1]AEPED!$D$3:$D$6,"GER",[1]AEPED!$O$3:$O$6,"PRETA")</f>
        <v>0</v>
      </c>
      <c r="Q29" s="91">
        <f>COUNTIFS([1]AEPED!$D$3:$D$6,"GER",[1]AEPED!$O$3:$O$6,"-")+COUNTIFS([1]AEPED!$D$3:$D$6,"GER",[1]AEPED!$O$3:$O$6,"não informado")</f>
        <v>0</v>
      </c>
      <c r="S29" s="82" t="s">
        <v>32</v>
      </c>
      <c r="T29" s="153">
        <f>COUNTIF([1]AEPED!$F$3:$F$6,"M")</f>
        <v>4</v>
      </c>
      <c r="U29" s="153">
        <f>COUNTIF([1]AEPED!$F$3:$F$6,"F")</f>
        <v>0</v>
      </c>
      <c r="V29" s="153">
        <f>COUNTIF([1]AEPED!$F$3:$F$6,"-")</f>
        <v>0</v>
      </c>
      <c r="W29" s="91">
        <f>COUNTIFS([1]AEPED!$D$3:$D$6,"GER",[1]AEPED!$F$3:$F$6,"M")</f>
        <v>1</v>
      </c>
      <c r="X29" s="91">
        <f>COUNTIFS([1]AEPED!$D$3:$D$6,"GER",[1]AEPED!$F$3:$F$6,"F")</f>
        <v>0</v>
      </c>
      <c r="Y29" s="91">
        <f>COUNTIFS([1]AEPED!$D$3:$D$6,"GER",[1]AEPED!$F$3:$F$6,"-")</f>
        <v>0</v>
      </c>
    </row>
    <row r="30" spans="1:28" x14ac:dyDescent="0.25">
      <c r="A30" s="82" t="s">
        <v>33</v>
      </c>
      <c r="B30" s="145">
        <v>30</v>
      </c>
      <c r="C30" s="91">
        <f>COUNTIF([1]SPE!$O$3:$O$35,"BRANCA")</f>
        <v>17</v>
      </c>
      <c r="D30" s="91">
        <f>COUNTIF([1]SPE!$O$3:$O$35,"AMARELA")</f>
        <v>0</v>
      </c>
      <c r="E30" s="91">
        <f>COUNTIF([1]SPE!$O$3:$O$35,"PARDA")</f>
        <v>11</v>
      </c>
      <c r="F30" s="91">
        <f>COUNTIF([1]SPE!$O$3:$O$35,"INDIGINA")</f>
        <v>0</v>
      </c>
      <c r="G30" s="91">
        <f>COUNTIF([1]SPE!$O$3:$O$35,"PRETA")</f>
        <v>1</v>
      </c>
      <c r="H30" s="91">
        <f>COUNTIF([1]SPE!$O$3:$O$35,"-")+COUNTIF([1]SPE!$O$3:$O$35,"não informado")</f>
        <v>1</v>
      </c>
      <c r="J30" s="82" t="s">
        <v>33</v>
      </c>
      <c r="K30" s="149">
        <v>15</v>
      </c>
      <c r="L30" s="91">
        <f>COUNTIFS([1]SPE!$D$3:$D$35,"GER",[1]SPE!$O$3:$O$35,"BRANCA")</f>
        <v>10</v>
      </c>
      <c r="M30" s="91">
        <f>COUNTIFS([1]SPE!$D$3:$D$35,"GER",[1]SPE!$O$3:$O$35,"AMARELA")</f>
        <v>0</v>
      </c>
      <c r="N30" s="91">
        <f>COUNTIFS([1]SPE!$D$3:$D$35,"GER",[1]SPE!$O$3:$O$35,"PARDA")</f>
        <v>4</v>
      </c>
      <c r="O30" s="91">
        <f>COUNTIFS([1]SPE!$D$3:$D$35,"GER",[1]SPE!$O$3:$O$35,"INDIGINA")</f>
        <v>0</v>
      </c>
      <c r="P30" s="91">
        <f>COUNTIFS([1]SPE!$D$3:$D$35,"GER",[1]SPE!$O$3:$O$35,"PRETA")</f>
        <v>0</v>
      </c>
      <c r="Q30" s="91">
        <f>COUNTIFS([1]SPE!$D$3:$D$35,"GER",[1]SPE!$O$3:$O$35,"-")+COUNTIFS([1]SPE!$D$3:$D$35,"GER",[1]SPE!$O$3:$O$35,"não informado")</f>
        <v>1</v>
      </c>
      <c r="S30" s="82" t="s">
        <v>33</v>
      </c>
      <c r="T30" s="153">
        <f>COUNTIF([1]SPE!$F$3:$F$35,"M")</f>
        <v>16</v>
      </c>
      <c r="U30" s="153">
        <f>COUNTIF([1]SPE!$F$3:$F$35,"F")</f>
        <v>13</v>
      </c>
      <c r="V30" s="153">
        <f>COUNTIF([1]SPE!$F$3:$F$35,"-")</f>
        <v>1</v>
      </c>
      <c r="W30" s="91">
        <f>COUNTIFS([1]SPE!$D$3:$D$35,"GER",[1]SPE!$F$3:$F$35,"M")</f>
        <v>12</v>
      </c>
      <c r="X30" s="91">
        <f>COUNTIFS([1]SPE!$D$3:$D$35,"GER",[1]SPE!$F$3:$F$35,"F")</f>
        <v>2</v>
      </c>
      <c r="Y30" s="91">
        <f>COUNTIFS([1]SPE!$D$3:$D$35,"GER",[1]SPE!$F$3:$F$35,"-")</f>
        <v>1</v>
      </c>
    </row>
    <row r="31" spans="1:28" x14ac:dyDescent="0.25">
      <c r="A31" s="82" t="s">
        <v>34</v>
      </c>
      <c r="B31" s="145">
        <v>32</v>
      </c>
      <c r="C31" s="91">
        <f>COUNTIF([1]SEE!$O$3:$O$39,"BRANCA")</f>
        <v>18</v>
      </c>
      <c r="D31" s="91">
        <f>COUNTIF([1]SEE!$O$3:$O$39,"AMARELA")</f>
        <v>1</v>
      </c>
      <c r="E31" s="91">
        <f>COUNTIF([1]SEE!$O$3:$O$39,"PARDA")</f>
        <v>12</v>
      </c>
      <c r="F31" s="91">
        <f>COUNTIF([1]SEE!$O$3:$O$39,"INDIGINA")</f>
        <v>0</v>
      </c>
      <c r="G31" s="91">
        <f>COUNTIF([1]SEE!$O$3:$O$39,"PRETA")</f>
        <v>0</v>
      </c>
      <c r="H31" s="91">
        <f>COUNTIF([1]SEE!$O$3:$O$39,"-")+COUNTIF([1]SEE!$O$3:$O$39,"não informado")</f>
        <v>1</v>
      </c>
      <c r="J31" s="82" t="s">
        <v>34</v>
      </c>
      <c r="K31" s="149">
        <v>16</v>
      </c>
      <c r="L31" s="91">
        <f>COUNTIFS([1]SEE!$D$3:$D$39,"GER",[1]SEE!$O$3:$O$39,"BRANCA")</f>
        <v>12</v>
      </c>
      <c r="M31" s="91">
        <f>COUNTIFS([1]SEE!$D$3:$D$39,"GER",[1]SEE!$O$3:$O$39,"AMARELA")</f>
        <v>0</v>
      </c>
      <c r="N31" s="91">
        <f>COUNTIFS([1]SEE!$D$3:$D$39,"GER",[1]SEE!$O$3:$O$39,"PARDA")</f>
        <v>4</v>
      </c>
      <c r="O31" s="91">
        <f>COUNTIFS([1]SEE!$D$3:$D$39,"GER",[1]SEE!$O$3:$O$39,"INDIGINA")</f>
        <v>0</v>
      </c>
      <c r="P31" s="91">
        <f>COUNTIFS([1]SEE!$D$3:$D$39,"GER",[1]SEE!$O$3:$O$39,"PRETA")</f>
        <v>0</v>
      </c>
      <c r="Q31" s="91">
        <f>COUNTIFS([1]SEE!$D$3:$D$39,"GER",[1]SEE!$O$3:$O$39,"-")+COUNTIFS([1]SEE!$D$3:$D$39,"GER",[1]SEE!$O$3:$O$39,"não informado")</f>
        <v>0</v>
      </c>
      <c r="S31" s="82" t="s">
        <v>34</v>
      </c>
      <c r="T31" s="153">
        <f>COUNTIF([1]SEE!$F$3:$F$39,"M")</f>
        <v>19</v>
      </c>
      <c r="U31" s="153">
        <f>COUNTIF([1]SEE!$F$3:$F$39,"F")</f>
        <v>12</v>
      </c>
      <c r="V31" s="153">
        <f>COUNTIF([1]SEE!$F$3:$F$39,"-")</f>
        <v>1</v>
      </c>
      <c r="W31" s="91">
        <f>COUNTIFS([1]SEE!$D$3:$D$39,"GER",[1]SEE!$F$3:$F$39,"M")</f>
        <v>13</v>
      </c>
      <c r="X31" s="91">
        <f>COUNTIFS([1]SEE!$D$3:$D$39,"GER",[1]SEE!$F$3:$F$39,"F")</f>
        <v>3</v>
      </c>
      <c r="Y31" s="91">
        <f>COUNTIFS([1]SEE!$D$3:$D$39,"GER",[1]SEE!$F$3:$F$39,"-")</f>
        <v>0</v>
      </c>
    </row>
    <row r="32" spans="1:28" x14ac:dyDescent="0.25">
      <c r="A32" s="82" t="s">
        <v>35</v>
      </c>
      <c r="B32" s="145">
        <v>26</v>
      </c>
      <c r="C32" s="91">
        <f>COUNTIF([1]SPG!$O$3:$O$29,"BRANCA")</f>
        <v>17</v>
      </c>
      <c r="D32" s="91">
        <f>COUNTIF([1]SPG!$O$3:$O$29,"AMARELA")</f>
        <v>1</v>
      </c>
      <c r="E32" s="91">
        <f>COUNTIF([1]SPG!$O$3:$O$29,"PARDA")</f>
        <v>5</v>
      </c>
      <c r="F32" s="91">
        <f>COUNTIF([1]SPG!$O$3:$O$29,"INDIGINA")</f>
        <v>0</v>
      </c>
      <c r="G32" s="91">
        <f>COUNTIF([1]SPG!$O$3:$O$29,"PRETA")</f>
        <v>1</v>
      </c>
      <c r="H32" s="91">
        <f>COUNTIF([1]SPG!$O$3:$O$29,"-")+COUNTIF([1]SPG!$O$3:$O$29,"não informado")</f>
        <v>2</v>
      </c>
      <c r="J32" s="82" t="s">
        <v>35</v>
      </c>
      <c r="K32" s="149">
        <v>16</v>
      </c>
      <c r="L32" s="91">
        <f>COUNTIFS([1]SPG!$D$3:$D$29,"GER",[1]SPG!$O$3:$O$29,"BRANCA")</f>
        <v>10</v>
      </c>
      <c r="M32" s="91">
        <f>COUNTIFS([1]SPG!$D$3:$D$29,"GER",[1]SPG!$O$3:$O$29,"AMARELA")</f>
        <v>1</v>
      </c>
      <c r="N32" s="91">
        <f>COUNTIFS([1]SPG!$D$3:$D$29,"GER",[1]SPG!$O$3:$O$29,"PARDA")</f>
        <v>4</v>
      </c>
      <c r="O32" s="91">
        <f>COUNTIFS([1]SPG!$D$3:$D$29,"GER",[1]SPG!$O$3:$O$29,"INDIGINA")</f>
        <v>0</v>
      </c>
      <c r="P32" s="91">
        <f>COUNTIFS([1]SPG!$D$3:$D$29,"GER",[1]SPG!$O$3:$O$29,"PRETA")</f>
        <v>0</v>
      </c>
      <c r="Q32" s="91">
        <f>COUNTIFS([1]SPG!$D$3:$D$29,"GER",[1]SPG!$O$3:$O$29,"-")+COUNTIFS([1]SPG!$D$3:$D$29,"GER",[1]SPG!$O$3:$O$29,"não informado")</f>
        <v>1</v>
      </c>
      <c r="S32" s="82" t="s">
        <v>35</v>
      </c>
      <c r="T32" s="153">
        <f>COUNTIF([1]SPG!$F$3:$F$29,"M")</f>
        <v>17</v>
      </c>
      <c r="U32" s="153">
        <f>COUNTIF([1]SPG!$F$3:$F$29,"F")</f>
        <v>7</v>
      </c>
      <c r="V32" s="153">
        <f>COUNTIF([1]SPG!$F$3:$F$29,"-")</f>
        <v>2</v>
      </c>
      <c r="W32" s="91">
        <f>COUNTIFS([1]SPG!$D$3:$D$29,"GER",[1]SPG!$F$3:$F$29,"M")</f>
        <v>11</v>
      </c>
      <c r="X32" s="91">
        <f>COUNTIFS([1]SPG!$D$3:$D$29,"GER",[1]SPG!$F$3:$F$29,"F")</f>
        <v>4</v>
      </c>
      <c r="Y32" s="91">
        <f>COUNTIFS([1]SPG!$D$3:$D$29,"GER",[1]SPG!$F$3:$F$29,"-")</f>
        <v>1</v>
      </c>
    </row>
    <row r="33" spans="1:49" x14ac:dyDescent="0.25">
      <c r="A33" s="82" t="s">
        <v>36</v>
      </c>
      <c r="B33" s="145">
        <v>30</v>
      </c>
      <c r="C33" s="145">
        <f>COUNTIF([1]SGM!$O$3:$O$33,"BRANCA")</f>
        <v>21</v>
      </c>
      <c r="D33" s="145">
        <f>COUNTIF([1]SGM!$O$3:$O$33,"AMARELA")</f>
        <v>0</v>
      </c>
      <c r="E33" s="145">
        <f>COUNTIF([1]SGM!$O$3:$O$33,"PARDA")</f>
        <v>8</v>
      </c>
      <c r="F33" s="145">
        <f>COUNTIF([1]SGM!$O$3:$O$33,"INDIGINA")</f>
        <v>0</v>
      </c>
      <c r="G33" s="145">
        <f>COUNTIF([1]SGM!$O$3:$O$33,"PRETA")</f>
        <v>1</v>
      </c>
      <c r="H33" s="145">
        <f>COUNTIF([1]SGM!$O$3:$O$33,"-")+COUNTIF([1]SGM!$O$3:$O$33,"não informado")</f>
        <v>0</v>
      </c>
      <c r="J33" s="82" t="s">
        <v>36</v>
      </c>
      <c r="K33" s="149">
        <v>14</v>
      </c>
      <c r="L33" s="145">
        <f>COUNTIFS([1]SGM!$D$3:$D$33,"GER",[1]SGM!$O$3:$O$33,"BRANCA")</f>
        <v>10</v>
      </c>
      <c r="M33" s="145">
        <f>COUNTIFS([1]SGM!$D$3:$D$33,"GER",[1]SGM!$O$3:$O$33,"AMARELA")</f>
        <v>0</v>
      </c>
      <c r="N33" s="145">
        <f>COUNTIFS([1]SGM!$D$3:$D$33,"GER",[1]SGM!$O$3:$O$33,"PARDA")</f>
        <v>4</v>
      </c>
      <c r="O33" s="145">
        <f>COUNTIFS([1]SGM!$D$3:$D$33,"GER",[1]SGM!$O$3:$O$33,"INDIGINA")</f>
        <v>0</v>
      </c>
      <c r="P33" s="145">
        <f>COUNTIFS([1]SGM!$D$3:$D$33,"GER",[1]SGM!$O$3:$O$33,"PRETA")</f>
        <v>0</v>
      </c>
      <c r="Q33" s="145">
        <f>COUNTIFS([1]SGM!$D$3:$D$33,"GER",[1]SGM!$O$3:$O$33,"-")+COUNTIFS([1]SGM!$D$3:$D$33,"GER",[1]SGM!$O$3:$O$33,"não informado")</f>
        <v>0</v>
      </c>
      <c r="S33" s="82" t="s">
        <v>36</v>
      </c>
      <c r="T33" s="153">
        <f>COUNTIF([1]SGM!$F$3:$F$33,"M")</f>
        <v>14</v>
      </c>
      <c r="U33" s="153">
        <f>COUNTIF([1]SGM!$F$3:$F$33,"F")</f>
        <v>16</v>
      </c>
      <c r="V33" s="153">
        <f>COUNTIF([1]SGM!$F$3:$F$33,"-")</f>
        <v>0</v>
      </c>
      <c r="W33" s="145">
        <f>COUNTIFS([1]SGM!$D$3:$D$33,"GER",[1]SGM!$F$3:$F$33,"M")</f>
        <v>9</v>
      </c>
      <c r="X33" s="145">
        <f>COUNTIFS([1]SGM!$D$3:$D$33,"GER",[1]SGM!$F$3:$F$33,"F")</f>
        <v>5</v>
      </c>
      <c r="Y33" s="145">
        <f>COUNTIFS([1]SGM!$D$3:$D$33,"GER",[1]SGM!$F$3:$F$33,"-")</f>
        <v>0</v>
      </c>
    </row>
    <row r="34" spans="1:49" x14ac:dyDescent="0.25">
      <c r="A34" s="82" t="s">
        <v>37</v>
      </c>
      <c r="B34" s="145">
        <v>4</v>
      </c>
      <c r="C34" s="145">
        <f>COUNTIF([1]TEMPORÁRIO!$O$3:$O$6,"BRANCA")</f>
        <v>2</v>
      </c>
      <c r="D34" s="145">
        <f>COUNTIF([1]TEMPORÁRIO!$O$3:$O$6,"AMARELA")</f>
        <v>0</v>
      </c>
      <c r="E34" s="145">
        <f>COUNTIF([1]TEMPORÁRIO!$O$3:$O$6,"PARDA")</f>
        <v>2</v>
      </c>
      <c r="F34" s="145">
        <f>COUNTIF([1]TEMPORÁRIO!$O$3:$O$6,"INDIGINA")</f>
        <v>0</v>
      </c>
      <c r="G34" s="145">
        <f>COUNTIF([1]TEMPORÁRIO!$O$3:$O$6,"PRETA")</f>
        <v>0</v>
      </c>
      <c r="H34" s="145">
        <f>COUNTIF([1]TEMPORÁRIO!$O$3:$O$6,"-")+COUNTIF([1]TEMPORÁRIO!$O$3:$O$6,"não informado")</f>
        <v>0</v>
      </c>
      <c r="J34" s="82" t="s">
        <v>37</v>
      </c>
      <c r="K34" s="149">
        <v>1</v>
      </c>
      <c r="L34" s="145">
        <f>COUNTIFS([1]TEMPORÁRIO!$D$3:$D$6,"GER",[1]TEMPORÁRIO!$O$3:$O$6,"BRANCA")</f>
        <v>0</v>
      </c>
      <c r="M34" s="145">
        <f>COUNTIFS([1]TEMPORÁRIO!$D$3:$D$6,"GER",[1]TEMPORÁRIO!$O$3:$O$6,"AMARELA")</f>
        <v>0</v>
      </c>
      <c r="N34" s="145">
        <f>COUNTIFS([1]TEMPORÁRIO!$D$3:$D$6,"GER",[1]TEMPORÁRIO!$O$3:$O$6,"PARDA")</f>
        <v>1</v>
      </c>
      <c r="O34" s="145">
        <f>COUNTIFS([1]TEMPORÁRIO!$D$3:$D$6,"GER",[1]TEMPORÁRIO!$O$3:$O$6,"INDIGINA")</f>
        <v>0</v>
      </c>
      <c r="P34" s="145">
        <f>COUNTIFS([1]TEMPORÁRIO!$D$3:$D$6,"GER",[1]TEMPORÁRIO!$O$3:$O$6,"PRETA")</f>
        <v>0</v>
      </c>
      <c r="Q34" s="145">
        <f>COUNTIFS([1]TEMPORÁRIO!$D$3:$D$6,"GER",[1]SGM!$O$3:$O$6,"-")+COUNTIFS([1]TEMPORÁRIO!$D$3:$D$6,"GER",[1]TEMPORÁRIO!$O$3:$O$6,"não informado")</f>
        <v>0</v>
      </c>
      <c r="S34" s="82" t="s">
        <v>37</v>
      </c>
      <c r="T34" s="153">
        <f>COUNTIF([1]TEMPORÁRIO!$F$3:$F$6,"M")</f>
        <v>3</v>
      </c>
      <c r="U34" s="153">
        <f>COUNTIF([1]TEMPORÁRIO!$F$3:$F$6,"F")</f>
        <v>1</v>
      </c>
      <c r="V34" s="153">
        <f>COUNTIF([1]TEMPORÁRIO!$F$3:$F$6,"-")</f>
        <v>0</v>
      </c>
      <c r="W34" s="145">
        <f>COUNTIFS([1]TEMPORÁRIO!$D$3:$D$6,"GER",[1]TEMPORÁRIO!$F$3:$F$6,"M")</f>
        <v>1</v>
      </c>
      <c r="X34" s="145">
        <f>COUNTIFS([1]TEMPORÁRIO!$D$3:$D$6,"GER",[1]TEMPORÁRIO!$F$3:$F$6,"F")</f>
        <v>0</v>
      </c>
      <c r="Y34" s="145">
        <f>COUNTIFS([1]TEMPORÁRIO!$D$3:$D$6,"GER",[1]TEMPORÁRIO!$F$3:$F$6,"-")</f>
        <v>0</v>
      </c>
    </row>
    <row r="35" spans="1:49" x14ac:dyDescent="0.25">
      <c r="A35" s="86" t="s">
        <v>9</v>
      </c>
      <c r="B35" s="88">
        <f t="shared" ref="B35:H35" si="5">SUM(B23:B34)</f>
        <v>298</v>
      </c>
      <c r="C35" s="88">
        <f t="shared" si="5"/>
        <v>179</v>
      </c>
      <c r="D35" s="88">
        <f t="shared" si="5"/>
        <v>6</v>
      </c>
      <c r="E35" s="88">
        <f t="shared" si="5"/>
        <v>92</v>
      </c>
      <c r="F35" s="88">
        <f t="shared" si="5"/>
        <v>0</v>
      </c>
      <c r="G35" s="88">
        <f t="shared" si="5"/>
        <v>9</v>
      </c>
      <c r="H35" s="88">
        <f t="shared" si="5"/>
        <v>12</v>
      </c>
      <c r="J35" s="86" t="s">
        <v>9</v>
      </c>
      <c r="K35" s="88">
        <f t="shared" ref="K35:Q35" si="6">SUM(K23:K34)</f>
        <v>130</v>
      </c>
      <c r="L35" s="88">
        <f t="shared" si="6"/>
        <v>87</v>
      </c>
      <c r="M35" s="88">
        <f t="shared" si="6"/>
        <v>3</v>
      </c>
      <c r="N35" s="88">
        <f t="shared" si="6"/>
        <v>34</v>
      </c>
      <c r="O35" s="88">
        <f t="shared" si="6"/>
        <v>0</v>
      </c>
      <c r="P35" s="88">
        <f t="shared" si="6"/>
        <v>1</v>
      </c>
      <c r="Q35" s="88">
        <f t="shared" si="6"/>
        <v>5</v>
      </c>
      <c r="S35" s="86" t="s">
        <v>10</v>
      </c>
      <c r="T35" s="88">
        <f t="shared" ref="T35:Y35" si="7">SUM(T23:T34)</f>
        <v>157</v>
      </c>
      <c r="U35" s="88">
        <f t="shared" si="7"/>
        <v>129</v>
      </c>
      <c r="V35" s="88">
        <f t="shared" si="7"/>
        <v>12</v>
      </c>
      <c r="W35" s="88">
        <f t="shared" si="7"/>
        <v>82</v>
      </c>
      <c r="X35" s="152">
        <f t="shared" si="7"/>
        <v>43</v>
      </c>
      <c r="Y35" s="88">
        <f t="shared" si="7"/>
        <v>5</v>
      </c>
    </row>
    <row r="36" spans="1:49" x14ac:dyDescent="0.25">
      <c r="A36" s="158"/>
      <c r="B36" s="159"/>
      <c r="C36" s="575">
        <f>SUM(C35:H35)</f>
        <v>298</v>
      </c>
      <c r="D36" s="575"/>
      <c r="E36" s="575"/>
      <c r="F36" s="575"/>
      <c r="G36" s="575"/>
      <c r="H36" s="575"/>
      <c r="J36" s="158"/>
      <c r="K36" s="159"/>
      <c r="L36" s="575">
        <f>SUM(L35:Q35)</f>
        <v>130</v>
      </c>
      <c r="M36" s="575"/>
      <c r="N36" s="575"/>
      <c r="O36" s="575"/>
      <c r="P36" s="575"/>
      <c r="Q36" s="575"/>
      <c r="T36" s="572">
        <f>SUM(T35:V35)</f>
        <v>298</v>
      </c>
      <c r="U36" s="573"/>
      <c r="V36" s="574"/>
      <c r="W36" s="575">
        <f>SUM(W35:Y35)</f>
        <v>130</v>
      </c>
      <c r="X36" s="585"/>
      <c r="Y36" s="585"/>
    </row>
    <row r="37" spans="1:49" x14ac:dyDescent="0.25"/>
    <row r="38" spans="1:49" x14ac:dyDescent="0.25"/>
    <row r="39" spans="1:49" x14ac:dyDescent="0.25"/>
    <row r="40" spans="1:49" x14ac:dyDescent="0.25">
      <c r="A40" s="576" t="str">
        <f>[1]NIVEL4!A4</f>
        <v>Unidade</v>
      </c>
      <c r="B40" s="579" t="str">
        <f>[1]NIVEL4!B4</f>
        <v>Total de DAS na Unidade Estrutura Nova</v>
      </c>
      <c r="C40" s="582" t="str">
        <f>[1]NIVEL4!C4</f>
        <v>Nível (Quantitativo) MME</v>
      </c>
      <c r="D40" s="582"/>
      <c r="E40" s="582"/>
      <c r="F40" s="582"/>
      <c r="G40" s="582"/>
      <c r="H40" s="582"/>
      <c r="I40" s="582"/>
      <c r="J40" s="582"/>
      <c r="K40" s="582"/>
      <c r="L40" s="582"/>
      <c r="M40" s="582"/>
      <c r="N40" s="582"/>
      <c r="O40" s="582"/>
      <c r="P40" s="582"/>
      <c r="Q40" s="582"/>
      <c r="R40" s="582"/>
      <c r="S40" s="582"/>
      <c r="T40" s="582"/>
      <c r="U40" s="582"/>
      <c r="V40" s="582"/>
      <c r="W40" s="582"/>
      <c r="X40" s="582"/>
      <c r="Y40" s="582"/>
      <c r="Z40" s="582"/>
      <c r="AA40" s="582"/>
      <c r="AB40" s="582"/>
      <c r="AC40" s="582"/>
      <c r="AD40" s="582"/>
      <c r="AE40" s="582"/>
      <c r="AF40" s="582"/>
      <c r="AG40" s="582"/>
      <c r="AH40" s="582"/>
      <c r="AI40" s="582"/>
      <c r="AJ40" s="582"/>
      <c r="AK40" s="582"/>
      <c r="AL40" s="582"/>
      <c r="AM40" s="582"/>
      <c r="AN40" s="582"/>
      <c r="AO40" s="582"/>
      <c r="AP40" s="582"/>
      <c r="AQ40" s="582"/>
      <c r="AR40" s="582"/>
      <c r="AS40" s="582"/>
      <c r="AT40" s="582"/>
      <c r="AU40" s="582"/>
      <c r="AV40" s="582"/>
      <c r="AW40" s="582"/>
    </row>
    <row r="41" spans="1:49" x14ac:dyDescent="0.25">
      <c r="A41" s="577"/>
      <c r="B41" s="580"/>
      <c r="C41" s="583" t="str">
        <f>[1]NIVEL4!C5</f>
        <v>DAS 1</v>
      </c>
      <c r="D41" s="583"/>
      <c r="E41" s="583"/>
      <c r="F41" s="583"/>
      <c r="G41" s="560" t="str">
        <f>[1]NIVEL4!G5</f>
        <v>FCPE 1</v>
      </c>
      <c r="H41" s="561"/>
      <c r="I41" s="560" t="str">
        <f>[1]NIVEL4!I5</f>
        <v>DAS 2</v>
      </c>
      <c r="J41" s="584"/>
      <c r="K41" s="584"/>
      <c r="L41" s="561"/>
      <c r="M41" s="560" t="str">
        <f>[1]NIVEL4!M5</f>
        <v>FCPE 2</v>
      </c>
      <c r="N41" s="584"/>
      <c r="O41" s="584"/>
      <c r="P41" s="561"/>
      <c r="Q41" s="560" t="str">
        <f>[1]NIVEL4!Q5</f>
        <v>DAS 3</v>
      </c>
      <c r="R41" s="584"/>
      <c r="S41" s="584"/>
      <c r="T41" s="561"/>
      <c r="U41" s="560" t="str">
        <f>[1]NIVEL4!U5</f>
        <v>FCPE 3</v>
      </c>
      <c r="V41" s="584"/>
      <c r="W41" s="584"/>
      <c r="X41" s="561"/>
      <c r="Y41" s="583" t="str">
        <f>[1]NIVEL4!Y5</f>
        <v>DAS 4</v>
      </c>
      <c r="Z41" s="583"/>
      <c r="AA41" s="583"/>
      <c r="AB41" s="583"/>
      <c r="AC41" s="560" t="str">
        <f>[1]NIVEL4!AC5</f>
        <v>FCPE 4</v>
      </c>
      <c r="AD41" s="584"/>
      <c r="AE41" s="584"/>
      <c r="AF41" s="561"/>
      <c r="AG41" s="560" t="str">
        <f>[1]NIVEL4!AG5</f>
        <v>DAS 5</v>
      </c>
      <c r="AH41" s="584"/>
      <c r="AI41" s="584"/>
      <c r="AJ41" s="561"/>
      <c r="AK41" s="560" t="str">
        <f>[1]NIVEL4!AK5</f>
        <v>DAS 6</v>
      </c>
      <c r="AL41" s="561"/>
      <c r="AM41" s="562" t="str">
        <f>[1]NIVEL4!AM5</f>
        <v>NES</v>
      </c>
      <c r="AN41" s="563"/>
      <c r="AO41" s="564" t="str">
        <f>[1]NIVEL4!AO5</f>
        <v>TOTAL DAS + FCPE</v>
      </c>
      <c r="AP41" s="565"/>
      <c r="AQ41" s="566"/>
      <c r="AR41" s="564" t="str">
        <f>[1]NIVEL4!AR5</f>
        <v>TOTAL      DAS</v>
      </c>
      <c r="AS41" s="565"/>
      <c r="AT41" s="566"/>
      <c r="AU41" s="564" t="str">
        <f>[1]NIVEL4!AU5</f>
        <v>TOTAL     FCPE</v>
      </c>
      <c r="AV41" s="565"/>
      <c r="AW41" s="566"/>
    </row>
    <row r="42" spans="1:49" x14ac:dyDescent="0.25">
      <c r="A42" s="577"/>
      <c r="B42" s="580"/>
      <c r="C42" s="554" t="str">
        <f>[1]NIVEL4!C6</f>
        <v>101.1</v>
      </c>
      <c r="D42" s="555"/>
      <c r="E42" s="554" t="str">
        <f>[1]NIVEL4!E6</f>
        <v>102.1</v>
      </c>
      <c r="F42" s="555"/>
      <c r="G42" s="554" t="str">
        <f>[1]NIVEL4!G6</f>
        <v>102.1</v>
      </c>
      <c r="H42" s="555"/>
      <c r="I42" s="554" t="str">
        <f>[1]NIVEL4!I6</f>
        <v>101.2</v>
      </c>
      <c r="J42" s="555"/>
      <c r="K42" s="554" t="str">
        <f>[1]NIVEL4!K6</f>
        <v>102.2</v>
      </c>
      <c r="L42" s="555"/>
      <c r="M42" s="554" t="str">
        <f>[1]NIVEL4!M6</f>
        <v>101.2</v>
      </c>
      <c r="N42" s="555"/>
      <c r="O42" s="554" t="str">
        <f>[1]NIVEL4!O6</f>
        <v>102.2</v>
      </c>
      <c r="P42" s="555"/>
      <c r="Q42" s="554" t="str">
        <f>[1]NIVEL4!Q6</f>
        <v>101.3</v>
      </c>
      <c r="R42" s="555"/>
      <c r="S42" s="554" t="str">
        <f>[1]NIVEL4!S6</f>
        <v>102.3</v>
      </c>
      <c r="T42" s="555"/>
      <c r="U42" s="554" t="str">
        <f>[1]NIVEL4!U6</f>
        <v>101.3</v>
      </c>
      <c r="V42" s="555"/>
      <c r="W42" s="554" t="str">
        <f>[1]NIVEL4!W6</f>
        <v>102.3</v>
      </c>
      <c r="X42" s="555"/>
      <c r="Y42" s="554" t="str">
        <f>[1]NIVEL4!Y6</f>
        <v>101.4</v>
      </c>
      <c r="Z42" s="555"/>
      <c r="AA42" s="554" t="str">
        <f>[1]NIVEL4!AA6</f>
        <v>102.4</v>
      </c>
      <c r="AB42" s="555"/>
      <c r="AC42" s="554" t="str">
        <f>[1]NIVEL4!AC6</f>
        <v>101.4</v>
      </c>
      <c r="AD42" s="555"/>
      <c r="AE42" s="554" t="str">
        <f>[1]NIVEL4!AE6</f>
        <v>102.4</v>
      </c>
      <c r="AF42" s="555"/>
      <c r="AG42" s="554" t="str">
        <f>[1]NIVEL4!AG6</f>
        <v>101.5</v>
      </c>
      <c r="AH42" s="555"/>
      <c r="AI42" s="554" t="str">
        <f>[1]NIVEL4!AI6</f>
        <v>102.5</v>
      </c>
      <c r="AJ42" s="555"/>
      <c r="AK42" s="554" t="str">
        <f>[1]NIVEL4!AK6</f>
        <v>101.6</v>
      </c>
      <c r="AL42" s="555"/>
      <c r="AM42" s="556" t="str">
        <f>[1]NIVEL4!AM6</f>
        <v>Secretário Executivo</v>
      </c>
      <c r="AN42" s="557"/>
      <c r="AO42" s="556"/>
      <c r="AP42" s="567"/>
      <c r="AQ42" s="557"/>
      <c r="AR42" s="556"/>
      <c r="AS42" s="567"/>
      <c r="AT42" s="557"/>
      <c r="AU42" s="556"/>
      <c r="AV42" s="567"/>
      <c r="AW42" s="557"/>
    </row>
    <row r="43" spans="1:49" x14ac:dyDescent="0.25">
      <c r="A43" s="578"/>
      <c r="B43" s="581"/>
      <c r="C43" s="183" t="str">
        <f>[1]NIVEL4!C7</f>
        <v>Ocupado</v>
      </c>
      <c r="D43" s="184" t="str">
        <f>[1]NIVEL4!D7</f>
        <v>Vago</v>
      </c>
      <c r="E43" s="183" t="str">
        <f>[1]NIVEL4!E7</f>
        <v>Ocupado</v>
      </c>
      <c r="F43" s="184" t="str">
        <f>[1]NIVEL4!F7</f>
        <v>Vago</v>
      </c>
      <c r="G43" s="183" t="str">
        <f>[1]NIVEL4!G7</f>
        <v>Ocupado</v>
      </c>
      <c r="H43" s="184" t="str">
        <f>[1]NIVEL4!H7</f>
        <v>Vago</v>
      </c>
      <c r="I43" s="183" t="str">
        <f>[1]NIVEL4!I7</f>
        <v>Ocupado</v>
      </c>
      <c r="J43" s="184" t="str">
        <f>[1]NIVEL4!J7</f>
        <v>Vago</v>
      </c>
      <c r="K43" s="183" t="str">
        <f>[1]NIVEL4!K7</f>
        <v>Ocupado</v>
      </c>
      <c r="L43" s="184" t="str">
        <f>[1]NIVEL4!L7</f>
        <v>Vago</v>
      </c>
      <c r="M43" s="183" t="str">
        <f>[1]NIVEL4!M7</f>
        <v>Ocupado</v>
      </c>
      <c r="N43" s="184" t="str">
        <f>[1]NIVEL4!N7</f>
        <v>Vago</v>
      </c>
      <c r="O43" s="183" t="str">
        <f>[1]NIVEL4!O7</f>
        <v>Ocupado</v>
      </c>
      <c r="P43" s="184" t="str">
        <f>[1]NIVEL4!P7</f>
        <v>Vago</v>
      </c>
      <c r="Q43" s="183" t="str">
        <f>[1]NIVEL4!Q7</f>
        <v>Ocupado</v>
      </c>
      <c r="R43" s="184" t="str">
        <f>[1]NIVEL4!R7</f>
        <v>Vago</v>
      </c>
      <c r="S43" s="183" t="str">
        <f>[1]NIVEL4!S7</f>
        <v>Ocupado</v>
      </c>
      <c r="T43" s="184" t="str">
        <f>[1]NIVEL4!T7</f>
        <v>Vago</v>
      </c>
      <c r="U43" s="183" t="str">
        <f>[1]NIVEL4!U7</f>
        <v>Ocupado</v>
      </c>
      <c r="V43" s="184" t="str">
        <f>[1]NIVEL4!V7</f>
        <v>Vago</v>
      </c>
      <c r="W43" s="183" t="str">
        <f>[1]NIVEL4!W7</f>
        <v>Ocupado</v>
      </c>
      <c r="X43" s="184" t="str">
        <f>[1]NIVEL4!X7</f>
        <v>Vago</v>
      </c>
      <c r="Y43" s="183" t="str">
        <f>[1]NIVEL4!Y7</f>
        <v>Ocupado</v>
      </c>
      <c r="Z43" s="184" t="str">
        <f>[1]NIVEL4!Z7</f>
        <v>Vago</v>
      </c>
      <c r="AA43" s="183" t="str">
        <f>[1]NIVEL4!AA7</f>
        <v>Ocupado</v>
      </c>
      <c r="AB43" s="184" t="str">
        <f>[1]NIVEL4!AB7</f>
        <v>Vago</v>
      </c>
      <c r="AC43" s="183" t="str">
        <f>[1]NIVEL4!AC7</f>
        <v>Ocupado</v>
      </c>
      <c r="AD43" s="184" t="str">
        <f>[1]NIVEL4!AD7</f>
        <v>Vago</v>
      </c>
      <c r="AE43" s="183" t="str">
        <f>[1]NIVEL4!AE7</f>
        <v>Ocupado</v>
      </c>
      <c r="AF43" s="184" t="str">
        <f>[1]NIVEL4!AF7</f>
        <v>Vago</v>
      </c>
      <c r="AG43" s="183" t="str">
        <f>[1]NIVEL4!AG7</f>
        <v>Ocupado</v>
      </c>
      <c r="AH43" s="184" t="str">
        <f>[1]NIVEL4!AH7</f>
        <v>Vago</v>
      </c>
      <c r="AI43" s="183" t="str">
        <f>[1]NIVEL4!AI7</f>
        <v>Ocupado</v>
      </c>
      <c r="AJ43" s="184" t="str">
        <f>[1]NIVEL4!AJ7</f>
        <v>Vago</v>
      </c>
      <c r="AK43" s="183" t="str">
        <f>[1]NIVEL4!AK7</f>
        <v>Ocupado</v>
      </c>
      <c r="AL43" s="184" t="str">
        <f>[1]NIVEL4!AL7</f>
        <v>Vago</v>
      </c>
      <c r="AM43" s="183" t="str">
        <f>[1]NIVEL4!AM7</f>
        <v>Ocupado</v>
      </c>
      <c r="AN43" s="184" t="str">
        <f>[1]NIVEL4!AN7</f>
        <v>Vago</v>
      </c>
      <c r="AO43" s="183" t="str">
        <f>[1]NIVEL4!AO7</f>
        <v>Ocupado</v>
      </c>
      <c r="AP43" s="184" t="str">
        <f>[1]NIVEL4!AP7</f>
        <v>Vago</v>
      </c>
      <c r="AQ43" s="184" t="str">
        <f>[1]NIVEL4!AQ7</f>
        <v>Total</v>
      </c>
      <c r="AR43" s="183" t="str">
        <f>[1]NIVEL4!AR7</f>
        <v>Ocupado</v>
      </c>
      <c r="AS43" s="184" t="str">
        <f>[1]NIVEL4!AS7</f>
        <v>Vago</v>
      </c>
      <c r="AT43" s="184" t="str">
        <f>[1]NIVEL4!AT7</f>
        <v>Total</v>
      </c>
      <c r="AU43" s="183" t="str">
        <f>[1]NIVEL4!AU7</f>
        <v>Ocupado</v>
      </c>
      <c r="AV43" s="184" t="str">
        <f>[1]NIVEL4!AV7</f>
        <v>Vago</v>
      </c>
      <c r="AW43" s="184" t="str">
        <f>[1]NIVEL4!AW7</f>
        <v>Total</v>
      </c>
    </row>
    <row r="44" spans="1:49" x14ac:dyDescent="0.25">
      <c r="A44" s="185" t="str">
        <f>[1]NIVEL4!A8</f>
        <v xml:space="preserve">GM </v>
      </c>
      <c r="B44" s="186">
        <f>[1]NIVEL4!B8</f>
        <v>51</v>
      </c>
      <c r="C44" s="187">
        <f>[1]NIVEL4!C8</f>
        <v>0</v>
      </c>
      <c r="D44" s="187">
        <f>[1]NIVEL4!D8</f>
        <v>0</v>
      </c>
      <c r="E44" s="187">
        <f>[1]NIVEL4!E8</f>
        <v>6</v>
      </c>
      <c r="F44" s="187">
        <f>[1]NIVEL4!F8</f>
        <v>0</v>
      </c>
      <c r="G44" s="188">
        <f>[1]NIVEL4!G8</f>
        <v>5</v>
      </c>
      <c r="H44" s="188">
        <f>[1]NIVEL4!H8</f>
        <v>0</v>
      </c>
      <c r="I44" s="187">
        <f>[1]NIVEL4!I8</f>
        <v>0</v>
      </c>
      <c r="J44" s="187">
        <f>[1]NIVEL4!J8</f>
        <v>0</v>
      </c>
      <c r="K44" s="187">
        <f>[1]NIVEL4!K8</f>
        <v>7</v>
      </c>
      <c r="L44" s="187">
        <f>[1]NIVEL4!L8</f>
        <v>0</v>
      </c>
      <c r="M44" s="188">
        <f>[1]NIVEL4!M8</f>
        <v>0</v>
      </c>
      <c r="N44" s="188">
        <f>[1]NIVEL4!N8</f>
        <v>0</v>
      </c>
      <c r="O44" s="188">
        <f>[1]NIVEL4!O8</f>
        <v>3</v>
      </c>
      <c r="P44" s="188">
        <f>[1]NIVEL4!P8</f>
        <v>0</v>
      </c>
      <c r="Q44" s="187">
        <f>[1]NIVEL4!Q8</f>
        <v>0</v>
      </c>
      <c r="R44" s="187">
        <f>[1]NIVEL4!R8</f>
        <v>0</v>
      </c>
      <c r="S44" s="187">
        <f>[1]NIVEL4!S8</f>
        <v>5</v>
      </c>
      <c r="T44" s="187">
        <f>[1]NIVEL4!T8</f>
        <v>2</v>
      </c>
      <c r="U44" s="188">
        <f>[1]NIVEL4!U8</f>
        <v>1</v>
      </c>
      <c r="V44" s="188">
        <f>[1]NIVEL4!V8</f>
        <v>0</v>
      </c>
      <c r="W44" s="188">
        <f>[1]NIVEL4!W8</f>
        <v>1</v>
      </c>
      <c r="X44" s="188">
        <f>[1]NIVEL4!X8</f>
        <v>0</v>
      </c>
      <c r="Y44" s="187">
        <f>[1]NIVEL4!Y8</f>
        <v>4</v>
      </c>
      <c r="Z44" s="187">
        <f>[1]NIVEL4!Z8</f>
        <v>0</v>
      </c>
      <c r="AA44" s="187">
        <f>[1]NIVEL4!AA8</f>
        <v>6</v>
      </c>
      <c r="AB44" s="187">
        <f>[1]NIVEL4!AB8</f>
        <v>2</v>
      </c>
      <c r="AC44" s="188">
        <f>[1]NIVEL4!AC8</f>
        <v>1</v>
      </c>
      <c r="AD44" s="188">
        <f>[1]NIVEL4!AD8</f>
        <v>0</v>
      </c>
      <c r="AE44" s="188">
        <f>[1]NIVEL4!AE8</f>
        <v>0</v>
      </c>
      <c r="AF44" s="188">
        <f>[1]NIVEL4!AF8</f>
        <v>0</v>
      </c>
      <c r="AG44" s="187">
        <f>[1]NIVEL4!AG8</f>
        <v>2</v>
      </c>
      <c r="AH44" s="187">
        <f>[1]NIVEL4!AH8</f>
        <v>1</v>
      </c>
      <c r="AI44" s="187">
        <f>[1]NIVEL4!AI8</f>
        <v>5</v>
      </c>
      <c r="AJ44" s="187">
        <f>[1]NIVEL4!AJ8</f>
        <v>0</v>
      </c>
      <c r="AK44" s="187">
        <f>[1]NIVEL4!AK8</f>
        <v>0</v>
      </c>
      <c r="AL44" s="187">
        <f>[1]NIVEL4!AL8</f>
        <v>0</v>
      </c>
      <c r="AM44" s="187">
        <f>[1]NIVEL4!AM8</f>
        <v>0</v>
      </c>
      <c r="AN44" s="187">
        <f>[1]NIVEL4!AN8</f>
        <v>0</v>
      </c>
      <c r="AO44" s="47">
        <f>[1]NIVEL4!AO8</f>
        <v>46</v>
      </c>
      <c r="AP44" s="47">
        <f>[1]NIVEL4!AP8</f>
        <v>5</v>
      </c>
      <c r="AQ44" s="47">
        <f>[1]NIVEL4!AQ8</f>
        <v>51</v>
      </c>
      <c r="AR44" s="47">
        <f>[1]NIVEL4!AR8</f>
        <v>35</v>
      </c>
      <c r="AS44" s="47">
        <f>[1]NIVEL4!AS8</f>
        <v>5</v>
      </c>
      <c r="AT44" s="47">
        <f>[1]NIVEL4!AT8</f>
        <v>40</v>
      </c>
      <c r="AU44" s="47">
        <f>[1]NIVEL4!AU8</f>
        <v>11</v>
      </c>
      <c r="AV44" s="47">
        <f>[1]NIVEL4!AV8</f>
        <v>0</v>
      </c>
      <c r="AW44" s="47">
        <f>[1]NIVEL4!AW8</f>
        <v>11</v>
      </c>
    </row>
    <row r="45" spans="1:49" x14ac:dyDescent="0.25">
      <c r="A45" s="185" t="str">
        <f>[1]NIVEL4!A9</f>
        <v>SE</v>
      </c>
      <c r="B45" s="186">
        <f>[1]NIVEL4!B9</f>
        <v>91</v>
      </c>
      <c r="C45" s="187">
        <f>[1]NIVEL4!C9</f>
        <v>1</v>
      </c>
      <c r="D45" s="187">
        <f>[1]NIVEL4!D9</f>
        <v>1</v>
      </c>
      <c r="E45" s="187">
        <f>[1]NIVEL4!E9</f>
        <v>5</v>
      </c>
      <c r="F45" s="187">
        <f>[1]NIVEL4!F9</f>
        <v>1</v>
      </c>
      <c r="G45" s="188">
        <f>[1]NIVEL4!G9</f>
        <v>8</v>
      </c>
      <c r="H45" s="188">
        <f>[1]NIVEL4!H9</f>
        <v>0</v>
      </c>
      <c r="I45" s="187">
        <f>[1]NIVEL4!I9</f>
        <v>10</v>
      </c>
      <c r="J45" s="187">
        <f>[1]NIVEL4!J9</f>
        <v>0</v>
      </c>
      <c r="K45" s="187">
        <f>[1]NIVEL4!K9</f>
        <v>14</v>
      </c>
      <c r="L45" s="187">
        <f>[1]NIVEL4!L9</f>
        <v>0</v>
      </c>
      <c r="M45" s="188">
        <f>[1]NIVEL4!M9</f>
        <v>2</v>
      </c>
      <c r="N45" s="188">
        <f>[1]NIVEL4!N9</f>
        <v>0</v>
      </c>
      <c r="O45" s="188">
        <f>[1]NIVEL4!O9</f>
        <v>3</v>
      </c>
      <c r="P45" s="188">
        <f>[1]NIVEL4!P9</f>
        <v>0</v>
      </c>
      <c r="Q45" s="187">
        <f>[1]NIVEL4!Q9</f>
        <v>13</v>
      </c>
      <c r="R45" s="187">
        <f>[1]NIVEL4!R9</f>
        <v>1</v>
      </c>
      <c r="S45" s="187">
        <f>[1]NIVEL4!S9</f>
        <v>5</v>
      </c>
      <c r="T45" s="187">
        <f>[1]NIVEL4!T9</f>
        <v>0</v>
      </c>
      <c r="U45" s="188">
        <f>[1]NIVEL4!U9</f>
        <v>2</v>
      </c>
      <c r="V45" s="188">
        <f>[1]NIVEL4!V9</f>
        <v>0</v>
      </c>
      <c r="W45" s="188">
        <f>[1]NIVEL4!W9</f>
        <v>0</v>
      </c>
      <c r="X45" s="188">
        <f>[1]NIVEL4!X9</f>
        <v>0</v>
      </c>
      <c r="Y45" s="187">
        <f>[1]NIVEL4!Y9</f>
        <v>8</v>
      </c>
      <c r="Z45" s="187">
        <f>[1]NIVEL4!Z9</f>
        <v>0</v>
      </c>
      <c r="AA45" s="187">
        <f>[1]NIVEL4!AA9</f>
        <v>5</v>
      </c>
      <c r="AB45" s="187">
        <f>[1]NIVEL4!AB9</f>
        <v>0</v>
      </c>
      <c r="AC45" s="188">
        <f>[1]NIVEL4!AC9</f>
        <v>3</v>
      </c>
      <c r="AD45" s="188">
        <f>[1]NIVEL4!AD9</f>
        <v>0</v>
      </c>
      <c r="AE45" s="188">
        <f>[1]NIVEL4!AE9</f>
        <v>0</v>
      </c>
      <c r="AF45" s="188">
        <f>[1]NIVEL4!AF9</f>
        <v>0</v>
      </c>
      <c r="AG45" s="187">
        <f>[1]NIVEL4!AG9</f>
        <v>7</v>
      </c>
      <c r="AH45" s="187">
        <f>[1]NIVEL4!AH9</f>
        <v>0</v>
      </c>
      <c r="AI45" s="187">
        <f>[1]NIVEL4!AI9</f>
        <v>0</v>
      </c>
      <c r="AJ45" s="187">
        <f>[1]NIVEL4!AJ9</f>
        <v>0</v>
      </c>
      <c r="AK45" s="187">
        <f>[1]NIVEL4!AK9</f>
        <v>1</v>
      </c>
      <c r="AL45" s="187">
        <f>[1]NIVEL4!AL9</f>
        <v>0</v>
      </c>
      <c r="AM45" s="187">
        <f>[1]NIVEL4!AM9</f>
        <v>1</v>
      </c>
      <c r="AN45" s="187">
        <f>[1]NIVEL4!AN9</f>
        <v>0</v>
      </c>
      <c r="AO45" s="47">
        <f>[1]NIVEL4!AO9</f>
        <v>88</v>
      </c>
      <c r="AP45" s="47">
        <f>[1]NIVEL4!AP9</f>
        <v>3</v>
      </c>
      <c r="AQ45" s="47">
        <f>[1]NIVEL4!AQ9</f>
        <v>91</v>
      </c>
      <c r="AR45" s="47">
        <f>[1]NIVEL4!AR9</f>
        <v>70</v>
      </c>
      <c r="AS45" s="47">
        <f>[1]NIVEL4!AS9</f>
        <v>3</v>
      </c>
      <c r="AT45" s="47">
        <f>[1]NIVEL4!AT9</f>
        <v>73</v>
      </c>
      <c r="AU45" s="47">
        <f>[1]NIVEL4!AU9</f>
        <v>18</v>
      </c>
      <c r="AV45" s="47">
        <f>[1]NIVEL4!AV9</f>
        <v>0</v>
      </c>
      <c r="AW45" s="47">
        <f>[1]NIVEL4!AW9</f>
        <v>18</v>
      </c>
    </row>
    <row r="46" spans="1:49" x14ac:dyDescent="0.25">
      <c r="A46" s="185" t="str">
        <f>[1]NIVEL4!A10</f>
        <v>CONJUR</v>
      </c>
      <c r="B46" s="186">
        <f>[1]NIVEL4!B10</f>
        <v>14</v>
      </c>
      <c r="C46" s="187">
        <f>[1]NIVEL4!C10</f>
        <v>0</v>
      </c>
      <c r="D46" s="187">
        <f>[1]NIVEL4!D10</f>
        <v>0</v>
      </c>
      <c r="E46" s="187">
        <f>[1]NIVEL4!E10</f>
        <v>1</v>
      </c>
      <c r="F46" s="187">
        <f>[1]NIVEL4!F10</f>
        <v>0</v>
      </c>
      <c r="G46" s="188">
        <f>[1]NIVEL4!G10</f>
        <v>0</v>
      </c>
      <c r="H46" s="188">
        <f>[1]NIVEL4!H10</f>
        <v>0</v>
      </c>
      <c r="I46" s="187">
        <f>[1]NIVEL4!I10</f>
        <v>0</v>
      </c>
      <c r="J46" s="187">
        <f>[1]NIVEL4!J10</f>
        <v>0</v>
      </c>
      <c r="K46" s="187">
        <f>[1]NIVEL4!K10</f>
        <v>5</v>
      </c>
      <c r="L46" s="187">
        <f>[1]NIVEL4!L10</f>
        <v>0</v>
      </c>
      <c r="M46" s="188">
        <f>[1]NIVEL4!M10</f>
        <v>0</v>
      </c>
      <c r="N46" s="188">
        <f>[1]NIVEL4!N10</f>
        <v>0</v>
      </c>
      <c r="O46" s="188">
        <f>[1]NIVEL4!O10</f>
        <v>1</v>
      </c>
      <c r="P46" s="188">
        <f>[1]NIVEL4!P10</f>
        <v>0</v>
      </c>
      <c r="Q46" s="187">
        <f>[1]NIVEL4!Q10</f>
        <v>0</v>
      </c>
      <c r="R46" s="187">
        <f>[1]NIVEL4!R10</f>
        <v>0</v>
      </c>
      <c r="S46" s="187">
        <f>[1]NIVEL4!S10</f>
        <v>0</v>
      </c>
      <c r="T46" s="187">
        <f>[1]NIVEL4!T10</f>
        <v>0</v>
      </c>
      <c r="U46" s="188">
        <f>[1]NIVEL4!U10</f>
        <v>1</v>
      </c>
      <c r="V46" s="188">
        <f>[1]NIVEL4!V10</f>
        <v>0</v>
      </c>
      <c r="W46" s="188">
        <f>[1]NIVEL4!W10</f>
        <v>1</v>
      </c>
      <c r="X46" s="188">
        <f>[1]NIVEL4!X10</f>
        <v>0</v>
      </c>
      <c r="Y46" s="187">
        <f>[1]NIVEL4!Y10</f>
        <v>0</v>
      </c>
      <c r="Z46" s="187">
        <f>[1]NIVEL4!Z10</f>
        <v>0</v>
      </c>
      <c r="AA46" s="187">
        <f>[1]NIVEL4!AA10</f>
        <v>1</v>
      </c>
      <c r="AB46" s="187">
        <f>[1]NIVEL4!AB10</f>
        <v>0</v>
      </c>
      <c r="AC46" s="188">
        <f>[1]NIVEL4!AC10</f>
        <v>3</v>
      </c>
      <c r="AD46" s="188">
        <f>[1]NIVEL4!AD10</f>
        <v>0</v>
      </c>
      <c r="AE46" s="188">
        <f>[1]NIVEL4!AE10</f>
        <v>0</v>
      </c>
      <c r="AF46" s="188">
        <f>[1]NIVEL4!AF10</f>
        <v>0</v>
      </c>
      <c r="AG46" s="187">
        <f>[1]NIVEL4!AG10</f>
        <v>1</v>
      </c>
      <c r="AH46" s="187">
        <f>[1]NIVEL4!AH10</f>
        <v>0</v>
      </c>
      <c r="AI46" s="187">
        <f>[1]NIVEL4!AI10</f>
        <v>0</v>
      </c>
      <c r="AJ46" s="187">
        <f>[1]NIVEL4!AJ10</f>
        <v>0</v>
      </c>
      <c r="AK46" s="187">
        <f>[1]NIVEL4!AK10</f>
        <v>0</v>
      </c>
      <c r="AL46" s="187">
        <f>[1]NIVEL4!AL10</f>
        <v>0</v>
      </c>
      <c r="AM46" s="187">
        <f>[1]NIVEL4!AM10</f>
        <v>0</v>
      </c>
      <c r="AN46" s="187">
        <f>[1]NIVEL4!AN10</f>
        <v>0</v>
      </c>
      <c r="AO46" s="47">
        <f>[1]NIVEL4!AO10</f>
        <v>14</v>
      </c>
      <c r="AP46" s="47">
        <f>[1]NIVEL4!AP10</f>
        <v>0</v>
      </c>
      <c r="AQ46" s="47">
        <f>[1]NIVEL4!AQ10</f>
        <v>14</v>
      </c>
      <c r="AR46" s="47">
        <f>[1]NIVEL4!AR10</f>
        <v>8</v>
      </c>
      <c r="AS46" s="47">
        <f>[1]NIVEL4!AS10</f>
        <v>0</v>
      </c>
      <c r="AT46" s="47">
        <f>[1]NIVEL4!AT10</f>
        <v>8</v>
      </c>
      <c r="AU46" s="47">
        <f>[1]NIVEL4!AU10</f>
        <v>6</v>
      </c>
      <c r="AV46" s="47">
        <f>[1]NIVEL4!AV10</f>
        <v>0</v>
      </c>
      <c r="AW46" s="47">
        <f>[1]NIVEL4!AW10</f>
        <v>6</v>
      </c>
    </row>
    <row r="47" spans="1:49" x14ac:dyDescent="0.25">
      <c r="A47" s="185" t="str">
        <f>[1]NIVEL4!A11</f>
        <v>ASSEC</v>
      </c>
      <c r="B47" s="186">
        <f>[1]NIVEL4!B11</f>
        <v>9</v>
      </c>
      <c r="C47" s="187">
        <f>[1]NIVEL4!C11</f>
        <v>0</v>
      </c>
      <c r="D47" s="187">
        <f>[1]NIVEL4!D11</f>
        <v>0</v>
      </c>
      <c r="E47" s="187">
        <f>[1]NIVEL4!E11</f>
        <v>0</v>
      </c>
      <c r="F47" s="187">
        <f>[1]NIVEL4!F11</f>
        <v>0</v>
      </c>
      <c r="G47" s="188">
        <f>[1]NIVEL4!G11</f>
        <v>0</v>
      </c>
      <c r="H47" s="188">
        <f>[1]NIVEL4!H11</f>
        <v>0</v>
      </c>
      <c r="I47" s="187">
        <f>[1]NIVEL4!I11</f>
        <v>0</v>
      </c>
      <c r="J47" s="187">
        <f>[1]NIVEL4!J11</f>
        <v>0</v>
      </c>
      <c r="K47" s="187">
        <f>[1]NIVEL4!K11</f>
        <v>0</v>
      </c>
      <c r="L47" s="187">
        <f>[1]NIVEL4!L11</f>
        <v>0</v>
      </c>
      <c r="M47" s="188">
        <f>[1]NIVEL4!M11</f>
        <v>0</v>
      </c>
      <c r="N47" s="188">
        <f>[1]NIVEL4!N11</f>
        <v>0</v>
      </c>
      <c r="O47" s="188">
        <f>[1]NIVEL4!O11</f>
        <v>0</v>
      </c>
      <c r="P47" s="188">
        <f>[1]NIVEL4!P11</f>
        <v>0</v>
      </c>
      <c r="Q47" s="187">
        <f>[1]NIVEL4!Q11</f>
        <v>0</v>
      </c>
      <c r="R47" s="187">
        <f>[1]NIVEL4!R11</f>
        <v>0</v>
      </c>
      <c r="S47" s="187">
        <f>[1]NIVEL4!S11</f>
        <v>3</v>
      </c>
      <c r="T47" s="187">
        <f>[1]NIVEL4!T11</f>
        <v>0</v>
      </c>
      <c r="U47" s="188">
        <f>[1]NIVEL4!U11</f>
        <v>0</v>
      </c>
      <c r="V47" s="188">
        <f>[1]NIVEL4!V11</f>
        <v>0</v>
      </c>
      <c r="W47" s="188">
        <f>[1]NIVEL4!W11</f>
        <v>0</v>
      </c>
      <c r="X47" s="188">
        <f>[1]NIVEL4!X11</f>
        <v>0</v>
      </c>
      <c r="Y47" s="187">
        <f>[1]NIVEL4!Y11</f>
        <v>0</v>
      </c>
      <c r="Z47" s="187">
        <f>[1]NIVEL4!Z11</f>
        <v>0</v>
      </c>
      <c r="AA47" s="187">
        <f>[1]NIVEL4!AA11</f>
        <v>5</v>
      </c>
      <c r="AB47" s="187">
        <f>[1]NIVEL4!AB11</f>
        <v>0</v>
      </c>
      <c r="AC47" s="188">
        <f>[1]NIVEL4!AC11</f>
        <v>0</v>
      </c>
      <c r="AD47" s="188">
        <f>[1]NIVEL4!AD11</f>
        <v>0</v>
      </c>
      <c r="AE47" s="188">
        <f>[1]NIVEL4!AE11</f>
        <v>0</v>
      </c>
      <c r="AF47" s="188">
        <f>[1]NIVEL4!AF11</f>
        <v>0</v>
      </c>
      <c r="AG47" s="187">
        <f>[1]NIVEL4!AG11</f>
        <v>1</v>
      </c>
      <c r="AH47" s="187">
        <f>[1]NIVEL4!AH11</f>
        <v>0</v>
      </c>
      <c r="AI47" s="187">
        <f>[1]NIVEL4!AI11</f>
        <v>0</v>
      </c>
      <c r="AJ47" s="187">
        <f>[1]NIVEL4!AJ11</f>
        <v>0</v>
      </c>
      <c r="AK47" s="187">
        <f>[1]NIVEL4!AK11</f>
        <v>0</v>
      </c>
      <c r="AL47" s="187">
        <f>[1]NIVEL4!AL11</f>
        <v>0</v>
      </c>
      <c r="AM47" s="187">
        <f>[1]NIVEL4!AM11</f>
        <v>0</v>
      </c>
      <c r="AN47" s="187">
        <f>[1]NIVEL4!AN11</f>
        <v>0</v>
      </c>
      <c r="AO47" s="47">
        <f>[1]NIVEL4!AO11</f>
        <v>9</v>
      </c>
      <c r="AP47" s="47">
        <f>[1]NIVEL4!AP11</f>
        <v>0</v>
      </c>
      <c r="AQ47" s="47">
        <f>[1]NIVEL4!AQ11</f>
        <v>9</v>
      </c>
      <c r="AR47" s="47">
        <f>[1]NIVEL4!AR11</f>
        <v>9</v>
      </c>
      <c r="AS47" s="47">
        <f>[1]NIVEL4!AS11</f>
        <v>0</v>
      </c>
      <c r="AT47" s="47">
        <f>[1]NIVEL4!AT11</f>
        <v>9</v>
      </c>
      <c r="AU47" s="47">
        <f>[1]NIVEL4!AU11</f>
        <v>0</v>
      </c>
      <c r="AV47" s="47">
        <f>[1]NIVEL4!AV11</f>
        <v>0</v>
      </c>
      <c r="AW47" s="47">
        <f>[1]NIVEL4!AW11</f>
        <v>0</v>
      </c>
    </row>
    <row r="48" spans="1:49" x14ac:dyDescent="0.25">
      <c r="A48" s="185" t="str">
        <f>[1]NIVEL4!A12</f>
        <v>ASSINT</v>
      </c>
      <c r="B48" s="186">
        <f>[1]NIVEL4!B12</f>
        <v>4</v>
      </c>
      <c r="C48" s="187">
        <f>[1]NIVEL4!C12</f>
        <v>0</v>
      </c>
      <c r="D48" s="187">
        <f>[1]NIVEL4!D12</f>
        <v>0</v>
      </c>
      <c r="E48" s="187">
        <f>[1]NIVEL4!E12</f>
        <v>0</v>
      </c>
      <c r="F48" s="187">
        <f>[1]NIVEL4!F12</f>
        <v>0</v>
      </c>
      <c r="G48" s="188">
        <f>[1]NIVEL4!G12</f>
        <v>0</v>
      </c>
      <c r="H48" s="188">
        <f>[1]NIVEL4!H12</f>
        <v>0</v>
      </c>
      <c r="I48" s="187">
        <f>[1]NIVEL4!I12</f>
        <v>0</v>
      </c>
      <c r="J48" s="187">
        <f>[1]NIVEL4!J12</f>
        <v>0</v>
      </c>
      <c r="K48" s="187">
        <f>[1]NIVEL4!K12</f>
        <v>1</v>
      </c>
      <c r="L48" s="187">
        <f>[1]NIVEL4!L12</f>
        <v>0</v>
      </c>
      <c r="M48" s="188">
        <f>[1]NIVEL4!M12</f>
        <v>0</v>
      </c>
      <c r="N48" s="188">
        <f>[1]NIVEL4!N12</f>
        <v>0</v>
      </c>
      <c r="O48" s="188">
        <f>[1]NIVEL4!O12</f>
        <v>1</v>
      </c>
      <c r="P48" s="188">
        <f>[1]NIVEL4!P12</f>
        <v>0</v>
      </c>
      <c r="Q48" s="187">
        <f>[1]NIVEL4!Q12</f>
        <v>0</v>
      </c>
      <c r="R48" s="187">
        <f>[1]NIVEL4!R12</f>
        <v>0</v>
      </c>
      <c r="S48" s="187">
        <f>[1]NIVEL4!S12</f>
        <v>0</v>
      </c>
      <c r="T48" s="187">
        <f>[1]NIVEL4!T12</f>
        <v>0</v>
      </c>
      <c r="U48" s="188">
        <f>[1]NIVEL4!U12</f>
        <v>0</v>
      </c>
      <c r="V48" s="188">
        <f>[1]NIVEL4!V12</f>
        <v>0</v>
      </c>
      <c r="W48" s="188">
        <f>[1]NIVEL4!W12</f>
        <v>0</v>
      </c>
      <c r="X48" s="188">
        <f>[1]NIVEL4!X12</f>
        <v>0</v>
      </c>
      <c r="Y48" s="187">
        <f>[1]NIVEL4!Y12</f>
        <v>0</v>
      </c>
      <c r="Z48" s="187">
        <f>[1]NIVEL4!Z12</f>
        <v>0</v>
      </c>
      <c r="AA48" s="187">
        <f>[1]NIVEL4!AA12</f>
        <v>1</v>
      </c>
      <c r="AB48" s="187">
        <f>[1]NIVEL4!AB12</f>
        <v>0</v>
      </c>
      <c r="AC48" s="188">
        <f>[1]NIVEL4!AC12</f>
        <v>0</v>
      </c>
      <c r="AD48" s="188">
        <f>[1]NIVEL4!AD12</f>
        <v>0</v>
      </c>
      <c r="AE48" s="188">
        <f>[1]NIVEL4!AE12</f>
        <v>0</v>
      </c>
      <c r="AF48" s="188">
        <f>[1]NIVEL4!AF12</f>
        <v>0</v>
      </c>
      <c r="AG48" s="187">
        <f>[1]NIVEL4!AG12</f>
        <v>1</v>
      </c>
      <c r="AH48" s="187">
        <f>[1]NIVEL4!AH12</f>
        <v>0</v>
      </c>
      <c r="AI48" s="187">
        <f>[1]NIVEL4!AI12</f>
        <v>0</v>
      </c>
      <c r="AJ48" s="187">
        <f>[1]NIVEL4!AJ12</f>
        <v>0</v>
      </c>
      <c r="AK48" s="187">
        <f>[1]NIVEL4!AK12</f>
        <v>0</v>
      </c>
      <c r="AL48" s="187">
        <f>[1]NIVEL4!AL12</f>
        <v>0</v>
      </c>
      <c r="AM48" s="187">
        <f>[1]NIVEL4!AM12</f>
        <v>0</v>
      </c>
      <c r="AN48" s="187">
        <f>[1]NIVEL4!AN12</f>
        <v>0</v>
      </c>
      <c r="AO48" s="47">
        <f>[1]NIVEL4!AO12</f>
        <v>4</v>
      </c>
      <c r="AP48" s="47">
        <f>[1]NIVEL4!AP12</f>
        <v>0</v>
      </c>
      <c r="AQ48" s="47">
        <f>[1]NIVEL4!AQ12</f>
        <v>4</v>
      </c>
      <c r="AR48" s="47">
        <f>[1]NIVEL4!AR12</f>
        <v>3</v>
      </c>
      <c r="AS48" s="47">
        <f>[1]NIVEL4!AS12</f>
        <v>0</v>
      </c>
      <c r="AT48" s="47">
        <f>[1]NIVEL4!AT12</f>
        <v>3</v>
      </c>
      <c r="AU48" s="47">
        <f>[1]NIVEL4!AU12</f>
        <v>1</v>
      </c>
      <c r="AV48" s="47">
        <f>[1]NIVEL4!AV12</f>
        <v>0</v>
      </c>
      <c r="AW48" s="47">
        <f>[1]NIVEL4!AW12</f>
        <v>1</v>
      </c>
    </row>
    <row r="49" spans="1:49" x14ac:dyDescent="0.25">
      <c r="A49" s="185" t="str">
        <f>[1]NIVEL4!A13</f>
        <v>AECI</v>
      </c>
      <c r="B49" s="186">
        <f>[1]NIVEL4!B13</f>
        <v>3</v>
      </c>
      <c r="C49" s="187">
        <f>[1]NIVEL4!C13</f>
        <v>0</v>
      </c>
      <c r="D49" s="187">
        <f>[1]NIVEL4!D13</f>
        <v>0</v>
      </c>
      <c r="E49" s="187">
        <f>[1]NIVEL4!E13</f>
        <v>0</v>
      </c>
      <c r="F49" s="187">
        <f>[1]NIVEL4!F13</f>
        <v>0</v>
      </c>
      <c r="G49" s="188">
        <f>[1]NIVEL4!G13</f>
        <v>0</v>
      </c>
      <c r="H49" s="188">
        <f>[1]NIVEL4!H13</f>
        <v>0</v>
      </c>
      <c r="I49" s="187">
        <f>[1]NIVEL4!I13</f>
        <v>0</v>
      </c>
      <c r="J49" s="187">
        <f>[1]NIVEL4!J13</f>
        <v>0</v>
      </c>
      <c r="K49" s="187">
        <f>[1]NIVEL4!K13</f>
        <v>0</v>
      </c>
      <c r="L49" s="187">
        <f>[1]NIVEL4!L13</f>
        <v>0</v>
      </c>
      <c r="M49" s="188">
        <f>[1]NIVEL4!M13</f>
        <v>0</v>
      </c>
      <c r="N49" s="188">
        <f>[1]NIVEL4!N13</f>
        <v>0</v>
      </c>
      <c r="O49" s="188">
        <f>[1]NIVEL4!O13</f>
        <v>1</v>
      </c>
      <c r="P49" s="188">
        <f>[1]NIVEL4!P13</f>
        <v>0</v>
      </c>
      <c r="Q49" s="187">
        <f>[1]NIVEL4!Q13</f>
        <v>0</v>
      </c>
      <c r="R49" s="187">
        <f>[1]NIVEL4!R13</f>
        <v>0</v>
      </c>
      <c r="S49" s="187">
        <f>[1]NIVEL4!S13</f>
        <v>0</v>
      </c>
      <c r="T49" s="187">
        <f>[1]NIVEL4!T13</f>
        <v>0</v>
      </c>
      <c r="U49" s="188">
        <f>[1]NIVEL4!U13</f>
        <v>0</v>
      </c>
      <c r="V49" s="188">
        <f>[1]NIVEL4!V13</f>
        <v>0</v>
      </c>
      <c r="W49" s="188">
        <f>[1]NIVEL4!W13</f>
        <v>0</v>
      </c>
      <c r="X49" s="188">
        <f>[1]NIVEL4!X13</f>
        <v>0</v>
      </c>
      <c r="Y49" s="187">
        <f>[1]NIVEL4!Y13</f>
        <v>0</v>
      </c>
      <c r="Z49" s="187">
        <f>[1]NIVEL4!Z13</f>
        <v>0</v>
      </c>
      <c r="AA49" s="187">
        <f>[1]NIVEL4!AA13</f>
        <v>0</v>
      </c>
      <c r="AB49" s="187">
        <f>[1]NIVEL4!AB13</f>
        <v>0</v>
      </c>
      <c r="AC49" s="188">
        <f>[1]NIVEL4!AC13</f>
        <v>0</v>
      </c>
      <c r="AD49" s="188">
        <f>[1]NIVEL4!AD13</f>
        <v>0</v>
      </c>
      <c r="AE49" s="188">
        <f>[1]NIVEL4!AE13</f>
        <v>1</v>
      </c>
      <c r="AF49" s="188">
        <f>[1]NIVEL4!AF13</f>
        <v>0</v>
      </c>
      <c r="AG49" s="187">
        <f>[1]NIVEL4!AG13</f>
        <v>1</v>
      </c>
      <c r="AH49" s="187">
        <f>[1]NIVEL4!AH13</f>
        <v>0</v>
      </c>
      <c r="AI49" s="187">
        <f>[1]NIVEL4!AI13</f>
        <v>0</v>
      </c>
      <c r="AJ49" s="187">
        <f>[1]NIVEL4!AJ13</f>
        <v>0</v>
      </c>
      <c r="AK49" s="187">
        <f>[1]NIVEL4!AK13</f>
        <v>0</v>
      </c>
      <c r="AL49" s="187">
        <f>[1]NIVEL4!AL13</f>
        <v>0</v>
      </c>
      <c r="AM49" s="187">
        <f>[1]NIVEL4!AM13</f>
        <v>0</v>
      </c>
      <c r="AN49" s="187">
        <f>[1]NIVEL4!AN13</f>
        <v>0</v>
      </c>
      <c r="AO49" s="47">
        <f>[1]NIVEL4!AO13</f>
        <v>3</v>
      </c>
      <c r="AP49" s="47">
        <f>[1]NIVEL4!AP13</f>
        <v>0</v>
      </c>
      <c r="AQ49" s="47">
        <f>[1]NIVEL4!AQ13</f>
        <v>3</v>
      </c>
      <c r="AR49" s="47">
        <f>[1]NIVEL4!AR13</f>
        <v>1</v>
      </c>
      <c r="AS49" s="47">
        <f>[1]NIVEL4!AS13</f>
        <v>0</v>
      </c>
      <c r="AT49" s="47">
        <f>[1]NIVEL4!AT13</f>
        <v>1</v>
      </c>
      <c r="AU49" s="47">
        <f>[1]NIVEL4!AU13</f>
        <v>2</v>
      </c>
      <c r="AV49" s="47">
        <f>[1]NIVEL4!AV13</f>
        <v>0</v>
      </c>
      <c r="AW49" s="47">
        <f>[1]NIVEL4!AW13</f>
        <v>2</v>
      </c>
    </row>
    <row r="50" spans="1:49" x14ac:dyDescent="0.25">
      <c r="A50" s="185" t="str">
        <f>[1]NIVEL4!A14</f>
        <v>AEPED</v>
      </c>
      <c r="B50" s="186">
        <f>[1]NIVEL4!B14</f>
        <v>4</v>
      </c>
      <c r="C50" s="187">
        <f>[1]NIVEL4!C14</f>
        <v>0</v>
      </c>
      <c r="D50" s="187">
        <f>[1]NIVEL4!D14</f>
        <v>0</v>
      </c>
      <c r="E50" s="187">
        <f>[1]NIVEL4!E14</f>
        <v>0</v>
      </c>
      <c r="F50" s="187">
        <f>[1]NIVEL4!F14</f>
        <v>0</v>
      </c>
      <c r="G50" s="188">
        <f>[1]NIVEL4!G14</f>
        <v>0</v>
      </c>
      <c r="H50" s="188">
        <f>[1]NIVEL4!H14</f>
        <v>0</v>
      </c>
      <c r="I50" s="187">
        <f>[1]NIVEL4!I14</f>
        <v>0</v>
      </c>
      <c r="J50" s="187">
        <f>[1]NIVEL4!J14</f>
        <v>0</v>
      </c>
      <c r="K50" s="187">
        <f>[1]NIVEL4!K14</f>
        <v>0</v>
      </c>
      <c r="L50" s="187">
        <f>[1]NIVEL4!L14</f>
        <v>0</v>
      </c>
      <c r="M50" s="188">
        <f>[1]NIVEL4!M14</f>
        <v>0</v>
      </c>
      <c r="N50" s="188">
        <f>[1]NIVEL4!N14</f>
        <v>0</v>
      </c>
      <c r="O50" s="188">
        <f>[1]NIVEL4!O14</f>
        <v>0</v>
      </c>
      <c r="P50" s="188">
        <f>[1]NIVEL4!P14</f>
        <v>0</v>
      </c>
      <c r="Q50" s="187">
        <f>[1]NIVEL4!Q14</f>
        <v>0</v>
      </c>
      <c r="R50" s="187">
        <f>[1]NIVEL4!R14</f>
        <v>0</v>
      </c>
      <c r="S50" s="187">
        <f>[1]NIVEL4!S14</f>
        <v>1</v>
      </c>
      <c r="T50" s="187">
        <f>[1]NIVEL4!T14</f>
        <v>0</v>
      </c>
      <c r="U50" s="188">
        <f>[1]NIVEL4!U14</f>
        <v>0</v>
      </c>
      <c r="V50" s="188">
        <f>[1]NIVEL4!V14</f>
        <v>0</v>
      </c>
      <c r="W50" s="188">
        <f>[1]NIVEL4!W14</f>
        <v>0</v>
      </c>
      <c r="X50" s="188">
        <f>[1]NIVEL4!X14</f>
        <v>0</v>
      </c>
      <c r="Y50" s="187">
        <f>[1]NIVEL4!Y14</f>
        <v>0</v>
      </c>
      <c r="Z50" s="187">
        <f>[1]NIVEL4!Z14</f>
        <v>0</v>
      </c>
      <c r="AA50" s="187">
        <f>[1]NIVEL4!AA14</f>
        <v>1</v>
      </c>
      <c r="AB50" s="187">
        <f>[1]NIVEL4!AB14</f>
        <v>0</v>
      </c>
      <c r="AC50" s="188">
        <f>[1]NIVEL4!AC14</f>
        <v>0</v>
      </c>
      <c r="AD50" s="188">
        <f>[1]NIVEL4!AD14</f>
        <v>0</v>
      </c>
      <c r="AE50" s="188">
        <f>[1]NIVEL4!AE14</f>
        <v>1</v>
      </c>
      <c r="AF50" s="188">
        <f>[1]NIVEL4!AF14</f>
        <v>0</v>
      </c>
      <c r="AG50" s="187">
        <f>[1]NIVEL4!AG14</f>
        <v>1</v>
      </c>
      <c r="AH50" s="187">
        <f>[1]NIVEL4!AH14</f>
        <v>0</v>
      </c>
      <c r="AI50" s="187">
        <f>[1]NIVEL4!AI14</f>
        <v>0</v>
      </c>
      <c r="AJ50" s="187">
        <f>[1]NIVEL4!AJ14</f>
        <v>0</v>
      </c>
      <c r="AK50" s="187">
        <f>[1]NIVEL4!AK14</f>
        <v>0</v>
      </c>
      <c r="AL50" s="187">
        <f>[1]NIVEL4!AL14</f>
        <v>0</v>
      </c>
      <c r="AM50" s="187">
        <f>[1]NIVEL4!AM14</f>
        <v>0</v>
      </c>
      <c r="AN50" s="187">
        <f>[1]NIVEL4!AN14</f>
        <v>0</v>
      </c>
      <c r="AO50" s="47">
        <f>[1]NIVEL4!AO14</f>
        <v>4</v>
      </c>
      <c r="AP50" s="47">
        <f>[1]NIVEL4!AP14</f>
        <v>0</v>
      </c>
      <c r="AQ50" s="47">
        <f>[1]NIVEL4!AQ14</f>
        <v>4</v>
      </c>
      <c r="AR50" s="47">
        <f>[1]NIVEL4!AR14</f>
        <v>3</v>
      </c>
      <c r="AS50" s="47">
        <f>[1]NIVEL4!AS14</f>
        <v>0</v>
      </c>
      <c r="AT50" s="47">
        <f>[1]NIVEL4!AT14</f>
        <v>3</v>
      </c>
      <c r="AU50" s="47">
        <f>[1]NIVEL4!AU14</f>
        <v>1</v>
      </c>
      <c r="AV50" s="47">
        <f>[1]NIVEL4!AV14</f>
        <v>0</v>
      </c>
      <c r="AW50" s="47">
        <f>[1]NIVEL4!AW14</f>
        <v>1</v>
      </c>
    </row>
    <row r="51" spans="1:49" x14ac:dyDescent="0.25">
      <c r="A51" s="185" t="str">
        <f>[1]NIVEL4!A15</f>
        <v>SPE</v>
      </c>
      <c r="B51" s="186">
        <f>[1]NIVEL4!B15</f>
        <v>30</v>
      </c>
      <c r="C51" s="187">
        <f>[1]NIVEL4!C15</f>
        <v>0</v>
      </c>
      <c r="D51" s="187">
        <f>[1]NIVEL4!D15</f>
        <v>0</v>
      </c>
      <c r="E51" s="187">
        <f>[1]NIVEL4!E15</f>
        <v>0</v>
      </c>
      <c r="F51" s="187">
        <f>[1]NIVEL4!F15</f>
        <v>0</v>
      </c>
      <c r="G51" s="188">
        <f>[1]NIVEL4!G15</f>
        <v>0</v>
      </c>
      <c r="H51" s="188">
        <f>[1]NIVEL4!H15</f>
        <v>0</v>
      </c>
      <c r="I51" s="187">
        <f>[1]NIVEL4!I15</f>
        <v>0</v>
      </c>
      <c r="J51" s="187">
        <f>[1]NIVEL4!J15</f>
        <v>0</v>
      </c>
      <c r="K51" s="187">
        <f>[1]NIVEL4!K15</f>
        <v>6</v>
      </c>
      <c r="L51" s="187">
        <f>[1]NIVEL4!L15</f>
        <v>0</v>
      </c>
      <c r="M51" s="188">
        <f>[1]NIVEL4!M15</f>
        <v>0</v>
      </c>
      <c r="N51" s="188">
        <f>[1]NIVEL4!N15</f>
        <v>0</v>
      </c>
      <c r="O51" s="188">
        <f>[1]NIVEL4!O15</f>
        <v>3</v>
      </c>
      <c r="P51" s="188">
        <f>[1]NIVEL4!P15</f>
        <v>0</v>
      </c>
      <c r="Q51" s="187">
        <f>[1]NIVEL4!Q15</f>
        <v>0</v>
      </c>
      <c r="R51" s="187">
        <f>[1]NIVEL4!R15</f>
        <v>0</v>
      </c>
      <c r="S51" s="187">
        <f>[1]NIVEL4!S15</f>
        <v>2</v>
      </c>
      <c r="T51" s="187">
        <f>[1]NIVEL4!T15</f>
        <v>0</v>
      </c>
      <c r="U51" s="188">
        <f>[1]NIVEL4!U15</f>
        <v>0</v>
      </c>
      <c r="V51" s="188">
        <f>[1]NIVEL4!V15</f>
        <v>0</v>
      </c>
      <c r="W51" s="188">
        <f>[1]NIVEL4!W15</f>
        <v>1</v>
      </c>
      <c r="X51" s="188">
        <f>[1]NIVEL4!X15</f>
        <v>0</v>
      </c>
      <c r="Y51" s="187">
        <f>[1]NIVEL4!Y15</f>
        <v>8</v>
      </c>
      <c r="Z51" s="187">
        <f>[1]NIVEL4!Z15</f>
        <v>0</v>
      </c>
      <c r="AA51" s="187">
        <f>[1]NIVEL4!AA15</f>
        <v>3</v>
      </c>
      <c r="AB51" s="187">
        <f>[1]NIVEL4!AB15</f>
        <v>0</v>
      </c>
      <c r="AC51" s="188">
        <f>[1]NIVEL4!AC15</f>
        <v>1</v>
      </c>
      <c r="AD51" s="188">
        <f>[1]NIVEL4!AD15</f>
        <v>0</v>
      </c>
      <c r="AE51" s="188">
        <f>[1]NIVEL4!AE15</f>
        <v>0</v>
      </c>
      <c r="AF51" s="188">
        <f>[1]NIVEL4!AF15</f>
        <v>0</v>
      </c>
      <c r="AG51" s="187">
        <f>[1]NIVEL4!AG15</f>
        <v>5</v>
      </c>
      <c r="AH51" s="187">
        <f>[1]NIVEL4!AH15</f>
        <v>0</v>
      </c>
      <c r="AI51" s="187">
        <f>[1]NIVEL4!AI15</f>
        <v>0</v>
      </c>
      <c r="AJ51" s="187">
        <f>[1]NIVEL4!AJ15</f>
        <v>0</v>
      </c>
      <c r="AK51" s="187">
        <f>[1]NIVEL4!AK15</f>
        <v>0</v>
      </c>
      <c r="AL51" s="187">
        <f>[1]NIVEL4!AL15</f>
        <v>1</v>
      </c>
      <c r="AM51" s="187">
        <f>[1]NIVEL4!AM15</f>
        <v>0</v>
      </c>
      <c r="AN51" s="187">
        <f>[1]NIVEL4!AN15</f>
        <v>0</v>
      </c>
      <c r="AO51" s="47">
        <f>[1]NIVEL4!AO15</f>
        <v>29</v>
      </c>
      <c r="AP51" s="47">
        <f>[1]NIVEL4!AP15</f>
        <v>1</v>
      </c>
      <c r="AQ51" s="47">
        <f>[1]NIVEL4!AQ15</f>
        <v>30</v>
      </c>
      <c r="AR51" s="47">
        <f>[1]NIVEL4!AR15</f>
        <v>24</v>
      </c>
      <c r="AS51" s="47">
        <f>[1]NIVEL4!AS15</f>
        <v>1</v>
      </c>
      <c r="AT51" s="47">
        <f>[1]NIVEL4!AT15</f>
        <v>25</v>
      </c>
      <c r="AU51" s="47">
        <f>[1]NIVEL4!AU15</f>
        <v>5</v>
      </c>
      <c r="AV51" s="47">
        <f>[1]NIVEL4!AV15</f>
        <v>0</v>
      </c>
      <c r="AW51" s="47">
        <f>[1]NIVEL4!AW15</f>
        <v>5</v>
      </c>
    </row>
    <row r="52" spans="1:49" x14ac:dyDescent="0.25">
      <c r="A52" s="185" t="str">
        <f>[1]NIVEL4!A16</f>
        <v>SEE</v>
      </c>
      <c r="B52" s="186">
        <f>[1]NIVEL4!B16</f>
        <v>32</v>
      </c>
      <c r="C52" s="187">
        <f>[1]NIVEL4!C16</f>
        <v>0</v>
      </c>
      <c r="D52" s="187">
        <f>[1]NIVEL4!D16</f>
        <v>0</v>
      </c>
      <c r="E52" s="187">
        <f>[1]NIVEL4!E16</f>
        <v>0</v>
      </c>
      <c r="F52" s="187">
        <f>[1]NIVEL4!F16</f>
        <v>0</v>
      </c>
      <c r="G52" s="188">
        <f>[1]NIVEL4!G16</f>
        <v>0</v>
      </c>
      <c r="H52" s="188">
        <f>[1]NIVEL4!H16</f>
        <v>0</v>
      </c>
      <c r="I52" s="187">
        <f>[1]NIVEL4!I16</f>
        <v>0</v>
      </c>
      <c r="J52" s="187">
        <f>[1]NIVEL4!J16</f>
        <v>0</v>
      </c>
      <c r="K52" s="187">
        <f>[1]NIVEL4!K16</f>
        <v>10</v>
      </c>
      <c r="L52" s="187">
        <f>[1]NIVEL4!L16</f>
        <v>1</v>
      </c>
      <c r="M52" s="188">
        <f>[1]NIVEL4!M16</f>
        <v>0</v>
      </c>
      <c r="N52" s="188">
        <f>[1]NIVEL4!N16</f>
        <v>0</v>
      </c>
      <c r="O52" s="188">
        <f>[1]NIVEL4!O16</f>
        <v>0</v>
      </c>
      <c r="P52" s="188">
        <f>[1]NIVEL4!P16</f>
        <v>0</v>
      </c>
      <c r="Q52" s="187">
        <f>[1]NIVEL4!Q16</f>
        <v>0</v>
      </c>
      <c r="R52" s="187">
        <f>[1]NIVEL4!R16</f>
        <v>0</v>
      </c>
      <c r="S52" s="187">
        <f>[1]NIVEL4!S16</f>
        <v>2</v>
      </c>
      <c r="T52" s="187">
        <f>[1]NIVEL4!T16</f>
        <v>0</v>
      </c>
      <c r="U52" s="188">
        <f>[1]NIVEL4!U16</f>
        <v>0</v>
      </c>
      <c r="V52" s="188">
        <f>[1]NIVEL4!V16</f>
        <v>0</v>
      </c>
      <c r="W52" s="188">
        <f>[1]NIVEL4!W16</f>
        <v>2</v>
      </c>
      <c r="X52" s="188">
        <f>[1]NIVEL4!X16</f>
        <v>0</v>
      </c>
      <c r="Y52" s="187">
        <f>[1]NIVEL4!Y16</f>
        <v>8</v>
      </c>
      <c r="Z52" s="187">
        <f>[1]NIVEL4!Z16</f>
        <v>0</v>
      </c>
      <c r="AA52" s="187">
        <f>[1]NIVEL4!AA16</f>
        <v>1</v>
      </c>
      <c r="AB52" s="187">
        <f>[1]NIVEL4!AB16</f>
        <v>0</v>
      </c>
      <c r="AC52" s="188">
        <f>[1]NIVEL4!AC16</f>
        <v>2</v>
      </c>
      <c r="AD52" s="188">
        <f>[1]NIVEL4!AD16</f>
        <v>0</v>
      </c>
      <c r="AE52" s="188">
        <f>[1]NIVEL4!AE16</f>
        <v>0</v>
      </c>
      <c r="AF52" s="188">
        <f>[1]NIVEL4!AF16</f>
        <v>0</v>
      </c>
      <c r="AG52" s="187">
        <f>[1]NIVEL4!AG16</f>
        <v>5</v>
      </c>
      <c r="AH52" s="187">
        <f>[1]NIVEL4!AH16</f>
        <v>0</v>
      </c>
      <c r="AI52" s="187">
        <f>[1]NIVEL4!AI16</f>
        <v>0</v>
      </c>
      <c r="AJ52" s="187">
        <f>[1]NIVEL4!AJ16</f>
        <v>0</v>
      </c>
      <c r="AK52" s="187">
        <f>[1]NIVEL4!AK16</f>
        <v>1</v>
      </c>
      <c r="AL52" s="187">
        <f>[1]NIVEL4!AL16</f>
        <v>0</v>
      </c>
      <c r="AM52" s="187">
        <f>[1]NIVEL4!AM16</f>
        <v>0</v>
      </c>
      <c r="AN52" s="187">
        <f>[1]NIVEL4!AN16</f>
        <v>0</v>
      </c>
      <c r="AO52" s="47">
        <f>[1]NIVEL4!AO16</f>
        <v>31</v>
      </c>
      <c r="AP52" s="47">
        <f>[1]NIVEL4!AP16</f>
        <v>1</v>
      </c>
      <c r="AQ52" s="47">
        <f>[1]NIVEL4!AQ16</f>
        <v>32</v>
      </c>
      <c r="AR52" s="47">
        <f>[1]NIVEL4!AR16</f>
        <v>27</v>
      </c>
      <c r="AS52" s="47">
        <f>[1]NIVEL4!AS16</f>
        <v>1</v>
      </c>
      <c r="AT52" s="47">
        <f>[1]NIVEL4!AT16</f>
        <v>28</v>
      </c>
      <c r="AU52" s="47">
        <f>[1]NIVEL4!AU16</f>
        <v>4</v>
      </c>
      <c r="AV52" s="47">
        <f>[1]NIVEL4!AV16</f>
        <v>0</v>
      </c>
      <c r="AW52" s="47">
        <f>[1]NIVEL4!AW16</f>
        <v>4</v>
      </c>
    </row>
    <row r="53" spans="1:49" x14ac:dyDescent="0.25">
      <c r="A53" s="185" t="str">
        <f>[1]NIVEL4!A17</f>
        <v>SPG</v>
      </c>
      <c r="B53" s="186">
        <f>[1]NIVEL4!B17</f>
        <v>26</v>
      </c>
      <c r="C53" s="187">
        <f>[1]NIVEL4!C17</f>
        <v>0</v>
      </c>
      <c r="D53" s="187">
        <f>[1]NIVEL4!D17</f>
        <v>0</v>
      </c>
      <c r="E53" s="187">
        <f>[1]NIVEL4!E17</f>
        <v>0</v>
      </c>
      <c r="F53" s="187">
        <f>[1]NIVEL4!F17</f>
        <v>1</v>
      </c>
      <c r="G53" s="188">
        <f>[1]NIVEL4!G17</f>
        <v>0</v>
      </c>
      <c r="H53" s="188">
        <f>[1]NIVEL4!H17</f>
        <v>0</v>
      </c>
      <c r="I53" s="187">
        <f>[1]NIVEL4!I17</f>
        <v>0</v>
      </c>
      <c r="J53" s="187">
        <f>[1]NIVEL4!J17</f>
        <v>0</v>
      </c>
      <c r="K53" s="187">
        <f>[1]NIVEL4!K17</f>
        <v>2</v>
      </c>
      <c r="L53" s="187">
        <f>[1]NIVEL4!L17</f>
        <v>0</v>
      </c>
      <c r="M53" s="188">
        <f>[1]NIVEL4!M17</f>
        <v>0</v>
      </c>
      <c r="N53" s="188">
        <f>[1]NIVEL4!N17</f>
        <v>0</v>
      </c>
      <c r="O53" s="188">
        <f>[1]NIVEL4!O17</f>
        <v>4</v>
      </c>
      <c r="P53" s="188">
        <f>[1]NIVEL4!P17</f>
        <v>0</v>
      </c>
      <c r="Q53" s="187">
        <f>[1]NIVEL4!Q17</f>
        <v>0</v>
      </c>
      <c r="R53" s="187">
        <f>[1]NIVEL4!R17</f>
        <v>0</v>
      </c>
      <c r="S53" s="187">
        <f>[1]NIVEL4!S17</f>
        <v>1</v>
      </c>
      <c r="T53" s="187">
        <f>[1]NIVEL4!T17</f>
        <v>0</v>
      </c>
      <c r="U53" s="188">
        <f>[1]NIVEL4!U17</f>
        <v>0</v>
      </c>
      <c r="V53" s="188">
        <f>[1]NIVEL4!V17</f>
        <v>0</v>
      </c>
      <c r="W53" s="188">
        <f>[1]NIVEL4!W17</f>
        <v>0</v>
      </c>
      <c r="X53" s="188">
        <f>[1]NIVEL4!X17</f>
        <v>0</v>
      </c>
      <c r="Y53" s="187">
        <f>[1]NIVEL4!Y17</f>
        <v>10</v>
      </c>
      <c r="Z53" s="187">
        <f>[1]NIVEL4!Z17</f>
        <v>0</v>
      </c>
      <c r="AA53" s="187">
        <f>[1]NIVEL4!AA17</f>
        <v>2</v>
      </c>
      <c r="AB53" s="187">
        <f>[1]NIVEL4!AB17</f>
        <v>0</v>
      </c>
      <c r="AC53" s="188">
        <f>[1]NIVEL4!AC17</f>
        <v>0</v>
      </c>
      <c r="AD53" s="188">
        <f>[1]NIVEL4!AD17</f>
        <v>0</v>
      </c>
      <c r="AE53" s="188">
        <f>[1]NIVEL4!AE17</f>
        <v>0</v>
      </c>
      <c r="AF53" s="188">
        <f>[1]NIVEL4!AF17</f>
        <v>0</v>
      </c>
      <c r="AG53" s="187">
        <f>[1]NIVEL4!AG17</f>
        <v>4</v>
      </c>
      <c r="AH53" s="187">
        <f>[1]NIVEL4!AH17</f>
        <v>1</v>
      </c>
      <c r="AI53" s="187">
        <f>[1]NIVEL4!AI17</f>
        <v>0</v>
      </c>
      <c r="AJ53" s="187">
        <f>[1]NIVEL4!AJ17</f>
        <v>0</v>
      </c>
      <c r="AK53" s="187">
        <f>[1]NIVEL4!AK17</f>
        <v>1</v>
      </c>
      <c r="AL53" s="187">
        <f>[1]NIVEL4!AL17</f>
        <v>0</v>
      </c>
      <c r="AM53" s="187">
        <f>[1]NIVEL4!AM17</f>
        <v>0</v>
      </c>
      <c r="AN53" s="187">
        <f>[1]NIVEL4!AN17</f>
        <v>0</v>
      </c>
      <c r="AO53" s="47">
        <f>[1]NIVEL4!AO17</f>
        <v>24</v>
      </c>
      <c r="AP53" s="47">
        <f>[1]NIVEL4!AP17</f>
        <v>2</v>
      </c>
      <c r="AQ53" s="47">
        <f>[1]NIVEL4!AQ17</f>
        <v>26</v>
      </c>
      <c r="AR53" s="47">
        <f>[1]NIVEL4!AR17</f>
        <v>20</v>
      </c>
      <c r="AS53" s="47">
        <f>[1]NIVEL4!AS17</f>
        <v>2</v>
      </c>
      <c r="AT53" s="47">
        <f>[1]NIVEL4!AT17</f>
        <v>22</v>
      </c>
      <c r="AU53" s="47">
        <f>[1]NIVEL4!AU17</f>
        <v>4</v>
      </c>
      <c r="AV53" s="47">
        <f>[1]NIVEL4!AV17</f>
        <v>0</v>
      </c>
      <c r="AW53" s="47">
        <f>[1]NIVEL4!AW17</f>
        <v>4</v>
      </c>
    </row>
    <row r="54" spans="1:49" x14ac:dyDescent="0.25">
      <c r="A54" s="185" t="str">
        <f>[1]NIVEL4!A18</f>
        <v>SGM</v>
      </c>
      <c r="B54" s="186">
        <f>[1]NIVEL4!B18</f>
        <v>30</v>
      </c>
      <c r="C54" s="187">
        <f>[1]NIVEL4!C18</f>
        <v>0</v>
      </c>
      <c r="D54" s="187">
        <f>[1]NIVEL4!D18</f>
        <v>0</v>
      </c>
      <c r="E54" s="187">
        <f>[1]NIVEL4!E18</f>
        <v>1</v>
      </c>
      <c r="F54" s="187">
        <f>[1]NIVEL4!F18</f>
        <v>0</v>
      </c>
      <c r="G54" s="188">
        <f>[1]NIVEL4!G18</f>
        <v>0</v>
      </c>
      <c r="H54" s="188">
        <f>[1]NIVEL4!H18</f>
        <v>0</v>
      </c>
      <c r="I54" s="187">
        <f>[1]NIVEL4!I18</f>
        <v>0</v>
      </c>
      <c r="J54" s="187">
        <f>[1]NIVEL4!J18</f>
        <v>0</v>
      </c>
      <c r="K54" s="187">
        <f>[1]NIVEL4!K18</f>
        <v>7</v>
      </c>
      <c r="L54" s="187">
        <f>[1]NIVEL4!L18</f>
        <v>0</v>
      </c>
      <c r="M54" s="188">
        <f>[1]NIVEL4!M18</f>
        <v>0</v>
      </c>
      <c r="N54" s="188">
        <f>[1]NIVEL4!N18</f>
        <v>0</v>
      </c>
      <c r="O54" s="188">
        <f>[1]NIVEL4!O18</f>
        <v>4</v>
      </c>
      <c r="P54" s="188">
        <f>[1]NIVEL4!P18</f>
        <v>0</v>
      </c>
      <c r="Q54" s="187">
        <f>[1]NIVEL4!Q18</f>
        <v>0</v>
      </c>
      <c r="R54" s="187">
        <f>[1]NIVEL4!R18</f>
        <v>0</v>
      </c>
      <c r="S54" s="187">
        <f>[1]NIVEL4!S18</f>
        <v>2</v>
      </c>
      <c r="T54" s="187">
        <f>[1]NIVEL4!T18</f>
        <v>0</v>
      </c>
      <c r="U54" s="188">
        <f>[1]NIVEL4!U18</f>
        <v>0</v>
      </c>
      <c r="V54" s="188">
        <f>[1]NIVEL4!V18</f>
        <v>0</v>
      </c>
      <c r="W54" s="188">
        <f>[1]NIVEL4!W18</f>
        <v>2</v>
      </c>
      <c r="X54" s="188">
        <f>[1]NIVEL4!X18</f>
        <v>0</v>
      </c>
      <c r="Y54" s="187">
        <f>[1]NIVEL4!Y18</f>
        <v>4</v>
      </c>
      <c r="Z54" s="187">
        <f>[1]NIVEL4!Z18</f>
        <v>0</v>
      </c>
      <c r="AA54" s="187">
        <f>[1]NIVEL4!AA18</f>
        <v>0</v>
      </c>
      <c r="AB54" s="187">
        <f>[1]NIVEL4!AB18</f>
        <v>0</v>
      </c>
      <c r="AC54" s="188">
        <f>[1]NIVEL4!AC18</f>
        <v>4</v>
      </c>
      <c r="AD54" s="188">
        <f>[1]NIVEL4!AD18</f>
        <v>0</v>
      </c>
      <c r="AE54" s="188">
        <f>[1]NIVEL4!AE18</f>
        <v>0</v>
      </c>
      <c r="AF54" s="188">
        <f>[1]NIVEL4!AF18</f>
        <v>0</v>
      </c>
      <c r="AG54" s="187">
        <f>[1]NIVEL4!AG18</f>
        <v>5</v>
      </c>
      <c r="AH54" s="187">
        <f>[1]NIVEL4!AH18</f>
        <v>0</v>
      </c>
      <c r="AI54" s="187">
        <f>[1]NIVEL4!AI18</f>
        <v>0</v>
      </c>
      <c r="AJ54" s="187">
        <f>[1]NIVEL4!AJ18</f>
        <v>0</v>
      </c>
      <c r="AK54" s="187">
        <f>[1]NIVEL4!AK18</f>
        <v>1</v>
      </c>
      <c r="AL54" s="187">
        <f>[1]NIVEL4!AL18</f>
        <v>0</v>
      </c>
      <c r="AM54" s="187">
        <f>[1]NIVEL4!AM18</f>
        <v>0</v>
      </c>
      <c r="AN54" s="187">
        <f>[1]NIVEL4!AN18</f>
        <v>0</v>
      </c>
      <c r="AO54" s="47">
        <f>[1]NIVEL4!AO18</f>
        <v>30</v>
      </c>
      <c r="AP54" s="47">
        <f>[1]NIVEL4!AP18</f>
        <v>0</v>
      </c>
      <c r="AQ54" s="47">
        <f>[1]NIVEL4!AQ18</f>
        <v>30</v>
      </c>
      <c r="AR54" s="47">
        <f>[1]NIVEL4!AR18</f>
        <v>20</v>
      </c>
      <c r="AS54" s="47">
        <f>[1]NIVEL4!AS18</f>
        <v>0</v>
      </c>
      <c r="AT54" s="47">
        <f>[1]NIVEL4!AT18</f>
        <v>20</v>
      </c>
      <c r="AU54" s="47">
        <f>[1]NIVEL4!AU18</f>
        <v>10</v>
      </c>
      <c r="AV54" s="47">
        <f>[1]NIVEL4!AV18</f>
        <v>0</v>
      </c>
      <c r="AW54" s="47">
        <f>[1]NIVEL4!AW18</f>
        <v>10</v>
      </c>
    </row>
    <row r="55" spans="1:49" x14ac:dyDescent="0.25">
      <c r="A55" s="185" t="str">
        <f>[1]NIVEL4!A19</f>
        <v>ESCRITÓRIO RJ</v>
      </c>
      <c r="B55" s="186">
        <f>[1]NIVEL4!B19</f>
        <v>4</v>
      </c>
      <c r="C55" s="187">
        <f>[1]NIVEL4!C19</f>
        <v>0</v>
      </c>
      <c r="D55" s="187">
        <f>[1]NIVEL4!D19</f>
        <v>0</v>
      </c>
      <c r="E55" s="187">
        <f>[1]NIVEL4!E19</f>
        <v>0</v>
      </c>
      <c r="F55" s="187">
        <f>[1]NIVEL4!F19</f>
        <v>0</v>
      </c>
      <c r="G55" s="188">
        <f>[1]NIVEL4!G19</f>
        <v>0</v>
      </c>
      <c r="H55" s="188">
        <f>[1]NIVEL4!H19</f>
        <v>0</v>
      </c>
      <c r="I55" s="187">
        <f>[1]NIVEL4!I19</f>
        <v>0</v>
      </c>
      <c r="J55" s="187">
        <f>[1]NIVEL4!J19</f>
        <v>0</v>
      </c>
      <c r="K55" s="187">
        <f>[1]NIVEL4!K19</f>
        <v>0</v>
      </c>
      <c r="L55" s="187">
        <f>[1]NIVEL4!L19</f>
        <v>0</v>
      </c>
      <c r="M55" s="188">
        <f>[1]NIVEL4!M19</f>
        <v>0</v>
      </c>
      <c r="N55" s="188">
        <f>[1]NIVEL4!N19</f>
        <v>0</v>
      </c>
      <c r="O55" s="188">
        <f>[1]NIVEL4!O19</f>
        <v>0</v>
      </c>
      <c r="P55" s="188">
        <f>[1]NIVEL4!P19</f>
        <v>0</v>
      </c>
      <c r="Q55" s="187">
        <f>[1]NIVEL4!Q19</f>
        <v>0</v>
      </c>
      <c r="R55" s="187">
        <f>[1]NIVEL4!R19</f>
        <v>0</v>
      </c>
      <c r="S55" s="187">
        <f>[1]NIVEL4!S19</f>
        <v>3</v>
      </c>
      <c r="T55" s="187">
        <f>[1]NIVEL4!T19</f>
        <v>0</v>
      </c>
      <c r="U55" s="188">
        <f>[1]NIVEL4!U19</f>
        <v>0</v>
      </c>
      <c r="V55" s="188">
        <f>[1]NIVEL4!V19</f>
        <v>0</v>
      </c>
      <c r="W55" s="188">
        <f>[1]NIVEL4!W19</f>
        <v>0</v>
      </c>
      <c r="X55" s="188">
        <f>[1]NIVEL4!X19</f>
        <v>0</v>
      </c>
      <c r="Y55" s="187">
        <f>[1]NIVEL4!Y19</f>
        <v>1</v>
      </c>
      <c r="Z55" s="187">
        <f>[1]NIVEL4!Z19</f>
        <v>0</v>
      </c>
      <c r="AA55" s="187">
        <f>[1]NIVEL4!AA19</f>
        <v>0</v>
      </c>
      <c r="AB55" s="187">
        <f>[1]NIVEL4!AB19</f>
        <v>0</v>
      </c>
      <c r="AC55" s="188">
        <f>[1]NIVEL4!AC19</f>
        <v>0</v>
      </c>
      <c r="AD55" s="188">
        <f>[1]NIVEL4!AD19</f>
        <v>0</v>
      </c>
      <c r="AE55" s="188">
        <f>[1]NIVEL4!AE19</f>
        <v>0</v>
      </c>
      <c r="AF55" s="188">
        <f>[1]NIVEL4!AF19</f>
        <v>0</v>
      </c>
      <c r="AG55" s="187">
        <f>[1]NIVEL4!AG19</f>
        <v>0</v>
      </c>
      <c r="AH55" s="187">
        <f>[1]NIVEL4!AH19</f>
        <v>0</v>
      </c>
      <c r="AI55" s="187">
        <f>[1]NIVEL4!AI19</f>
        <v>0</v>
      </c>
      <c r="AJ55" s="187">
        <f>[1]NIVEL4!AJ19</f>
        <v>0</v>
      </c>
      <c r="AK55" s="187">
        <f>[1]NIVEL4!AK19</f>
        <v>0</v>
      </c>
      <c r="AL55" s="187">
        <f>[1]NIVEL4!AL19</f>
        <v>0</v>
      </c>
      <c r="AM55" s="187">
        <f>[1]NIVEL4!AM19</f>
        <v>0</v>
      </c>
      <c r="AN55" s="187">
        <f>[1]NIVEL4!AN19</f>
        <v>0</v>
      </c>
      <c r="AO55" s="47">
        <f>[1]NIVEL4!AO19</f>
        <v>4</v>
      </c>
      <c r="AP55" s="47">
        <f>[1]NIVEL4!AP19</f>
        <v>0</v>
      </c>
      <c r="AQ55" s="47">
        <f>[1]NIVEL4!AQ19</f>
        <v>4</v>
      </c>
      <c r="AR55" s="47">
        <f>[1]NIVEL4!AR19</f>
        <v>4</v>
      </c>
      <c r="AS55" s="47">
        <f>[1]NIVEL4!AS19</f>
        <v>0</v>
      </c>
      <c r="AT55" s="47">
        <f>[1]NIVEL4!AT19</f>
        <v>4</v>
      </c>
      <c r="AU55" s="47">
        <f>[1]NIVEL4!AU19</f>
        <v>0</v>
      </c>
      <c r="AV55" s="47">
        <f>[1]NIVEL4!AV19</f>
        <v>0</v>
      </c>
      <c r="AW55" s="47">
        <f>[1]NIVEL4!AW19</f>
        <v>0</v>
      </c>
    </row>
    <row r="56" spans="1:49" x14ac:dyDescent="0.25">
      <c r="A56" s="190" t="str">
        <f>[1]NIVEL4!A21</f>
        <v>TOTAL</v>
      </c>
      <c r="B56" s="191">
        <f>[1]NIVEL4!B21</f>
        <v>298</v>
      </c>
      <c r="C56" s="192">
        <f>[1]NIVEL4!C21</f>
        <v>1</v>
      </c>
      <c r="D56" s="192">
        <f>[1]NIVEL4!D21</f>
        <v>1</v>
      </c>
      <c r="E56" s="192">
        <f>[1]NIVEL4!E21</f>
        <v>13</v>
      </c>
      <c r="F56" s="192">
        <f>[1]NIVEL4!F21</f>
        <v>2</v>
      </c>
      <c r="G56" s="192">
        <f>[1]NIVEL4!G21</f>
        <v>13</v>
      </c>
      <c r="H56" s="192">
        <f>[1]NIVEL4!H21</f>
        <v>0</v>
      </c>
      <c r="I56" s="192">
        <f>[1]NIVEL4!I21</f>
        <v>10</v>
      </c>
      <c r="J56" s="192">
        <f>[1]NIVEL4!J21</f>
        <v>0</v>
      </c>
      <c r="K56" s="192">
        <f>[1]NIVEL4!K21</f>
        <v>52</v>
      </c>
      <c r="L56" s="192">
        <f>[1]NIVEL4!L21</f>
        <v>1</v>
      </c>
      <c r="M56" s="192">
        <f>[1]NIVEL4!M21</f>
        <v>2</v>
      </c>
      <c r="N56" s="192">
        <f>[1]NIVEL4!N21</f>
        <v>0</v>
      </c>
      <c r="O56" s="192">
        <f>[1]NIVEL4!O21</f>
        <v>20</v>
      </c>
      <c r="P56" s="192">
        <f>[1]NIVEL4!P21</f>
        <v>0</v>
      </c>
      <c r="Q56" s="192">
        <f>[1]NIVEL4!Q21</f>
        <v>13</v>
      </c>
      <c r="R56" s="192">
        <f>[1]NIVEL4!R21</f>
        <v>1</v>
      </c>
      <c r="S56" s="192">
        <f>[1]NIVEL4!S21</f>
        <v>24</v>
      </c>
      <c r="T56" s="192">
        <f>[1]NIVEL4!T21</f>
        <v>2</v>
      </c>
      <c r="U56" s="192">
        <f>[1]NIVEL4!U21</f>
        <v>4</v>
      </c>
      <c r="V56" s="192">
        <f>[1]NIVEL4!V21</f>
        <v>0</v>
      </c>
      <c r="W56" s="192">
        <f>[1]NIVEL4!W21</f>
        <v>7</v>
      </c>
      <c r="X56" s="192">
        <f>[1]NIVEL4!X21</f>
        <v>0</v>
      </c>
      <c r="Y56" s="192">
        <f>[1]NIVEL4!Y21</f>
        <v>43</v>
      </c>
      <c r="Z56" s="192">
        <f>[1]NIVEL4!Z21</f>
        <v>0</v>
      </c>
      <c r="AA56" s="192">
        <f>[1]NIVEL4!AA21</f>
        <v>25</v>
      </c>
      <c r="AB56" s="192">
        <f>[1]NIVEL4!AB21</f>
        <v>2</v>
      </c>
      <c r="AC56" s="192">
        <f>[1]NIVEL4!AC21</f>
        <v>14</v>
      </c>
      <c r="AD56" s="192">
        <f>[1]NIVEL4!AD21</f>
        <v>0</v>
      </c>
      <c r="AE56" s="192">
        <f>[1]NIVEL4!AE21</f>
        <v>2</v>
      </c>
      <c r="AF56" s="192">
        <f>[1]NIVEL4!AF21</f>
        <v>0</v>
      </c>
      <c r="AG56" s="192">
        <f>[1]NIVEL4!AG21</f>
        <v>33</v>
      </c>
      <c r="AH56" s="192">
        <f>[1]NIVEL4!AH21</f>
        <v>2</v>
      </c>
      <c r="AI56" s="192">
        <f>[1]NIVEL4!AI21</f>
        <v>5</v>
      </c>
      <c r="AJ56" s="192">
        <f>[1]NIVEL4!AJ21</f>
        <v>0</v>
      </c>
      <c r="AK56" s="192">
        <f>[1]NIVEL4!AK21</f>
        <v>4</v>
      </c>
      <c r="AL56" s="192">
        <f>[1]NIVEL4!AL21</f>
        <v>1</v>
      </c>
      <c r="AM56" s="192">
        <f>[1]NIVEL4!AM21</f>
        <v>1</v>
      </c>
      <c r="AN56" s="192">
        <f>[1]NIVEL4!AN21</f>
        <v>0</v>
      </c>
      <c r="AO56" s="192">
        <f>[1]NIVEL4!AO21</f>
        <v>286</v>
      </c>
      <c r="AP56" s="192">
        <f>[1]NIVEL4!AP21</f>
        <v>12</v>
      </c>
      <c r="AQ56" s="192">
        <f>[1]NIVEL4!AQ21</f>
        <v>298</v>
      </c>
      <c r="AR56" s="192">
        <f>[1]NIVEL4!AR21</f>
        <v>224</v>
      </c>
      <c r="AS56" s="192">
        <f>[1]NIVEL4!AS21</f>
        <v>12</v>
      </c>
      <c r="AT56" s="192">
        <f>[1]NIVEL4!AT21</f>
        <v>236</v>
      </c>
      <c r="AU56" s="192">
        <f>[1]NIVEL4!AU21</f>
        <v>62</v>
      </c>
      <c r="AV56" s="192">
        <f>[1]NIVEL4!AV21</f>
        <v>0</v>
      </c>
      <c r="AW56" s="192">
        <f>[1]NIVEL4!AW21</f>
        <v>62</v>
      </c>
    </row>
    <row r="57" spans="1:49" x14ac:dyDescent="0.25">
      <c r="A57" s="558" t="str">
        <f>[1]NIVEL4!A22</f>
        <v>TOTAL</v>
      </c>
      <c r="B57" s="559"/>
      <c r="C57" s="551">
        <f>[1]NIVEL4!C22</f>
        <v>2</v>
      </c>
      <c r="D57" s="552"/>
      <c r="E57" s="551">
        <f>[1]NIVEL4!E22</f>
        <v>15</v>
      </c>
      <c r="F57" s="552"/>
      <c r="G57" s="551">
        <f>[1]NIVEL4!G22</f>
        <v>13</v>
      </c>
      <c r="H57" s="552"/>
      <c r="I57" s="551">
        <f>[1]NIVEL4!I22</f>
        <v>10</v>
      </c>
      <c r="J57" s="552"/>
      <c r="K57" s="551">
        <f>[1]NIVEL4!K22</f>
        <v>53</v>
      </c>
      <c r="L57" s="552"/>
      <c r="M57" s="551">
        <f>[1]NIVEL4!M22</f>
        <v>2</v>
      </c>
      <c r="N57" s="552"/>
      <c r="O57" s="551">
        <f>[1]NIVEL4!O22</f>
        <v>20</v>
      </c>
      <c r="P57" s="552"/>
      <c r="Q57" s="551">
        <f>[1]NIVEL4!Q22</f>
        <v>14</v>
      </c>
      <c r="R57" s="552"/>
      <c r="S57" s="551">
        <f>[1]NIVEL4!S22</f>
        <v>26</v>
      </c>
      <c r="T57" s="552"/>
      <c r="U57" s="551">
        <f>[1]NIVEL4!U22</f>
        <v>4</v>
      </c>
      <c r="V57" s="552"/>
      <c r="W57" s="551">
        <f>[1]NIVEL4!W22</f>
        <v>7</v>
      </c>
      <c r="X57" s="552"/>
      <c r="Y57" s="551">
        <f>[1]NIVEL4!Y22</f>
        <v>43</v>
      </c>
      <c r="Z57" s="552"/>
      <c r="AA57" s="551">
        <f>[1]NIVEL4!AA22</f>
        <v>27</v>
      </c>
      <c r="AB57" s="552"/>
      <c r="AC57" s="551">
        <f>[1]NIVEL4!AC22</f>
        <v>14</v>
      </c>
      <c r="AD57" s="552"/>
      <c r="AE57" s="551">
        <f>[1]NIVEL4!AE22</f>
        <v>2</v>
      </c>
      <c r="AF57" s="552"/>
      <c r="AG57" s="551">
        <f>[1]NIVEL4!AG22</f>
        <v>35</v>
      </c>
      <c r="AH57" s="552"/>
      <c r="AI57" s="551">
        <f>[1]NIVEL4!AI22</f>
        <v>5</v>
      </c>
      <c r="AJ57" s="552"/>
      <c r="AK57" s="551">
        <f>[1]NIVEL4!AK22</f>
        <v>5</v>
      </c>
      <c r="AL57" s="552"/>
      <c r="AM57" s="551">
        <f>[1]NIVEL4!AM22</f>
        <v>1</v>
      </c>
      <c r="AN57" s="552"/>
      <c r="AO57" s="189"/>
      <c r="AP57" s="189"/>
      <c r="AQ57" s="189"/>
      <c r="AR57" s="189"/>
      <c r="AS57" s="189"/>
      <c r="AT57" s="189"/>
      <c r="AU57" s="189"/>
      <c r="AV57" s="189"/>
      <c r="AW57" s="189"/>
    </row>
    <row r="58" spans="1:49" x14ac:dyDescent="0.25"/>
  </sheetData>
  <sheetProtection sheet="1" objects="1" scenarios="1"/>
  <mergeCells count="85">
    <mergeCell ref="T36:V36"/>
    <mergeCell ref="W36:Y36"/>
    <mergeCell ref="C36:H36"/>
    <mergeCell ref="J21:J22"/>
    <mergeCell ref="K21:K22"/>
    <mergeCell ref="L21:Q21"/>
    <mergeCell ref="L36:Q36"/>
    <mergeCell ref="S21:S22"/>
    <mergeCell ref="Z3:AB3"/>
    <mergeCell ref="W18:Y18"/>
    <mergeCell ref="Z18:AB18"/>
    <mergeCell ref="A21:A22"/>
    <mergeCell ref="B21:B22"/>
    <mergeCell ref="C21:H21"/>
    <mergeCell ref="T21:V21"/>
    <mergeCell ref="W21:Y21"/>
    <mergeCell ref="N3:N4"/>
    <mergeCell ref="O3:O4"/>
    <mergeCell ref="P18:Q18"/>
    <mergeCell ref="R18:T18"/>
    <mergeCell ref="V3:V4"/>
    <mergeCell ref="W3:Y3"/>
    <mergeCell ref="A3:A4"/>
    <mergeCell ref="B3:B4"/>
    <mergeCell ref="C3:I3"/>
    <mergeCell ref="J3:L3"/>
    <mergeCell ref="C18:I18"/>
    <mergeCell ref="J18:L18"/>
    <mergeCell ref="A40:A43"/>
    <mergeCell ref="B40:B43"/>
    <mergeCell ref="C40:AW40"/>
    <mergeCell ref="C41:F41"/>
    <mergeCell ref="G41:H41"/>
    <mergeCell ref="I41:L41"/>
    <mergeCell ref="M41:P41"/>
    <mergeCell ref="Q41:T41"/>
    <mergeCell ref="U41:X41"/>
    <mergeCell ref="Y41:AB41"/>
    <mergeCell ref="AC41:AF41"/>
    <mergeCell ref="AG41:AJ41"/>
    <mergeCell ref="AK41:AL41"/>
    <mergeCell ref="AM41:AN41"/>
    <mergeCell ref="AO41:AQ42"/>
    <mergeCell ref="AR41:AT42"/>
    <mergeCell ref="AU41:AW42"/>
    <mergeCell ref="C42:D42"/>
    <mergeCell ref="E42:F42"/>
    <mergeCell ref="G42:H42"/>
    <mergeCell ref="I42:J42"/>
    <mergeCell ref="K42:L42"/>
    <mergeCell ref="Y42:Z42"/>
    <mergeCell ref="AA42:AB42"/>
    <mergeCell ref="AC42:AD42"/>
    <mergeCell ref="AE42:AF42"/>
    <mergeCell ref="M42:N42"/>
    <mergeCell ref="O42:P42"/>
    <mergeCell ref="Q42:R42"/>
    <mergeCell ref="S42:T42"/>
    <mergeCell ref="U42:V42"/>
    <mergeCell ref="Q57:R57"/>
    <mergeCell ref="S57:T57"/>
    <mergeCell ref="U57:V57"/>
    <mergeCell ref="W57:X57"/>
    <mergeCell ref="W42:X42"/>
    <mergeCell ref="G57:H57"/>
    <mergeCell ref="I57:J57"/>
    <mergeCell ref="K57:L57"/>
    <mergeCell ref="M57:N57"/>
    <mergeCell ref="O57:P57"/>
    <mergeCell ref="AI57:AJ57"/>
    <mergeCell ref="AK57:AL57"/>
    <mergeCell ref="AM57:AN57"/>
    <mergeCell ref="A1:AB1"/>
    <mergeCell ref="Y57:Z57"/>
    <mergeCell ref="AA57:AB57"/>
    <mergeCell ref="AC57:AD57"/>
    <mergeCell ref="AE57:AF57"/>
    <mergeCell ref="AG57:AH57"/>
    <mergeCell ref="AG42:AH42"/>
    <mergeCell ref="AI42:AJ42"/>
    <mergeCell ref="AK42:AL42"/>
    <mergeCell ref="AM42:AN42"/>
    <mergeCell ref="A57:B57"/>
    <mergeCell ref="C57:D57"/>
    <mergeCell ref="E57:F57"/>
  </mergeCells>
  <pageMargins left="0.511811024" right="0.511811024" top="0.78740157499999996" bottom="0.78740157499999996" header="0.31496062000000002" footer="0.31496062000000002"/>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dimension ref="A1:AO51"/>
  <sheetViews>
    <sheetView showGridLines="0" workbookViewId="0">
      <selection sqref="A1:W1"/>
    </sheetView>
  </sheetViews>
  <sheetFormatPr defaultColWidth="0" defaultRowHeight="15" zeroHeight="1" x14ac:dyDescent="0.25"/>
  <cols>
    <col min="1" max="1" width="18.140625" customWidth="1"/>
    <col min="2" max="2" width="15.28515625" customWidth="1"/>
    <col min="3" max="6" width="12.7109375" customWidth="1"/>
    <col min="7" max="8" width="9.140625" customWidth="1"/>
    <col min="9" max="9" width="14.7109375" customWidth="1"/>
    <col min="10" max="15" width="12.7109375" customWidth="1"/>
    <col min="16" max="40" width="9.140625" customWidth="1"/>
    <col min="41" max="41" width="4" customWidth="1"/>
    <col min="42" max="16384" width="9.140625" hidden="1"/>
  </cols>
  <sheetData>
    <row r="1" spans="1:23" ht="54.75" customHeight="1" x14ac:dyDescent="0.25">
      <c r="A1" s="598" t="s">
        <v>14</v>
      </c>
      <c r="B1" s="599"/>
      <c r="C1" s="599"/>
      <c r="D1" s="599"/>
      <c r="E1" s="599"/>
      <c r="F1" s="599"/>
      <c r="G1" s="599"/>
      <c r="H1" s="599"/>
      <c r="I1" s="599"/>
      <c r="J1" s="599"/>
      <c r="K1" s="599"/>
      <c r="L1" s="599"/>
      <c r="M1" s="599"/>
      <c r="N1" s="599"/>
      <c r="O1" s="599"/>
      <c r="P1" s="599"/>
      <c r="Q1" s="599"/>
      <c r="R1" s="599"/>
      <c r="S1" s="599"/>
      <c r="T1" s="599"/>
      <c r="U1" s="599"/>
      <c r="V1" s="599"/>
      <c r="W1" s="599"/>
    </row>
    <row r="2" spans="1:23" x14ac:dyDescent="0.25"/>
    <row r="3" spans="1:23" x14ac:dyDescent="0.25">
      <c r="A3" s="62"/>
      <c r="B3" s="592" t="str">
        <f>[1]UNITÁRIO!B2</f>
        <v>DAS/FCPE UNITÁRIO</v>
      </c>
      <c r="C3" s="497" t="str">
        <f>[1]UNITÁRIO!C2</f>
        <v>SITUAÇÃO ATUAL</v>
      </c>
      <c r="D3" s="497"/>
      <c r="E3" s="594"/>
      <c r="F3" s="62"/>
      <c r="H3" s="98" t="str">
        <f>[1]UNITÁRIO!A60</f>
        <v>Unidade</v>
      </c>
      <c r="I3" s="569" t="str">
        <f>[1]UNITÁRIO!B60</f>
        <v>QUADRO RESUMO</v>
      </c>
      <c r="J3" s="570"/>
      <c r="K3" s="570"/>
      <c r="L3" s="570"/>
      <c r="M3" s="570"/>
      <c r="N3" s="571"/>
    </row>
    <row r="4" spans="1:23" ht="30" customHeight="1" x14ac:dyDescent="0.25">
      <c r="A4" s="63" t="str">
        <f>[1]UNITÁRIO!A3</f>
        <v>CÓDIGO</v>
      </c>
      <c r="B4" s="593"/>
      <c r="C4" s="45" t="str">
        <f>[1]UNITÁRIO!C3</f>
        <v>QTD.</v>
      </c>
      <c r="D4" s="45" t="str">
        <f>[1]UNITÁRIO!D3</f>
        <v>% QTD.</v>
      </c>
      <c r="E4" s="64" t="str">
        <f>[1]UNITÁRIO!E3</f>
        <v>VALOR TOTAL</v>
      </c>
      <c r="F4" s="65" t="str">
        <f>[1]UNITÁRIO!F3</f>
        <v>% VALOR TOTAL</v>
      </c>
      <c r="H4" s="99"/>
      <c r="I4" s="587" t="str">
        <f>[1]UNITÁRIO!B61</f>
        <v>Total Custo Unitário DAS/FCPE</v>
      </c>
      <c r="J4" s="587" t="str">
        <f>[1]UNITÁRIO!C61</f>
        <v>% Total Custo Unitário DAS/FCPE</v>
      </c>
      <c r="K4" s="587" t="str">
        <f>[1]UNITÁRIO!D61</f>
        <v>TOTAL DAS + FCPE</v>
      </c>
      <c r="L4" s="587" t="str">
        <f>[1]UNITÁRIO!E61</f>
        <v>% TOTAL DAS + FCPE</v>
      </c>
      <c r="M4" s="587" t="str">
        <f>[1]UNITÁRIO!F61</f>
        <v>TOTAL      DAS</v>
      </c>
      <c r="N4" s="587" t="str">
        <f>[1]UNITÁRIO!G61</f>
        <v>TOTAL     FCPE</v>
      </c>
    </row>
    <row r="5" spans="1:23" x14ac:dyDescent="0.25">
      <c r="A5" s="66" t="str">
        <f>[1]UNITÁRIO!A4</f>
        <v>NE</v>
      </c>
      <c r="B5" s="67">
        <f>[1]UNITÁRIO!B4</f>
        <v>6.41</v>
      </c>
      <c r="C5" s="51">
        <f>[1]UNITÁRIO!C4</f>
        <v>1</v>
      </c>
      <c r="D5" s="68">
        <f>[1]UNITÁRIO!D4</f>
        <v>2.6666666666666666E-3</v>
      </c>
      <c r="E5" s="69">
        <f>[1]UNITÁRIO!E4</f>
        <v>6.41</v>
      </c>
      <c r="F5" s="70">
        <f>[1]UNITÁRIO!F4</f>
        <v>8.2205835203590927E-3</v>
      </c>
      <c r="H5" s="89"/>
      <c r="I5" s="600"/>
      <c r="J5" s="600"/>
      <c r="K5" s="600"/>
      <c r="L5" s="600"/>
      <c r="M5" s="600"/>
      <c r="N5" s="600"/>
    </row>
    <row r="6" spans="1:23" x14ac:dyDescent="0.25">
      <c r="A6" s="66" t="str">
        <f>[1]UNITÁRIO!A5</f>
        <v>DAS 101.6</v>
      </c>
      <c r="B6" s="67">
        <f>[1]UNITÁRIO!B5</f>
        <v>6.27</v>
      </c>
      <c r="C6" s="51">
        <f>[1]UNITÁRIO!C5</f>
        <v>5</v>
      </c>
      <c r="D6" s="68">
        <f>[1]UNITÁRIO!D5</f>
        <v>1.3333333333333334E-2</v>
      </c>
      <c r="E6" s="69">
        <f>[1]UNITÁRIO!E5</f>
        <v>31.349999999999998</v>
      </c>
      <c r="F6" s="68">
        <f>[1]UNITÁRIO!F5</f>
        <v>4.020519397242707E-2</v>
      </c>
      <c r="H6" s="82" t="str">
        <f>[1]UNITÁRIO!A63</f>
        <v xml:space="preserve">GM </v>
      </c>
      <c r="I6" s="77">
        <f>[1]UNITÁRIO!B63</f>
        <v>126.09</v>
      </c>
      <c r="J6" s="77">
        <f>[1]UNITÁRIO!C63</f>
        <v>16.496369464250673</v>
      </c>
      <c r="K6" s="83">
        <f>[1]UNITÁRIO!D63</f>
        <v>51</v>
      </c>
      <c r="L6" s="84">
        <f>[1]UNITÁRIO!E63</f>
        <v>17.114093959731544</v>
      </c>
      <c r="M6" s="83">
        <f>[1]UNITÁRIO!F63</f>
        <v>40</v>
      </c>
      <c r="N6" s="85">
        <f>[1]UNITÁRIO!G63</f>
        <v>11</v>
      </c>
    </row>
    <row r="7" spans="1:23" x14ac:dyDescent="0.25">
      <c r="A7" s="66" t="str">
        <f>[1]UNITÁRIO!A6</f>
        <v>DAS 101.5</v>
      </c>
      <c r="B7" s="67">
        <f>[1]UNITÁRIO!B6</f>
        <v>5.04</v>
      </c>
      <c r="C7" s="51">
        <f>[1]UNITÁRIO!C6</f>
        <v>35</v>
      </c>
      <c r="D7" s="68">
        <f>[1]UNITÁRIO!D6</f>
        <v>9.3333333333333338E-2</v>
      </c>
      <c r="E7" s="69">
        <f>[1]UNITÁRIO!E6</f>
        <v>176.4</v>
      </c>
      <c r="F7" s="68">
        <f>[1]UNITÁRIO!F6</f>
        <v>0.22622635460083368</v>
      </c>
      <c r="H7" s="82" t="str">
        <f>[1]UNITÁRIO!A64</f>
        <v>SE</v>
      </c>
      <c r="I7" s="77">
        <f>[1]UNITÁRIO!B64</f>
        <v>194.28</v>
      </c>
      <c r="J7" s="77">
        <f>[1]UNITÁRIO!C64</f>
        <v>25.41767514881926</v>
      </c>
      <c r="K7" s="83">
        <f>[1]UNITÁRIO!D64</f>
        <v>91</v>
      </c>
      <c r="L7" s="84">
        <f>[1]UNITÁRIO!E64</f>
        <v>30.536912751677853</v>
      </c>
      <c r="M7" s="83">
        <f>[1]UNITÁRIO!F64</f>
        <v>73</v>
      </c>
      <c r="N7" s="85">
        <f>[1]UNITÁRIO!G64</f>
        <v>18</v>
      </c>
    </row>
    <row r="8" spans="1:23" x14ac:dyDescent="0.25">
      <c r="A8" s="66" t="str">
        <f>[1]UNITÁRIO!A7</f>
        <v>DAS 101.4</v>
      </c>
      <c r="B8" s="67">
        <f>[1]UNITÁRIO!B7</f>
        <v>3.84</v>
      </c>
      <c r="C8" s="51">
        <f>[1]UNITÁRIO!C7</f>
        <v>43</v>
      </c>
      <c r="D8" s="68">
        <f>[1]UNITÁRIO!D7</f>
        <v>0.11466666666666667</v>
      </c>
      <c r="E8" s="69">
        <f>[1]UNITÁRIO!E7</f>
        <v>165.12</v>
      </c>
      <c r="F8" s="68">
        <f>[1]UNITÁRIO!F7</f>
        <v>0.21176017954472595</v>
      </c>
      <c r="H8" s="82" t="str">
        <f>[1]UNITÁRIO!A65</f>
        <v>CONJUR</v>
      </c>
      <c r="I8" s="77">
        <f>[1]UNITÁRIO!B65</f>
        <v>26.409999999999997</v>
      </c>
      <c r="J8" s="77">
        <f>[1]UNITÁRIO!C65</f>
        <v>3.4552233924249363</v>
      </c>
      <c r="K8" s="83">
        <f>[1]UNITÁRIO!D65</f>
        <v>14</v>
      </c>
      <c r="L8" s="84">
        <f>[1]UNITÁRIO!E65</f>
        <v>4.6979865771812079</v>
      </c>
      <c r="M8" s="83">
        <f>[1]UNITÁRIO!F65</f>
        <v>8</v>
      </c>
      <c r="N8" s="85">
        <f>[1]UNITÁRIO!G65</f>
        <v>6</v>
      </c>
    </row>
    <row r="9" spans="1:23" x14ac:dyDescent="0.25">
      <c r="A9" s="66" t="str">
        <f>[1]UNITÁRIO!A8</f>
        <v>DAS 101.3</v>
      </c>
      <c r="B9" s="67">
        <f>[1]UNITÁRIO!B8</f>
        <v>2.1</v>
      </c>
      <c r="C9" s="51">
        <f>[1]UNITÁRIO!C8</f>
        <v>14</v>
      </c>
      <c r="D9" s="68">
        <f>[1]UNITÁRIO!D8</f>
        <v>3.7333333333333336E-2</v>
      </c>
      <c r="E9" s="69">
        <f>[1]UNITÁRIO!E8</f>
        <v>29.400000000000002</v>
      </c>
      <c r="F9" s="68">
        <f>[1]UNITÁRIO!F8</f>
        <v>3.7704392433472282E-2</v>
      </c>
      <c r="H9" s="82" t="str">
        <f>[1]UNITÁRIO!A66</f>
        <v>ASSEC</v>
      </c>
      <c r="I9" s="77">
        <f>[1]UNITÁRIO!B66</f>
        <v>30.54</v>
      </c>
      <c r="J9" s="77">
        <f>[1]UNITÁRIO!C66</f>
        <v>3.9955517760188402</v>
      </c>
      <c r="K9" s="83">
        <f>[1]UNITÁRIO!D66</f>
        <v>9</v>
      </c>
      <c r="L9" s="84">
        <f>[1]UNITÁRIO!E66</f>
        <v>3.0201342281879193</v>
      </c>
      <c r="M9" s="83">
        <f>[1]UNITÁRIO!F66</f>
        <v>9</v>
      </c>
      <c r="N9" s="85">
        <f>[1]UNITÁRIO!G66</f>
        <v>0</v>
      </c>
    </row>
    <row r="10" spans="1:23" x14ac:dyDescent="0.25">
      <c r="A10" s="66" t="str">
        <f>[1]UNITÁRIO!A9</f>
        <v>DAS 101.2</v>
      </c>
      <c r="B10" s="67">
        <f>[1]UNITÁRIO!B9</f>
        <v>1.27</v>
      </c>
      <c r="C10" s="51">
        <f>[1]UNITÁRIO!C9</f>
        <v>10</v>
      </c>
      <c r="D10" s="68">
        <f>[1]UNITÁRIO!D9</f>
        <v>2.6666666666666668E-2</v>
      </c>
      <c r="E10" s="69">
        <f>[1]UNITÁRIO!E9</f>
        <v>12.7</v>
      </c>
      <c r="F10" s="68">
        <f>[1]UNITÁRIO!F9</f>
        <v>1.6287271561397889E-2</v>
      </c>
      <c r="H10" s="82" t="str">
        <f>[1]UNITÁRIO!A67</f>
        <v>ASSINT</v>
      </c>
      <c r="I10" s="77">
        <f>[1]UNITÁRIO!B67</f>
        <v>10.91</v>
      </c>
      <c r="J10" s="77">
        <f>[1]UNITÁRIO!C67</f>
        <v>1.427356577484137</v>
      </c>
      <c r="K10" s="83">
        <f>[1]UNITÁRIO!D67</f>
        <v>4</v>
      </c>
      <c r="L10" s="84">
        <f>[1]UNITÁRIO!E67</f>
        <v>1.3422818791946309</v>
      </c>
      <c r="M10" s="83">
        <f>[1]UNITÁRIO!F67</f>
        <v>3</v>
      </c>
      <c r="N10" s="85">
        <f>[1]UNITÁRIO!G67</f>
        <v>1</v>
      </c>
    </row>
    <row r="11" spans="1:23" x14ac:dyDescent="0.25">
      <c r="A11" s="66" t="str">
        <f>[1]UNITÁRIO!A10</f>
        <v>DAS 101.1</v>
      </c>
      <c r="B11" s="67">
        <f>[1]UNITÁRIO!B10</f>
        <v>1</v>
      </c>
      <c r="C11" s="51">
        <f>[1]UNITÁRIO!C10</f>
        <v>2</v>
      </c>
      <c r="D11" s="68">
        <f>[1]UNITÁRIO!D10</f>
        <v>5.3333333333333332E-3</v>
      </c>
      <c r="E11" s="69">
        <f>[1]UNITÁRIO!E10</f>
        <v>2</v>
      </c>
      <c r="F11" s="68">
        <f>[1]UNITÁRIO!F10</f>
        <v>2.5649246553382504E-3</v>
      </c>
      <c r="H11" s="82" t="str">
        <f>[1]UNITÁRIO!A68</f>
        <v>AECI</v>
      </c>
      <c r="I11" s="77">
        <f>[1]UNITÁRIO!B68</f>
        <v>8.1</v>
      </c>
      <c r="J11" s="77">
        <f>[1]UNITÁRIO!C68</f>
        <v>1.0597239484529339</v>
      </c>
      <c r="K11" s="83">
        <f>[1]UNITÁRIO!D68</f>
        <v>3</v>
      </c>
      <c r="L11" s="84">
        <f>[1]UNITÁRIO!E68</f>
        <v>1.0067114093959733</v>
      </c>
      <c r="M11" s="83">
        <f>[1]UNITÁRIO!F68</f>
        <v>1</v>
      </c>
      <c r="N11" s="85">
        <f>[1]UNITÁRIO!G68</f>
        <v>2</v>
      </c>
    </row>
    <row r="12" spans="1:23" x14ac:dyDescent="0.25">
      <c r="A12" s="590"/>
      <c r="B12" s="595"/>
      <c r="C12" s="595"/>
      <c r="D12" s="595"/>
      <c r="E12" s="591"/>
      <c r="H12" s="82" t="str">
        <f>[1]UNITÁRIO!A69</f>
        <v>AEPED</v>
      </c>
      <c r="I12" s="77">
        <f>[1]UNITÁRIO!B69</f>
        <v>13.279999999999998</v>
      </c>
      <c r="J12" s="77">
        <f>[1]UNITÁRIO!C69</f>
        <v>1.7374239549944397</v>
      </c>
      <c r="K12" s="83">
        <f>[1]UNITÁRIO!D69</f>
        <v>4</v>
      </c>
      <c r="L12" s="84">
        <f>[1]UNITÁRIO!E69</f>
        <v>1.3422818791946309</v>
      </c>
      <c r="M12" s="83">
        <f>[1]UNITÁRIO!F69</f>
        <v>3</v>
      </c>
      <c r="N12" s="85">
        <f>[1]UNITÁRIO!G69</f>
        <v>1</v>
      </c>
    </row>
    <row r="13" spans="1:23" x14ac:dyDescent="0.25">
      <c r="A13" s="66" t="str">
        <f>[1]UNITÁRIO!A12</f>
        <v>DAS 102.5</v>
      </c>
      <c r="B13" s="67">
        <f>[1]UNITÁRIO!B12</f>
        <v>5.04</v>
      </c>
      <c r="C13" s="51">
        <f>[1]UNITÁRIO!C12</f>
        <v>5</v>
      </c>
      <c r="D13" s="68">
        <f>[1]UNITÁRIO!D12</f>
        <v>1.3333333333333334E-2</v>
      </c>
      <c r="E13" s="69">
        <f>[1]UNITÁRIO!E12</f>
        <v>25.2</v>
      </c>
      <c r="F13" s="68">
        <f>[1]UNITÁRIO!F12</f>
        <v>3.2318050657261954E-2</v>
      </c>
      <c r="H13" s="82" t="str">
        <f>[1]UNITÁRIO!A70</f>
        <v>SPE</v>
      </c>
      <c r="I13" s="77">
        <f>[1]UNITÁRIO!B70</f>
        <v>91.36999999999999</v>
      </c>
      <c r="J13" s="77">
        <f>[1]UNITÁRIO!C70</f>
        <v>11.953947798783279</v>
      </c>
      <c r="K13" s="83">
        <f>[1]UNITÁRIO!D70</f>
        <v>30</v>
      </c>
      <c r="L13" s="84">
        <f>[1]UNITÁRIO!E70</f>
        <v>10.067114093959731</v>
      </c>
      <c r="M13" s="83">
        <f>[1]UNITÁRIO!F70</f>
        <v>25</v>
      </c>
      <c r="N13" s="85">
        <f>[1]UNITÁRIO!G70</f>
        <v>5</v>
      </c>
    </row>
    <row r="14" spans="1:23" x14ac:dyDescent="0.25">
      <c r="A14" s="66" t="str">
        <f>[1]UNITÁRIO!A13</f>
        <v>DAS 102.4</v>
      </c>
      <c r="B14" s="67">
        <f>[1]UNITÁRIO!B13</f>
        <v>3.84</v>
      </c>
      <c r="C14" s="51">
        <f>[1]UNITÁRIO!C13</f>
        <v>27</v>
      </c>
      <c r="D14" s="68">
        <f>[1]UNITÁRIO!D13</f>
        <v>7.1999999999999995E-2</v>
      </c>
      <c r="E14" s="69">
        <f>[1]UNITÁRIO!E13</f>
        <v>103.67999999999999</v>
      </c>
      <c r="F14" s="68">
        <f>[1]UNITÁRIO!F13</f>
        <v>0.13296569413273487</v>
      </c>
      <c r="H14" s="82" t="str">
        <f>[1]UNITÁRIO!A71</f>
        <v>SEE</v>
      </c>
      <c r="I14" s="77">
        <f>[1]UNITÁRIO!B71</f>
        <v>91.32</v>
      </c>
      <c r="J14" s="77">
        <f>[1]UNITÁRIO!C71</f>
        <v>11.947406292928633</v>
      </c>
      <c r="K14" s="83">
        <f>[1]UNITÁRIO!D71</f>
        <v>32</v>
      </c>
      <c r="L14" s="84">
        <f>[1]UNITÁRIO!E71</f>
        <v>10.738255033557047</v>
      </c>
      <c r="M14" s="83">
        <f>[1]UNITÁRIO!F71</f>
        <v>28</v>
      </c>
      <c r="N14" s="85">
        <f>[1]UNITÁRIO!G71</f>
        <v>4</v>
      </c>
    </row>
    <row r="15" spans="1:23" x14ac:dyDescent="0.25">
      <c r="A15" s="66" t="str">
        <f>[1]UNITÁRIO!A14</f>
        <v>DAS 102.3</v>
      </c>
      <c r="B15" s="67">
        <f>[1]UNITÁRIO!B14</f>
        <v>2.1</v>
      </c>
      <c r="C15" s="51">
        <f>[1]UNITÁRIO!C14</f>
        <v>26</v>
      </c>
      <c r="D15" s="68">
        <f>[1]UNITÁRIO!D14</f>
        <v>6.933333333333333E-2</v>
      </c>
      <c r="E15" s="69">
        <f>[1]UNITÁRIO!E14</f>
        <v>54.6</v>
      </c>
      <c r="F15" s="68">
        <f>[1]UNITÁRIO!F14</f>
        <v>7.0022443090734229E-2</v>
      </c>
      <c r="H15" s="82" t="str">
        <f>[1]UNITÁRIO!A72</f>
        <v>SPG</v>
      </c>
      <c r="I15" s="77">
        <f>[1]UNITÁRIO!B72</f>
        <v>86.22999999999999</v>
      </c>
      <c r="J15" s="77">
        <f>[1]UNITÁRIO!C72</f>
        <v>11.281480996925492</v>
      </c>
      <c r="K15" s="83">
        <f>[1]UNITÁRIO!D72</f>
        <v>26</v>
      </c>
      <c r="L15" s="84">
        <f>[1]UNITÁRIO!E72</f>
        <v>8.724832214765101</v>
      </c>
      <c r="M15" s="83">
        <f>[1]UNITÁRIO!F72</f>
        <v>22</v>
      </c>
      <c r="N15" s="85">
        <f>[1]UNITÁRIO!G72</f>
        <v>4</v>
      </c>
    </row>
    <row r="16" spans="1:23" x14ac:dyDescent="0.25">
      <c r="A16" s="66" t="str">
        <f>[1]UNITÁRIO!A15</f>
        <v>DAS 102.2</v>
      </c>
      <c r="B16" s="67">
        <f>[1]UNITÁRIO!B15</f>
        <v>1.27</v>
      </c>
      <c r="C16" s="51">
        <f>[1]UNITÁRIO!C15</f>
        <v>53</v>
      </c>
      <c r="D16" s="68">
        <f>[1]UNITÁRIO!D15</f>
        <v>0.14133333333333334</v>
      </c>
      <c r="E16" s="69">
        <f>[1]UNITÁRIO!E15</f>
        <v>67.31</v>
      </c>
      <c r="F16" s="68">
        <f>[1]UNITÁRIO!F15</f>
        <v>8.6322539275408811E-2</v>
      </c>
      <c r="H16" s="82" t="str">
        <f>[1]UNITÁRIO!A73</f>
        <v>SGM</v>
      </c>
      <c r="I16" s="77">
        <f>[1]UNITÁRIO!B73</f>
        <v>75.679999999999993</v>
      </c>
      <c r="J16" s="77">
        <f>[1]UNITÁRIO!C73</f>
        <v>9.9012232615948186</v>
      </c>
      <c r="K16" s="83">
        <f>[1]UNITÁRIO!D73</f>
        <v>30</v>
      </c>
      <c r="L16" s="84">
        <f>[1]UNITÁRIO!E73</f>
        <v>10.067114093959731</v>
      </c>
      <c r="M16" s="83">
        <f>[1]UNITÁRIO!F73</f>
        <v>20</v>
      </c>
      <c r="N16" s="85">
        <f>[1]UNITÁRIO!G73</f>
        <v>10</v>
      </c>
    </row>
    <row r="17" spans="1:14" x14ac:dyDescent="0.25">
      <c r="A17" s="66" t="str">
        <f>[1]UNITÁRIO!A16</f>
        <v>DAS 102.1</v>
      </c>
      <c r="B17" s="67">
        <f>[1]UNITÁRIO!B16</f>
        <v>1</v>
      </c>
      <c r="C17" s="51">
        <f>[1]UNITÁRIO!C16</f>
        <v>15</v>
      </c>
      <c r="D17" s="68">
        <f>[1]UNITÁRIO!D16</f>
        <v>0.04</v>
      </c>
      <c r="E17" s="69">
        <f>[1]UNITÁRIO!E16</f>
        <v>15</v>
      </c>
      <c r="F17" s="68">
        <f>[1]UNITÁRIO!F16</f>
        <v>1.9236934915036877E-2</v>
      </c>
      <c r="H17" s="82" t="str">
        <f>[1]UNITÁRIO!A74</f>
        <v>ESCRITÓRIO RJ</v>
      </c>
      <c r="I17" s="77">
        <f>[1]UNITÁRIO!B74</f>
        <v>10.14</v>
      </c>
      <c r="J17" s="77">
        <f>[1]UNITÁRIO!C74</f>
        <v>1.3266173873225617</v>
      </c>
      <c r="K17" s="83">
        <f>[1]UNITÁRIO!D74</f>
        <v>4</v>
      </c>
      <c r="L17" s="84">
        <f>[1]UNITÁRIO!E74</f>
        <v>1.3422818791946309</v>
      </c>
      <c r="M17" s="83">
        <f>[1]UNITÁRIO!F74</f>
        <v>4</v>
      </c>
      <c r="N17" s="85">
        <f>[1]UNITÁRIO!G74</f>
        <v>0</v>
      </c>
    </row>
    <row r="18" spans="1:14" x14ac:dyDescent="0.25">
      <c r="A18" s="590" t="str">
        <f>[1]UNITÁRIO!A17</f>
        <v>SUBTOTAL DAS</v>
      </c>
      <c r="B18" s="591"/>
      <c r="C18" s="71">
        <f>[1]UNITÁRIO!C17</f>
        <v>236</v>
      </c>
      <c r="D18" s="72">
        <f>[1]UNITÁRIO!D17</f>
        <v>0.6293333333333333</v>
      </c>
      <c r="E18" s="73">
        <f>[1]UNITÁRIO!E17</f>
        <v>689.16999999999985</v>
      </c>
      <c r="F18" s="72"/>
      <c r="H18" s="86" t="str">
        <f>[1]UNITÁRIO!A76</f>
        <v>TOTAL</v>
      </c>
      <c r="I18" s="87">
        <f>[1]UNITÁRIO!B76</f>
        <v>764.34999999999991</v>
      </c>
      <c r="J18" s="88">
        <f>[1]UNITÁRIO!C76</f>
        <v>100.00000000000001</v>
      </c>
      <c r="K18" s="88">
        <f>[1]UNITÁRIO!D76</f>
        <v>298</v>
      </c>
      <c r="L18" s="88">
        <f>[1]UNITÁRIO!E76</f>
        <v>100.00000000000001</v>
      </c>
      <c r="M18" s="88">
        <f>[1]UNITÁRIO!F76</f>
        <v>236</v>
      </c>
      <c r="N18" s="88">
        <f>[1]UNITÁRIO!G76</f>
        <v>62</v>
      </c>
    </row>
    <row r="19" spans="1:14" x14ac:dyDescent="0.25">
      <c r="A19" s="66" t="str">
        <f>[1]UNITÁRIO!A18</f>
        <v>FCPE 101.4</v>
      </c>
      <c r="B19" s="74">
        <f>[1]UNITÁRIO!B18</f>
        <v>2.2999999999999998</v>
      </c>
      <c r="C19" s="75">
        <f>[1]UNITÁRIO!C18</f>
        <v>14</v>
      </c>
      <c r="D19" s="76">
        <f>[1]UNITÁRIO!D18</f>
        <v>3.7333333333333336E-2</v>
      </c>
      <c r="E19" s="74">
        <f>[1]UNITÁRIO!E18</f>
        <v>32.199999999999996</v>
      </c>
      <c r="F19" s="76">
        <f>[1]UNITÁRIO!F18</f>
        <v>4.1295286950945823E-2</v>
      </c>
    </row>
    <row r="20" spans="1:14" x14ac:dyDescent="0.25">
      <c r="A20" s="66" t="str">
        <f>[1]UNITÁRIO!A19</f>
        <v>FCPE 101.3</v>
      </c>
      <c r="B20" s="74">
        <f>[1]UNITÁRIO!B19</f>
        <v>1.26</v>
      </c>
      <c r="C20" s="75">
        <f>[1]UNITÁRIO!C19</f>
        <v>4</v>
      </c>
      <c r="D20" s="76">
        <f>[1]UNITÁRIO!D19</f>
        <v>1.0666666666666666E-2</v>
      </c>
      <c r="E20" s="74">
        <f>[1]UNITÁRIO!E19</f>
        <v>5.04</v>
      </c>
      <c r="F20" s="76">
        <f>[1]UNITÁRIO!F19</f>
        <v>6.4636101314523905E-3</v>
      </c>
    </row>
    <row r="21" spans="1:14" x14ac:dyDescent="0.25">
      <c r="A21" s="66" t="str">
        <f>[1]UNITÁRIO!A20</f>
        <v>FCPE 101.2</v>
      </c>
      <c r="B21" s="74">
        <f>[1]UNITÁRIO!B20</f>
        <v>0.76</v>
      </c>
      <c r="C21" s="75">
        <f>[1]UNITÁRIO!C20</f>
        <v>2</v>
      </c>
      <c r="D21" s="76">
        <f>[1]UNITÁRIO!D20</f>
        <v>5.3333333333333332E-3</v>
      </c>
      <c r="E21" s="74">
        <f>[1]UNITÁRIO!E20</f>
        <v>1.52</v>
      </c>
      <c r="F21" s="76">
        <f>[1]UNITÁRIO!F20</f>
        <v>1.9493427380570701E-3</v>
      </c>
    </row>
    <row r="22" spans="1:14" x14ac:dyDescent="0.25">
      <c r="A22" s="66" t="str">
        <f>[1]UNITÁRIO!A21</f>
        <v>FCPE 101.1</v>
      </c>
      <c r="B22" s="74">
        <f>[1]UNITÁRIO!B21</f>
        <v>0.6</v>
      </c>
      <c r="C22" s="75">
        <f>[1]UNITÁRIO!C21</f>
        <v>0</v>
      </c>
      <c r="D22" s="76">
        <f>[1]UNITÁRIO!D21</f>
        <v>0</v>
      </c>
      <c r="E22" s="74">
        <f>[1]UNITÁRIO!E21</f>
        <v>0</v>
      </c>
      <c r="F22" s="76">
        <f>[1]UNITÁRIO!F21</f>
        <v>0</v>
      </c>
    </row>
    <row r="23" spans="1:14" x14ac:dyDescent="0.25">
      <c r="A23" s="590"/>
      <c r="B23" s="595"/>
      <c r="C23" s="595"/>
      <c r="D23" s="595"/>
      <c r="E23" s="591"/>
    </row>
    <row r="24" spans="1:14" x14ac:dyDescent="0.25">
      <c r="A24" s="66" t="str">
        <f>[1]UNITÁRIO!A23</f>
        <v>FCPE 102.4</v>
      </c>
      <c r="B24" s="74">
        <f>[1]UNITÁRIO!B23</f>
        <v>2.2999999999999998</v>
      </c>
      <c r="C24" s="75">
        <f>[1]UNITÁRIO!C23</f>
        <v>2</v>
      </c>
      <c r="D24" s="76">
        <f>[1]UNITÁRIO!D23</f>
        <v>5.3333333333333332E-3</v>
      </c>
      <c r="E24" s="74">
        <f>[1]UNITÁRIO!E23</f>
        <v>4.5999999999999996</v>
      </c>
      <c r="F24" s="76">
        <f>[1]UNITÁRIO!F23</f>
        <v>5.8993267072779748E-3</v>
      </c>
    </row>
    <row r="25" spans="1:14" x14ac:dyDescent="0.25">
      <c r="A25" s="66" t="str">
        <f>[1]UNITÁRIO!A24</f>
        <v>FCPE 102.3</v>
      </c>
      <c r="B25" s="74">
        <f>[1]UNITÁRIO!B24</f>
        <v>1.26</v>
      </c>
      <c r="C25" s="75">
        <f>[1]UNITÁRIO!C24</f>
        <v>7</v>
      </c>
      <c r="D25" s="76">
        <f>[1]UNITÁRIO!D24</f>
        <v>1.8666666666666668E-2</v>
      </c>
      <c r="E25" s="74">
        <f>[1]UNITÁRIO!E24</f>
        <v>8.82</v>
      </c>
      <c r="F25" s="76">
        <f>[1]UNITÁRIO!F24</f>
        <v>1.1311317730041683E-2</v>
      </c>
    </row>
    <row r="26" spans="1:14" x14ac:dyDescent="0.25">
      <c r="A26" s="66" t="str">
        <f>[1]UNITÁRIO!A25</f>
        <v>FCPE 102.2</v>
      </c>
      <c r="B26" s="74">
        <f>[1]UNITÁRIO!B25</f>
        <v>0.76</v>
      </c>
      <c r="C26" s="75">
        <f>[1]UNITÁRIO!C25</f>
        <v>20</v>
      </c>
      <c r="D26" s="76">
        <f>[1]UNITÁRIO!D25</f>
        <v>5.3333333333333337E-2</v>
      </c>
      <c r="E26" s="74">
        <f>[1]UNITÁRIO!E25</f>
        <v>15.2</v>
      </c>
      <c r="F26" s="76">
        <f>[1]UNITÁRIO!F25</f>
        <v>1.9493427380570701E-2</v>
      </c>
    </row>
    <row r="27" spans="1:14" x14ac:dyDescent="0.25">
      <c r="A27" s="66" t="str">
        <f>[1]UNITÁRIO!A26</f>
        <v>FCPE 102.1</v>
      </c>
      <c r="B27" s="74">
        <f>[1]UNITÁRIO!B26</f>
        <v>0.6</v>
      </c>
      <c r="C27" s="75">
        <f>[1]UNITÁRIO!C26</f>
        <v>13</v>
      </c>
      <c r="D27" s="76">
        <f>[1]UNITÁRIO!D26</f>
        <v>3.4666666666666665E-2</v>
      </c>
      <c r="E27" s="74">
        <f>[1]UNITÁRIO!E26</f>
        <v>7.8</v>
      </c>
      <c r="F27" s="76">
        <f>[1]UNITÁRIO!F26</f>
        <v>1.0003206155819176E-2</v>
      </c>
    </row>
    <row r="28" spans="1:14" x14ac:dyDescent="0.25">
      <c r="A28" s="590" t="str">
        <f>[1]UNITÁRIO!A27</f>
        <v>SUBTOTAL FCPE</v>
      </c>
      <c r="B28" s="591"/>
      <c r="C28" s="71">
        <f>[1]UNITÁRIO!C27</f>
        <v>62</v>
      </c>
      <c r="D28" s="72">
        <f>[1]UNITÁRIO!D27</f>
        <v>0.16533333333333333</v>
      </c>
      <c r="E28" s="73">
        <f>[1]UNITÁRIO!E27</f>
        <v>75.179999999999993</v>
      </c>
      <c r="F28" s="72"/>
    </row>
    <row r="29" spans="1:14" x14ac:dyDescent="0.25">
      <c r="A29" s="66" t="str">
        <f>[1]UNITÁRIO!A28</f>
        <v>FG-1</v>
      </c>
      <c r="B29" s="67">
        <f>[1]UNITÁRIO!B28</f>
        <v>0.2</v>
      </c>
      <c r="C29" s="51">
        <f>[1]UNITÁRIO!C28</f>
        <v>77</v>
      </c>
      <c r="D29" s="68">
        <f>[1]UNITÁRIO!D28</f>
        <v>0.20533333333333334</v>
      </c>
      <c r="E29" s="69">
        <f>[1]UNITÁRIO!E28</f>
        <v>15.4</v>
      </c>
      <c r="F29" s="68">
        <f>[1]UNITÁRIO!F28</f>
        <v>1.9749919846104528E-2</v>
      </c>
    </row>
    <row r="30" spans="1:14" x14ac:dyDescent="0.25">
      <c r="A30" s="590" t="str">
        <f>[1]UNITÁRIO!A29</f>
        <v>SUBTOTAL FG</v>
      </c>
      <c r="B30" s="591"/>
      <c r="C30" s="71">
        <f>[1]UNITÁRIO!C29</f>
        <v>77</v>
      </c>
      <c r="D30" s="72">
        <f>[1]UNITÁRIO!D29</f>
        <v>0.20533333333333334</v>
      </c>
      <c r="E30" s="77">
        <f>[1]UNITÁRIO!E29</f>
        <v>15.4</v>
      </c>
      <c r="F30" s="72"/>
    </row>
    <row r="31" spans="1:14" ht="3.75" customHeight="1" x14ac:dyDescent="0.25">
      <c r="B31" s="78"/>
      <c r="C31" s="78"/>
      <c r="D31" s="78"/>
      <c r="E31" s="61"/>
    </row>
    <row r="32" spans="1:14" x14ac:dyDescent="0.25">
      <c r="A32" s="498" t="str">
        <f>[1]UNITÁRIO!A31</f>
        <v>TOTAL</v>
      </c>
      <c r="B32" s="499"/>
      <c r="C32" s="79">
        <f>[1]UNITÁRIO!C31</f>
        <v>375</v>
      </c>
      <c r="D32" s="80">
        <f>[1]UNITÁRIO!D31</f>
        <v>1</v>
      </c>
      <c r="E32" s="81">
        <f>[1]UNITÁRIO!E31</f>
        <v>779.74999999999977</v>
      </c>
      <c r="F32" s="80">
        <f>[1]UNITÁRIO!F31</f>
        <v>1.0000000000000002</v>
      </c>
    </row>
    <row r="33" spans="1:40" x14ac:dyDescent="0.25"/>
    <row r="34" spans="1:40" x14ac:dyDescent="0.25"/>
    <row r="35" spans="1:40" x14ac:dyDescent="0.25">
      <c r="A35" s="500" t="str">
        <f>[1]UNITÁRIO!A38</f>
        <v>Unidade</v>
      </c>
      <c r="B35" s="568" t="str">
        <f>[1]UNITÁRIO!B38</f>
        <v>Quadro Geral</v>
      </c>
      <c r="C35" s="568"/>
      <c r="D35" s="568"/>
      <c r="E35" s="568"/>
      <c r="F35" s="568"/>
      <c r="G35" s="568"/>
      <c r="H35" s="568"/>
      <c r="I35" s="568"/>
      <c r="J35" s="568"/>
      <c r="K35" s="568"/>
      <c r="L35" s="568"/>
      <c r="M35" s="568"/>
      <c r="N35" s="568"/>
      <c r="O35" s="568"/>
      <c r="P35" s="568"/>
      <c r="Q35" s="568"/>
      <c r="R35" s="568"/>
      <c r="S35" s="568"/>
      <c r="T35" s="568"/>
      <c r="U35" s="568"/>
      <c r="V35" s="568"/>
      <c r="W35" s="568"/>
      <c r="X35" s="568"/>
      <c r="Y35" s="568"/>
      <c r="Z35" s="568"/>
      <c r="AA35" s="568"/>
      <c r="AB35" s="568"/>
      <c r="AC35" s="568"/>
      <c r="AD35" s="568"/>
      <c r="AE35" s="568"/>
      <c r="AF35" s="568"/>
      <c r="AG35" s="568"/>
      <c r="AH35" s="568"/>
      <c r="AI35" s="568"/>
      <c r="AJ35" s="568"/>
      <c r="AK35" s="568"/>
      <c r="AL35" s="568"/>
      <c r="AM35" s="568"/>
      <c r="AN35" s="568"/>
    </row>
    <row r="36" spans="1:40" x14ac:dyDescent="0.25">
      <c r="A36" s="596"/>
      <c r="B36" s="569" t="str">
        <f>[1]UNITÁRIO!B39</f>
        <v>DAS 1</v>
      </c>
      <c r="C36" s="570"/>
      <c r="D36" s="571"/>
      <c r="E36" s="569" t="str">
        <f>[1]UNITÁRIO!E39</f>
        <v>FCPE 1</v>
      </c>
      <c r="F36" s="570"/>
      <c r="G36" s="571"/>
      <c r="H36" s="569" t="str">
        <f>[1]UNITÁRIO!H39</f>
        <v>DAS 2</v>
      </c>
      <c r="I36" s="570"/>
      <c r="J36" s="571"/>
      <c r="K36" s="569" t="str">
        <f>[1]UNITÁRIO!K39</f>
        <v>FCPE 2</v>
      </c>
      <c r="L36" s="570"/>
      <c r="M36" s="571"/>
      <c r="N36" s="597" t="str">
        <f>[1]UNITÁRIO!N39</f>
        <v>DAS 3</v>
      </c>
      <c r="O36" s="597"/>
      <c r="P36" s="597"/>
      <c r="Q36" s="569" t="str">
        <f>[1]UNITÁRIO!Q39</f>
        <v>FCPE 3</v>
      </c>
      <c r="R36" s="570"/>
      <c r="S36" s="571"/>
      <c r="T36" s="597" t="str">
        <f>[1]UNITÁRIO!T39</f>
        <v>DAS 4</v>
      </c>
      <c r="U36" s="597"/>
      <c r="V36" s="597"/>
      <c r="W36" s="569" t="str">
        <f>[1]UNITÁRIO!W39</f>
        <v>FCPE 4</v>
      </c>
      <c r="X36" s="570"/>
      <c r="Y36" s="571"/>
      <c r="Z36" s="597" t="str">
        <f>[1]UNITÁRIO!Z39</f>
        <v>DAS 5</v>
      </c>
      <c r="AA36" s="597"/>
      <c r="AB36" s="597"/>
      <c r="AC36" s="569" t="str">
        <f>[1]UNITÁRIO!AC39</f>
        <v>DAS 6</v>
      </c>
      <c r="AD36" s="570"/>
      <c r="AE36" s="571"/>
      <c r="AF36" s="569" t="str">
        <f>[1]UNITÁRIO!AF39</f>
        <v>NES</v>
      </c>
      <c r="AG36" s="570"/>
      <c r="AH36" s="571"/>
      <c r="AI36" s="497" t="str">
        <f>[1]UNITÁRIO!AI39</f>
        <v>Total Custo Unitário DAS/FCPE</v>
      </c>
      <c r="AJ36" s="497" t="str">
        <f>[1]UNITÁRIO!AJ39</f>
        <v>% Total Custo Unitário DAS/FCPE</v>
      </c>
      <c r="AK36" s="497" t="str">
        <f>[1]UNITÁRIO!AK39</f>
        <v>TOTAL DAS + FCPE</v>
      </c>
      <c r="AL36" s="497" t="str">
        <f>[1]UNITÁRIO!AL39</f>
        <v>% TOTAL DAS + FCPE</v>
      </c>
      <c r="AM36" s="497" t="str">
        <f>[1]UNITÁRIO!AM39</f>
        <v>TOTAL      DAS</v>
      </c>
      <c r="AN36" s="497" t="str">
        <f>[1]UNITÁRIO!AN39</f>
        <v>TOTAL     FCPE</v>
      </c>
    </row>
    <row r="37" spans="1:40" ht="45" x14ac:dyDescent="0.25">
      <c r="A37" s="501"/>
      <c r="B37" s="89" t="str">
        <f>[1]UNITÁRIO!B40</f>
        <v>QTD</v>
      </c>
      <c r="C37" s="90" t="str">
        <f>[1]UNITÁRIO!C40</f>
        <v>Valor Unitário</v>
      </c>
      <c r="D37" s="90" t="str">
        <f>[1]UNITÁRIO!D40</f>
        <v>% Valor Unitário ou QTD</v>
      </c>
      <c r="E37" s="89" t="str">
        <f>[1]UNITÁRIO!E40</f>
        <v>QTD</v>
      </c>
      <c r="F37" s="90" t="str">
        <f>[1]UNITÁRIO!F40</f>
        <v>Valor Unitário</v>
      </c>
      <c r="G37" s="90" t="str">
        <f>[1]UNITÁRIO!G40</f>
        <v>% Valor Unitário ou QTD</v>
      </c>
      <c r="H37" s="89" t="str">
        <f>[1]UNITÁRIO!H40</f>
        <v>QTD</v>
      </c>
      <c r="I37" s="90" t="str">
        <f>[1]UNITÁRIO!I40</f>
        <v>Valor Unitário</v>
      </c>
      <c r="J37" s="90" t="str">
        <f>[1]UNITÁRIO!J40</f>
        <v>% Valor Unitário ou QTD</v>
      </c>
      <c r="K37" s="89" t="str">
        <f>[1]UNITÁRIO!K40</f>
        <v>QTD</v>
      </c>
      <c r="L37" s="90" t="str">
        <f>[1]UNITÁRIO!L40</f>
        <v>Valor Unitário</v>
      </c>
      <c r="M37" s="90" t="str">
        <f>[1]UNITÁRIO!M40</f>
        <v>% Valor Unitário ou QTD</v>
      </c>
      <c r="N37" s="89" t="str">
        <f>[1]UNITÁRIO!N40</f>
        <v>QTD</v>
      </c>
      <c r="O37" s="90" t="str">
        <f>[1]UNITÁRIO!O40</f>
        <v>Valor Unitário</v>
      </c>
      <c r="P37" s="90" t="str">
        <f>[1]UNITÁRIO!P40</f>
        <v>% Valor Unitário ou QTD</v>
      </c>
      <c r="Q37" s="89" t="str">
        <f>[1]UNITÁRIO!Q40</f>
        <v>QTD</v>
      </c>
      <c r="R37" s="90" t="str">
        <f>[1]UNITÁRIO!R40</f>
        <v>Valor Unitário</v>
      </c>
      <c r="S37" s="90" t="str">
        <f>[1]UNITÁRIO!S40</f>
        <v>% Valor Unitário ou QTD</v>
      </c>
      <c r="T37" s="89" t="str">
        <f>[1]UNITÁRIO!T40</f>
        <v>QTD</v>
      </c>
      <c r="U37" s="90" t="str">
        <f>[1]UNITÁRIO!U40</f>
        <v>Valor Unitário</v>
      </c>
      <c r="V37" s="90" t="str">
        <f>[1]UNITÁRIO!V40</f>
        <v>% Valor Unitário ou QTD</v>
      </c>
      <c r="W37" s="89" t="str">
        <f>[1]UNITÁRIO!W40</f>
        <v>QTD</v>
      </c>
      <c r="X37" s="90" t="str">
        <f>[1]UNITÁRIO!X40</f>
        <v>Valor Unitário</v>
      </c>
      <c r="Y37" s="90" t="str">
        <f>[1]UNITÁRIO!Y40</f>
        <v>% Valor Unitário ou QTD</v>
      </c>
      <c r="Z37" s="89" t="str">
        <f>[1]UNITÁRIO!Z40</f>
        <v>QTD</v>
      </c>
      <c r="AA37" s="90" t="str">
        <f>[1]UNITÁRIO!AA40</f>
        <v>Valor Unitário</v>
      </c>
      <c r="AB37" s="90" t="str">
        <f>[1]UNITÁRIO!AB40</f>
        <v>% Valor Unitário ou QTD</v>
      </c>
      <c r="AC37" s="89" t="str">
        <f>[1]UNITÁRIO!AC40</f>
        <v>QTD</v>
      </c>
      <c r="AD37" s="90" t="str">
        <f>[1]UNITÁRIO!AD40</f>
        <v>Valor Unitário</v>
      </c>
      <c r="AE37" s="90" t="str">
        <f>[1]UNITÁRIO!AE40</f>
        <v>% Valor Unitário ou QTD</v>
      </c>
      <c r="AF37" s="89" t="str">
        <f>[1]UNITÁRIO!AF40</f>
        <v>QTD</v>
      </c>
      <c r="AG37" s="90" t="str">
        <f>[1]UNITÁRIO!AG40</f>
        <v>Valor Unitário</v>
      </c>
      <c r="AH37" s="90" t="str">
        <f>[1]UNITÁRIO!AH40</f>
        <v>% Valor Unitário ou QTD</v>
      </c>
      <c r="AI37" s="497"/>
      <c r="AJ37" s="497"/>
      <c r="AK37" s="497"/>
      <c r="AL37" s="497"/>
      <c r="AM37" s="497"/>
      <c r="AN37" s="497"/>
    </row>
    <row r="38" spans="1:40" x14ac:dyDescent="0.25">
      <c r="A38" s="82" t="str">
        <f>[1]UNITÁRIO!A41</f>
        <v xml:space="preserve">GM </v>
      </c>
      <c r="B38" s="91">
        <f>[1]UNITÁRIO!B41</f>
        <v>6</v>
      </c>
      <c r="C38" s="92">
        <f>[1]UNITÁRIO!C41</f>
        <v>6</v>
      </c>
      <c r="D38" s="92">
        <f>[1]UNITÁRIO!D41</f>
        <v>35.294117647058826</v>
      </c>
      <c r="E38" s="93">
        <f>[1]UNITÁRIO!E41</f>
        <v>5</v>
      </c>
      <c r="F38" s="94">
        <f>[1]UNITÁRIO!F41</f>
        <v>3</v>
      </c>
      <c r="G38" s="94">
        <f>[1]UNITÁRIO!G41</f>
        <v>38.46153846153846</v>
      </c>
      <c r="H38" s="91">
        <f>[1]UNITÁRIO!H41</f>
        <v>7</v>
      </c>
      <c r="I38" s="92">
        <f>[1]UNITÁRIO!I41</f>
        <v>8.89</v>
      </c>
      <c r="J38" s="92">
        <f>[1]UNITÁRIO!J41</f>
        <v>11.111111111111109</v>
      </c>
      <c r="K38" s="93">
        <f>[1]UNITÁRIO!K41</f>
        <v>3</v>
      </c>
      <c r="L38" s="94">
        <f>[1]UNITÁRIO!L41</f>
        <v>2.2800000000000002</v>
      </c>
      <c r="M38" s="94">
        <f>[1]UNITÁRIO!M41</f>
        <v>13.636363636363638</v>
      </c>
      <c r="N38" s="91">
        <f>[1]UNITÁRIO!N41</f>
        <v>7</v>
      </c>
      <c r="O38" s="92">
        <f>[1]UNITÁRIO!O41</f>
        <v>14.700000000000001</v>
      </c>
      <c r="P38" s="92">
        <f>[1]UNITÁRIO!P41</f>
        <v>17.5</v>
      </c>
      <c r="Q38" s="93">
        <f>[1]UNITÁRIO!Q41</f>
        <v>2</v>
      </c>
      <c r="R38" s="94">
        <f>[1]UNITÁRIO!R41</f>
        <v>2.52</v>
      </c>
      <c r="S38" s="94">
        <f>[1]UNITÁRIO!S41</f>
        <v>18.181818181818183</v>
      </c>
      <c r="T38" s="91">
        <f>[1]UNITÁRIO!T41</f>
        <v>12</v>
      </c>
      <c r="U38" s="92">
        <f>[1]UNITÁRIO!U41</f>
        <v>46.08</v>
      </c>
      <c r="V38" s="92">
        <f>[1]UNITÁRIO!V41</f>
        <v>17.142857142857142</v>
      </c>
      <c r="W38" s="93">
        <f>[1]UNITÁRIO!W41</f>
        <v>1</v>
      </c>
      <c r="X38" s="94">
        <f>[1]UNITÁRIO!X41</f>
        <v>2.2999999999999998</v>
      </c>
      <c r="Y38" s="94">
        <f>[1]UNITÁRIO!Y41</f>
        <v>6.25</v>
      </c>
      <c r="Z38" s="91">
        <f>[1]UNITÁRIO!Z41</f>
        <v>8</v>
      </c>
      <c r="AA38" s="92">
        <f>[1]UNITÁRIO!AA41</f>
        <v>40.32</v>
      </c>
      <c r="AB38" s="92">
        <f>[1]UNITÁRIO!AB41</f>
        <v>20</v>
      </c>
      <c r="AC38" s="91">
        <f>[1]UNITÁRIO!AC41</f>
        <v>0</v>
      </c>
      <c r="AD38" s="92">
        <f>[1]UNITÁRIO!AD41</f>
        <v>0</v>
      </c>
      <c r="AE38" s="92">
        <f>[1]UNITÁRIO!AE41</f>
        <v>0</v>
      </c>
      <c r="AF38" s="91">
        <f>[1]UNITÁRIO!AF41</f>
        <v>0</v>
      </c>
      <c r="AG38" s="92">
        <f>[1]UNITÁRIO!AG41</f>
        <v>0</v>
      </c>
      <c r="AH38" s="92">
        <f>[1]UNITÁRIO!AH41</f>
        <v>0</v>
      </c>
      <c r="AI38" s="95">
        <f>[1]UNITÁRIO!AI41</f>
        <v>126.09</v>
      </c>
      <c r="AJ38" s="95">
        <f>[1]UNITÁRIO!AJ41</f>
        <v>16.496369464250673</v>
      </c>
      <c r="AK38" s="96">
        <f>[1]UNITÁRIO!AK41</f>
        <v>51</v>
      </c>
      <c r="AL38" s="97">
        <f>[1]UNITÁRIO!AL41</f>
        <v>17.114093959731544</v>
      </c>
      <c r="AM38" s="96">
        <f>[1]UNITÁRIO!AM41</f>
        <v>40</v>
      </c>
      <c r="AN38" s="96">
        <f>[1]UNITÁRIO!AN41</f>
        <v>11</v>
      </c>
    </row>
    <row r="39" spans="1:40" x14ac:dyDescent="0.25">
      <c r="A39" s="82" t="str">
        <f>[1]UNITÁRIO!A42</f>
        <v>SE</v>
      </c>
      <c r="B39" s="91">
        <f>[1]UNITÁRIO!B42</f>
        <v>8</v>
      </c>
      <c r="C39" s="92">
        <f>[1]UNITÁRIO!C42</f>
        <v>8</v>
      </c>
      <c r="D39" s="92">
        <f>[1]UNITÁRIO!D42</f>
        <v>47.058823529411768</v>
      </c>
      <c r="E39" s="93">
        <f>[1]UNITÁRIO!E42</f>
        <v>8</v>
      </c>
      <c r="F39" s="94">
        <f>[1]UNITÁRIO!F42</f>
        <v>4.8</v>
      </c>
      <c r="G39" s="94">
        <f>[1]UNITÁRIO!G42</f>
        <v>61.53846153846154</v>
      </c>
      <c r="H39" s="91">
        <f>[1]UNITÁRIO!H42</f>
        <v>24</v>
      </c>
      <c r="I39" s="92">
        <f>[1]UNITÁRIO!I42</f>
        <v>30.48</v>
      </c>
      <c r="J39" s="92">
        <f>[1]UNITÁRIO!J42</f>
        <v>38.095238095238088</v>
      </c>
      <c r="K39" s="93">
        <f>[1]UNITÁRIO!K42</f>
        <v>5</v>
      </c>
      <c r="L39" s="94">
        <f>[1]UNITÁRIO!L42</f>
        <v>3.8</v>
      </c>
      <c r="M39" s="94">
        <f>[1]UNITÁRIO!M42</f>
        <v>22.72727272727273</v>
      </c>
      <c r="N39" s="91">
        <f>[1]UNITÁRIO!N42</f>
        <v>19</v>
      </c>
      <c r="O39" s="92">
        <f>[1]UNITÁRIO!O42</f>
        <v>39.9</v>
      </c>
      <c r="P39" s="92">
        <f>[1]UNITÁRIO!P42</f>
        <v>47.5</v>
      </c>
      <c r="Q39" s="93">
        <f>[1]UNITÁRIO!Q42</f>
        <v>2</v>
      </c>
      <c r="R39" s="94">
        <f>[1]UNITÁRIO!R42</f>
        <v>2.52</v>
      </c>
      <c r="S39" s="94">
        <f>[1]UNITÁRIO!S42</f>
        <v>18.181818181818183</v>
      </c>
      <c r="T39" s="91">
        <f>[1]UNITÁRIO!T42</f>
        <v>13</v>
      </c>
      <c r="U39" s="92">
        <f>[1]UNITÁRIO!U42</f>
        <v>49.92</v>
      </c>
      <c r="V39" s="92">
        <f>[1]UNITÁRIO!V42</f>
        <v>18.571428571428569</v>
      </c>
      <c r="W39" s="93">
        <f>[1]UNITÁRIO!W42</f>
        <v>3</v>
      </c>
      <c r="X39" s="94">
        <f>[1]UNITÁRIO!X42</f>
        <v>6.8999999999999995</v>
      </c>
      <c r="Y39" s="94">
        <f>[1]UNITÁRIO!Y42</f>
        <v>18.75</v>
      </c>
      <c r="Z39" s="91">
        <f>[1]UNITÁRIO!Z42</f>
        <v>7</v>
      </c>
      <c r="AA39" s="92">
        <f>[1]UNITÁRIO!AA42</f>
        <v>35.28</v>
      </c>
      <c r="AB39" s="92">
        <f>[1]UNITÁRIO!AB42</f>
        <v>17.5</v>
      </c>
      <c r="AC39" s="91">
        <f>[1]UNITÁRIO!AC42</f>
        <v>1</v>
      </c>
      <c r="AD39" s="92">
        <f>[1]UNITÁRIO!AD42</f>
        <v>6.27</v>
      </c>
      <c r="AE39" s="92">
        <f>[1]UNITÁRIO!AE42</f>
        <v>20</v>
      </c>
      <c r="AF39" s="91">
        <f>[1]UNITÁRIO!AF42</f>
        <v>1</v>
      </c>
      <c r="AG39" s="92">
        <f>[1]UNITÁRIO!AG42</f>
        <v>6.41</v>
      </c>
      <c r="AH39" s="92">
        <f>[1]UNITÁRIO!AH42</f>
        <v>100</v>
      </c>
      <c r="AI39" s="95">
        <f>[1]UNITÁRIO!AI42</f>
        <v>194.28</v>
      </c>
      <c r="AJ39" s="95">
        <f>[1]UNITÁRIO!AJ42</f>
        <v>25.41767514881926</v>
      </c>
      <c r="AK39" s="96">
        <f>[1]UNITÁRIO!AK42</f>
        <v>91</v>
      </c>
      <c r="AL39" s="97">
        <f>[1]UNITÁRIO!AL42</f>
        <v>30.536912751677853</v>
      </c>
      <c r="AM39" s="96">
        <f>[1]UNITÁRIO!AM42</f>
        <v>73</v>
      </c>
      <c r="AN39" s="96">
        <f>[1]UNITÁRIO!AN42</f>
        <v>18</v>
      </c>
    </row>
    <row r="40" spans="1:40" x14ac:dyDescent="0.25">
      <c r="A40" s="82" t="str">
        <f>[1]UNITÁRIO!A43</f>
        <v>CONJUR</v>
      </c>
      <c r="B40" s="91">
        <f>[1]UNITÁRIO!B43</f>
        <v>1</v>
      </c>
      <c r="C40" s="92">
        <f>[1]UNITÁRIO!C43</f>
        <v>1</v>
      </c>
      <c r="D40" s="92">
        <f>[1]UNITÁRIO!D43</f>
        <v>5.882352941176471</v>
      </c>
      <c r="E40" s="93">
        <f>[1]UNITÁRIO!E43</f>
        <v>0</v>
      </c>
      <c r="F40" s="94">
        <f>[1]UNITÁRIO!F43</f>
        <v>0</v>
      </c>
      <c r="G40" s="94">
        <f>[1]UNITÁRIO!G43</f>
        <v>0</v>
      </c>
      <c r="H40" s="91">
        <f>[1]UNITÁRIO!H43</f>
        <v>5</v>
      </c>
      <c r="I40" s="92">
        <f>[1]UNITÁRIO!I43</f>
        <v>6.35</v>
      </c>
      <c r="J40" s="92">
        <f>[1]UNITÁRIO!J43</f>
        <v>7.936507936507935</v>
      </c>
      <c r="K40" s="93">
        <f>[1]UNITÁRIO!K43</f>
        <v>1</v>
      </c>
      <c r="L40" s="94">
        <f>[1]UNITÁRIO!L43</f>
        <v>0.76</v>
      </c>
      <c r="M40" s="94">
        <f>[1]UNITÁRIO!M43</f>
        <v>4.5454545454545459</v>
      </c>
      <c r="N40" s="91">
        <f>[1]UNITÁRIO!N43</f>
        <v>0</v>
      </c>
      <c r="O40" s="92">
        <f>[1]UNITÁRIO!O43</f>
        <v>0</v>
      </c>
      <c r="P40" s="92">
        <f>[1]UNITÁRIO!P43</f>
        <v>0</v>
      </c>
      <c r="Q40" s="93">
        <f>[1]UNITÁRIO!Q43</f>
        <v>2</v>
      </c>
      <c r="R40" s="94">
        <f>[1]UNITÁRIO!R43</f>
        <v>2.52</v>
      </c>
      <c r="S40" s="94">
        <f>[1]UNITÁRIO!S43</f>
        <v>18.181818181818183</v>
      </c>
      <c r="T40" s="91">
        <f>[1]UNITÁRIO!T43</f>
        <v>1</v>
      </c>
      <c r="U40" s="92">
        <f>[1]UNITÁRIO!U43</f>
        <v>3.84</v>
      </c>
      <c r="V40" s="92">
        <f>[1]UNITÁRIO!V43</f>
        <v>1.4285714285714286</v>
      </c>
      <c r="W40" s="93">
        <f>[1]UNITÁRIO!W43</f>
        <v>3</v>
      </c>
      <c r="X40" s="94">
        <f>[1]UNITÁRIO!X43</f>
        <v>6.8999999999999995</v>
      </c>
      <c r="Y40" s="94">
        <f>[1]UNITÁRIO!Y43</f>
        <v>18.75</v>
      </c>
      <c r="Z40" s="91">
        <f>[1]UNITÁRIO!Z43</f>
        <v>1</v>
      </c>
      <c r="AA40" s="92">
        <f>[1]UNITÁRIO!AA43</f>
        <v>5.04</v>
      </c>
      <c r="AB40" s="92">
        <f>[1]UNITÁRIO!AB43</f>
        <v>2.5</v>
      </c>
      <c r="AC40" s="91">
        <f>[1]UNITÁRIO!AC43</f>
        <v>0</v>
      </c>
      <c r="AD40" s="92">
        <f>[1]UNITÁRIO!AD43</f>
        <v>0</v>
      </c>
      <c r="AE40" s="92">
        <f>[1]UNITÁRIO!AE43</f>
        <v>0</v>
      </c>
      <c r="AF40" s="91">
        <f>[1]UNITÁRIO!AF43</f>
        <v>0</v>
      </c>
      <c r="AG40" s="92">
        <f>[1]UNITÁRIO!AG43</f>
        <v>0</v>
      </c>
      <c r="AH40" s="92">
        <f>[1]UNITÁRIO!AH43</f>
        <v>0</v>
      </c>
      <c r="AI40" s="95">
        <f>[1]UNITÁRIO!AI43</f>
        <v>26.409999999999997</v>
      </c>
      <c r="AJ40" s="95">
        <f>[1]UNITÁRIO!AJ43</f>
        <v>3.4552233924249363</v>
      </c>
      <c r="AK40" s="96">
        <f>[1]UNITÁRIO!AK43</f>
        <v>14</v>
      </c>
      <c r="AL40" s="97">
        <f>[1]UNITÁRIO!AL43</f>
        <v>4.6979865771812079</v>
      </c>
      <c r="AM40" s="96">
        <f>[1]UNITÁRIO!AM43</f>
        <v>8</v>
      </c>
      <c r="AN40" s="96">
        <f>[1]UNITÁRIO!AN43</f>
        <v>6</v>
      </c>
    </row>
    <row r="41" spans="1:40" x14ac:dyDescent="0.25">
      <c r="A41" s="82" t="str">
        <f>[1]UNITÁRIO!A44</f>
        <v>ASSEC</v>
      </c>
      <c r="B41" s="91">
        <f>[1]UNITÁRIO!B44</f>
        <v>0</v>
      </c>
      <c r="C41" s="92">
        <f>[1]UNITÁRIO!C44</f>
        <v>0</v>
      </c>
      <c r="D41" s="92">
        <f>[1]UNITÁRIO!D44</f>
        <v>0</v>
      </c>
      <c r="E41" s="93">
        <f>[1]UNITÁRIO!E44</f>
        <v>0</v>
      </c>
      <c r="F41" s="94">
        <f>[1]UNITÁRIO!F44</f>
        <v>0</v>
      </c>
      <c r="G41" s="94">
        <f>[1]UNITÁRIO!G44</f>
        <v>0</v>
      </c>
      <c r="H41" s="91">
        <f>[1]UNITÁRIO!H44</f>
        <v>0</v>
      </c>
      <c r="I41" s="92">
        <f>[1]UNITÁRIO!I44</f>
        <v>0</v>
      </c>
      <c r="J41" s="92">
        <f>[1]UNITÁRIO!J44</f>
        <v>0</v>
      </c>
      <c r="K41" s="93">
        <f>[1]UNITÁRIO!K44</f>
        <v>0</v>
      </c>
      <c r="L41" s="94">
        <f>[1]UNITÁRIO!L44</f>
        <v>0</v>
      </c>
      <c r="M41" s="94">
        <f>[1]UNITÁRIO!M44</f>
        <v>0</v>
      </c>
      <c r="N41" s="91">
        <f>[1]UNITÁRIO!N44</f>
        <v>3</v>
      </c>
      <c r="O41" s="92">
        <f>[1]UNITÁRIO!O44</f>
        <v>6.3000000000000007</v>
      </c>
      <c r="P41" s="92">
        <f>[1]UNITÁRIO!P44</f>
        <v>7.5000000000000018</v>
      </c>
      <c r="Q41" s="93">
        <f>[1]UNITÁRIO!Q44</f>
        <v>0</v>
      </c>
      <c r="R41" s="94">
        <f>[1]UNITÁRIO!R44</f>
        <v>0</v>
      </c>
      <c r="S41" s="94">
        <f>[1]UNITÁRIO!S44</f>
        <v>0</v>
      </c>
      <c r="T41" s="91">
        <f>[1]UNITÁRIO!T44</f>
        <v>5</v>
      </c>
      <c r="U41" s="92">
        <f>[1]UNITÁRIO!U44</f>
        <v>19.2</v>
      </c>
      <c r="V41" s="92">
        <f>[1]UNITÁRIO!V44</f>
        <v>7.1428571428571423</v>
      </c>
      <c r="W41" s="93">
        <f>[1]UNITÁRIO!W44</f>
        <v>0</v>
      </c>
      <c r="X41" s="94">
        <f>[1]UNITÁRIO!X44</f>
        <v>0</v>
      </c>
      <c r="Y41" s="94">
        <f>[1]UNITÁRIO!Y44</f>
        <v>0</v>
      </c>
      <c r="Z41" s="91">
        <f>[1]UNITÁRIO!Z44</f>
        <v>1</v>
      </c>
      <c r="AA41" s="92">
        <f>[1]UNITÁRIO!AA44</f>
        <v>5.04</v>
      </c>
      <c r="AB41" s="92">
        <f>[1]UNITÁRIO!AB44</f>
        <v>2.5</v>
      </c>
      <c r="AC41" s="91">
        <f>[1]UNITÁRIO!AC44</f>
        <v>0</v>
      </c>
      <c r="AD41" s="92">
        <f>[1]UNITÁRIO!AD44</f>
        <v>0</v>
      </c>
      <c r="AE41" s="92">
        <f>[1]UNITÁRIO!AE44</f>
        <v>0</v>
      </c>
      <c r="AF41" s="91">
        <f>[1]UNITÁRIO!AF44</f>
        <v>0</v>
      </c>
      <c r="AG41" s="92">
        <f>[1]UNITÁRIO!AG44</f>
        <v>0</v>
      </c>
      <c r="AH41" s="92">
        <f>[1]UNITÁRIO!AH44</f>
        <v>0</v>
      </c>
      <c r="AI41" s="95">
        <f>[1]UNITÁRIO!AI44</f>
        <v>30.54</v>
      </c>
      <c r="AJ41" s="95">
        <f>[1]UNITÁRIO!AJ44</f>
        <v>3.9955517760188402</v>
      </c>
      <c r="AK41" s="96">
        <f>[1]UNITÁRIO!AK44</f>
        <v>9</v>
      </c>
      <c r="AL41" s="97">
        <f>[1]UNITÁRIO!AL44</f>
        <v>3.0201342281879193</v>
      </c>
      <c r="AM41" s="96">
        <f>[1]UNITÁRIO!AM44</f>
        <v>9</v>
      </c>
      <c r="AN41" s="96">
        <f>[1]UNITÁRIO!AN44</f>
        <v>0</v>
      </c>
    </row>
    <row r="42" spans="1:40" x14ac:dyDescent="0.25">
      <c r="A42" s="82" t="str">
        <f>[1]UNITÁRIO!A45</f>
        <v>ASSINT</v>
      </c>
      <c r="B42" s="91">
        <f>[1]UNITÁRIO!B45</f>
        <v>0</v>
      </c>
      <c r="C42" s="92">
        <f>[1]UNITÁRIO!C45</f>
        <v>0</v>
      </c>
      <c r="D42" s="92">
        <f>[1]UNITÁRIO!D45</f>
        <v>0</v>
      </c>
      <c r="E42" s="93">
        <f>[1]UNITÁRIO!E45</f>
        <v>0</v>
      </c>
      <c r="F42" s="94">
        <f>[1]UNITÁRIO!F45</f>
        <v>0</v>
      </c>
      <c r="G42" s="94">
        <f>[1]UNITÁRIO!G45</f>
        <v>0</v>
      </c>
      <c r="H42" s="91">
        <f>[1]UNITÁRIO!H45</f>
        <v>1</v>
      </c>
      <c r="I42" s="92">
        <f>[1]UNITÁRIO!I45</f>
        <v>1.27</v>
      </c>
      <c r="J42" s="92">
        <f>[1]UNITÁRIO!J45</f>
        <v>1.587301587301587</v>
      </c>
      <c r="K42" s="93">
        <f>[1]UNITÁRIO!K45</f>
        <v>1</v>
      </c>
      <c r="L42" s="94">
        <f>[1]UNITÁRIO!L45</f>
        <v>0.76</v>
      </c>
      <c r="M42" s="94">
        <f>[1]UNITÁRIO!M45</f>
        <v>4.5454545454545459</v>
      </c>
      <c r="N42" s="91">
        <f>[1]UNITÁRIO!N45</f>
        <v>0</v>
      </c>
      <c r="O42" s="92">
        <f>[1]UNITÁRIO!O45</f>
        <v>0</v>
      </c>
      <c r="P42" s="92">
        <f>[1]UNITÁRIO!P45</f>
        <v>0</v>
      </c>
      <c r="Q42" s="93">
        <f>[1]UNITÁRIO!Q45</f>
        <v>0</v>
      </c>
      <c r="R42" s="94">
        <f>[1]UNITÁRIO!R45</f>
        <v>0</v>
      </c>
      <c r="S42" s="94">
        <f>[1]UNITÁRIO!S45</f>
        <v>0</v>
      </c>
      <c r="T42" s="91">
        <f>[1]UNITÁRIO!T45</f>
        <v>1</v>
      </c>
      <c r="U42" s="92">
        <f>[1]UNITÁRIO!U45</f>
        <v>3.84</v>
      </c>
      <c r="V42" s="92">
        <f>[1]UNITÁRIO!V45</f>
        <v>1.4285714285714286</v>
      </c>
      <c r="W42" s="93">
        <f>[1]UNITÁRIO!W45</f>
        <v>0</v>
      </c>
      <c r="X42" s="94">
        <f>[1]UNITÁRIO!X45</f>
        <v>0</v>
      </c>
      <c r="Y42" s="94">
        <f>[1]UNITÁRIO!Y45</f>
        <v>0</v>
      </c>
      <c r="Z42" s="91">
        <f>[1]UNITÁRIO!Z45</f>
        <v>1</v>
      </c>
      <c r="AA42" s="92">
        <f>[1]UNITÁRIO!AA45</f>
        <v>5.04</v>
      </c>
      <c r="AB42" s="92">
        <f>[1]UNITÁRIO!AB45</f>
        <v>2.5</v>
      </c>
      <c r="AC42" s="91">
        <f>[1]UNITÁRIO!AC45</f>
        <v>0</v>
      </c>
      <c r="AD42" s="92">
        <f>[1]UNITÁRIO!AD45</f>
        <v>0</v>
      </c>
      <c r="AE42" s="92">
        <f>[1]UNITÁRIO!AE45</f>
        <v>0</v>
      </c>
      <c r="AF42" s="91">
        <f>[1]UNITÁRIO!AF45</f>
        <v>0</v>
      </c>
      <c r="AG42" s="92">
        <f>[1]UNITÁRIO!AG45</f>
        <v>0</v>
      </c>
      <c r="AH42" s="92">
        <f>[1]UNITÁRIO!AH45</f>
        <v>0</v>
      </c>
      <c r="AI42" s="95">
        <f>[1]UNITÁRIO!AI45</f>
        <v>10.91</v>
      </c>
      <c r="AJ42" s="95">
        <f>[1]UNITÁRIO!AJ45</f>
        <v>1.427356577484137</v>
      </c>
      <c r="AK42" s="96">
        <f>[1]UNITÁRIO!AK45</f>
        <v>4</v>
      </c>
      <c r="AL42" s="97">
        <f>[1]UNITÁRIO!AL45</f>
        <v>1.3422818791946309</v>
      </c>
      <c r="AM42" s="96">
        <f>[1]UNITÁRIO!AM45</f>
        <v>3</v>
      </c>
      <c r="AN42" s="96">
        <f>[1]UNITÁRIO!AN45</f>
        <v>1</v>
      </c>
    </row>
    <row r="43" spans="1:40" x14ac:dyDescent="0.25">
      <c r="A43" s="82" t="str">
        <f>[1]UNITÁRIO!A46</f>
        <v>AECI</v>
      </c>
      <c r="B43" s="91">
        <f>[1]UNITÁRIO!B46</f>
        <v>0</v>
      </c>
      <c r="C43" s="92">
        <f>[1]UNITÁRIO!C46</f>
        <v>0</v>
      </c>
      <c r="D43" s="92">
        <f>[1]UNITÁRIO!D46</f>
        <v>0</v>
      </c>
      <c r="E43" s="93">
        <f>[1]UNITÁRIO!E46</f>
        <v>0</v>
      </c>
      <c r="F43" s="94">
        <f>[1]UNITÁRIO!F46</f>
        <v>0</v>
      </c>
      <c r="G43" s="94">
        <f>[1]UNITÁRIO!G46</f>
        <v>0</v>
      </c>
      <c r="H43" s="91">
        <f>[1]UNITÁRIO!H46</f>
        <v>0</v>
      </c>
      <c r="I43" s="92">
        <f>[1]UNITÁRIO!I46</f>
        <v>0</v>
      </c>
      <c r="J43" s="92">
        <f>[1]UNITÁRIO!J46</f>
        <v>0</v>
      </c>
      <c r="K43" s="93">
        <f>[1]UNITÁRIO!K46</f>
        <v>1</v>
      </c>
      <c r="L43" s="94">
        <f>[1]UNITÁRIO!L46</f>
        <v>0.76</v>
      </c>
      <c r="M43" s="94">
        <f>[1]UNITÁRIO!M46</f>
        <v>4.5454545454545459</v>
      </c>
      <c r="N43" s="91">
        <f>[1]UNITÁRIO!N46</f>
        <v>0</v>
      </c>
      <c r="O43" s="92">
        <f>[1]UNITÁRIO!O46</f>
        <v>0</v>
      </c>
      <c r="P43" s="92">
        <f>[1]UNITÁRIO!P46</f>
        <v>0</v>
      </c>
      <c r="Q43" s="93">
        <f>[1]UNITÁRIO!Q46</f>
        <v>0</v>
      </c>
      <c r="R43" s="94">
        <f>[1]UNITÁRIO!R46</f>
        <v>0</v>
      </c>
      <c r="S43" s="94">
        <f>[1]UNITÁRIO!S46</f>
        <v>0</v>
      </c>
      <c r="T43" s="91">
        <f>[1]UNITÁRIO!T46</f>
        <v>0</v>
      </c>
      <c r="U43" s="92">
        <f>[1]UNITÁRIO!U46</f>
        <v>0</v>
      </c>
      <c r="V43" s="92">
        <f>[1]UNITÁRIO!V46</f>
        <v>0</v>
      </c>
      <c r="W43" s="93">
        <f>[1]UNITÁRIO!W46</f>
        <v>1</v>
      </c>
      <c r="X43" s="94">
        <f>[1]UNITÁRIO!X46</f>
        <v>2.2999999999999998</v>
      </c>
      <c r="Y43" s="94">
        <f>[1]UNITÁRIO!Y46</f>
        <v>6.25</v>
      </c>
      <c r="Z43" s="91">
        <f>[1]UNITÁRIO!Z46</f>
        <v>1</v>
      </c>
      <c r="AA43" s="92">
        <f>[1]UNITÁRIO!AA46</f>
        <v>5.04</v>
      </c>
      <c r="AB43" s="92">
        <f>[1]UNITÁRIO!AB46</f>
        <v>2.5</v>
      </c>
      <c r="AC43" s="91">
        <f>[1]UNITÁRIO!AC46</f>
        <v>0</v>
      </c>
      <c r="AD43" s="92">
        <f>[1]UNITÁRIO!AD46</f>
        <v>0</v>
      </c>
      <c r="AE43" s="92">
        <f>[1]UNITÁRIO!AE46</f>
        <v>0</v>
      </c>
      <c r="AF43" s="91">
        <f>[1]UNITÁRIO!AF46</f>
        <v>0</v>
      </c>
      <c r="AG43" s="92">
        <f>[1]UNITÁRIO!AG46</f>
        <v>0</v>
      </c>
      <c r="AH43" s="92">
        <f>[1]UNITÁRIO!AH46</f>
        <v>0</v>
      </c>
      <c r="AI43" s="95">
        <f>[1]UNITÁRIO!AI46</f>
        <v>8.1</v>
      </c>
      <c r="AJ43" s="95">
        <f>[1]UNITÁRIO!AJ46</f>
        <v>1.0597239484529339</v>
      </c>
      <c r="AK43" s="96">
        <f>[1]UNITÁRIO!AK46</f>
        <v>3</v>
      </c>
      <c r="AL43" s="97">
        <f>[1]UNITÁRIO!AL46</f>
        <v>1.0067114093959733</v>
      </c>
      <c r="AM43" s="96">
        <f>[1]UNITÁRIO!AM46</f>
        <v>1</v>
      </c>
      <c r="AN43" s="96">
        <f>[1]UNITÁRIO!AN46</f>
        <v>2</v>
      </c>
    </row>
    <row r="44" spans="1:40" x14ac:dyDescent="0.25">
      <c r="A44" s="82" t="str">
        <f>[1]UNITÁRIO!A47</f>
        <v>AEPED</v>
      </c>
      <c r="B44" s="91">
        <f>[1]UNITÁRIO!B47</f>
        <v>0</v>
      </c>
      <c r="C44" s="92">
        <f>[1]UNITÁRIO!C47</f>
        <v>0</v>
      </c>
      <c r="D44" s="92">
        <f>[1]UNITÁRIO!D47</f>
        <v>0</v>
      </c>
      <c r="E44" s="93">
        <f>[1]UNITÁRIO!E47</f>
        <v>0</v>
      </c>
      <c r="F44" s="94">
        <f>[1]UNITÁRIO!F47</f>
        <v>0</v>
      </c>
      <c r="G44" s="94">
        <f>[1]UNITÁRIO!G47</f>
        <v>0</v>
      </c>
      <c r="H44" s="91">
        <f>[1]UNITÁRIO!H47</f>
        <v>0</v>
      </c>
      <c r="I44" s="92">
        <f>[1]UNITÁRIO!I47</f>
        <v>0</v>
      </c>
      <c r="J44" s="92">
        <f>[1]UNITÁRIO!J47</f>
        <v>0</v>
      </c>
      <c r="K44" s="93">
        <f>[1]UNITÁRIO!K47</f>
        <v>0</v>
      </c>
      <c r="L44" s="94">
        <f>[1]UNITÁRIO!L47</f>
        <v>0</v>
      </c>
      <c r="M44" s="94">
        <f>[1]UNITÁRIO!M47</f>
        <v>0</v>
      </c>
      <c r="N44" s="91">
        <f>[1]UNITÁRIO!N47</f>
        <v>1</v>
      </c>
      <c r="O44" s="92">
        <f>[1]UNITÁRIO!O47</f>
        <v>2.1</v>
      </c>
      <c r="P44" s="92">
        <f>[1]UNITÁRIO!P47</f>
        <v>2.5</v>
      </c>
      <c r="Q44" s="93">
        <f>[1]UNITÁRIO!Q47</f>
        <v>0</v>
      </c>
      <c r="R44" s="94">
        <f>[1]UNITÁRIO!R47</f>
        <v>0</v>
      </c>
      <c r="S44" s="94">
        <f>[1]UNITÁRIO!S47</f>
        <v>0</v>
      </c>
      <c r="T44" s="91">
        <f>[1]UNITÁRIO!T47</f>
        <v>1</v>
      </c>
      <c r="U44" s="92">
        <f>[1]UNITÁRIO!U47</f>
        <v>3.84</v>
      </c>
      <c r="V44" s="92">
        <f>[1]UNITÁRIO!V47</f>
        <v>1.4285714285714286</v>
      </c>
      <c r="W44" s="93">
        <f>[1]UNITÁRIO!W47</f>
        <v>1</v>
      </c>
      <c r="X44" s="94">
        <f>[1]UNITÁRIO!X47</f>
        <v>2.2999999999999998</v>
      </c>
      <c r="Y44" s="94">
        <f>[1]UNITÁRIO!Y47</f>
        <v>6.25</v>
      </c>
      <c r="Z44" s="91">
        <f>[1]UNITÁRIO!Z47</f>
        <v>1</v>
      </c>
      <c r="AA44" s="92">
        <f>[1]UNITÁRIO!AA47</f>
        <v>5.04</v>
      </c>
      <c r="AB44" s="92">
        <f>[1]UNITÁRIO!AB47</f>
        <v>2.5</v>
      </c>
      <c r="AC44" s="91">
        <f>[1]UNITÁRIO!AC47</f>
        <v>0</v>
      </c>
      <c r="AD44" s="92">
        <f>[1]UNITÁRIO!AD47</f>
        <v>0</v>
      </c>
      <c r="AE44" s="92">
        <f>[1]UNITÁRIO!AE47</f>
        <v>0</v>
      </c>
      <c r="AF44" s="91">
        <f>[1]UNITÁRIO!AF47</f>
        <v>0</v>
      </c>
      <c r="AG44" s="92">
        <f>[1]UNITÁRIO!AG47</f>
        <v>0</v>
      </c>
      <c r="AH44" s="92">
        <f>[1]UNITÁRIO!AH47</f>
        <v>0</v>
      </c>
      <c r="AI44" s="95">
        <f>[1]UNITÁRIO!AI47</f>
        <v>13.279999999999998</v>
      </c>
      <c r="AJ44" s="95">
        <f>[1]UNITÁRIO!AJ47</f>
        <v>1.7374239549944397</v>
      </c>
      <c r="AK44" s="96">
        <f>[1]UNITÁRIO!AK47</f>
        <v>4</v>
      </c>
      <c r="AL44" s="97">
        <f>[1]UNITÁRIO!AL47</f>
        <v>1.3422818791946309</v>
      </c>
      <c r="AM44" s="96">
        <f>[1]UNITÁRIO!AM47</f>
        <v>3</v>
      </c>
      <c r="AN44" s="96">
        <f>[1]UNITÁRIO!AN47</f>
        <v>1</v>
      </c>
    </row>
    <row r="45" spans="1:40" x14ac:dyDescent="0.25">
      <c r="A45" s="82" t="str">
        <f>[1]UNITÁRIO!A48</f>
        <v>SPE</v>
      </c>
      <c r="B45" s="91">
        <f>[1]UNITÁRIO!B48</f>
        <v>0</v>
      </c>
      <c r="C45" s="92">
        <f>[1]UNITÁRIO!C48</f>
        <v>0</v>
      </c>
      <c r="D45" s="92">
        <f>[1]UNITÁRIO!D48</f>
        <v>0</v>
      </c>
      <c r="E45" s="93">
        <f>[1]UNITÁRIO!E48</f>
        <v>0</v>
      </c>
      <c r="F45" s="94">
        <f>[1]UNITÁRIO!F48</f>
        <v>0</v>
      </c>
      <c r="G45" s="94">
        <f>[1]UNITÁRIO!G48</f>
        <v>0</v>
      </c>
      <c r="H45" s="91">
        <f>[1]UNITÁRIO!H48</f>
        <v>6</v>
      </c>
      <c r="I45" s="92">
        <f>[1]UNITÁRIO!I48</f>
        <v>7.62</v>
      </c>
      <c r="J45" s="92">
        <f>[1]UNITÁRIO!J48</f>
        <v>9.5238095238095219</v>
      </c>
      <c r="K45" s="93">
        <f>[1]UNITÁRIO!K48</f>
        <v>3</v>
      </c>
      <c r="L45" s="94">
        <f>[1]UNITÁRIO!L48</f>
        <v>2.2800000000000002</v>
      </c>
      <c r="M45" s="94">
        <f>[1]UNITÁRIO!M48</f>
        <v>13.636363636363638</v>
      </c>
      <c r="N45" s="91">
        <f>[1]UNITÁRIO!N48</f>
        <v>2</v>
      </c>
      <c r="O45" s="92">
        <f>[1]UNITÁRIO!O48</f>
        <v>4.2</v>
      </c>
      <c r="P45" s="92">
        <f>[1]UNITÁRIO!P48</f>
        <v>5</v>
      </c>
      <c r="Q45" s="93">
        <f>[1]UNITÁRIO!Q48</f>
        <v>1</v>
      </c>
      <c r="R45" s="94">
        <f>[1]UNITÁRIO!R48</f>
        <v>1.26</v>
      </c>
      <c r="S45" s="94">
        <f>[1]UNITÁRIO!S48</f>
        <v>9.0909090909090917</v>
      </c>
      <c r="T45" s="91">
        <f>[1]UNITÁRIO!T48</f>
        <v>11</v>
      </c>
      <c r="U45" s="92">
        <f>[1]UNITÁRIO!U48</f>
        <v>42.239999999999995</v>
      </c>
      <c r="V45" s="92">
        <f>[1]UNITÁRIO!V48</f>
        <v>15.71428571428571</v>
      </c>
      <c r="W45" s="93">
        <f>[1]UNITÁRIO!W48</f>
        <v>1</v>
      </c>
      <c r="X45" s="94">
        <f>[1]UNITÁRIO!X48</f>
        <v>2.2999999999999998</v>
      </c>
      <c r="Y45" s="94">
        <f>[1]UNITÁRIO!Y48</f>
        <v>6.25</v>
      </c>
      <c r="Z45" s="91">
        <f>[1]UNITÁRIO!Z48</f>
        <v>5</v>
      </c>
      <c r="AA45" s="92">
        <f>[1]UNITÁRIO!AA48</f>
        <v>25.2</v>
      </c>
      <c r="AB45" s="92">
        <f>[1]UNITÁRIO!AB48</f>
        <v>12.5</v>
      </c>
      <c r="AC45" s="91">
        <f>[1]UNITÁRIO!AC48</f>
        <v>1</v>
      </c>
      <c r="AD45" s="92">
        <f>[1]UNITÁRIO!AD48</f>
        <v>6.27</v>
      </c>
      <c r="AE45" s="92">
        <f>[1]UNITÁRIO!AE48</f>
        <v>20</v>
      </c>
      <c r="AF45" s="91">
        <f>[1]UNITÁRIO!AF48</f>
        <v>0</v>
      </c>
      <c r="AG45" s="92">
        <f>[1]UNITÁRIO!AG48</f>
        <v>0</v>
      </c>
      <c r="AH45" s="92">
        <f>[1]UNITÁRIO!AH48</f>
        <v>0</v>
      </c>
      <c r="AI45" s="95">
        <f>[1]UNITÁRIO!AI48</f>
        <v>91.36999999999999</v>
      </c>
      <c r="AJ45" s="95">
        <f>[1]UNITÁRIO!AJ48</f>
        <v>11.953947798783279</v>
      </c>
      <c r="AK45" s="96">
        <f>[1]UNITÁRIO!AK48</f>
        <v>30</v>
      </c>
      <c r="AL45" s="97">
        <f>[1]UNITÁRIO!AL48</f>
        <v>10.067114093959731</v>
      </c>
      <c r="AM45" s="96">
        <f>[1]UNITÁRIO!AM48</f>
        <v>25</v>
      </c>
      <c r="AN45" s="96">
        <f>[1]UNITÁRIO!AN48</f>
        <v>5</v>
      </c>
    </row>
    <row r="46" spans="1:40" x14ac:dyDescent="0.25">
      <c r="A46" s="82" t="str">
        <f>[1]UNITÁRIO!A49</f>
        <v>SEE</v>
      </c>
      <c r="B46" s="91">
        <f>[1]UNITÁRIO!B49</f>
        <v>0</v>
      </c>
      <c r="C46" s="92">
        <f>[1]UNITÁRIO!C49</f>
        <v>0</v>
      </c>
      <c r="D46" s="92">
        <f>[1]UNITÁRIO!D49</f>
        <v>0</v>
      </c>
      <c r="E46" s="93">
        <f>[1]UNITÁRIO!E49</f>
        <v>0</v>
      </c>
      <c r="F46" s="94">
        <f>[1]UNITÁRIO!F49</f>
        <v>0</v>
      </c>
      <c r="G46" s="94">
        <f>[1]UNITÁRIO!G49</f>
        <v>0</v>
      </c>
      <c r="H46" s="91">
        <f>[1]UNITÁRIO!H49</f>
        <v>11</v>
      </c>
      <c r="I46" s="92">
        <f>[1]UNITÁRIO!I49</f>
        <v>13.97</v>
      </c>
      <c r="J46" s="92">
        <f>[1]UNITÁRIO!J49</f>
        <v>17.460317460317455</v>
      </c>
      <c r="K46" s="93">
        <f>[1]UNITÁRIO!K49</f>
        <v>0</v>
      </c>
      <c r="L46" s="94">
        <f>[1]UNITÁRIO!L49</f>
        <v>0</v>
      </c>
      <c r="M46" s="94">
        <f>[1]UNITÁRIO!M49</f>
        <v>0</v>
      </c>
      <c r="N46" s="91">
        <f>[1]UNITÁRIO!N49</f>
        <v>2</v>
      </c>
      <c r="O46" s="92">
        <f>[1]UNITÁRIO!O49</f>
        <v>4.2</v>
      </c>
      <c r="P46" s="92">
        <f>[1]UNITÁRIO!P49</f>
        <v>5</v>
      </c>
      <c r="Q46" s="93">
        <f>[1]UNITÁRIO!Q49</f>
        <v>2</v>
      </c>
      <c r="R46" s="94">
        <f>[1]UNITÁRIO!R49</f>
        <v>2.52</v>
      </c>
      <c r="S46" s="94">
        <f>[1]UNITÁRIO!S49</f>
        <v>18.181818181818183</v>
      </c>
      <c r="T46" s="91">
        <f>[1]UNITÁRIO!T49</f>
        <v>9</v>
      </c>
      <c r="U46" s="92">
        <f>[1]UNITÁRIO!U49</f>
        <v>34.56</v>
      </c>
      <c r="V46" s="92">
        <f>[1]UNITÁRIO!V49</f>
        <v>12.857142857142856</v>
      </c>
      <c r="W46" s="93">
        <f>[1]UNITÁRIO!W49</f>
        <v>2</v>
      </c>
      <c r="X46" s="94">
        <f>[1]UNITÁRIO!X49</f>
        <v>4.5999999999999996</v>
      </c>
      <c r="Y46" s="94">
        <f>[1]UNITÁRIO!Y49</f>
        <v>12.5</v>
      </c>
      <c r="Z46" s="91">
        <f>[1]UNITÁRIO!Z49</f>
        <v>5</v>
      </c>
      <c r="AA46" s="92">
        <f>[1]UNITÁRIO!AA49</f>
        <v>25.2</v>
      </c>
      <c r="AB46" s="92">
        <f>[1]UNITÁRIO!AB49</f>
        <v>12.5</v>
      </c>
      <c r="AC46" s="91">
        <f>[1]UNITÁRIO!AC49</f>
        <v>1</v>
      </c>
      <c r="AD46" s="92">
        <f>[1]UNITÁRIO!AD49</f>
        <v>6.27</v>
      </c>
      <c r="AE46" s="92">
        <f>[1]UNITÁRIO!AE49</f>
        <v>20</v>
      </c>
      <c r="AF46" s="91">
        <f>[1]UNITÁRIO!AF49</f>
        <v>0</v>
      </c>
      <c r="AG46" s="92">
        <f>[1]UNITÁRIO!AG49</f>
        <v>0</v>
      </c>
      <c r="AH46" s="92">
        <f>[1]UNITÁRIO!AH49</f>
        <v>0</v>
      </c>
      <c r="AI46" s="95">
        <f>[1]UNITÁRIO!AI49</f>
        <v>91.32</v>
      </c>
      <c r="AJ46" s="95">
        <f>[1]UNITÁRIO!AJ49</f>
        <v>11.947406292928633</v>
      </c>
      <c r="AK46" s="96">
        <f>[1]UNITÁRIO!AK49</f>
        <v>32</v>
      </c>
      <c r="AL46" s="97">
        <f>[1]UNITÁRIO!AL49</f>
        <v>10.738255033557047</v>
      </c>
      <c r="AM46" s="96">
        <f>[1]UNITÁRIO!AM49</f>
        <v>28</v>
      </c>
      <c r="AN46" s="96">
        <f>[1]UNITÁRIO!AN49</f>
        <v>4</v>
      </c>
    </row>
    <row r="47" spans="1:40" x14ac:dyDescent="0.25">
      <c r="A47" s="82" t="str">
        <f>[1]UNITÁRIO!A50</f>
        <v>SPG</v>
      </c>
      <c r="B47" s="91">
        <f>[1]UNITÁRIO!B50</f>
        <v>1</v>
      </c>
      <c r="C47" s="92">
        <f>[1]UNITÁRIO!C50</f>
        <v>1</v>
      </c>
      <c r="D47" s="92">
        <f>[1]UNITÁRIO!D50</f>
        <v>5.882352941176471</v>
      </c>
      <c r="E47" s="93">
        <f>[1]UNITÁRIO!E50</f>
        <v>0</v>
      </c>
      <c r="F47" s="94">
        <f>[1]UNITÁRIO!F50</f>
        <v>0</v>
      </c>
      <c r="G47" s="94">
        <f>[1]UNITÁRIO!G50</f>
        <v>0</v>
      </c>
      <c r="H47" s="91">
        <f>[1]UNITÁRIO!H50</f>
        <v>2</v>
      </c>
      <c r="I47" s="92">
        <f>[1]UNITÁRIO!I50</f>
        <v>2.54</v>
      </c>
      <c r="J47" s="92">
        <f>[1]UNITÁRIO!J50</f>
        <v>3.174603174603174</v>
      </c>
      <c r="K47" s="93">
        <f>[1]UNITÁRIO!K50</f>
        <v>4</v>
      </c>
      <c r="L47" s="94">
        <f>[1]UNITÁRIO!L50</f>
        <v>3.04</v>
      </c>
      <c r="M47" s="94">
        <f>[1]UNITÁRIO!M50</f>
        <v>18.181818181818183</v>
      </c>
      <c r="N47" s="91">
        <f>[1]UNITÁRIO!N50</f>
        <v>1</v>
      </c>
      <c r="O47" s="92">
        <f>[1]UNITÁRIO!O50</f>
        <v>2.1</v>
      </c>
      <c r="P47" s="92">
        <f>[1]UNITÁRIO!P50</f>
        <v>2.5</v>
      </c>
      <c r="Q47" s="93">
        <f>[1]UNITÁRIO!Q50</f>
        <v>0</v>
      </c>
      <c r="R47" s="94">
        <f>[1]UNITÁRIO!R50</f>
        <v>0</v>
      </c>
      <c r="S47" s="94">
        <f>[1]UNITÁRIO!S50</f>
        <v>0</v>
      </c>
      <c r="T47" s="91">
        <f>[1]UNITÁRIO!T50</f>
        <v>12</v>
      </c>
      <c r="U47" s="92">
        <f>[1]UNITÁRIO!U50</f>
        <v>46.08</v>
      </c>
      <c r="V47" s="92">
        <f>[1]UNITÁRIO!V50</f>
        <v>17.142857142857142</v>
      </c>
      <c r="W47" s="93">
        <f>[1]UNITÁRIO!W50</f>
        <v>0</v>
      </c>
      <c r="X47" s="94">
        <f>[1]UNITÁRIO!X50</f>
        <v>0</v>
      </c>
      <c r="Y47" s="94">
        <f>[1]UNITÁRIO!Y50</f>
        <v>0</v>
      </c>
      <c r="Z47" s="91">
        <f>[1]UNITÁRIO!Z50</f>
        <v>5</v>
      </c>
      <c r="AA47" s="92">
        <f>[1]UNITÁRIO!AA50</f>
        <v>25.2</v>
      </c>
      <c r="AB47" s="92">
        <f>[1]UNITÁRIO!AB50</f>
        <v>12.5</v>
      </c>
      <c r="AC47" s="91">
        <f>[1]UNITÁRIO!AC50</f>
        <v>1</v>
      </c>
      <c r="AD47" s="92">
        <f>[1]UNITÁRIO!AD50</f>
        <v>6.27</v>
      </c>
      <c r="AE47" s="92">
        <f>[1]UNITÁRIO!AE50</f>
        <v>20</v>
      </c>
      <c r="AF47" s="91">
        <f>[1]UNITÁRIO!AF50</f>
        <v>0</v>
      </c>
      <c r="AG47" s="92">
        <f>[1]UNITÁRIO!AG50</f>
        <v>0</v>
      </c>
      <c r="AH47" s="92">
        <f>[1]UNITÁRIO!AH50</f>
        <v>0</v>
      </c>
      <c r="AI47" s="95">
        <f>[1]UNITÁRIO!AI50</f>
        <v>86.22999999999999</v>
      </c>
      <c r="AJ47" s="95">
        <f>[1]UNITÁRIO!AJ50</f>
        <v>11.281480996925492</v>
      </c>
      <c r="AK47" s="96">
        <f>[1]UNITÁRIO!AK50</f>
        <v>26</v>
      </c>
      <c r="AL47" s="97">
        <f>[1]UNITÁRIO!AL50</f>
        <v>8.724832214765101</v>
      </c>
      <c r="AM47" s="96">
        <f>[1]UNITÁRIO!AM50</f>
        <v>22</v>
      </c>
      <c r="AN47" s="96">
        <f>[1]UNITÁRIO!AN50</f>
        <v>4</v>
      </c>
    </row>
    <row r="48" spans="1:40" x14ac:dyDescent="0.25">
      <c r="A48" s="82" t="str">
        <f>[1]UNITÁRIO!A51</f>
        <v>SGM</v>
      </c>
      <c r="B48" s="91">
        <f>[1]UNITÁRIO!B51</f>
        <v>1</v>
      </c>
      <c r="C48" s="92">
        <f>[1]UNITÁRIO!C51</f>
        <v>1</v>
      </c>
      <c r="D48" s="92">
        <f>[1]UNITÁRIO!D51</f>
        <v>5.882352941176471</v>
      </c>
      <c r="E48" s="93">
        <f>[1]UNITÁRIO!E51</f>
        <v>0</v>
      </c>
      <c r="F48" s="94">
        <f>[1]UNITÁRIO!F51</f>
        <v>0</v>
      </c>
      <c r="G48" s="94">
        <f>[1]UNITÁRIO!G51</f>
        <v>0</v>
      </c>
      <c r="H48" s="91">
        <f>[1]UNITÁRIO!H51</f>
        <v>7</v>
      </c>
      <c r="I48" s="92">
        <f>[1]UNITÁRIO!I51</f>
        <v>8.89</v>
      </c>
      <c r="J48" s="92">
        <f>[1]UNITÁRIO!J51</f>
        <v>11.111111111111109</v>
      </c>
      <c r="K48" s="93">
        <f>[1]UNITÁRIO!K51</f>
        <v>4</v>
      </c>
      <c r="L48" s="94">
        <f>[1]UNITÁRIO!L51</f>
        <v>3.04</v>
      </c>
      <c r="M48" s="94">
        <f>[1]UNITÁRIO!M51</f>
        <v>18.181818181818183</v>
      </c>
      <c r="N48" s="91">
        <f>[1]UNITÁRIO!N51</f>
        <v>2</v>
      </c>
      <c r="O48" s="92">
        <f>[1]UNITÁRIO!O51</f>
        <v>4.2</v>
      </c>
      <c r="P48" s="92">
        <f>[1]UNITÁRIO!P51</f>
        <v>5</v>
      </c>
      <c r="Q48" s="93">
        <f>[1]UNITÁRIO!Q51</f>
        <v>2</v>
      </c>
      <c r="R48" s="94">
        <f>[1]UNITÁRIO!R51</f>
        <v>2.52</v>
      </c>
      <c r="S48" s="94">
        <f>[1]UNITÁRIO!S51</f>
        <v>18.181818181818183</v>
      </c>
      <c r="T48" s="91">
        <f>[1]UNITÁRIO!T51</f>
        <v>4</v>
      </c>
      <c r="U48" s="92">
        <f>[1]UNITÁRIO!U51</f>
        <v>15.36</v>
      </c>
      <c r="V48" s="92">
        <f>[1]UNITÁRIO!V51</f>
        <v>5.7142857142857144</v>
      </c>
      <c r="W48" s="93">
        <f>[1]UNITÁRIO!W51</f>
        <v>4</v>
      </c>
      <c r="X48" s="94">
        <f>[1]UNITÁRIO!X51</f>
        <v>9.1999999999999993</v>
      </c>
      <c r="Y48" s="94">
        <f>[1]UNITÁRIO!Y51</f>
        <v>25</v>
      </c>
      <c r="Z48" s="91">
        <f>[1]UNITÁRIO!Z51</f>
        <v>5</v>
      </c>
      <c r="AA48" s="92">
        <f>[1]UNITÁRIO!AA51</f>
        <v>25.2</v>
      </c>
      <c r="AB48" s="92">
        <f>[1]UNITÁRIO!AB51</f>
        <v>12.5</v>
      </c>
      <c r="AC48" s="91">
        <f>[1]UNITÁRIO!AC51</f>
        <v>1</v>
      </c>
      <c r="AD48" s="92">
        <f>[1]UNITÁRIO!AD51</f>
        <v>6.27</v>
      </c>
      <c r="AE48" s="92">
        <f>[1]UNITÁRIO!AE51</f>
        <v>20</v>
      </c>
      <c r="AF48" s="91">
        <f>[1]UNITÁRIO!AF51</f>
        <v>0</v>
      </c>
      <c r="AG48" s="92">
        <f>[1]UNITÁRIO!AG51</f>
        <v>0</v>
      </c>
      <c r="AH48" s="92">
        <f>[1]UNITÁRIO!AH51</f>
        <v>0</v>
      </c>
      <c r="AI48" s="95">
        <f>[1]UNITÁRIO!AI51</f>
        <v>75.679999999999993</v>
      </c>
      <c r="AJ48" s="95">
        <f>[1]UNITÁRIO!AJ51</f>
        <v>9.9012232615948186</v>
      </c>
      <c r="AK48" s="96">
        <f>[1]UNITÁRIO!AK51</f>
        <v>30</v>
      </c>
      <c r="AL48" s="97">
        <f>[1]UNITÁRIO!AL51</f>
        <v>10.067114093959731</v>
      </c>
      <c r="AM48" s="96">
        <f>[1]UNITÁRIO!AM51</f>
        <v>20</v>
      </c>
      <c r="AN48" s="96">
        <f>[1]UNITÁRIO!AN51</f>
        <v>10</v>
      </c>
    </row>
    <row r="49" spans="1:40" x14ac:dyDescent="0.25">
      <c r="A49" s="82" t="str">
        <f>[1]UNITÁRIO!A52</f>
        <v>ESCRITÓRIO RJ</v>
      </c>
      <c r="B49" s="91">
        <f>[1]UNITÁRIO!B52</f>
        <v>0</v>
      </c>
      <c r="C49" s="92">
        <f>[1]UNITÁRIO!C52</f>
        <v>0</v>
      </c>
      <c r="D49" s="92">
        <f>[1]UNITÁRIO!D52</f>
        <v>0</v>
      </c>
      <c r="E49" s="93">
        <f>[1]UNITÁRIO!E52</f>
        <v>0</v>
      </c>
      <c r="F49" s="94">
        <f>[1]UNITÁRIO!F52</f>
        <v>0</v>
      </c>
      <c r="G49" s="94">
        <f>[1]UNITÁRIO!G52</f>
        <v>0</v>
      </c>
      <c r="H49" s="91">
        <f>[1]UNITÁRIO!H52</f>
        <v>0</v>
      </c>
      <c r="I49" s="92">
        <f>[1]UNITÁRIO!I52</f>
        <v>0</v>
      </c>
      <c r="J49" s="92">
        <f>[1]UNITÁRIO!J52</f>
        <v>0</v>
      </c>
      <c r="K49" s="93">
        <f>[1]UNITÁRIO!K52</f>
        <v>0</v>
      </c>
      <c r="L49" s="94">
        <f>[1]UNITÁRIO!L52</f>
        <v>0</v>
      </c>
      <c r="M49" s="94">
        <f>[1]UNITÁRIO!M52</f>
        <v>0</v>
      </c>
      <c r="N49" s="91">
        <f>[1]UNITÁRIO!N52</f>
        <v>3</v>
      </c>
      <c r="O49" s="92">
        <f>[1]UNITÁRIO!O52</f>
        <v>6.3000000000000007</v>
      </c>
      <c r="P49" s="92">
        <f>[1]UNITÁRIO!P52</f>
        <v>7.5000000000000018</v>
      </c>
      <c r="Q49" s="93">
        <f>[1]UNITÁRIO!Q52</f>
        <v>0</v>
      </c>
      <c r="R49" s="94">
        <f>[1]UNITÁRIO!R52</f>
        <v>0</v>
      </c>
      <c r="S49" s="94">
        <f>[1]UNITÁRIO!S52</f>
        <v>0</v>
      </c>
      <c r="T49" s="91">
        <f>[1]UNITÁRIO!T52</f>
        <v>1</v>
      </c>
      <c r="U49" s="92">
        <f>[1]UNITÁRIO!U52</f>
        <v>3.84</v>
      </c>
      <c r="V49" s="92">
        <f>[1]UNITÁRIO!V52</f>
        <v>1.4285714285714286</v>
      </c>
      <c r="W49" s="93">
        <f>[1]UNITÁRIO!W52</f>
        <v>0</v>
      </c>
      <c r="X49" s="94">
        <f>[1]UNITÁRIO!X52</f>
        <v>0</v>
      </c>
      <c r="Y49" s="94">
        <f>[1]UNITÁRIO!Y52</f>
        <v>0</v>
      </c>
      <c r="Z49" s="91">
        <f>[1]UNITÁRIO!Z52</f>
        <v>0</v>
      </c>
      <c r="AA49" s="92">
        <f>[1]UNITÁRIO!AA52</f>
        <v>0</v>
      </c>
      <c r="AB49" s="92">
        <f>[1]UNITÁRIO!AB52</f>
        <v>0</v>
      </c>
      <c r="AC49" s="91">
        <f>[1]UNITÁRIO!AC52</f>
        <v>0</v>
      </c>
      <c r="AD49" s="92">
        <f>[1]UNITÁRIO!AD52</f>
        <v>0</v>
      </c>
      <c r="AE49" s="92">
        <f>[1]UNITÁRIO!AE52</f>
        <v>0</v>
      </c>
      <c r="AF49" s="91">
        <f>[1]UNITÁRIO!AF52</f>
        <v>0</v>
      </c>
      <c r="AG49" s="92">
        <f>[1]UNITÁRIO!AG52</f>
        <v>0</v>
      </c>
      <c r="AH49" s="92">
        <f>[1]UNITÁRIO!AH52</f>
        <v>0</v>
      </c>
      <c r="AI49" s="95">
        <f>[1]UNITÁRIO!AI52</f>
        <v>10.14</v>
      </c>
      <c r="AJ49" s="95">
        <f>[1]UNITÁRIO!AJ52</f>
        <v>1.3266173873225617</v>
      </c>
      <c r="AK49" s="96">
        <f>[1]UNITÁRIO!AK52</f>
        <v>4</v>
      </c>
      <c r="AL49" s="97">
        <f>[1]UNITÁRIO!AL52</f>
        <v>1.3422818791946309</v>
      </c>
      <c r="AM49" s="96">
        <f>[1]UNITÁRIO!AM52</f>
        <v>4</v>
      </c>
      <c r="AN49" s="96">
        <f>[1]UNITÁRIO!AN52</f>
        <v>0</v>
      </c>
    </row>
    <row r="50" spans="1:40" x14ac:dyDescent="0.25">
      <c r="A50" s="86" t="str">
        <f>[1]UNITÁRIO!A54</f>
        <v>TOTAL</v>
      </c>
      <c r="B50" s="88">
        <f>[1]UNITÁRIO!B54</f>
        <v>17</v>
      </c>
      <c r="C50" s="87">
        <f>[1]UNITÁRIO!C54</f>
        <v>17</v>
      </c>
      <c r="D50" s="88">
        <f>[1]UNITÁRIO!D54</f>
        <v>100</v>
      </c>
      <c r="E50" s="88">
        <f>[1]UNITÁRIO!E54</f>
        <v>13</v>
      </c>
      <c r="F50" s="87">
        <f>[1]UNITÁRIO!F54</f>
        <v>7.8</v>
      </c>
      <c r="G50" s="88">
        <f>[1]UNITÁRIO!G54</f>
        <v>100</v>
      </c>
      <c r="H50" s="88">
        <f>[1]UNITÁRIO!H54</f>
        <v>63</v>
      </c>
      <c r="I50" s="87">
        <f>[1]UNITÁRIO!I54</f>
        <v>80.010000000000019</v>
      </c>
      <c r="J50" s="88">
        <f>[1]UNITÁRIO!J54</f>
        <v>99.999999999999986</v>
      </c>
      <c r="K50" s="88">
        <f>[1]UNITÁRIO!K54</f>
        <v>22</v>
      </c>
      <c r="L50" s="87">
        <f>[1]UNITÁRIO!L54</f>
        <v>16.72</v>
      </c>
      <c r="M50" s="88">
        <f>[1]UNITÁRIO!M54</f>
        <v>100.00000000000001</v>
      </c>
      <c r="N50" s="88">
        <f>[1]UNITÁRIO!N54</f>
        <v>40</v>
      </c>
      <c r="O50" s="87">
        <f>[1]UNITÁRIO!O54</f>
        <v>84</v>
      </c>
      <c r="P50" s="88">
        <f>[1]UNITÁRIO!P54</f>
        <v>100</v>
      </c>
      <c r="Q50" s="88">
        <f>[1]UNITÁRIO!Q54</f>
        <v>11</v>
      </c>
      <c r="R50" s="87">
        <f>[1]UNITÁRIO!R54</f>
        <v>13.86</v>
      </c>
      <c r="S50" s="88">
        <f>[1]UNITÁRIO!S54</f>
        <v>100.00000000000001</v>
      </c>
      <c r="T50" s="88">
        <f>[1]UNITÁRIO!T54</f>
        <v>70</v>
      </c>
      <c r="U50" s="87">
        <f>[1]UNITÁRIO!U54</f>
        <v>268.8</v>
      </c>
      <c r="V50" s="88">
        <f>[1]UNITÁRIO!V54</f>
        <v>99.999999999999986</v>
      </c>
      <c r="W50" s="88">
        <f>[1]UNITÁRIO!W54</f>
        <v>16</v>
      </c>
      <c r="X50" s="87">
        <f>[1]UNITÁRIO!X54</f>
        <v>36.799999999999997</v>
      </c>
      <c r="Y50" s="88">
        <f>[1]UNITÁRIO!Y54</f>
        <v>100</v>
      </c>
      <c r="Z50" s="88">
        <f>[1]UNITÁRIO!Z54</f>
        <v>40</v>
      </c>
      <c r="AA50" s="87">
        <f>[1]UNITÁRIO!AA54</f>
        <v>201.6</v>
      </c>
      <c r="AB50" s="88">
        <f>[1]UNITÁRIO!AB54</f>
        <v>100</v>
      </c>
      <c r="AC50" s="88">
        <f>[1]UNITÁRIO!AC54</f>
        <v>5</v>
      </c>
      <c r="AD50" s="87">
        <f>[1]UNITÁRIO!AD54</f>
        <v>31.349999999999998</v>
      </c>
      <c r="AE50" s="88">
        <f>[1]UNITÁRIO!AE54</f>
        <v>100</v>
      </c>
      <c r="AF50" s="88">
        <f>[1]UNITÁRIO!AF54</f>
        <v>1</v>
      </c>
      <c r="AG50" s="87">
        <f>[1]UNITÁRIO!AG54</f>
        <v>6.41</v>
      </c>
      <c r="AH50" s="88">
        <f>[1]UNITÁRIO!AH54</f>
        <v>100</v>
      </c>
      <c r="AI50" s="87">
        <f>[1]UNITÁRIO!AI54</f>
        <v>764.34999999999991</v>
      </c>
      <c r="AJ50" s="88">
        <f>[1]UNITÁRIO!AJ54</f>
        <v>100.00000000000001</v>
      </c>
      <c r="AK50" s="88">
        <f>[1]UNITÁRIO!AK54</f>
        <v>298</v>
      </c>
      <c r="AL50" s="88">
        <f>[1]UNITÁRIO!AL54</f>
        <v>100.00000000000001</v>
      </c>
      <c r="AM50" s="88">
        <f>[1]UNITÁRIO!AM54</f>
        <v>236</v>
      </c>
      <c r="AN50" s="88">
        <f>[1]UNITÁRIO!AN54</f>
        <v>62</v>
      </c>
    </row>
    <row r="51" spans="1:40" x14ac:dyDescent="0.25"/>
  </sheetData>
  <sheetProtection sheet="1" objects="1" scenarios="1"/>
  <mergeCells count="35">
    <mergeCell ref="A1:W1"/>
    <mergeCell ref="AL36:AL37"/>
    <mergeCell ref="AM36:AM37"/>
    <mergeCell ref="AN36:AN37"/>
    <mergeCell ref="I3:N3"/>
    <mergeCell ref="I4:I5"/>
    <mergeCell ref="J4:J5"/>
    <mergeCell ref="K4:K5"/>
    <mergeCell ref="L4:L5"/>
    <mergeCell ref="M4:M5"/>
    <mergeCell ref="N4:N5"/>
    <mergeCell ref="Z36:AB36"/>
    <mergeCell ref="AC36:AE36"/>
    <mergeCell ref="AF36:AH36"/>
    <mergeCell ref="AI36:AI37"/>
    <mergeCell ref="AJ36:AJ37"/>
    <mergeCell ref="AK36:AK37"/>
    <mergeCell ref="A35:A37"/>
    <mergeCell ref="B35:AN35"/>
    <mergeCell ref="B36:D36"/>
    <mergeCell ref="E36:G36"/>
    <mergeCell ref="H36:J36"/>
    <mergeCell ref="K36:M36"/>
    <mergeCell ref="N36:P36"/>
    <mergeCell ref="Q36:S36"/>
    <mergeCell ref="T36:V36"/>
    <mergeCell ref="W36:Y36"/>
    <mergeCell ref="A30:B30"/>
    <mergeCell ref="A32:B32"/>
    <mergeCell ref="B3:B4"/>
    <mergeCell ref="C3:E3"/>
    <mergeCell ref="A12:E12"/>
    <mergeCell ref="A18:B18"/>
    <mergeCell ref="A23:E23"/>
    <mergeCell ref="A28:B28"/>
  </mergeCells>
  <pageMargins left="0.511811024" right="0.511811024" top="0.78740157499999996" bottom="0.78740157499999996" header="0.31496062000000002" footer="0.31496062000000002"/>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AT62"/>
  <sheetViews>
    <sheetView showGridLines="0" workbookViewId="0">
      <selection sqref="A1:O1"/>
    </sheetView>
  </sheetViews>
  <sheetFormatPr defaultColWidth="0" defaultRowHeight="15" zeroHeight="1" x14ac:dyDescent="0.25"/>
  <cols>
    <col min="1" max="1" width="34.140625" customWidth="1"/>
    <col min="2" max="2" width="16.5703125" customWidth="1"/>
    <col min="3" max="3" width="20.7109375" customWidth="1"/>
    <col min="4" max="4" width="13.42578125" customWidth="1"/>
    <col min="5" max="5" width="9.140625" customWidth="1"/>
    <col min="6" max="6" width="14.7109375" customWidth="1"/>
    <col min="7" max="7" width="17" bestFit="1" customWidth="1"/>
    <col min="8" max="8" width="16.28515625" customWidth="1"/>
    <col min="9" max="9" width="15.85546875" customWidth="1"/>
    <col min="10" max="10" width="11.85546875" customWidth="1"/>
    <col min="11" max="11" width="13" customWidth="1"/>
    <col min="12" max="12" width="15.28515625" customWidth="1"/>
    <col min="13" max="13" width="10.7109375" customWidth="1"/>
    <col min="14" max="14" width="14.28515625" customWidth="1"/>
    <col min="15" max="15" width="16.28515625" customWidth="1"/>
    <col min="16" max="16" width="9.140625" customWidth="1"/>
    <col min="17" max="17" width="13.85546875" bestFit="1" customWidth="1"/>
    <col min="18" max="18" width="9.140625" customWidth="1"/>
    <col min="19" max="19" width="16.7109375" customWidth="1"/>
    <col min="20" max="20" width="13.7109375" customWidth="1"/>
    <col min="21" max="22" width="9.140625" customWidth="1"/>
    <col min="23" max="23" width="12.7109375" bestFit="1" customWidth="1"/>
    <col min="24" max="25" width="9.140625" customWidth="1"/>
    <col min="26" max="26" width="13.85546875" bestFit="1" customWidth="1"/>
    <col min="27" max="28" width="9.140625" customWidth="1"/>
    <col min="29" max="29" width="12.7109375" bestFit="1" customWidth="1"/>
    <col min="30" max="31" width="9.140625" customWidth="1"/>
    <col min="32" max="32" width="13.85546875" bestFit="1" customWidth="1"/>
    <col min="33" max="34" width="9.140625" customWidth="1"/>
    <col min="35" max="35" width="12.7109375" bestFit="1" customWidth="1"/>
    <col min="36" max="37" width="9.140625" customWidth="1"/>
    <col min="38" max="38" width="12.7109375" bestFit="1" customWidth="1"/>
    <col min="39" max="39" width="9.140625" customWidth="1"/>
    <col min="40" max="40" width="15.42578125" bestFit="1" customWidth="1"/>
    <col min="41" max="45" width="9.140625" customWidth="1"/>
    <col min="46" max="46" width="5.28515625" customWidth="1"/>
    <col min="47" max="16384" width="9.140625" hidden="1"/>
  </cols>
  <sheetData>
    <row r="1" spans="1:15" ht="48" customHeight="1" x14ac:dyDescent="0.25">
      <c r="A1" s="519" t="s">
        <v>15</v>
      </c>
      <c r="B1" s="519"/>
      <c r="C1" s="519"/>
      <c r="D1" s="519"/>
      <c r="E1" s="519"/>
      <c r="F1" s="519"/>
      <c r="G1" s="519"/>
      <c r="H1" s="519"/>
      <c r="I1" s="519"/>
      <c r="J1" s="519"/>
      <c r="K1" s="519"/>
      <c r="L1" s="519"/>
      <c r="M1" s="519"/>
      <c r="N1" s="519"/>
      <c r="O1" s="519"/>
    </row>
    <row r="2" spans="1:15" ht="15.75" thickBot="1" x14ac:dyDescent="0.3"/>
    <row r="3" spans="1:15" ht="29.25" customHeight="1" x14ac:dyDescent="0.25">
      <c r="A3" s="607" t="str">
        <f>'[1]VALOR FUNCAO'!A4</f>
        <v>REMUNERAÇÃO DE CARGOS E FUNÇÕES GRATIFICADAS</v>
      </c>
      <c r="B3" s="608"/>
      <c r="C3" s="608"/>
      <c r="D3" s="609"/>
      <c r="F3" s="100" t="str">
        <f>'[1]CUSTO ABSOLUTO'!A47</f>
        <v>FUNÇÃO</v>
      </c>
      <c r="G3" s="100" t="str">
        <f>'[1]CUSTO ABSOLUTO'!B47</f>
        <v>NÍVEL</v>
      </c>
      <c r="H3" s="100" t="str">
        <f>'[1]CUSTO ABSOLUTO'!C47</f>
        <v>CUSTO (R$)</v>
      </c>
      <c r="I3" s="100" t="str">
        <f>'[1]CUSTO ABSOLUTO'!D47</f>
        <v>% CUSTO ABSOLUTO</v>
      </c>
      <c r="K3" s="100" t="str">
        <f>'[1]CUSTO ABSOLUTO'!A82</f>
        <v>FUNÇÃO</v>
      </c>
      <c r="L3" s="100" t="str">
        <f>'[1]CUSTO ABSOLUTO'!B82</f>
        <v>CUSTO (R$)</v>
      </c>
      <c r="M3" s="100" t="str">
        <f>'[1]CUSTO ABSOLUTO'!C82</f>
        <v>% CUSTO ABSOLUTO</v>
      </c>
      <c r="N3" s="45" t="str">
        <f>'[1]CUSTO ABSOLUTO'!D82</f>
        <v>Quantitativo</v>
      </c>
      <c r="O3" s="45" t="str">
        <f>'[1]CUSTO ABSOLUTO'!E82</f>
        <v>% Quantitativo</v>
      </c>
    </row>
    <row r="4" spans="1:15" x14ac:dyDescent="0.25">
      <c r="A4" s="129"/>
      <c r="B4" s="104"/>
      <c r="C4" s="104"/>
      <c r="D4" s="125"/>
      <c r="F4" s="615" t="str">
        <f>'[1]CUSTO ABSOLUTO'!A48</f>
        <v>NES</v>
      </c>
      <c r="G4" s="105" t="str">
        <f>'[1]CUSTO ABSOLUTO'!B48</f>
        <v>Secretário Executivo</v>
      </c>
      <c r="H4" s="118">
        <f>'[1]CUSTO ABSOLUTO'!C48</f>
        <v>17327.650000000001</v>
      </c>
      <c r="I4" s="106">
        <f>'[1]CUSTO ABSOLUTO'!D48</f>
        <v>8.3836824971675068E-3</v>
      </c>
      <c r="J4" s="107"/>
      <c r="K4" s="105" t="str">
        <f>'[1]CUSTO ABSOLUTO'!A83</f>
        <v>NES</v>
      </c>
      <c r="L4" s="118">
        <f>'[1]CUSTO ABSOLUTO'!B83</f>
        <v>17327.650000000001</v>
      </c>
      <c r="M4" s="106">
        <f>'[1]CUSTO ABSOLUTO'!C83</f>
        <v>8.3836824971675068E-3</v>
      </c>
      <c r="N4" s="91">
        <f>'[1]CUSTO ABSOLUTO'!D83</f>
        <v>1</v>
      </c>
      <c r="O4" s="106">
        <f>'[1]CUSTO ABSOLUTO'!E83</f>
        <v>3.3557046979865771E-3</v>
      </c>
    </row>
    <row r="5" spans="1:15" x14ac:dyDescent="0.25">
      <c r="A5" s="610" t="str">
        <f>'[1]VALOR FUNCAO'!A12</f>
        <v>CARGO DE NATUREZA ESPECIAL - NES</v>
      </c>
      <c r="B5" s="611"/>
      <c r="C5" s="611"/>
      <c r="D5" s="125"/>
      <c r="F5" s="616"/>
      <c r="G5" s="110" t="str">
        <f>'[1]CUSTO ABSOLUTO'!B49</f>
        <v>Subtotal NES</v>
      </c>
      <c r="H5" s="119">
        <f>'[1]CUSTO ABSOLUTO'!C49</f>
        <v>17327.650000000001</v>
      </c>
      <c r="I5" s="111">
        <f>'[1]CUSTO ABSOLUTO'!D49</f>
        <v>8.3836824971675068E-3</v>
      </c>
      <c r="J5" s="112"/>
      <c r="K5" s="83" t="str">
        <f>'[1]CUSTO ABSOLUTO'!A84</f>
        <v>DAS 6</v>
      </c>
      <c r="L5" s="118">
        <f>'[1]CUSTO ABSOLUTO'!B84</f>
        <v>84724.5</v>
      </c>
      <c r="M5" s="106">
        <f>'[1]CUSTO ABSOLUTO'!C84</f>
        <v>4.0992477787309203E-2</v>
      </c>
      <c r="N5" s="91">
        <f>'[1]CUSTO ABSOLUTO'!D84</f>
        <v>5</v>
      </c>
      <c r="O5" s="106">
        <f>'[1]CUSTO ABSOLUTO'!E84</f>
        <v>1.6778523489932886E-2</v>
      </c>
    </row>
    <row r="6" spans="1:15" x14ac:dyDescent="0.25">
      <c r="A6" s="126" t="str">
        <f>'[1]VALOR FUNCAO'!A6</f>
        <v>Denominação</v>
      </c>
      <c r="B6" s="101" t="str">
        <f>'[1]VALOR FUNCAO'!B6</f>
        <v>Retribuição</v>
      </c>
      <c r="C6" s="101" t="str">
        <f>'[1]VALOR FUNCAO'!C6</f>
        <v>Opção</v>
      </c>
      <c r="D6" s="125"/>
      <c r="F6" s="615" t="str">
        <f>'[1]CUSTO ABSOLUTO'!A50</f>
        <v>DAS</v>
      </c>
      <c r="G6" s="83">
        <f>'[1]CUSTO ABSOLUTO'!B50</f>
        <v>6</v>
      </c>
      <c r="H6" s="118">
        <f>'[1]CUSTO ABSOLUTO'!C50</f>
        <v>84724.5</v>
      </c>
      <c r="I6" s="106">
        <f>'[1]CUSTO ABSOLUTO'!D50</f>
        <v>4.0992477787309203E-2</v>
      </c>
      <c r="J6" s="112"/>
      <c r="K6" s="83" t="str">
        <f>'[1]CUSTO ABSOLUTO'!A85</f>
        <v xml:space="preserve">DAS 5 </v>
      </c>
      <c r="L6" s="118">
        <f>'[1]CUSTO ABSOLUTO'!B85</f>
        <v>544935.60000000009</v>
      </c>
      <c r="M6" s="106">
        <f>'[1]CUSTO ABSOLUTO'!C85</f>
        <v>0.26365762534466436</v>
      </c>
      <c r="N6" s="91">
        <f>'[1]CUSTO ABSOLUTO'!D85</f>
        <v>40</v>
      </c>
      <c r="O6" s="106">
        <f>'[1]CUSTO ABSOLUTO'!E85</f>
        <v>0.13422818791946309</v>
      </c>
    </row>
    <row r="7" spans="1:15" x14ac:dyDescent="0.25">
      <c r="A7" s="127" t="str">
        <f>'[1]VALOR FUNCAO'!A8</f>
        <v>MINISTRO DE ESTADO</v>
      </c>
      <c r="B7" s="122">
        <f>'[1]VALOR FUNCAO'!B8</f>
        <v>30934.7</v>
      </c>
      <c r="C7" s="102" t="str">
        <f>'[1]VALOR FUNCAO'!C8</f>
        <v>***************</v>
      </c>
      <c r="D7" s="125"/>
      <c r="F7" s="617"/>
      <c r="G7" s="83">
        <f>'[1]CUSTO ABSOLUTO'!B51</f>
        <v>5</v>
      </c>
      <c r="H7" s="118">
        <f>'[1]CUSTO ABSOLUTO'!C51</f>
        <v>544935.60000000009</v>
      </c>
      <c r="I7" s="106">
        <f>'[1]CUSTO ABSOLUTO'!D51</f>
        <v>0.26365762534466436</v>
      </c>
      <c r="J7" s="112"/>
      <c r="K7" s="83" t="str">
        <f>'[1]CUSTO ABSOLUTO'!A86</f>
        <v>DAS 4</v>
      </c>
      <c r="L7" s="118">
        <f>'[1]CUSTO ABSOLUTO'!B86</f>
        <v>726130.99999999988</v>
      </c>
      <c r="M7" s="106">
        <f>'[1]CUSTO ABSOLUTO'!C86</f>
        <v>0.35132587254190484</v>
      </c>
      <c r="N7" s="91">
        <f>'[1]CUSTO ABSOLUTO'!D86</f>
        <v>70</v>
      </c>
      <c r="O7" s="106">
        <f>'[1]CUSTO ABSOLUTO'!E86</f>
        <v>0.2348993288590604</v>
      </c>
    </row>
    <row r="8" spans="1:15" x14ac:dyDescent="0.25">
      <c r="A8" s="128" t="str">
        <f>'[1]VALOR FUNCAO'!A10</f>
        <v>Obs: DECRETO LEGISLATIVO Nº 1658, DE 2014</v>
      </c>
      <c r="B8" s="124"/>
      <c r="C8" s="124"/>
      <c r="D8" s="130"/>
      <c r="F8" s="617"/>
      <c r="G8" s="83">
        <f>'[1]CUSTO ABSOLUTO'!B52</f>
        <v>4</v>
      </c>
      <c r="H8" s="118">
        <f>'[1]CUSTO ABSOLUTO'!C52</f>
        <v>726130.99999999988</v>
      </c>
      <c r="I8" s="106">
        <f>'[1]CUSTO ABSOLUTO'!D52</f>
        <v>0.35132587254190484</v>
      </c>
      <c r="J8" s="107"/>
      <c r="K8" s="83" t="str">
        <f>'[1]CUSTO ABSOLUTO'!A87</f>
        <v>DAS 3</v>
      </c>
      <c r="L8" s="118">
        <f>'[1]CUSTO ABSOLUTO'!B87</f>
        <v>227421.99999999997</v>
      </c>
      <c r="M8" s="106">
        <f>'[1]CUSTO ABSOLUTO'!C87</f>
        <v>0.11003418472042246</v>
      </c>
      <c r="N8" s="91">
        <f>'[1]CUSTO ABSOLUTO'!D87</f>
        <v>40</v>
      </c>
      <c r="O8" s="106">
        <f>'[1]CUSTO ABSOLUTO'!E87</f>
        <v>0.13422818791946309</v>
      </c>
    </row>
    <row r="9" spans="1:15" x14ac:dyDescent="0.25">
      <c r="A9" s="129"/>
      <c r="B9" s="104"/>
      <c r="C9" s="104"/>
      <c r="D9" s="138"/>
      <c r="F9" s="617"/>
      <c r="G9" s="83">
        <f>'[1]CUSTO ABSOLUTO'!B53</f>
        <v>3</v>
      </c>
      <c r="H9" s="118">
        <f>'[1]CUSTO ABSOLUTO'!C53</f>
        <v>227421.99999999997</v>
      </c>
      <c r="I9" s="106">
        <f>'[1]CUSTO ABSOLUTO'!D53</f>
        <v>0.11003418472042246</v>
      </c>
      <c r="J9" s="107"/>
      <c r="K9" s="83" t="str">
        <f>'[1]CUSTO ABSOLUTO'!A88</f>
        <v>DAS 2</v>
      </c>
      <c r="L9" s="118">
        <f>'[1]CUSTO ABSOLUTO'!B88</f>
        <v>216767.25</v>
      </c>
      <c r="M9" s="106">
        <f>'[1]CUSTO ABSOLUTO'!C88</f>
        <v>0.10487906898997458</v>
      </c>
      <c r="N9" s="91">
        <f>'[1]CUSTO ABSOLUTO'!D88</f>
        <v>63</v>
      </c>
      <c r="O9" s="106">
        <f>'[1]CUSTO ABSOLUTO'!E88</f>
        <v>0.21140939597315436</v>
      </c>
    </row>
    <row r="10" spans="1:15" x14ac:dyDescent="0.25">
      <c r="A10" s="126" t="str">
        <f>'[1]VALOR FUNCAO'!A13</f>
        <v>Denominação</v>
      </c>
      <c r="B10" s="101" t="str">
        <f>'[1]VALOR FUNCAO'!B13</f>
        <v>Retribuição</v>
      </c>
      <c r="C10" s="101" t="str">
        <f>'[1]VALOR FUNCAO'!C13</f>
        <v>Opção (60%¨)</v>
      </c>
      <c r="D10" s="125"/>
      <c r="F10" s="617"/>
      <c r="G10" s="83">
        <f>'[1]CUSTO ABSOLUTO'!B54</f>
        <v>2</v>
      </c>
      <c r="H10" s="118">
        <f>'[1]CUSTO ABSOLUTO'!C54</f>
        <v>216767.25</v>
      </c>
      <c r="I10" s="106">
        <f>'[1]CUSTO ABSOLUTO'!D54</f>
        <v>0.10487906898997458</v>
      </c>
      <c r="J10" s="107"/>
      <c r="K10" s="83" t="str">
        <f>'[1]CUSTO ABSOLUTO'!A89</f>
        <v>DAS 1</v>
      </c>
      <c r="L10" s="118">
        <f>'[1]CUSTO ABSOLUTO'!B89</f>
        <v>45924.82</v>
      </c>
      <c r="M10" s="106">
        <f>'[1]CUSTO ABSOLUTO'!C89</f>
        <v>2.221992651164862E-2</v>
      </c>
      <c r="N10" s="91">
        <f>'[1]CUSTO ABSOLUTO'!D89</f>
        <v>17</v>
      </c>
      <c r="O10" s="106">
        <f>'[1]CUSTO ABSOLUTO'!E89</f>
        <v>5.7046979865771813E-2</v>
      </c>
    </row>
    <row r="11" spans="1:15" x14ac:dyDescent="0.25">
      <c r="A11" s="127" t="str">
        <f>'[1]VALOR FUNCAO'!A15</f>
        <v>SECRETÁRIO-EXECUTIVO</v>
      </c>
      <c r="B11" s="122">
        <f>'[1]VALOR FUNCAO'!B15</f>
        <v>17327.650000000001</v>
      </c>
      <c r="C11" s="122">
        <f>'[1]VALOR FUNCAO'!C15</f>
        <v>10396.59</v>
      </c>
      <c r="D11" s="125"/>
      <c r="F11" s="617"/>
      <c r="G11" s="83">
        <f>'[1]CUSTO ABSOLUTO'!B55</f>
        <v>1</v>
      </c>
      <c r="H11" s="118">
        <f>'[1]CUSTO ABSOLUTO'!C55</f>
        <v>45924.82</v>
      </c>
      <c r="I11" s="106">
        <f>'[1]CUSTO ABSOLUTO'!D55</f>
        <v>2.221992651164862E-2</v>
      </c>
      <c r="J11" s="107"/>
      <c r="K11" s="85" t="str">
        <f>'[1]CUSTO ABSOLUTO'!A90</f>
        <v>FCPE 6</v>
      </c>
      <c r="L11" s="120">
        <f>'[1]CUSTO ABSOLUTO'!B90</f>
        <v>0</v>
      </c>
      <c r="M11" s="113">
        <f>'[1]CUSTO ABSOLUTO'!C90</f>
        <v>0</v>
      </c>
      <c r="N11" s="93">
        <f>'[1]CUSTO ABSOLUTO'!D90</f>
        <v>0</v>
      </c>
      <c r="O11" s="113">
        <f>'[1]CUSTO ABSOLUTO'!E90</f>
        <v>0</v>
      </c>
    </row>
    <row r="12" spans="1:15" x14ac:dyDescent="0.25">
      <c r="A12" s="128" t="str">
        <f>'[1]VALOR FUNCAO'!A17</f>
        <v>Obs: A partir de janeiro/2017 (Lei nº 13.324, de 29/07/2016, D.O.U. de 29/07/2016)</v>
      </c>
      <c r="B12" s="124"/>
      <c r="C12" s="124"/>
      <c r="D12" s="125"/>
      <c r="F12" s="616"/>
      <c r="G12" s="110" t="str">
        <f>'[1]CUSTO ABSOLUTO'!B56</f>
        <v>Subtotal DAS</v>
      </c>
      <c r="H12" s="119">
        <f>'[1]CUSTO ABSOLUTO'!C56</f>
        <v>1845905.1700000002</v>
      </c>
      <c r="I12" s="111">
        <f>'[1]CUSTO ABSOLUTO'!D56</f>
        <v>0.89310915589592421</v>
      </c>
      <c r="J12" s="107"/>
      <c r="K12" s="85" t="str">
        <f>'[1]CUSTO ABSOLUTO'!A91</f>
        <v>FCPE 5</v>
      </c>
      <c r="L12" s="120">
        <f>'[1]CUSTO ABSOLUTO'!B91</f>
        <v>0</v>
      </c>
      <c r="M12" s="113">
        <f>'[1]CUSTO ABSOLUTO'!C91</f>
        <v>0</v>
      </c>
      <c r="N12" s="93">
        <f>'[1]CUSTO ABSOLUTO'!D91</f>
        <v>0</v>
      </c>
      <c r="O12" s="113">
        <f>'[1]CUSTO ABSOLUTO'!E91</f>
        <v>0</v>
      </c>
    </row>
    <row r="13" spans="1:15" x14ac:dyDescent="0.25">
      <c r="A13" s="129"/>
      <c r="B13" s="104"/>
      <c r="C13" s="104"/>
      <c r="D13" s="134"/>
      <c r="F13" s="615" t="str">
        <f>'[1]CUSTO ABSOLUTO'!A57</f>
        <v>FCPE</v>
      </c>
      <c r="G13" s="85">
        <f>'[1]CUSTO ABSOLUTO'!B57</f>
        <v>6</v>
      </c>
      <c r="H13" s="120">
        <f>'[1]CUSTO ABSOLUTO'!C57</f>
        <v>0</v>
      </c>
      <c r="I13" s="113">
        <f>'[1]CUSTO ABSOLUTO'!D57</f>
        <v>0</v>
      </c>
      <c r="J13" s="107"/>
      <c r="K13" s="85" t="str">
        <f>'[1]CUSTO ABSOLUTO'!A92</f>
        <v>FCPE 4</v>
      </c>
      <c r="L13" s="120">
        <f>'[1]CUSTO ABSOLUTO'!B92</f>
        <v>99583.679999999978</v>
      </c>
      <c r="M13" s="113">
        <f>'[1]CUSTO ABSOLUTO'!C92</f>
        <v>4.8181833948604084E-2</v>
      </c>
      <c r="N13" s="93">
        <f>'[1]CUSTO ABSOLUTO'!D92</f>
        <v>16</v>
      </c>
      <c r="O13" s="113">
        <f>'[1]CUSTO ABSOLUTO'!E92</f>
        <v>5.3691275167785234E-2</v>
      </c>
    </row>
    <row r="14" spans="1:15" x14ac:dyDescent="0.25">
      <c r="A14" s="610" t="str">
        <f>'[1]VALOR FUNCAO'!A19</f>
        <v>GRUPO-DIREÇÃO E ASSESSORAMENTO SUPERIORES - DAS e</v>
      </c>
      <c r="B14" s="611"/>
      <c r="C14" s="611"/>
      <c r="D14" s="138"/>
      <c r="F14" s="617"/>
      <c r="G14" s="85">
        <f>'[1]CUSTO ABSOLUTO'!B58</f>
        <v>5</v>
      </c>
      <c r="H14" s="120">
        <f>'[1]CUSTO ABSOLUTO'!C58</f>
        <v>0</v>
      </c>
      <c r="I14" s="113">
        <f>'[1]CUSTO ABSOLUTO'!D58</f>
        <v>0</v>
      </c>
      <c r="J14" s="107"/>
      <c r="K14" s="85" t="str">
        <f>'[1]CUSTO ABSOLUTO'!A93</f>
        <v>FCPE 3</v>
      </c>
      <c r="L14" s="120">
        <f>'[1]CUSTO ABSOLUTO'!B93</f>
        <v>37524.629999999997</v>
      </c>
      <c r="M14" s="113">
        <f>'[1]CUSTO ABSOLUTO'!C93</f>
        <v>1.8155640478869708E-2</v>
      </c>
      <c r="N14" s="93">
        <f>'[1]CUSTO ABSOLUTO'!D93</f>
        <v>11</v>
      </c>
      <c r="O14" s="113">
        <f>'[1]CUSTO ABSOLUTO'!E93</f>
        <v>3.6912751677852351E-2</v>
      </c>
    </row>
    <row r="15" spans="1:15" x14ac:dyDescent="0.25">
      <c r="A15" s="612" t="str">
        <f>'[1]VALOR FUNCAO'!A20</f>
        <v>FUNÇÃO COMISSIONADA DO PODER EXECUTIVO - FCPE</v>
      </c>
      <c r="B15" s="613"/>
      <c r="C15" s="613"/>
      <c r="D15" s="138"/>
      <c r="F15" s="617"/>
      <c r="G15" s="85">
        <f>'[1]CUSTO ABSOLUTO'!B59</f>
        <v>4</v>
      </c>
      <c r="H15" s="120">
        <f>'[1]CUSTO ABSOLUTO'!C59</f>
        <v>99583.679999999978</v>
      </c>
      <c r="I15" s="113">
        <f>'[1]CUSTO ABSOLUTO'!D59</f>
        <v>4.8181833948604084E-2</v>
      </c>
      <c r="J15" s="107"/>
      <c r="K15" s="85" t="str">
        <f>'[1]CUSTO ABSOLUTO'!A94</f>
        <v>FCPE 2</v>
      </c>
      <c r="L15" s="120">
        <f>'[1]CUSTO ABSOLUTO'!B94</f>
        <v>45417.899999999994</v>
      </c>
      <c r="M15" s="113">
        <f>'[1]CUSTO ABSOLUTO'!C94</f>
        <v>2.197466207408991E-2</v>
      </c>
      <c r="N15" s="93">
        <f>'[1]CUSTO ABSOLUTO'!D94</f>
        <v>22</v>
      </c>
      <c r="O15" s="113">
        <f>'[1]CUSTO ABSOLUTO'!E94</f>
        <v>7.3825503355704702E-2</v>
      </c>
    </row>
    <row r="16" spans="1:15" x14ac:dyDescent="0.25">
      <c r="A16" s="126" t="str">
        <f>'[1]VALOR FUNCAO'!A21</f>
        <v>Denominação</v>
      </c>
      <c r="B16" s="101" t="str">
        <f>'[1]VALOR FUNCAO'!B21</f>
        <v>Retribuição</v>
      </c>
      <c r="C16" s="101" t="str">
        <f>'[1]VALOR FUNCAO'!C21</f>
        <v>Opção (60%)</v>
      </c>
      <c r="D16" s="125"/>
      <c r="F16" s="617"/>
      <c r="G16" s="85">
        <f>'[1]CUSTO ABSOLUTO'!B60</f>
        <v>3</v>
      </c>
      <c r="H16" s="120">
        <f>'[1]CUSTO ABSOLUTO'!C60</f>
        <v>37524.629999999997</v>
      </c>
      <c r="I16" s="113">
        <f>'[1]CUSTO ABSOLUTO'!D60</f>
        <v>1.8155640478869708E-2</v>
      </c>
      <c r="J16" s="107"/>
      <c r="K16" s="85" t="str">
        <f>'[1]CUSTO ABSOLUTO'!A95</f>
        <v>FCPE 1</v>
      </c>
      <c r="L16" s="120">
        <f>'[1]CUSTO ABSOLUTO'!B95</f>
        <v>21071.387999999999</v>
      </c>
      <c r="M16" s="113">
        <f>'[1]CUSTO ABSOLUTO'!C95</f>
        <v>1.019502510534466E-2</v>
      </c>
      <c r="N16" s="93">
        <f>'[1]CUSTO ABSOLUTO'!D95</f>
        <v>13</v>
      </c>
      <c r="O16" s="113">
        <f>'[1]CUSTO ABSOLUTO'!E95</f>
        <v>4.3624161073825503E-2</v>
      </c>
    </row>
    <row r="17" spans="1:20" x14ac:dyDescent="0.25">
      <c r="A17" s="127" t="str">
        <f>'[1]VALOR FUNCAO'!A23</f>
        <v>DAS/FCPE - 6</v>
      </c>
      <c r="B17" s="122">
        <f>'[1]VALOR FUNCAO'!B23</f>
        <v>16944.900000000001</v>
      </c>
      <c r="C17" s="122">
        <f>'[1]VALOR FUNCAO'!C23</f>
        <v>10166.94</v>
      </c>
      <c r="D17" s="125"/>
      <c r="F17" s="617"/>
      <c r="G17" s="85">
        <f>'[1]CUSTO ABSOLUTO'!B61</f>
        <v>2</v>
      </c>
      <c r="H17" s="120">
        <f>'[1]CUSTO ABSOLUTO'!C61</f>
        <v>45417.899999999994</v>
      </c>
      <c r="I17" s="113">
        <f>'[1]CUSTO ABSOLUTO'!D61</f>
        <v>2.197466207408991E-2</v>
      </c>
      <c r="J17" s="107"/>
      <c r="K17" s="83" t="str">
        <f>'[1]CUSTO ABSOLUTO'!A96</f>
        <v>Total</v>
      </c>
      <c r="L17" s="177">
        <f>'[1]CUSTO ABSOLUTO'!B96</f>
        <v>2066830.4179999998</v>
      </c>
      <c r="M17" s="175">
        <f>'[1]CUSTO ABSOLUTO'!C96</f>
        <v>1</v>
      </c>
      <c r="N17" s="176">
        <f>'[1]CUSTO ABSOLUTO'!D96</f>
        <v>298</v>
      </c>
      <c r="O17" s="175">
        <f>'[1]CUSTO ABSOLUTO'!E96</f>
        <v>1</v>
      </c>
    </row>
    <row r="18" spans="1:20" x14ac:dyDescent="0.25">
      <c r="A18" s="127" t="str">
        <f>'[1]VALOR FUNCAO'!A24</f>
        <v>DAS/FCPE - 5</v>
      </c>
      <c r="B18" s="122">
        <f>'[1]VALOR FUNCAO'!B24</f>
        <v>13623.39</v>
      </c>
      <c r="C18" s="122">
        <f>'[1]VALOR FUNCAO'!C24</f>
        <v>8174.0339999999997</v>
      </c>
      <c r="D18" s="125"/>
      <c r="F18" s="617"/>
      <c r="G18" s="85">
        <f>'[1]CUSTO ABSOLUTO'!B62</f>
        <v>1</v>
      </c>
      <c r="H18" s="120">
        <f>'[1]CUSTO ABSOLUTO'!C62</f>
        <v>21071.387999999999</v>
      </c>
      <c r="I18" s="113">
        <f>'[1]CUSTO ABSOLUTO'!D62</f>
        <v>1.019502510534466E-2</v>
      </c>
      <c r="J18" s="107"/>
      <c r="K18" s="108"/>
      <c r="L18" s="109"/>
      <c r="M18" s="108"/>
      <c r="N18" s="108"/>
      <c r="O18" s="108"/>
    </row>
    <row r="19" spans="1:20" x14ac:dyDescent="0.25">
      <c r="A19" s="127" t="str">
        <f>'[1]VALOR FUNCAO'!A25</f>
        <v>DAS/FCPE - 4</v>
      </c>
      <c r="B19" s="122">
        <f>'[1]VALOR FUNCAO'!B25</f>
        <v>10373.299999999999</v>
      </c>
      <c r="C19" s="122">
        <f>'[1]VALOR FUNCAO'!C25</f>
        <v>6223.98</v>
      </c>
      <c r="D19" s="131"/>
      <c r="F19" s="616"/>
      <c r="G19" s="110" t="str">
        <f>'[1]CUSTO ABSOLUTO'!B63</f>
        <v>Subtotal FCPE</v>
      </c>
      <c r="H19" s="119">
        <f>'[1]CUSTO ABSOLUTO'!C63</f>
        <v>203597.59799999997</v>
      </c>
      <c r="I19" s="111">
        <f>'[1]CUSTO ABSOLUTO'!D63</f>
        <v>9.8507161606908367E-2</v>
      </c>
      <c r="J19" s="107"/>
      <c r="K19" s="108"/>
      <c r="L19" s="109"/>
      <c r="M19" s="108"/>
      <c r="N19" s="108"/>
      <c r="O19" s="108"/>
    </row>
    <row r="20" spans="1:20" x14ac:dyDescent="0.25">
      <c r="A20" s="127" t="str">
        <f>'[1]VALOR FUNCAO'!A26</f>
        <v>DAS/FCPE - 3</v>
      </c>
      <c r="B20" s="122">
        <f>'[1]VALOR FUNCAO'!B26</f>
        <v>5685.55</v>
      </c>
      <c r="C20" s="122">
        <f>'[1]VALOR FUNCAO'!C26</f>
        <v>3411.33</v>
      </c>
      <c r="D20" s="131"/>
      <c r="F20" s="618" t="str">
        <f>'[1]CUSTO ABSOLUTO'!A64</f>
        <v>Total Geral Custo (R$)</v>
      </c>
      <c r="G20" s="618"/>
      <c r="H20" s="121">
        <f>'[1]CUSTO ABSOLUTO'!C64</f>
        <v>2066830.4180000001</v>
      </c>
      <c r="I20" s="114">
        <f>'[1]CUSTO ABSOLUTO'!D64</f>
        <v>1</v>
      </c>
      <c r="J20" s="107"/>
      <c r="K20" s="108"/>
      <c r="L20" s="109"/>
      <c r="M20" s="108"/>
      <c r="N20" s="108"/>
      <c r="O20" s="108"/>
    </row>
    <row r="21" spans="1:20" x14ac:dyDescent="0.25">
      <c r="A21" s="127" t="str">
        <f>'[1]VALOR FUNCAO'!A27</f>
        <v>DAS/FCPE - 2</v>
      </c>
      <c r="B21" s="122">
        <f>'[1]VALOR FUNCAO'!B27</f>
        <v>3440.75</v>
      </c>
      <c r="C21" s="122">
        <f>'[1]VALOR FUNCAO'!C27</f>
        <v>2064.4499999999998</v>
      </c>
      <c r="D21" s="125"/>
    </row>
    <row r="22" spans="1:20" x14ac:dyDescent="0.25">
      <c r="A22" s="127" t="str">
        <f>'[1]VALOR FUNCAO'!A28</f>
        <v>DAS/FCPE - 1</v>
      </c>
      <c r="B22" s="122">
        <f>'[1]VALOR FUNCAO'!B28</f>
        <v>2701.46</v>
      </c>
      <c r="C22" s="122">
        <f>'[1]VALOR FUNCAO'!C28</f>
        <v>1620.876</v>
      </c>
      <c r="D22" s="125"/>
    </row>
    <row r="23" spans="1:20" ht="15" customHeight="1" x14ac:dyDescent="0.25">
      <c r="A23" s="128" t="str">
        <f>'[1]VALOR FUNCAO'!A30</f>
        <v>Obs: A partir de janeiro/2017 (Lei nº 13.324, de 29/07/2016, D.O.U. de 29/07/2016)</v>
      </c>
      <c r="B23" s="124"/>
      <c r="C23" s="124"/>
      <c r="D23" s="125"/>
    </row>
    <row r="24" spans="1:20" ht="39" customHeight="1" x14ac:dyDescent="0.25">
      <c r="A24" s="129"/>
      <c r="B24" s="104"/>
      <c r="C24" s="104"/>
      <c r="D24" s="134"/>
      <c r="F24" s="500" t="str">
        <f>'[1]CUSTO ABSOLUTO'!A26</f>
        <v>Unidade</v>
      </c>
      <c r="G24" s="521" t="str">
        <f>'[1]CUSTO ABSOLUTO'!B26</f>
        <v>Custo Absoluto - Quadro Resumo</v>
      </c>
      <c r="H24" s="521"/>
      <c r="I24" s="521"/>
      <c r="J24" s="521"/>
      <c r="K24" s="521"/>
      <c r="L24" s="521"/>
      <c r="N24" s="98" t="str">
        <f>'[1]CUSTO RELATIVO'!A2</f>
        <v>Unidade</v>
      </c>
      <c r="O24" s="592" t="str">
        <f>'[1]CUSTO RELATIVO'!B2</f>
        <v>Custo Relativo - Função DAS/FCPE por Unidade</v>
      </c>
      <c r="P24" s="620"/>
      <c r="Q24" s="592" t="str">
        <f>'[1]CUSTO RELATIVO'!D2</f>
        <v>Custo Relativo - Função FCPE por Unidade</v>
      </c>
      <c r="R24" s="620"/>
      <c r="S24" s="592" t="str">
        <f>'[1]CUSTO RELATIVO'!F2</f>
        <v>Custo Relativo - Função DAS por Unidade</v>
      </c>
      <c r="T24" s="620"/>
    </row>
    <row r="25" spans="1:20" x14ac:dyDescent="0.25">
      <c r="A25" s="612" t="str">
        <f>'[1]VALOR FUNCAO'!A32</f>
        <v>FUNÇÕES COMISSIONADAS TÉCNICAS - FCT</v>
      </c>
      <c r="B25" s="613"/>
      <c r="C25" s="613"/>
      <c r="D25" s="614"/>
      <c r="F25" s="596"/>
      <c r="G25" s="497" t="str">
        <f>'[1]CUSTO ABSOLUTO'!B27</f>
        <v>Total Custo Absoluto DAS/FCPE</v>
      </c>
      <c r="H25" s="497" t="str">
        <f>'[1]CUSTO ABSOLUTO'!C27</f>
        <v>% Total Custo Absoluto</v>
      </c>
      <c r="I25" s="497" t="str">
        <f>'[1]CUSTO ABSOLUTO'!D27</f>
        <v>TOTAL DAS + FCPE</v>
      </c>
      <c r="J25" s="497" t="str">
        <f>'[1]CUSTO ABSOLUTO'!E27</f>
        <v>% TOTAL DAS + FCPE</v>
      </c>
      <c r="K25" s="587" t="str">
        <f>'[1]CUSTO ABSOLUTO'!F27</f>
        <v>TOTAL      DAS</v>
      </c>
      <c r="L25" s="497" t="str">
        <f>'[1]CUSTO ABSOLUTO'!G27</f>
        <v>TOTAL     FCPE</v>
      </c>
      <c r="N25" s="99"/>
      <c r="O25" s="593"/>
      <c r="P25" s="621"/>
      <c r="Q25" s="593"/>
      <c r="R25" s="621"/>
      <c r="S25" s="593"/>
      <c r="T25" s="621"/>
    </row>
    <row r="26" spans="1:20" ht="15" customHeight="1" x14ac:dyDescent="0.25">
      <c r="A26" s="623" t="str">
        <f>'[1]VALOR FUNCAO'!A33</f>
        <v>Denominação</v>
      </c>
      <c r="B26" s="605" t="str">
        <f>'[1]VALOR FUNCAO'!B33</f>
        <v>Retribuição</v>
      </c>
      <c r="C26" s="101" t="str">
        <f>'[1]VALOR FUNCAO'!C33</f>
        <v>Opção</v>
      </c>
      <c r="D26" s="625" t="str">
        <f>'[1]VALOR FUNCAO'!D34</f>
        <v>%</v>
      </c>
      <c r="F26" s="501"/>
      <c r="G26" s="497"/>
      <c r="H26" s="497"/>
      <c r="I26" s="497"/>
      <c r="J26" s="497"/>
      <c r="K26" s="600"/>
      <c r="L26" s="497"/>
      <c r="N26" s="89"/>
      <c r="O26" s="90" t="str">
        <f>'[1]CUSTO RELATIVO'!B4</f>
        <v>Valor</v>
      </c>
      <c r="P26" s="172" t="str">
        <f>'[1]CUSTO RELATIVO'!C4</f>
        <v>%</v>
      </c>
      <c r="Q26" s="90" t="str">
        <f>'[1]CUSTO RELATIVO'!D4</f>
        <v>Valor</v>
      </c>
      <c r="R26" s="172" t="str">
        <f>'[1]CUSTO RELATIVO'!E4</f>
        <v>%</v>
      </c>
      <c r="S26" s="90" t="str">
        <f>'[1]CUSTO RELATIVO'!F4</f>
        <v>Valor</v>
      </c>
      <c r="T26" s="172" t="str">
        <f>'[1]CUSTO RELATIVO'!G4</f>
        <v>%</v>
      </c>
    </row>
    <row r="27" spans="1:20" x14ac:dyDescent="0.25">
      <c r="A27" s="624"/>
      <c r="B27" s="606"/>
      <c r="C27" s="101" t="str">
        <f>'[1]VALOR FUNCAO'!C34</f>
        <v>Valor</v>
      </c>
      <c r="D27" s="626"/>
      <c r="F27" s="82" t="str">
        <f>'[1]CUSTO ABSOLUTO'!A29</f>
        <v xml:space="preserve">GM </v>
      </c>
      <c r="G27" s="117">
        <f>'[1]CUSTO ABSOLUTO'!B29</f>
        <v>340903.94999999995</v>
      </c>
      <c r="H27" s="106">
        <f>'[1]CUSTO ABSOLUTO'!C29</f>
        <v>0.1649404552163892</v>
      </c>
      <c r="I27" s="83">
        <f>'[1]CUSTO ABSOLUTO'!D29</f>
        <v>51</v>
      </c>
      <c r="J27" s="115">
        <f>'[1]CUSTO ABSOLUTO'!E29</f>
        <v>0.17114093959731544</v>
      </c>
      <c r="K27" s="83">
        <f>'[1]CUSTO ABSOLUTO'!F29</f>
        <v>40</v>
      </c>
      <c r="L27" s="85">
        <f>'[1]CUSTO ABSOLUTO'!G29</f>
        <v>11</v>
      </c>
      <c r="N27" s="82" t="str">
        <f>'[1]CUSTO RELATIVO'!A5</f>
        <v>GM</v>
      </c>
      <c r="O27" s="174">
        <f>'[1]CUSTO RELATIVO'!B5</f>
        <v>251175.95399999982</v>
      </c>
      <c r="P27" s="173">
        <f>'[1]CUSTO RELATIVO'!C5</f>
        <v>16.328994315027362</v>
      </c>
      <c r="Q27" s="174">
        <f>'[1]CUSTO RELATIVO'!D5</f>
        <v>27344.37</v>
      </c>
      <c r="R27" s="173">
        <f>'[1]CUSTO RELATIVO'!E5</f>
        <v>13.520036057424532</v>
      </c>
      <c r="S27" s="174">
        <f>'[1]CUSTO RELATIVO'!F5</f>
        <v>223831.58399999983</v>
      </c>
      <c r="T27" s="173">
        <f>'[1]CUSTO RELATIVO'!G5</f>
        <v>16.754238800653187</v>
      </c>
    </row>
    <row r="28" spans="1:20" x14ac:dyDescent="0.25">
      <c r="A28" s="127" t="str">
        <f>'[1]VALOR FUNCAO'!A36</f>
        <v>FCT 1</v>
      </c>
      <c r="B28" s="122">
        <f>'[1]VALOR FUNCAO'!B36</f>
        <v>6975.3</v>
      </c>
      <c r="C28" s="123">
        <f>'[1]VALOR FUNCAO'!C36</f>
        <v>2092.59</v>
      </c>
      <c r="D28" s="132">
        <f>'[1]VALOR FUNCAO'!D36</f>
        <v>0.3</v>
      </c>
      <c r="F28" s="82" t="str">
        <f>'[1]CUSTO ABSOLUTO'!A30</f>
        <v>SE</v>
      </c>
      <c r="G28" s="117">
        <f>'[1]CUSTO ABSOLUTO'!B30</f>
        <v>525488.16799999995</v>
      </c>
      <c r="H28" s="106">
        <f>'[1]CUSTO ABSOLUTO'!C30</f>
        <v>0.25424832314423584</v>
      </c>
      <c r="I28" s="83">
        <f>'[1]CUSTO ABSOLUTO'!D30</f>
        <v>91</v>
      </c>
      <c r="J28" s="115">
        <f>'[1]CUSTO ABSOLUTO'!E30</f>
        <v>0.30536912751677853</v>
      </c>
      <c r="K28" s="83">
        <f>'[1]CUSTO ABSOLUTO'!F30</f>
        <v>73</v>
      </c>
      <c r="L28" s="85">
        <f>'[1]CUSTO ABSOLUTO'!G30</f>
        <v>18</v>
      </c>
      <c r="N28" s="82" t="str">
        <f>'[1]CUSTO RELATIVO'!A6</f>
        <v>SE</v>
      </c>
      <c r="O28" s="174">
        <f>'[1]CUSTO RELATIVO'!B6</f>
        <v>389696.5900000002</v>
      </c>
      <c r="P28" s="173">
        <f>'[1]CUSTO RELATIVO'!C6</f>
        <v>25.334245979197341</v>
      </c>
      <c r="Q28" s="174">
        <f>'[1]CUSTO RELATIVO'!D6</f>
        <v>47436.977999999974</v>
      </c>
      <c r="R28" s="173">
        <f>'[1]CUSTO RELATIVO'!E6</f>
        <v>23.454541209589173</v>
      </c>
      <c r="S28" s="174">
        <f>'[1]CUSTO RELATIVO'!F6</f>
        <v>342259.6120000002</v>
      </c>
      <c r="T28" s="173">
        <f>'[1]CUSTO RELATIVO'!G6</f>
        <v>25.618812004953295</v>
      </c>
    </row>
    <row r="29" spans="1:20" x14ac:dyDescent="0.25">
      <c r="A29" s="127" t="str">
        <f>'[1]VALOR FUNCAO'!A37</f>
        <v>FCT 2</v>
      </c>
      <c r="B29" s="122">
        <f>'[1]VALOR FUNCAO'!B37</f>
        <v>5850.43</v>
      </c>
      <c r="C29" s="123">
        <f>'[1]VALOR FUNCAO'!C37</f>
        <v>1755.1290000000001</v>
      </c>
      <c r="D29" s="132">
        <f>'[1]VALOR FUNCAO'!D37</f>
        <v>0.3</v>
      </c>
      <c r="F29" s="82" t="str">
        <f>'[1]CUSTO ABSOLUTO'!A31</f>
        <v>CONJUR</v>
      </c>
      <c r="G29" s="117">
        <f>'[1]CUSTO ABSOLUTO'!B31</f>
        <v>71460.95</v>
      </c>
      <c r="H29" s="106">
        <f>'[1]CUSTO ABSOLUTO'!C31</f>
        <v>3.4575139487810658E-2</v>
      </c>
      <c r="I29" s="83">
        <f>'[1]CUSTO ABSOLUTO'!D31</f>
        <v>14</v>
      </c>
      <c r="J29" s="115">
        <f>'[1]CUSTO ABSOLUTO'!E31</f>
        <v>4.6979865771812082E-2</v>
      </c>
      <c r="K29" s="83">
        <f>'[1]CUSTO ABSOLUTO'!F31</f>
        <v>8</v>
      </c>
      <c r="L29" s="85">
        <f>'[1]CUSTO ABSOLUTO'!G31</f>
        <v>6</v>
      </c>
      <c r="N29" s="82" t="str">
        <f>'[1]CUSTO RELATIVO'!A7</f>
        <v>CONJUR</v>
      </c>
      <c r="O29" s="174">
        <f>'[1]CUSTO RELATIVO'!B7</f>
        <v>67311.62999999999</v>
      </c>
      <c r="P29" s="173">
        <f>'[1]CUSTO RELATIVO'!C7</f>
        <v>4.3759412718513087</v>
      </c>
      <c r="Q29" s="174">
        <f>'[1]CUSTO RELATIVO'!D7</f>
        <v>27559.049999999996</v>
      </c>
      <c r="R29" s="173">
        <f>'[1]CUSTO RELATIVO'!E7</f>
        <v>13.626181539686797</v>
      </c>
      <c r="S29" s="174">
        <f>'[1]CUSTO RELATIVO'!F7</f>
        <v>39752.579999999994</v>
      </c>
      <c r="T29" s="173">
        <f>'[1]CUSTO RELATIVO'!G7</f>
        <v>2.975559598693946</v>
      </c>
    </row>
    <row r="30" spans="1:20" x14ac:dyDescent="0.25">
      <c r="A30" s="127" t="str">
        <f>'[1]VALOR FUNCAO'!A38</f>
        <v>FCT 3</v>
      </c>
      <c r="B30" s="122">
        <f>'[1]VALOR FUNCAO'!B38</f>
        <v>4906.97</v>
      </c>
      <c r="C30" s="123">
        <f>'[1]VALOR FUNCAO'!C38</f>
        <v>1570.2304000000001</v>
      </c>
      <c r="D30" s="132">
        <f>'[1]VALOR FUNCAO'!D38</f>
        <v>0.32</v>
      </c>
      <c r="F30" s="82" t="str">
        <f>'[1]CUSTO ABSOLUTO'!A32</f>
        <v>ASSEC</v>
      </c>
      <c r="G30" s="117">
        <f>'[1]CUSTO ABSOLUTO'!B32</f>
        <v>82546.539999999994</v>
      </c>
      <c r="H30" s="106">
        <f>'[1]CUSTO ABSOLUTO'!C32</f>
        <v>3.9938709669212931E-2</v>
      </c>
      <c r="I30" s="83">
        <f>'[1]CUSTO ABSOLUTO'!D32</f>
        <v>9</v>
      </c>
      <c r="J30" s="115">
        <f>'[1]CUSTO ABSOLUTO'!E32</f>
        <v>3.0201342281879196E-2</v>
      </c>
      <c r="K30" s="83">
        <f>'[1]CUSTO ABSOLUTO'!F32</f>
        <v>9</v>
      </c>
      <c r="L30" s="85">
        <f>'[1]CUSTO ABSOLUTO'!G32</f>
        <v>0</v>
      </c>
      <c r="N30" s="82" t="str">
        <f>'[1]CUSTO RELATIVO'!A8</f>
        <v>ASSEC</v>
      </c>
      <c r="O30" s="174">
        <f>'[1]CUSTO RELATIVO'!B8</f>
        <v>60499.90400000001</v>
      </c>
      <c r="P30" s="173">
        <f>'[1]CUSTO RELATIVO'!C8</f>
        <v>3.9331097294277697</v>
      </c>
      <c r="Q30" s="174">
        <f>'[1]CUSTO RELATIVO'!D8</f>
        <v>0</v>
      </c>
      <c r="R30" s="173">
        <f>'[1]CUSTO RELATIVO'!E8</f>
        <v>0</v>
      </c>
      <c r="S30" s="174">
        <f>'[1]CUSTO RELATIVO'!F8</f>
        <v>60499.90400000001</v>
      </c>
      <c r="T30" s="173">
        <f>'[1]CUSTO RELATIVO'!G8</f>
        <v>4.5285380236267008</v>
      </c>
    </row>
    <row r="31" spans="1:20" x14ac:dyDescent="0.25">
      <c r="A31" s="127" t="str">
        <f>'[1]VALOR FUNCAO'!A39</f>
        <v>FCT 4</v>
      </c>
      <c r="B31" s="122">
        <f>'[1]VALOR FUNCAO'!B39</f>
        <v>4115.66</v>
      </c>
      <c r="C31" s="123">
        <f>'[1]VALOR FUNCAO'!C39</f>
        <v>1399.3244</v>
      </c>
      <c r="D31" s="132">
        <f>'[1]VALOR FUNCAO'!D39</f>
        <v>0.34</v>
      </c>
      <c r="F31" s="82" t="str">
        <f>'[1]CUSTO ABSOLUTO'!A33</f>
        <v>ASSINT</v>
      </c>
      <c r="G31" s="117">
        <f>'[1]CUSTO ABSOLUTO'!B33</f>
        <v>29501.89</v>
      </c>
      <c r="H31" s="106">
        <f>'[1]CUSTO ABSOLUTO'!C33</f>
        <v>1.4273977072849525E-2</v>
      </c>
      <c r="I31" s="83">
        <f>'[1]CUSTO ABSOLUTO'!D33</f>
        <v>4</v>
      </c>
      <c r="J31" s="115">
        <f>'[1]CUSTO ABSOLUTO'!E33</f>
        <v>1.3422818791946308E-2</v>
      </c>
      <c r="K31" s="83">
        <f>'[1]CUSTO ABSOLUTO'!F33</f>
        <v>3</v>
      </c>
      <c r="L31" s="85">
        <f>'[1]CUSTO ABSOLUTO'!G33</f>
        <v>1</v>
      </c>
      <c r="N31" s="82" t="str">
        <f>'[1]CUSTO RELATIVO'!A9</f>
        <v>AERINT</v>
      </c>
      <c r="O31" s="174">
        <f>'[1]CUSTO RELATIVO'!B9</f>
        <v>24052.534</v>
      </c>
      <c r="P31" s="173">
        <f>'[1]CUSTO RELATIVO'!C9</f>
        <v>1.5636595967622067</v>
      </c>
      <c r="Q31" s="174">
        <f>'[1]CUSTO RELATIVO'!D9</f>
        <v>2064.4499999999998</v>
      </c>
      <c r="R31" s="173">
        <f>'[1]CUSTO RELATIVO'!E9</f>
        <v>1.0207380326827815</v>
      </c>
      <c r="S31" s="174">
        <f>'[1]CUSTO RELATIVO'!F9</f>
        <v>21988.083999999999</v>
      </c>
      <c r="T31" s="173">
        <f>'[1]CUSTO RELATIVO'!G9</f>
        <v>1.6458517762391467</v>
      </c>
    </row>
    <row r="32" spans="1:20" x14ac:dyDescent="0.25">
      <c r="A32" s="127" t="str">
        <f>'[1]VALOR FUNCAO'!A40</f>
        <v>FCT 5</v>
      </c>
      <c r="B32" s="122">
        <f>'[1]VALOR FUNCAO'!B40</f>
        <v>3451.94</v>
      </c>
      <c r="C32" s="123">
        <f>'[1]VALOR FUNCAO'!C40</f>
        <v>1277.2177999999999</v>
      </c>
      <c r="D32" s="132">
        <f>'[1]VALOR FUNCAO'!D40</f>
        <v>0.37</v>
      </c>
      <c r="F32" s="82" t="str">
        <f>'[1]CUSTO ABSOLUTO'!A34</f>
        <v>AECI</v>
      </c>
      <c r="G32" s="117">
        <f>'[1]CUSTO ABSOLUTO'!B34</f>
        <v>21911.82</v>
      </c>
      <c r="H32" s="106">
        <f>'[1]CUSTO ABSOLUTO'!C34</f>
        <v>1.0601653531499361E-2</v>
      </c>
      <c r="I32" s="83">
        <f>'[1]CUSTO ABSOLUTO'!D34</f>
        <v>3</v>
      </c>
      <c r="J32" s="115">
        <f>'[1]CUSTO ABSOLUTO'!E34</f>
        <v>1.0067114093959731E-2</v>
      </c>
      <c r="K32" s="83">
        <f>'[1]CUSTO ABSOLUTO'!F34</f>
        <v>1</v>
      </c>
      <c r="L32" s="85">
        <f>'[1]CUSTO ABSOLUTO'!G34</f>
        <v>2</v>
      </c>
      <c r="N32" s="82" t="str">
        <f>'[1]CUSTO RELATIVO'!A10</f>
        <v>AECI</v>
      </c>
      <c r="O32" s="174">
        <f>'[1]CUSTO RELATIVO'!B10</f>
        <v>21911.82</v>
      </c>
      <c r="P32" s="173">
        <f>'[1]CUSTO RELATIVO'!C10</f>
        <v>1.4244913914486539</v>
      </c>
      <c r="Q32" s="174">
        <f>'[1]CUSTO RELATIVO'!D10</f>
        <v>8288.43</v>
      </c>
      <c r="R32" s="173">
        <f>'[1]CUSTO RELATIVO'!E10</f>
        <v>4.098096699958317</v>
      </c>
      <c r="S32" s="174">
        <f>'[1]CUSTO RELATIVO'!F10</f>
        <v>13623.39</v>
      </c>
      <c r="T32" s="173">
        <f>'[1]CUSTO RELATIVO'!G10</f>
        <v>1.0197378102566204</v>
      </c>
    </row>
    <row r="33" spans="1:45" x14ac:dyDescent="0.25">
      <c r="A33" s="127" t="str">
        <f>'[1]VALOR FUNCAO'!A41</f>
        <v>FCT 6</v>
      </c>
      <c r="B33" s="122">
        <f>'[1]VALOR FUNCAO'!B41</f>
        <v>2895.3</v>
      </c>
      <c r="C33" s="123">
        <f>'[1]VALOR FUNCAO'!C41</f>
        <v>1158.1200000000001</v>
      </c>
      <c r="D33" s="132">
        <f>'[1]VALOR FUNCAO'!D41</f>
        <v>0.4</v>
      </c>
      <c r="F33" s="82" t="str">
        <f>'[1]CUSTO ABSOLUTO'!A35</f>
        <v>AEPED</v>
      </c>
      <c r="G33" s="117">
        <f>'[1]CUSTO ABSOLUTO'!B35</f>
        <v>35906.22</v>
      </c>
      <c r="H33" s="106">
        <f>'[1]CUSTO ABSOLUTO'!C35</f>
        <v>1.7372600909727854E-2</v>
      </c>
      <c r="I33" s="83">
        <f>'[1]CUSTO ABSOLUTO'!D35</f>
        <v>4</v>
      </c>
      <c r="J33" s="115">
        <f>'[1]CUSTO ABSOLUTO'!E35</f>
        <v>1.3422818791946308E-2</v>
      </c>
      <c r="K33" s="83">
        <f>'[1]CUSTO ABSOLUTO'!F35</f>
        <v>3</v>
      </c>
      <c r="L33" s="85">
        <f>'[1]CUSTO ABSOLUTO'!G35</f>
        <v>1</v>
      </c>
      <c r="N33" s="82" t="str">
        <f>'[1]CUSTO RELATIVO'!A11</f>
        <v>AEPED</v>
      </c>
      <c r="O33" s="174">
        <f>'[1]CUSTO RELATIVO'!B11</f>
        <v>33632</v>
      </c>
      <c r="P33" s="173">
        <f>'[1]CUSTO RELATIVO'!C11</f>
        <v>2.1864224184573042</v>
      </c>
      <c r="Q33" s="174">
        <f>'[1]CUSTO RELATIVO'!D11</f>
        <v>6223.98</v>
      </c>
      <c r="R33" s="173">
        <f>'[1]CUSTO RELATIVO'!E11</f>
        <v>3.0773586672755355</v>
      </c>
      <c r="S33" s="174">
        <f>'[1]CUSTO RELATIVO'!F11</f>
        <v>27408.02</v>
      </c>
      <c r="T33" s="173">
        <f>'[1]CUSTO RELATIVO'!G11</f>
        <v>2.05154475488624</v>
      </c>
    </row>
    <row r="34" spans="1:45" x14ac:dyDescent="0.25">
      <c r="A34" s="127" t="str">
        <f>'[1]VALOR FUNCAO'!A42</f>
        <v>FCT 7</v>
      </c>
      <c r="B34" s="122">
        <f>'[1]VALOR FUNCAO'!B42</f>
        <v>2428.37</v>
      </c>
      <c r="C34" s="123">
        <f>'[1]VALOR FUNCAO'!C42</f>
        <v>1068.4828</v>
      </c>
      <c r="D34" s="132">
        <f>'[1]VALOR FUNCAO'!D42</f>
        <v>0.44</v>
      </c>
      <c r="F34" s="82" t="str">
        <f>'[1]CUSTO ABSOLUTO'!A36</f>
        <v>SPE</v>
      </c>
      <c r="G34" s="117">
        <f>'[1]CUSTO ABSOLUTO'!B36</f>
        <v>247012.41</v>
      </c>
      <c r="H34" s="106">
        <f>'[1]CUSTO ABSOLUTO'!C36</f>
        <v>0.11951266434283726</v>
      </c>
      <c r="I34" s="83">
        <f>'[1]CUSTO ABSOLUTO'!D36</f>
        <v>30</v>
      </c>
      <c r="J34" s="115">
        <f>'[1]CUSTO ABSOLUTO'!E36</f>
        <v>0.10067114093959731</v>
      </c>
      <c r="K34" s="83">
        <f>'[1]CUSTO ABSOLUTO'!F36</f>
        <v>25</v>
      </c>
      <c r="L34" s="85">
        <f>'[1]CUSTO ABSOLUTO'!G36</f>
        <v>5</v>
      </c>
      <c r="N34" s="82" t="str">
        <f>'[1]CUSTO RELATIVO'!A12</f>
        <v>SPE</v>
      </c>
      <c r="O34" s="174">
        <f>'[1]CUSTO RELATIVO'!B12</f>
        <v>172801.30599999998</v>
      </c>
      <c r="P34" s="173">
        <f>'[1]CUSTO RELATIVO'!C12</f>
        <v>11.233844236949947</v>
      </c>
      <c r="Q34" s="174">
        <f>'[1]CUSTO RELATIVO'!D12</f>
        <v>15828.66</v>
      </c>
      <c r="R34" s="173">
        <f>'[1]CUSTO RELATIVO'!E12</f>
        <v>7.8262565179125865</v>
      </c>
      <c r="S34" s="174">
        <f>'[1]CUSTO RELATIVO'!F12</f>
        <v>156972.64599999998</v>
      </c>
      <c r="T34" s="173">
        <f>'[1]CUSTO RELATIVO'!G12</f>
        <v>11.749714447155048</v>
      </c>
    </row>
    <row r="35" spans="1:45" x14ac:dyDescent="0.25">
      <c r="A35" s="127" t="str">
        <f>'[1]VALOR FUNCAO'!A43</f>
        <v>FCT 8</v>
      </c>
      <c r="B35" s="122">
        <f>'[1]VALOR FUNCAO'!B43</f>
        <v>2036.77</v>
      </c>
      <c r="C35" s="123">
        <f>'[1]VALOR FUNCAO'!C43</f>
        <v>998.01729999999998</v>
      </c>
      <c r="D35" s="132">
        <f>'[1]VALOR FUNCAO'!D43</f>
        <v>0.49</v>
      </c>
      <c r="F35" s="82" t="str">
        <f>'[1]CUSTO ABSOLUTO'!A37</f>
        <v>SEE</v>
      </c>
      <c r="G35" s="117">
        <f>'[1]CUSTO ABSOLUTO'!B37</f>
        <v>246911.52</v>
      </c>
      <c r="H35" s="106">
        <f>'[1]CUSTO ABSOLUTO'!C37</f>
        <v>0.11946385046864547</v>
      </c>
      <c r="I35" s="83">
        <f>'[1]CUSTO ABSOLUTO'!D37</f>
        <v>32</v>
      </c>
      <c r="J35" s="115">
        <f>'[1]CUSTO ABSOLUTO'!E37</f>
        <v>0.10738255033557047</v>
      </c>
      <c r="K35" s="83">
        <f>'[1]CUSTO ABSOLUTO'!F37</f>
        <v>28</v>
      </c>
      <c r="L35" s="85">
        <f>'[1]CUSTO ABSOLUTO'!G37</f>
        <v>4</v>
      </c>
      <c r="N35" s="82" t="str">
        <f>'[1]CUSTO RELATIVO'!A13</f>
        <v>SEE</v>
      </c>
      <c r="O35" s="174">
        <f>'[1]CUSTO RELATIVO'!B13</f>
        <v>176750.27000000002</v>
      </c>
      <c r="P35" s="173">
        <f>'[1]CUSTO RELATIVO'!C13</f>
        <v>11.490567102651685</v>
      </c>
      <c r="Q35" s="174">
        <f>'[1]CUSTO RELATIVO'!D13</f>
        <v>19270.62</v>
      </c>
      <c r="R35" s="173">
        <f>'[1]CUSTO RELATIVO'!E13</f>
        <v>9.5280848397284839</v>
      </c>
      <c r="S35" s="174">
        <f>'[1]CUSTO RELATIVO'!F13</f>
        <v>157479.65000000002</v>
      </c>
      <c r="T35" s="173">
        <f>'[1]CUSTO RELATIVO'!G13</f>
        <v>11.787664703937788</v>
      </c>
    </row>
    <row r="36" spans="1:45" x14ac:dyDescent="0.25">
      <c r="A36" s="127" t="str">
        <f>'[1]VALOR FUNCAO'!A44</f>
        <v>FCT 9</v>
      </c>
      <c r="B36" s="122">
        <f>'[1]VALOR FUNCAO'!B44</f>
        <v>1708.3</v>
      </c>
      <c r="C36" s="123">
        <f>'[1]VALOR FUNCAO'!C44</f>
        <v>939.56500000000005</v>
      </c>
      <c r="D36" s="132">
        <f>'[1]VALOR FUNCAO'!D44</f>
        <v>0.55000000000000004</v>
      </c>
      <c r="F36" s="82" t="str">
        <f>'[1]CUSTO ABSOLUTO'!A38</f>
        <v>SPG</v>
      </c>
      <c r="G36" s="117">
        <f>'[1]CUSTO ABSOLUTO'!B38</f>
        <v>233067.75999999998</v>
      </c>
      <c r="H36" s="106">
        <f>'[1]CUSTO ABSOLUTO'!C38</f>
        <v>0.11276578763802575</v>
      </c>
      <c r="I36" s="83">
        <f>'[1]CUSTO ABSOLUTO'!D38</f>
        <v>26</v>
      </c>
      <c r="J36" s="115">
        <f>'[1]CUSTO ABSOLUTO'!E38</f>
        <v>8.7248322147651006E-2</v>
      </c>
      <c r="K36" s="83">
        <f>'[1]CUSTO ABSOLUTO'!F38</f>
        <v>22</v>
      </c>
      <c r="L36" s="85">
        <f>'[1]CUSTO ABSOLUTO'!G38</f>
        <v>4</v>
      </c>
      <c r="N36" s="82" t="str">
        <f>'[1]CUSTO RELATIVO'!A14</f>
        <v>SPG</v>
      </c>
      <c r="O36" s="174">
        <f>'[1]CUSTO RELATIVO'!B14</f>
        <v>146598.06200000001</v>
      </c>
      <c r="P36" s="173">
        <f>'[1]CUSTO RELATIVO'!C14</f>
        <v>9.5303665931016237</v>
      </c>
      <c r="Q36" s="174">
        <f>'[1]CUSTO RELATIVO'!D14</f>
        <v>8257.7999999999993</v>
      </c>
      <c r="R36" s="173">
        <f>'[1]CUSTO RELATIVO'!E14</f>
        <v>4.0829521307311261</v>
      </c>
      <c r="S36" s="174">
        <f>'[1]CUSTO RELATIVO'!F14</f>
        <v>138340.26200000002</v>
      </c>
      <c r="T36" s="173">
        <f>'[1]CUSTO RELATIVO'!G14</f>
        <v>10.35504348346536</v>
      </c>
    </row>
    <row r="37" spans="1:45" x14ac:dyDescent="0.25">
      <c r="A37" s="127" t="str">
        <f>'[1]VALOR FUNCAO'!A45</f>
        <v>FCT 10</v>
      </c>
      <c r="B37" s="122">
        <f>'[1]VALOR FUNCAO'!B45</f>
        <v>1432.81</v>
      </c>
      <c r="C37" s="123">
        <f>'[1]VALOR FUNCAO'!C45</f>
        <v>888.34219999999993</v>
      </c>
      <c r="D37" s="132">
        <f>'[1]VALOR FUNCAO'!D45</f>
        <v>0.62</v>
      </c>
      <c r="F37" s="82" t="str">
        <f>'[1]CUSTO ABSOLUTO'!A39</f>
        <v>SGM</v>
      </c>
      <c r="G37" s="117">
        <f>'[1]CUSTO ABSOLUTO'!B39</f>
        <v>204689.23999999996</v>
      </c>
      <c r="H37" s="106">
        <f>'[1]CUSTO ABSOLUTO'!C39</f>
        <v>9.9035333628421554E-2</v>
      </c>
      <c r="I37" s="83">
        <f>'[1]CUSTO ABSOLUTO'!D39</f>
        <v>30</v>
      </c>
      <c r="J37" s="115">
        <f>'[1]CUSTO ABSOLUTO'!E39</f>
        <v>0.10067114093959731</v>
      </c>
      <c r="K37" s="83">
        <f>'[1]CUSTO ABSOLUTO'!F39</f>
        <v>20</v>
      </c>
      <c r="L37" s="85">
        <f>'[1]CUSTO ABSOLUTO'!G39</f>
        <v>10</v>
      </c>
      <c r="N37" s="82" t="str">
        <f>'[1]CUSTO RELATIVO'!A15</f>
        <v>SGM</v>
      </c>
      <c r="O37" s="174">
        <f>'[1]CUSTO RELATIVO'!B15</f>
        <v>193790.52800000002</v>
      </c>
      <c r="P37" s="173">
        <f>'[1]CUSTO RELATIVO'!C15</f>
        <v>12.598357365124819</v>
      </c>
      <c r="Q37" s="174">
        <f>'[1]CUSTO RELATIVO'!D15</f>
        <v>39976.379999999997</v>
      </c>
      <c r="R37" s="173">
        <f>'[1]CUSTO RELATIVO'!E15</f>
        <v>19.765754305010677</v>
      </c>
      <c r="S37" s="174">
        <f>'[1]CUSTO RELATIVO'!F15</f>
        <v>153814.14800000002</v>
      </c>
      <c r="T37" s="173">
        <f>'[1]CUSTO RELATIVO'!G15</f>
        <v>11.513294596132662</v>
      </c>
    </row>
    <row r="38" spans="1:45" x14ac:dyDescent="0.25">
      <c r="A38" s="127" t="str">
        <f>'[1]VALOR FUNCAO'!A46</f>
        <v>FCT 11</v>
      </c>
      <c r="B38" s="122">
        <f>'[1]VALOR FUNCAO'!B46</f>
        <v>1201.74</v>
      </c>
      <c r="C38" s="123">
        <f>'[1]VALOR FUNCAO'!C46</f>
        <v>841.21799999999996</v>
      </c>
      <c r="D38" s="132">
        <f>'[1]VALOR FUNCAO'!D46</f>
        <v>0.7</v>
      </c>
      <c r="F38" s="82" t="str">
        <f>'[1]CUSTO ABSOLUTO'!A40</f>
        <v>ESCRITÓRIO RJ</v>
      </c>
      <c r="G38" s="117">
        <f>'[1]CUSTO ABSOLUTO'!B40</f>
        <v>27429.95</v>
      </c>
      <c r="H38" s="106">
        <f>'[1]CUSTO ABSOLUTO'!C40</f>
        <v>1.3271504890344614E-2</v>
      </c>
      <c r="I38" s="83">
        <f>'[1]CUSTO ABSOLUTO'!D40</f>
        <v>4</v>
      </c>
      <c r="J38" s="115">
        <f>'[1]CUSTO ABSOLUTO'!E40</f>
        <v>1.3422818791946308E-2</v>
      </c>
      <c r="K38" s="83">
        <f>'[1]CUSTO ABSOLUTO'!F40</f>
        <v>4</v>
      </c>
      <c r="L38" s="85">
        <f>'[1]CUSTO ABSOLUTO'!G40</f>
        <v>0</v>
      </c>
      <c r="N38" s="82" t="str">
        <f>'[1]CUSTO RELATIVO'!A16</f>
        <v>ESCRITÓRIO RJ</v>
      </c>
      <c r="O38" s="174">
        <f>'[1]CUSTO RELATIVO'!B16</f>
        <v>6223.98</v>
      </c>
      <c r="P38" s="173">
        <f>'[1]CUSTO RELATIVO'!C16</f>
        <v>0.40462206838813902</v>
      </c>
      <c r="Q38" s="174">
        <f>'[1]CUSTO RELATIVO'!D16</f>
        <v>0</v>
      </c>
      <c r="R38" s="173">
        <f>'[1]CUSTO RELATIVO'!E16</f>
        <v>0</v>
      </c>
      <c r="S38" s="174">
        <f>'[1]CUSTO RELATIVO'!F16</f>
        <v>6223.98</v>
      </c>
      <c r="T38" s="173">
        <f>'[1]CUSTO RELATIVO'!G16</f>
        <v>0.46587726962826431</v>
      </c>
    </row>
    <row r="39" spans="1:45" x14ac:dyDescent="0.25">
      <c r="A39" s="127" t="str">
        <f>'[1]VALOR FUNCAO'!A47</f>
        <v>FCT 12</v>
      </c>
      <c r="B39" s="122">
        <f>'[1]VALOR FUNCAO'!B47</f>
        <v>1007.96</v>
      </c>
      <c r="C39" s="123">
        <f>'[1]VALOR FUNCAO'!C47</f>
        <v>806.36800000000005</v>
      </c>
      <c r="D39" s="132">
        <f>'[1]VALOR FUNCAO'!D47</f>
        <v>0.8</v>
      </c>
      <c r="F39" s="86" t="str">
        <f>'[1]CUSTO ABSOLUTO'!A42</f>
        <v>TOTAL</v>
      </c>
      <c r="G39" s="87">
        <f>'[1]CUSTO ABSOLUTO'!B42</f>
        <v>2066830.4179999998</v>
      </c>
      <c r="H39" s="116">
        <f>'[1]CUSTO ABSOLUTO'!C42</f>
        <v>0.99999999999999989</v>
      </c>
      <c r="I39" s="88">
        <f>'[1]CUSTO ABSOLUTO'!D42</f>
        <v>298</v>
      </c>
      <c r="J39" s="116">
        <f>'[1]CUSTO ABSOLUTO'!E42</f>
        <v>0.99999999999999989</v>
      </c>
      <c r="K39" s="88">
        <f>'[1]CUSTO ABSOLUTO'!F42</f>
        <v>236</v>
      </c>
      <c r="L39" s="88">
        <f>'[1]CUSTO ABSOLUTO'!G42</f>
        <v>62</v>
      </c>
      <c r="N39" s="86" t="str">
        <f>'[1]CUSTO RELATIVO'!A17</f>
        <v>TOTAL</v>
      </c>
      <c r="O39" s="144">
        <f>'[1]CUSTO RELATIVO'!B17</f>
        <v>1538220.5979999998</v>
      </c>
      <c r="P39" s="87">
        <f>'[1]CUSTO RELATIVO'!C17</f>
        <v>100.00000000000003</v>
      </c>
      <c r="Q39" s="144">
        <f>'[1]CUSTO RELATIVO'!D17</f>
        <v>202250.71799999994</v>
      </c>
      <c r="R39" s="87">
        <f>'[1]CUSTO RELATIVO'!E17</f>
        <v>100</v>
      </c>
      <c r="S39" s="144">
        <f>'[1]CUSTO RELATIVO'!F17</f>
        <v>1335969.8800000001</v>
      </c>
      <c r="T39" s="87">
        <f>'[1]CUSTO RELATIVO'!G17</f>
        <v>100.00000000000001</v>
      </c>
    </row>
    <row r="40" spans="1:45" x14ac:dyDescent="0.25">
      <c r="A40" s="127" t="str">
        <f>'[1]VALOR FUNCAO'!A48</f>
        <v>FCT 13</v>
      </c>
      <c r="B40" s="122">
        <f>'[1]VALOR FUNCAO'!B48</f>
        <v>845.41</v>
      </c>
      <c r="C40" s="123">
        <f>'[1]VALOR FUNCAO'!C48</f>
        <v>760.86900000000003</v>
      </c>
      <c r="D40" s="132">
        <f>'[1]VALOR FUNCAO'!D48</f>
        <v>0.9</v>
      </c>
    </row>
    <row r="41" spans="1:45" x14ac:dyDescent="0.25">
      <c r="A41" s="127" t="str">
        <f>'[1]VALOR FUNCAO'!A49</f>
        <v>FCT 14</v>
      </c>
      <c r="B41" s="122">
        <f>'[1]VALOR FUNCAO'!B49</f>
        <v>709.07</v>
      </c>
      <c r="C41" s="123">
        <f>'[1]VALOR FUNCAO'!C49</f>
        <v>709.07</v>
      </c>
      <c r="D41" s="132">
        <f>'[1]VALOR FUNCAO'!D49</f>
        <v>1</v>
      </c>
    </row>
    <row r="42" spans="1:45" x14ac:dyDescent="0.25">
      <c r="A42" s="127" t="str">
        <f>'[1]VALOR FUNCAO'!A50</f>
        <v>FCT 15</v>
      </c>
      <c r="B42" s="122">
        <f>'[1]VALOR FUNCAO'!B50</f>
        <v>594.74</v>
      </c>
      <c r="C42" s="123">
        <f>'[1]VALOR FUNCAO'!C50</f>
        <v>594.74</v>
      </c>
      <c r="D42" s="132">
        <f>'[1]VALOR FUNCAO'!D50</f>
        <v>1</v>
      </c>
      <c r="F42" s="156"/>
      <c r="G42" s="622"/>
      <c r="H42" s="622"/>
      <c r="I42" s="622"/>
      <c r="J42" s="622"/>
      <c r="K42" s="622"/>
      <c r="L42" s="622"/>
      <c r="M42" s="622"/>
      <c r="N42" s="622"/>
      <c r="O42" s="622"/>
      <c r="P42" s="622"/>
      <c r="Q42" s="622"/>
      <c r="R42" s="622"/>
      <c r="S42" s="622"/>
      <c r="T42" s="622"/>
      <c r="U42" s="622"/>
      <c r="V42" s="622"/>
      <c r="W42" s="622"/>
      <c r="X42" s="622"/>
      <c r="Y42" s="622"/>
      <c r="Z42" s="622"/>
      <c r="AA42" s="622"/>
      <c r="AB42" s="622"/>
      <c r="AC42" s="622"/>
      <c r="AD42" s="622"/>
      <c r="AE42" s="622"/>
      <c r="AF42" s="622"/>
      <c r="AG42" s="622"/>
      <c r="AH42" s="622"/>
      <c r="AI42" s="622"/>
      <c r="AJ42" s="622"/>
      <c r="AK42" s="622"/>
      <c r="AL42" s="622"/>
      <c r="AM42" s="622"/>
      <c r="AN42" s="622"/>
      <c r="AO42" s="622"/>
      <c r="AP42" s="622"/>
      <c r="AQ42" s="622"/>
      <c r="AR42" s="622"/>
      <c r="AS42" s="622"/>
    </row>
    <row r="43" spans="1:45" x14ac:dyDescent="0.25">
      <c r="A43" s="128" t="str">
        <f>'[1]VALOR FUNCAO'!A52</f>
        <v>Obs: A partir de janeiro/2017 (Lei nº 13.324, de 29/07/2016, D.O.U. de 29/07/2016)</v>
      </c>
      <c r="B43" s="124"/>
      <c r="C43" s="124"/>
      <c r="D43" s="125"/>
      <c r="F43" s="156"/>
      <c r="G43" s="158"/>
      <c r="H43" s="158"/>
      <c r="I43" s="158"/>
      <c r="J43" s="622"/>
      <c r="K43" s="622"/>
      <c r="L43" s="622"/>
      <c r="M43" s="622"/>
      <c r="N43" s="622"/>
      <c r="O43" s="622"/>
      <c r="P43" s="622"/>
      <c r="Q43" s="622"/>
      <c r="R43" s="622"/>
      <c r="S43" s="622"/>
      <c r="T43" s="622"/>
      <c r="U43" s="622"/>
      <c r="V43" s="622"/>
      <c r="W43" s="622"/>
      <c r="X43" s="622"/>
      <c r="Y43" s="622"/>
      <c r="Z43" s="622"/>
      <c r="AA43" s="622"/>
      <c r="AB43" s="622"/>
      <c r="AC43" s="622"/>
      <c r="AD43" s="622"/>
      <c r="AE43" s="622"/>
      <c r="AF43" s="622"/>
      <c r="AG43" s="622"/>
      <c r="AH43" s="622"/>
      <c r="AI43" s="622"/>
      <c r="AJ43" s="622"/>
      <c r="AK43" s="622"/>
      <c r="AL43" s="622"/>
      <c r="AM43" s="622"/>
      <c r="AN43" s="619"/>
      <c r="AO43" s="619"/>
      <c r="AP43" s="619"/>
      <c r="AQ43" s="619"/>
      <c r="AR43" s="619"/>
      <c r="AS43" s="619"/>
    </row>
    <row r="44" spans="1:45" x14ac:dyDescent="0.25">
      <c r="A44" s="129"/>
      <c r="B44" s="104"/>
      <c r="C44" s="104"/>
      <c r="D44" s="134"/>
      <c r="F44" s="500" t="str">
        <f>'[1]CUSTO RELATIVO'!A95</f>
        <v>Unidade</v>
      </c>
      <c r="G44" s="592" t="str">
        <f>'[1]CUSTO RELATIVO'!B95</f>
        <v>Custo Relativo (R$)</v>
      </c>
      <c r="H44" s="620"/>
      <c r="I44" s="497" t="str">
        <f>'[1]CUSTO RELATIVO'!D95</f>
        <v>Custo Absoluto (R$)</v>
      </c>
      <c r="J44" s="497"/>
      <c r="K44" s="165"/>
      <c r="L44" s="165"/>
      <c r="M44" s="158"/>
      <c r="N44" s="165"/>
      <c r="O44" s="165"/>
      <c r="P44" s="158"/>
      <c r="Q44" s="165"/>
      <c r="R44" s="165"/>
      <c r="S44" s="158"/>
      <c r="T44" s="165"/>
      <c r="U44" s="165"/>
      <c r="V44" s="158"/>
      <c r="W44" s="165"/>
      <c r="X44" s="165"/>
      <c r="Y44" s="158"/>
      <c r="Z44" s="165"/>
      <c r="AA44" s="165"/>
      <c r="AB44" s="158"/>
      <c r="AC44" s="165"/>
      <c r="AD44" s="165"/>
      <c r="AE44" s="158"/>
      <c r="AF44" s="165"/>
      <c r="AG44" s="165"/>
      <c r="AH44" s="158"/>
      <c r="AI44" s="165"/>
      <c r="AJ44" s="165"/>
      <c r="AK44" s="158"/>
      <c r="AL44" s="165"/>
      <c r="AM44" s="165"/>
      <c r="AN44" s="619"/>
      <c r="AO44" s="619"/>
      <c r="AP44" s="619"/>
      <c r="AQ44" s="619"/>
      <c r="AR44" s="619"/>
      <c r="AS44" s="619"/>
    </row>
    <row r="45" spans="1:45" x14ac:dyDescent="0.25">
      <c r="A45" s="612" t="str">
        <f>'[1]VALOR FUNCAO'!A54</f>
        <v>FUNÇÃO GRATIFICADA (Lei nº 8.216, de 1991)</v>
      </c>
      <c r="B45" s="613"/>
      <c r="C45" s="613"/>
      <c r="D45" s="614"/>
      <c r="F45" s="596"/>
      <c r="G45" s="593"/>
      <c r="H45" s="621"/>
      <c r="I45" s="497"/>
      <c r="J45" s="497"/>
      <c r="K45" s="163"/>
      <c r="L45" s="164"/>
      <c r="M45" s="162"/>
      <c r="N45" s="163"/>
      <c r="O45" s="164"/>
      <c r="P45" s="162"/>
      <c r="Q45" s="163"/>
      <c r="R45" s="164"/>
      <c r="S45" s="162"/>
      <c r="T45" s="163"/>
      <c r="U45" s="164"/>
      <c r="V45" s="162"/>
      <c r="W45" s="163"/>
      <c r="X45" s="164"/>
      <c r="Y45" s="162"/>
      <c r="Z45" s="163"/>
      <c r="AA45" s="164"/>
      <c r="AB45" s="162"/>
      <c r="AC45" s="163"/>
      <c r="AD45" s="166"/>
      <c r="AE45" s="162"/>
      <c r="AF45" s="163"/>
      <c r="AG45" s="164"/>
      <c r="AH45" s="162"/>
      <c r="AI45" s="163"/>
      <c r="AJ45" s="164"/>
      <c r="AK45" s="162"/>
      <c r="AL45" s="163"/>
      <c r="AM45" s="164"/>
      <c r="AN45" s="167"/>
      <c r="AO45" s="168"/>
      <c r="AP45" s="108"/>
      <c r="AQ45" s="169"/>
      <c r="AR45" s="108"/>
      <c r="AS45" s="108"/>
    </row>
    <row r="46" spans="1:45" ht="15.75" x14ac:dyDescent="0.25">
      <c r="A46" s="623" t="str">
        <f>'[1]VALOR FUNCAO'!A55</f>
        <v>Denominação</v>
      </c>
      <c r="B46" s="101" t="str">
        <f>'[1]VALOR FUNCAO'!B55</f>
        <v>Retribuição</v>
      </c>
      <c r="C46" s="605" t="str">
        <f>'[1]VALOR FUNCAO'!C56</f>
        <v>Grat. At. Des.Função</v>
      </c>
      <c r="D46" s="625" t="str">
        <f>'[1]VALOR FUNCAO'!D56</f>
        <v>Total</v>
      </c>
      <c r="F46" s="501"/>
      <c r="G46" s="90" t="str">
        <f>'[1]CUSTO RELATIVO'!B97</f>
        <v>Valor</v>
      </c>
      <c r="H46" s="172" t="str">
        <f>'[1]CUSTO RELATIVO'!C97</f>
        <v>%</v>
      </c>
      <c r="I46" s="45" t="str">
        <f>'[1]CUSTO RELATIVO'!D97</f>
        <v>Valor</v>
      </c>
      <c r="J46" s="178" t="str">
        <f>'[1]CUSTO RELATIVO'!E97</f>
        <v>%</v>
      </c>
      <c r="K46" s="163"/>
      <c r="L46" s="164"/>
      <c r="M46" s="162"/>
      <c r="N46" s="163"/>
      <c r="O46" s="164"/>
      <c r="P46" s="162"/>
      <c r="Q46" s="163"/>
      <c r="R46" s="164"/>
      <c r="S46" s="162"/>
      <c r="T46" s="163"/>
      <c r="U46" s="164"/>
      <c r="V46" s="162"/>
      <c r="W46" s="163"/>
      <c r="X46" s="164"/>
      <c r="Y46" s="162"/>
      <c r="Z46" s="163"/>
      <c r="AA46" s="164"/>
      <c r="AB46" s="162"/>
      <c r="AC46" s="163"/>
      <c r="AD46" s="166"/>
      <c r="AE46" s="162"/>
      <c r="AF46" s="163"/>
      <c r="AG46" s="164"/>
      <c r="AH46" s="162"/>
      <c r="AI46" s="163"/>
      <c r="AJ46" s="164"/>
      <c r="AK46" s="162"/>
      <c r="AL46" s="163"/>
      <c r="AM46" s="164"/>
      <c r="AN46" s="167"/>
      <c r="AO46" s="168"/>
      <c r="AP46" s="108"/>
      <c r="AQ46" s="169"/>
      <c r="AR46" s="108"/>
      <c r="AS46" s="108"/>
    </row>
    <row r="47" spans="1:45" x14ac:dyDescent="0.25">
      <c r="A47" s="624"/>
      <c r="B47" s="101" t="str">
        <f>'[1]VALOR FUNCAO'!B56</f>
        <v>Vencimento</v>
      </c>
      <c r="C47" s="606"/>
      <c r="D47" s="626"/>
      <c r="F47" s="82" t="str">
        <f>'[1]CUSTO RELATIVO'!A98</f>
        <v>GM</v>
      </c>
      <c r="G47" s="174">
        <f>'[1]CUSTO RELATIVO'!B98</f>
        <v>251175.95399999982</v>
      </c>
      <c r="H47" s="179">
        <f>'[1]CUSTO RELATIVO'!C98</f>
        <v>0.16328994315027359</v>
      </c>
      <c r="I47" s="180">
        <f>'[1]CUSTO RELATIVO'!D98</f>
        <v>340903.94999999995</v>
      </c>
      <c r="J47" s="179">
        <f>'[1]CUSTO RELATIVO'!E98</f>
        <v>0.16715890544750037</v>
      </c>
      <c r="K47" s="163"/>
      <c r="L47" s="164"/>
      <c r="M47" s="162"/>
      <c r="N47" s="163"/>
      <c r="O47" s="164"/>
      <c r="P47" s="162"/>
      <c r="Q47" s="163"/>
      <c r="R47" s="164"/>
      <c r="S47" s="162"/>
      <c r="T47" s="163"/>
      <c r="U47" s="164"/>
      <c r="V47" s="162"/>
      <c r="W47" s="163"/>
      <c r="X47" s="164"/>
      <c r="Y47" s="162"/>
      <c r="Z47" s="163"/>
      <c r="AA47" s="164"/>
      <c r="AB47" s="162"/>
      <c r="AC47" s="163"/>
      <c r="AD47" s="166"/>
      <c r="AE47" s="162"/>
      <c r="AF47" s="163"/>
      <c r="AG47" s="164"/>
      <c r="AH47" s="162"/>
      <c r="AI47" s="163"/>
      <c r="AJ47" s="164"/>
      <c r="AK47" s="162"/>
      <c r="AL47" s="163"/>
      <c r="AM47" s="164"/>
      <c r="AN47" s="167"/>
      <c r="AO47" s="168"/>
      <c r="AP47" s="108"/>
      <c r="AQ47" s="169"/>
      <c r="AR47" s="108"/>
      <c r="AS47" s="108"/>
    </row>
    <row r="48" spans="1:45" x14ac:dyDescent="0.25">
      <c r="A48" s="127" t="str">
        <f>'[1]VALOR FUNCAO'!A58</f>
        <v>FG - 1</v>
      </c>
      <c r="B48" s="122">
        <f>'[1]VALOR FUNCAO'!B58</f>
        <v>202.09</v>
      </c>
      <c r="C48" s="123">
        <f>'[1]VALOR FUNCAO'!C58</f>
        <v>335.46</v>
      </c>
      <c r="D48" s="133">
        <f>'[1]VALOR FUNCAO'!D58</f>
        <v>537.54999999999995</v>
      </c>
      <c r="F48" s="82" t="str">
        <f>'[1]CUSTO RELATIVO'!A99</f>
        <v>SE</v>
      </c>
      <c r="G48" s="174">
        <f>'[1]CUSTO RELATIVO'!B99</f>
        <v>389696.5900000002</v>
      </c>
      <c r="H48" s="179">
        <f>'[1]CUSTO RELATIVO'!C99</f>
        <v>0.2533424597919734</v>
      </c>
      <c r="I48" s="180">
        <f>'[1]CUSTO RELATIVO'!D99</f>
        <v>525488.16799999995</v>
      </c>
      <c r="J48" s="179">
        <f>'[1]CUSTO RELATIVO'!E99</f>
        <v>0.25766796479915294</v>
      </c>
      <c r="K48" s="163"/>
      <c r="L48" s="164"/>
      <c r="M48" s="162"/>
      <c r="N48" s="163"/>
      <c r="O48" s="164"/>
      <c r="P48" s="162"/>
      <c r="Q48" s="163"/>
      <c r="R48" s="164"/>
      <c r="S48" s="162"/>
      <c r="T48" s="163"/>
      <c r="U48" s="164"/>
      <c r="V48" s="162"/>
      <c r="W48" s="163"/>
      <c r="X48" s="164"/>
      <c r="Y48" s="162"/>
      <c r="Z48" s="163"/>
      <c r="AA48" s="164"/>
      <c r="AB48" s="162"/>
      <c r="AC48" s="163"/>
      <c r="AD48" s="166"/>
      <c r="AE48" s="162"/>
      <c r="AF48" s="163"/>
      <c r="AG48" s="164"/>
      <c r="AH48" s="162"/>
      <c r="AI48" s="163"/>
      <c r="AJ48" s="164"/>
      <c r="AK48" s="162"/>
      <c r="AL48" s="163"/>
      <c r="AM48" s="164"/>
      <c r="AN48" s="167"/>
      <c r="AO48" s="168"/>
      <c r="AP48" s="108"/>
      <c r="AQ48" s="169"/>
      <c r="AR48" s="108"/>
      <c r="AS48" s="108"/>
    </row>
    <row r="49" spans="1:45" x14ac:dyDescent="0.25">
      <c r="A49" s="127" t="str">
        <f>'[1]VALOR FUNCAO'!A59</f>
        <v>FG - 2</v>
      </c>
      <c r="B49" s="122">
        <f>'[1]VALOR FUNCAO'!B59</f>
        <v>155.47</v>
      </c>
      <c r="C49" s="123">
        <f>'[1]VALOR FUNCAO'!C59</f>
        <v>258.07</v>
      </c>
      <c r="D49" s="133">
        <f>'[1]VALOR FUNCAO'!D59</f>
        <v>413.53999999999996</v>
      </c>
      <c r="F49" s="82" t="str">
        <f>'[1]CUSTO RELATIVO'!A100</f>
        <v>CONJUR</v>
      </c>
      <c r="G49" s="174">
        <f>'[1]CUSTO RELATIVO'!B100</f>
        <v>67311.62999999999</v>
      </c>
      <c r="H49" s="179">
        <f>'[1]CUSTO RELATIVO'!C100</f>
        <v>4.375941271851308E-2</v>
      </c>
      <c r="I49" s="180">
        <f>'[1]CUSTO RELATIVO'!D100</f>
        <v>71460.95</v>
      </c>
      <c r="J49" s="179">
        <f>'[1]CUSTO RELATIVO'!E100</f>
        <v>3.5040175346277305E-2</v>
      </c>
      <c r="K49" s="163"/>
      <c r="L49" s="164"/>
      <c r="M49" s="162"/>
      <c r="N49" s="163"/>
      <c r="O49" s="164"/>
      <c r="P49" s="162"/>
      <c r="Q49" s="163"/>
      <c r="R49" s="164"/>
      <c r="S49" s="162"/>
      <c r="T49" s="163"/>
      <c r="U49" s="164"/>
      <c r="V49" s="162"/>
      <c r="W49" s="163"/>
      <c r="X49" s="164"/>
      <c r="Y49" s="162"/>
      <c r="Z49" s="163"/>
      <c r="AA49" s="164"/>
      <c r="AB49" s="162"/>
      <c r="AC49" s="163"/>
      <c r="AD49" s="166"/>
      <c r="AE49" s="162"/>
      <c r="AF49" s="163"/>
      <c r="AG49" s="164"/>
      <c r="AH49" s="162"/>
      <c r="AI49" s="163"/>
      <c r="AJ49" s="164"/>
      <c r="AK49" s="162"/>
      <c r="AL49" s="163"/>
      <c r="AM49" s="164"/>
      <c r="AN49" s="167"/>
      <c r="AO49" s="168"/>
      <c r="AP49" s="108"/>
      <c r="AQ49" s="169"/>
      <c r="AR49" s="108"/>
      <c r="AS49" s="108"/>
    </row>
    <row r="50" spans="1:45" x14ac:dyDescent="0.25">
      <c r="A50" s="127" t="str">
        <f>'[1]VALOR FUNCAO'!A60</f>
        <v>FG - 3</v>
      </c>
      <c r="B50" s="122">
        <f>'[1]VALOR FUNCAO'!B60</f>
        <v>119.57</v>
      </c>
      <c r="C50" s="123">
        <f>'[1]VALOR FUNCAO'!C60</f>
        <v>198.5</v>
      </c>
      <c r="D50" s="133">
        <f>'[1]VALOR FUNCAO'!D60</f>
        <v>318.07</v>
      </c>
      <c r="F50" s="82" t="str">
        <f>'[1]CUSTO RELATIVO'!A101</f>
        <v>ASSEC</v>
      </c>
      <c r="G50" s="174">
        <f>'[1]CUSTO RELATIVO'!B101</f>
        <v>60499.90400000001</v>
      </c>
      <c r="H50" s="179">
        <f>'[1]CUSTO RELATIVO'!C101</f>
        <v>3.9331097294277695E-2</v>
      </c>
      <c r="I50" s="180">
        <f>'[1]CUSTO RELATIVO'!D101</f>
        <v>82546.539999999994</v>
      </c>
      <c r="J50" s="179">
        <f>'[1]CUSTO RELATIVO'!E101</f>
        <v>4.0475885582664288E-2</v>
      </c>
      <c r="K50" s="163"/>
      <c r="L50" s="164"/>
      <c r="M50" s="162"/>
      <c r="N50" s="163"/>
      <c r="O50" s="164"/>
      <c r="P50" s="162"/>
      <c r="Q50" s="163"/>
      <c r="R50" s="164"/>
      <c r="S50" s="162"/>
      <c r="T50" s="163"/>
      <c r="U50" s="164"/>
      <c r="V50" s="162"/>
      <c r="W50" s="163"/>
      <c r="X50" s="164"/>
      <c r="Y50" s="162"/>
      <c r="Z50" s="163"/>
      <c r="AA50" s="164"/>
      <c r="AB50" s="162"/>
      <c r="AC50" s="163"/>
      <c r="AD50" s="166"/>
      <c r="AE50" s="162"/>
      <c r="AF50" s="163"/>
      <c r="AG50" s="164"/>
      <c r="AH50" s="162"/>
      <c r="AI50" s="163"/>
      <c r="AJ50" s="164"/>
      <c r="AK50" s="162"/>
      <c r="AL50" s="163"/>
      <c r="AM50" s="164"/>
      <c r="AN50" s="167"/>
      <c r="AO50" s="168"/>
      <c r="AP50" s="108"/>
      <c r="AQ50" s="169"/>
      <c r="AR50" s="108"/>
      <c r="AS50" s="108"/>
    </row>
    <row r="51" spans="1:45" x14ac:dyDescent="0.25">
      <c r="A51" s="128" t="str">
        <f>'[1]VALOR FUNCAO'!A62</f>
        <v>Obs: A partir de janeiro/2017 (Lei nº 13.324, de 29/07/2016, D.O.U. de 29/07/2016)</v>
      </c>
      <c r="B51" s="103"/>
      <c r="C51" s="103"/>
      <c r="D51" s="125"/>
      <c r="F51" s="82" t="str">
        <f>'[1]CUSTO RELATIVO'!A102</f>
        <v>AERINT</v>
      </c>
      <c r="G51" s="174">
        <f>'[1]CUSTO RELATIVO'!B102</f>
        <v>24052.534</v>
      </c>
      <c r="H51" s="179">
        <f>'[1]CUSTO RELATIVO'!C102</f>
        <v>1.5636595967622065E-2</v>
      </c>
      <c r="I51" s="180">
        <f>'[1]CUSTO RELATIVO'!D102</f>
        <v>29501.89</v>
      </c>
      <c r="J51" s="179">
        <f>'[1]CUSTO RELATIVO'!E102</f>
        <v>1.4465962160404879E-2</v>
      </c>
      <c r="K51" s="163"/>
      <c r="L51" s="164"/>
      <c r="M51" s="162"/>
      <c r="N51" s="163"/>
      <c r="O51" s="164"/>
      <c r="P51" s="162"/>
      <c r="Q51" s="163"/>
      <c r="R51" s="164"/>
      <c r="S51" s="162"/>
      <c r="T51" s="163"/>
      <c r="U51" s="164"/>
      <c r="V51" s="162"/>
      <c r="W51" s="163"/>
      <c r="X51" s="164"/>
      <c r="Y51" s="162"/>
      <c r="Z51" s="163"/>
      <c r="AA51" s="164"/>
      <c r="AB51" s="162"/>
      <c r="AC51" s="163"/>
      <c r="AD51" s="166"/>
      <c r="AE51" s="162"/>
      <c r="AF51" s="163"/>
      <c r="AG51" s="164"/>
      <c r="AH51" s="162"/>
      <c r="AI51" s="163"/>
      <c r="AJ51" s="164"/>
      <c r="AK51" s="162"/>
      <c r="AL51" s="163"/>
      <c r="AM51" s="164"/>
      <c r="AN51" s="167"/>
      <c r="AO51" s="168"/>
      <c r="AP51" s="108"/>
      <c r="AQ51" s="169"/>
      <c r="AR51" s="108"/>
      <c r="AS51" s="108"/>
    </row>
    <row r="52" spans="1:45" x14ac:dyDescent="0.25">
      <c r="A52" s="129"/>
      <c r="B52" s="104"/>
      <c r="C52" s="104"/>
      <c r="D52" s="134"/>
      <c r="F52" s="82" t="str">
        <f>'[1]CUSTO RELATIVO'!A103</f>
        <v>AECI</v>
      </c>
      <c r="G52" s="174">
        <f>'[1]CUSTO RELATIVO'!B103</f>
        <v>21911.82</v>
      </c>
      <c r="H52" s="179">
        <f>'[1]CUSTO RELATIVO'!C103</f>
        <v>1.4244913914486538E-2</v>
      </c>
      <c r="I52" s="180">
        <f>'[1]CUSTO RELATIVO'!D103</f>
        <v>21911.82</v>
      </c>
      <c r="J52" s="179">
        <f>'[1]CUSTO RELATIVO'!E103</f>
        <v>1.0744245842744408E-2</v>
      </c>
      <c r="K52" s="163"/>
      <c r="L52" s="164"/>
      <c r="M52" s="162"/>
      <c r="N52" s="163"/>
      <c r="O52" s="164"/>
      <c r="P52" s="162"/>
      <c r="Q52" s="163"/>
      <c r="R52" s="164"/>
      <c r="S52" s="162"/>
      <c r="T52" s="163"/>
      <c r="U52" s="164"/>
      <c r="V52" s="162"/>
      <c r="W52" s="163"/>
      <c r="X52" s="164"/>
      <c r="Y52" s="162"/>
      <c r="Z52" s="163"/>
      <c r="AA52" s="164"/>
      <c r="AB52" s="162"/>
      <c r="AC52" s="163"/>
      <c r="AD52" s="166"/>
      <c r="AE52" s="162"/>
      <c r="AF52" s="163"/>
      <c r="AG52" s="164"/>
      <c r="AH52" s="162"/>
      <c r="AI52" s="163"/>
      <c r="AJ52" s="164"/>
      <c r="AK52" s="162"/>
      <c r="AL52" s="163"/>
      <c r="AM52" s="164"/>
      <c r="AN52" s="167"/>
      <c r="AO52" s="168"/>
      <c r="AP52" s="108"/>
      <c r="AQ52" s="169"/>
      <c r="AR52" s="108"/>
      <c r="AS52" s="108"/>
    </row>
    <row r="53" spans="1:45" ht="15" customHeight="1" x14ac:dyDescent="0.25">
      <c r="A53" s="601" t="str">
        <f>'[1]VALOR FUNCAO'!A64</f>
        <v>Gratificações Temporárias das Unidades dos Sistemas Estruturadores da Administração Pública Federal - GSISTE</v>
      </c>
      <c r="B53" s="602"/>
      <c r="C53" s="602"/>
      <c r="D53" s="139"/>
      <c r="F53" s="82" t="str">
        <f>'[1]CUSTO RELATIVO'!A104</f>
        <v>AEPED</v>
      </c>
      <c r="G53" s="174">
        <f>'[1]CUSTO RELATIVO'!B104</f>
        <v>33632</v>
      </c>
      <c r="H53" s="179">
        <f>'[1]CUSTO RELATIVO'!C104</f>
        <v>2.1864224184573042E-2</v>
      </c>
      <c r="I53" s="180">
        <f>'[1]CUSTO RELATIVO'!D104</f>
        <v>35906.22</v>
      </c>
      <c r="J53" s="179">
        <f>'[1]CUSTO RELATIVO'!E104</f>
        <v>1.760626250871293E-2</v>
      </c>
      <c r="K53" s="163"/>
      <c r="L53" s="164"/>
      <c r="M53" s="162"/>
      <c r="N53" s="163"/>
      <c r="O53" s="164"/>
      <c r="P53" s="162"/>
      <c r="Q53" s="163"/>
      <c r="R53" s="164"/>
      <c r="S53" s="162"/>
      <c r="T53" s="163"/>
      <c r="U53" s="164"/>
      <c r="V53" s="162"/>
      <c r="W53" s="163"/>
      <c r="X53" s="164"/>
      <c r="Y53" s="162"/>
      <c r="Z53" s="163"/>
      <c r="AA53" s="164"/>
      <c r="AB53" s="162"/>
      <c r="AC53" s="163"/>
      <c r="AD53" s="166"/>
      <c r="AE53" s="162"/>
      <c r="AF53" s="163"/>
      <c r="AG53" s="164"/>
      <c r="AH53" s="162"/>
      <c r="AI53" s="163"/>
      <c r="AJ53" s="164"/>
      <c r="AK53" s="162"/>
      <c r="AL53" s="163"/>
      <c r="AM53" s="164"/>
      <c r="AN53" s="167"/>
      <c r="AO53" s="168"/>
      <c r="AP53" s="108"/>
      <c r="AQ53" s="169"/>
      <c r="AR53" s="108"/>
      <c r="AS53" s="108"/>
    </row>
    <row r="54" spans="1:45" x14ac:dyDescent="0.25">
      <c r="A54" s="603"/>
      <c r="B54" s="604"/>
      <c r="C54" s="604"/>
      <c r="D54" s="134"/>
      <c r="F54" s="82" t="str">
        <f>'[1]CUSTO RELATIVO'!A105</f>
        <v>SPE</v>
      </c>
      <c r="G54" s="174">
        <f>'[1]CUSTO RELATIVO'!B105</f>
        <v>172801.30599999998</v>
      </c>
      <c r="H54" s="179">
        <f>'[1]CUSTO RELATIVO'!C105</f>
        <v>0.11233844236949947</v>
      </c>
      <c r="I54" s="180">
        <f>'[1]CUSTO RELATIVO'!D105</f>
        <v>247012.41</v>
      </c>
      <c r="J54" s="179">
        <f>'[1]CUSTO RELATIVO'!E105</f>
        <v>0.12112011048141037</v>
      </c>
      <c r="K54" s="163"/>
      <c r="L54" s="164"/>
      <c r="M54" s="162"/>
      <c r="N54" s="163"/>
      <c r="O54" s="164"/>
      <c r="P54" s="162"/>
      <c r="Q54" s="163"/>
      <c r="R54" s="164"/>
      <c r="S54" s="162"/>
      <c r="T54" s="163"/>
      <c r="U54" s="164"/>
      <c r="V54" s="162"/>
      <c r="W54" s="163"/>
      <c r="X54" s="164"/>
      <c r="Y54" s="162"/>
      <c r="Z54" s="163"/>
      <c r="AA54" s="164"/>
      <c r="AB54" s="162"/>
      <c r="AC54" s="163"/>
      <c r="AD54" s="166"/>
      <c r="AE54" s="162"/>
      <c r="AF54" s="163"/>
      <c r="AG54" s="164"/>
      <c r="AH54" s="162"/>
      <c r="AI54" s="163"/>
      <c r="AJ54" s="164"/>
      <c r="AK54" s="162"/>
      <c r="AL54" s="163"/>
      <c r="AM54" s="164"/>
      <c r="AN54" s="167"/>
      <c r="AO54" s="168"/>
      <c r="AP54" s="108"/>
      <c r="AQ54" s="169"/>
      <c r="AR54" s="108"/>
      <c r="AS54" s="108"/>
    </row>
    <row r="55" spans="1:45" x14ac:dyDescent="0.25">
      <c r="A55" s="623" t="str">
        <f>'[1]VALOR FUNCAO'!A65</f>
        <v>Sistema Estruturador</v>
      </c>
      <c r="B55" s="605" t="str">
        <f>'[1]VALOR FUNCAO'!B65</f>
        <v>Nível</v>
      </c>
      <c r="C55" s="605" t="str">
        <f>'[1]VALOR FUNCAO'!C65</f>
        <v>Valor</v>
      </c>
      <c r="D55" s="134"/>
      <c r="F55" s="82" t="str">
        <f>'[1]CUSTO RELATIVO'!A106</f>
        <v>SEE</v>
      </c>
      <c r="G55" s="174">
        <f>'[1]CUSTO RELATIVO'!B106</f>
        <v>176750.27000000002</v>
      </c>
      <c r="H55" s="179">
        <f>'[1]CUSTO RELATIVO'!C106</f>
        <v>0.11490567102651686</v>
      </c>
      <c r="I55" s="180">
        <f>'[1]CUSTO RELATIVO'!D106</f>
        <v>246911.52</v>
      </c>
      <c r="J55" s="179">
        <f>'[1]CUSTO RELATIVO'!E106</f>
        <v>0.12107064006028266</v>
      </c>
      <c r="K55" s="163"/>
      <c r="L55" s="164"/>
      <c r="M55" s="162"/>
      <c r="N55" s="163"/>
      <c r="O55" s="164"/>
      <c r="P55" s="162"/>
      <c r="Q55" s="163"/>
      <c r="R55" s="164"/>
      <c r="S55" s="162"/>
      <c r="T55" s="163"/>
      <c r="U55" s="164"/>
      <c r="V55" s="162"/>
      <c r="W55" s="163"/>
      <c r="X55" s="164"/>
      <c r="Y55" s="162"/>
      <c r="Z55" s="163"/>
      <c r="AA55" s="164"/>
      <c r="AB55" s="162"/>
      <c r="AC55" s="163"/>
      <c r="AD55" s="166"/>
      <c r="AE55" s="162"/>
      <c r="AF55" s="163"/>
      <c r="AG55" s="164"/>
      <c r="AH55" s="162"/>
      <c r="AI55" s="163"/>
      <c r="AJ55" s="164"/>
      <c r="AK55" s="162"/>
      <c r="AL55" s="163"/>
      <c r="AM55" s="164"/>
      <c r="AN55" s="167"/>
      <c r="AO55" s="168"/>
      <c r="AP55" s="108"/>
      <c r="AQ55" s="169"/>
      <c r="AR55" s="108"/>
      <c r="AS55" s="108"/>
    </row>
    <row r="56" spans="1:45" ht="15" customHeight="1" x14ac:dyDescent="0.25">
      <c r="A56" s="624"/>
      <c r="B56" s="606"/>
      <c r="C56" s="606"/>
      <c r="D56" s="134"/>
      <c r="F56" s="82" t="str">
        <f>'[1]CUSTO RELATIVO'!A107</f>
        <v>SPG</v>
      </c>
      <c r="G56" s="174">
        <f>'[1]CUSTO RELATIVO'!B107</f>
        <v>146598.06200000001</v>
      </c>
      <c r="H56" s="179">
        <f>'[1]CUSTO RELATIVO'!C107</f>
        <v>9.5303665931016246E-2</v>
      </c>
      <c r="I56" s="180">
        <f>'[1]CUSTO RELATIVO'!D107</f>
        <v>233067.75999999998</v>
      </c>
      <c r="J56" s="179">
        <f>'[1]CUSTO RELATIVO'!E107</f>
        <v>0.11428248823957807</v>
      </c>
      <c r="K56" s="163"/>
      <c r="L56" s="164"/>
      <c r="M56" s="162"/>
      <c r="N56" s="163"/>
      <c r="O56" s="164"/>
      <c r="P56" s="162"/>
      <c r="Q56" s="163"/>
      <c r="R56" s="164"/>
      <c r="S56" s="162"/>
      <c r="T56" s="163"/>
      <c r="U56" s="164"/>
      <c r="V56" s="162"/>
      <c r="W56" s="163"/>
      <c r="X56" s="164"/>
      <c r="Y56" s="162"/>
      <c r="Z56" s="163"/>
      <c r="AA56" s="164"/>
      <c r="AB56" s="162"/>
      <c r="AC56" s="163"/>
      <c r="AD56" s="166"/>
      <c r="AE56" s="162"/>
      <c r="AF56" s="163"/>
      <c r="AG56" s="164"/>
      <c r="AH56" s="162"/>
      <c r="AI56" s="163"/>
      <c r="AJ56" s="164"/>
      <c r="AK56" s="162"/>
      <c r="AL56" s="163"/>
      <c r="AM56" s="164"/>
      <c r="AN56" s="167"/>
      <c r="AO56" s="168"/>
      <c r="AP56" s="108"/>
      <c r="AQ56" s="169"/>
      <c r="AR56" s="108"/>
      <c r="AS56" s="108"/>
    </row>
    <row r="57" spans="1:45" ht="18" customHeight="1" x14ac:dyDescent="0.25">
      <c r="A57" s="140" t="str">
        <f>'[1]VALOR FUNCAO'!A68</f>
        <v>SISG, SIPEC, SIGA, SPO, SCF, SAFF</v>
      </c>
      <c r="B57" s="102" t="str">
        <f>'[1]VALOR FUNCAO'!B68</f>
        <v>Intermediário</v>
      </c>
      <c r="C57" s="122">
        <f>'[1]VALOR FUNCAO'!C68</f>
        <v>2022</v>
      </c>
      <c r="D57" s="134"/>
      <c r="F57" s="82" t="str">
        <f>'[1]CUSTO RELATIVO'!A108</f>
        <v>SGM</v>
      </c>
      <c r="G57" s="174">
        <f>'[1]CUSTO RELATIVO'!B108</f>
        <v>193790.52800000002</v>
      </c>
      <c r="H57" s="179">
        <f>'[1]CUSTO RELATIVO'!C108</f>
        <v>0.12598357365124821</v>
      </c>
      <c r="I57" s="180">
        <f>'[1]CUSTO RELATIVO'!D108</f>
        <v>204689.23999999996</v>
      </c>
      <c r="J57" s="179">
        <f>'[1]CUSTO RELATIVO'!E108</f>
        <v>0.10036735953127181</v>
      </c>
      <c r="K57" s="170"/>
      <c r="L57" s="171"/>
      <c r="M57" s="157"/>
      <c r="N57" s="170"/>
      <c r="O57" s="171"/>
      <c r="P57" s="157"/>
      <c r="Q57" s="170"/>
      <c r="R57" s="171"/>
      <c r="S57" s="157"/>
      <c r="T57" s="170"/>
      <c r="U57" s="171"/>
      <c r="V57" s="157"/>
      <c r="W57" s="170"/>
      <c r="X57" s="171"/>
      <c r="Y57" s="157"/>
      <c r="Z57" s="170"/>
      <c r="AA57" s="171"/>
      <c r="AB57" s="157"/>
      <c r="AC57" s="170"/>
      <c r="AD57" s="157"/>
      <c r="AE57" s="157"/>
      <c r="AF57" s="170"/>
      <c r="AG57" s="171"/>
      <c r="AH57" s="157"/>
      <c r="AI57" s="170"/>
      <c r="AJ57" s="171"/>
      <c r="AK57" s="157"/>
      <c r="AL57" s="170"/>
      <c r="AM57" s="171"/>
      <c r="AN57" s="170"/>
      <c r="AO57" s="171"/>
      <c r="AP57" s="157"/>
      <c r="AQ57" s="171"/>
      <c r="AR57" s="157"/>
      <c r="AS57" s="157"/>
    </row>
    <row r="58" spans="1:45" ht="15" customHeight="1" x14ac:dyDescent="0.25">
      <c r="A58" s="141"/>
      <c r="B58" s="102" t="str">
        <f>'[1]VALOR FUNCAO'!B69</f>
        <v>Superior</v>
      </c>
      <c r="C58" s="122">
        <f>'[1]VALOR FUNCAO'!C69</f>
        <v>3158</v>
      </c>
      <c r="D58" s="134"/>
      <c r="F58" s="82" t="str">
        <f>'[1]CUSTO RELATIVO'!A109</f>
        <v>ESCRITÓRIO RJ</v>
      </c>
      <c r="G58" s="174">
        <f>'[1]CUSTO RELATIVO'!B109</f>
        <v>6223.98</v>
      </c>
      <c r="H58" s="179">
        <f>'[1]CUSTO RELATIVO'!C109</f>
        <v>4.0462206838813896E-3</v>
      </c>
      <c r="I58" s="180">
        <f>'[1]CUSTO RELATIVO'!D109</f>
        <v>27429.95</v>
      </c>
      <c r="J58" s="179">
        <f>'[1]CUSTO RELATIVO'!E109</f>
        <v>1.3450006720308353E-2</v>
      </c>
    </row>
    <row r="59" spans="1:45" x14ac:dyDescent="0.25">
      <c r="A59" s="142" t="str">
        <f>'[1]VALOR FUNCAO'!A70</f>
        <v>SISP</v>
      </c>
      <c r="B59" s="102" t="str">
        <f>'[1]VALOR FUNCAO'!B70</f>
        <v>Intermediário</v>
      </c>
      <c r="C59" s="122">
        <f>'[1]VALOR FUNCAO'!C70</f>
        <v>2751</v>
      </c>
      <c r="D59" s="134"/>
      <c r="F59" s="86" t="str">
        <f>'[1]CUSTO RELATIVO'!A111</f>
        <v>TOTAL</v>
      </c>
      <c r="G59" s="144">
        <f>'[1]CUSTO RELATIVO'!B111</f>
        <v>1538220.5979999998</v>
      </c>
      <c r="H59" s="87">
        <f>'[1]CUSTO RELATIVO'!C111</f>
        <v>1.0000000000000002</v>
      </c>
      <c r="I59" s="144">
        <f>'[1]CUSTO RELATIVO'!D111</f>
        <v>2039400.4679999999</v>
      </c>
      <c r="J59" s="116">
        <f>'[1]CUSTO RELATIVO'!E111</f>
        <v>1</v>
      </c>
    </row>
    <row r="60" spans="1:45" x14ac:dyDescent="0.25">
      <c r="A60" s="143"/>
      <c r="B60" s="102" t="str">
        <f>'[1]VALOR FUNCAO'!B71</f>
        <v>Superior</v>
      </c>
      <c r="C60" s="122">
        <f>'[1]VALOR FUNCAO'!C71</f>
        <v>0</v>
      </c>
      <c r="D60" s="134"/>
    </row>
    <row r="61" spans="1:45" ht="15.75" thickBot="1" x14ac:dyDescent="0.3">
      <c r="A61" s="135"/>
      <c r="B61" s="136"/>
      <c r="C61" s="136"/>
      <c r="D61" s="137"/>
    </row>
    <row r="62" spans="1:45" x14ac:dyDescent="0.25"/>
  </sheetData>
  <sheetProtection sheet="1" objects="1" scenarios="1"/>
  <mergeCells count="52">
    <mergeCell ref="O24:P25"/>
    <mergeCell ref="Q24:R25"/>
    <mergeCell ref="S24:T25"/>
    <mergeCell ref="A1:O1"/>
    <mergeCell ref="A55:A56"/>
    <mergeCell ref="C46:C47"/>
    <mergeCell ref="D46:D47"/>
    <mergeCell ref="D26:D27"/>
    <mergeCell ref="B26:B27"/>
    <mergeCell ref="A26:A27"/>
    <mergeCell ref="A46:A47"/>
    <mergeCell ref="G42:AS42"/>
    <mergeCell ref="S43:U43"/>
    <mergeCell ref="V43:X43"/>
    <mergeCell ref="Y43:AA43"/>
    <mergeCell ref="AB43:AD43"/>
    <mergeCell ref="AQ43:AQ44"/>
    <mergeCell ref="AR43:AR44"/>
    <mergeCell ref="AS43:AS44"/>
    <mergeCell ref="A45:D45"/>
    <mergeCell ref="F44:F46"/>
    <mergeCell ref="G44:H45"/>
    <mergeCell ref="I44:J45"/>
    <mergeCell ref="AE43:AG43"/>
    <mergeCell ref="AH43:AJ43"/>
    <mergeCell ref="AK43:AM43"/>
    <mergeCell ref="AN43:AN44"/>
    <mergeCell ref="AO43:AO44"/>
    <mergeCell ref="AP43:AP44"/>
    <mergeCell ref="J43:L43"/>
    <mergeCell ref="M43:O43"/>
    <mergeCell ref="P43:R43"/>
    <mergeCell ref="J25:J26"/>
    <mergeCell ref="K25:K26"/>
    <mergeCell ref="L25:L26"/>
    <mergeCell ref="A5:C5"/>
    <mergeCell ref="A14:C14"/>
    <mergeCell ref="A15:C15"/>
    <mergeCell ref="A25:D25"/>
    <mergeCell ref="F4:F5"/>
    <mergeCell ref="F6:F12"/>
    <mergeCell ref="F13:F19"/>
    <mergeCell ref="F20:G20"/>
    <mergeCell ref="F24:F26"/>
    <mergeCell ref="G24:L24"/>
    <mergeCell ref="G25:G26"/>
    <mergeCell ref="H25:H26"/>
    <mergeCell ref="A53:C54"/>
    <mergeCell ref="B55:B56"/>
    <mergeCell ref="C55:C56"/>
    <mergeCell ref="A3:D3"/>
    <mergeCell ref="I25:I26"/>
  </mergeCells>
  <pageMargins left="0.511811024" right="0.511811024" top="0.78740157499999996" bottom="0.78740157499999996" header="0.31496062000000002" footer="0.31496062000000002"/>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dimension ref="A1:AC48"/>
  <sheetViews>
    <sheetView showGridLines="0" zoomScaleNormal="100" workbookViewId="0"/>
  </sheetViews>
  <sheetFormatPr defaultColWidth="0" defaultRowHeight="15" x14ac:dyDescent="0.25"/>
  <cols>
    <col min="1" max="29" width="9.140625" customWidth="1"/>
    <col min="30" max="16384" width="9.140625" hidden="1"/>
  </cols>
  <sheetData>
    <row r="1" spans="13:14" s="1" customFormat="1" x14ac:dyDescent="0.25"/>
    <row r="2" spans="13:14" s="1" customFormat="1" x14ac:dyDescent="0.25"/>
    <row r="3" spans="13:14" s="1" customFormat="1" x14ac:dyDescent="0.25"/>
    <row r="4" spans="13:14" s="1" customFormat="1" x14ac:dyDescent="0.25"/>
    <row r="5" spans="13:14" s="1" customFormat="1" x14ac:dyDescent="0.25"/>
    <row r="6" spans="13:14" s="1" customFormat="1" x14ac:dyDescent="0.25"/>
    <row r="7" spans="13:14" s="1" customFormat="1" x14ac:dyDescent="0.25"/>
    <row r="8" spans="13:14" s="1" customFormat="1" x14ac:dyDescent="0.25"/>
    <row r="9" spans="13:14" s="1" customFormat="1" x14ac:dyDescent="0.25"/>
    <row r="10" spans="13:14" s="1" customFormat="1" x14ac:dyDescent="0.25"/>
    <row r="11" spans="13:14" s="1" customFormat="1" x14ac:dyDescent="0.25"/>
    <row r="12" spans="13:14" s="1" customFormat="1" x14ac:dyDescent="0.25">
      <c r="M12" s="455" t="s">
        <v>5</v>
      </c>
      <c r="N12" s="455"/>
    </row>
    <row r="13" spans="13:14" s="1" customFormat="1" x14ac:dyDescent="0.25">
      <c r="M13" s="455"/>
      <c r="N13" s="455"/>
    </row>
    <row r="14" spans="13:14" s="1" customFormat="1" x14ac:dyDescent="0.25">
      <c r="M14" s="455"/>
      <c r="N14" s="455"/>
    </row>
    <row r="15" spans="13:14" s="1" customFormat="1" x14ac:dyDescent="0.25">
      <c r="M15" s="455"/>
      <c r="N15" s="455"/>
    </row>
    <row r="16" spans="13:14" s="1" customFormat="1" x14ac:dyDescent="0.25">
      <c r="M16" s="455"/>
      <c r="N16" s="455"/>
    </row>
    <row r="17" spans="10:18" s="1" customFormat="1" x14ac:dyDescent="0.25"/>
    <row r="18" spans="10:18" s="1" customFormat="1" x14ac:dyDescent="0.25"/>
    <row r="19" spans="10:18" s="1" customFormat="1" x14ac:dyDescent="0.25"/>
    <row r="20" spans="10:18" s="1" customFormat="1" x14ac:dyDescent="0.25"/>
    <row r="21" spans="10:18" s="1" customFormat="1" x14ac:dyDescent="0.25"/>
    <row r="22" spans="10:18" s="1" customFormat="1" x14ac:dyDescent="0.25"/>
    <row r="23" spans="10:18" s="1" customFormat="1" x14ac:dyDescent="0.25"/>
    <row r="24" spans="10:18" s="1" customFormat="1" x14ac:dyDescent="0.25"/>
    <row r="25" spans="10:18" s="1" customFormat="1" x14ac:dyDescent="0.25"/>
    <row r="26" spans="10:18" s="1" customFormat="1" x14ac:dyDescent="0.25"/>
    <row r="27" spans="10:18" s="1" customFormat="1" x14ac:dyDescent="0.25"/>
    <row r="28" spans="10:18" s="1" customFormat="1" x14ac:dyDescent="0.25"/>
    <row r="29" spans="10:18" s="1" customFormat="1" ht="3" customHeight="1" x14ac:dyDescent="0.25"/>
    <row r="30" spans="10:18" s="1" customFormat="1" x14ac:dyDescent="0.25">
      <c r="J30" s="453"/>
      <c r="K30" s="453"/>
      <c r="L30" s="453"/>
      <c r="M30" s="453"/>
      <c r="N30" s="453"/>
      <c r="O30" s="454"/>
      <c r="P30" s="454"/>
      <c r="Q30" s="454"/>
      <c r="R30" s="3"/>
    </row>
    <row r="31" spans="10:18" s="1" customFormat="1" x14ac:dyDescent="0.25">
      <c r="J31" s="453"/>
      <c r="K31" s="453"/>
      <c r="L31" s="453"/>
      <c r="M31" s="453"/>
      <c r="N31" s="453"/>
      <c r="O31" s="454"/>
      <c r="P31" s="454"/>
      <c r="Q31" s="454"/>
      <c r="R31" s="3"/>
    </row>
    <row r="32" spans="10:18" s="1" customFormat="1" ht="4.5" customHeight="1" x14ac:dyDescent="0.25">
      <c r="J32" s="3"/>
      <c r="K32" s="3"/>
      <c r="L32" s="3"/>
      <c r="M32" s="3"/>
      <c r="N32" s="3"/>
      <c r="O32" s="3"/>
      <c r="P32" s="3"/>
      <c r="Q32" s="3"/>
      <c r="R32" s="3"/>
    </row>
    <row r="33" spans="10:18" s="1" customFormat="1" x14ac:dyDescent="0.25">
      <c r="J33" s="3"/>
      <c r="K33" s="3"/>
      <c r="L33" s="4"/>
      <c r="M33" s="3"/>
      <c r="N33" s="3"/>
      <c r="O33" s="3"/>
      <c r="P33" s="3"/>
      <c r="Q33" s="3"/>
      <c r="R33" s="3"/>
    </row>
    <row r="34" spans="10:18" s="1" customFormat="1" ht="5.25" customHeight="1" x14ac:dyDescent="0.25">
      <c r="J34" s="3"/>
      <c r="K34" s="3"/>
      <c r="L34" s="3"/>
      <c r="M34" s="3"/>
      <c r="N34" s="3"/>
      <c r="O34" s="3"/>
      <c r="P34" s="3"/>
      <c r="Q34" s="3"/>
      <c r="R34" s="3"/>
    </row>
    <row r="35" spans="10:18" s="1" customFormat="1" x14ac:dyDescent="0.25">
      <c r="J35" s="453"/>
      <c r="K35" s="453"/>
      <c r="L35" s="453"/>
      <c r="M35" s="453"/>
      <c r="N35" s="453"/>
      <c r="O35" s="454"/>
      <c r="P35" s="454"/>
      <c r="Q35" s="454"/>
      <c r="R35" s="3"/>
    </row>
    <row r="36" spans="10:18" s="1" customFormat="1" x14ac:dyDescent="0.25">
      <c r="J36" s="453"/>
      <c r="K36" s="453"/>
      <c r="L36" s="453"/>
      <c r="M36" s="453"/>
      <c r="N36" s="453"/>
      <c r="O36" s="454"/>
      <c r="P36" s="454"/>
      <c r="Q36" s="454"/>
      <c r="R36" s="3"/>
    </row>
    <row r="37" spans="10:18" s="1" customFormat="1" ht="5.25" customHeight="1" x14ac:dyDescent="0.25">
      <c r="J37" s="3"/>
      <c r="K37" s="3"/>
      <c r="L37" s="3"/>
      <c r="M37" s="3"/>
      <c r="N37" s="3"/>
      <c r="O37" s="3"/>
      <c r="P37" s="3"/>
      <c r="Q37" s="3"/>
      <c r="R37" s="3"/>
    </row>
    <row r="38" spans="10:18" s="1" customFormat="1" ht="15.75" customHeight="1" x14ac:dyDescent="0.25">
      <c r="J38" s="3"/>
      <c r="K38" s="3"/>
      <c r="L38" s="4"/>
      <c r="M38" s="3"/>
      <c r="N38" s="3"/>
      <c r="O38" s="3"/>
      <c r="P38" s="3"/>
      <c r="Q38" s="3"/>
      <c r="R38" s="3"/>
    </row>
    <row r="39" spans="10:18" s="1" customFormat="1" ht="5.25" customHeight="1" x14ac:dyDescent="0.25">
      <c r="J39" s="3"/>
      <c r="K39" s="3"/>
      <c r="L39" s="3"/>
      <c r="M39" s="3"/>
      <c r="N39" s="3"/>
      <c r="O39" s="3"/>
      <c r="P39" s="3"/>
      <c r="Q39" s="3"/>
      <c r="R39" s="3"/>
    </row>
    <row r="40" spans="10:18" s="1" customFormat="1" ht="15" customHeight="1" x14ac:dyDescent="0.25">
      <c r="J40" s="456"/>
      <c r="K40" s="456"/>
      <c r="L40" s="456"/>
      <c r="M40" s="456"/>
      <c r="N40" s="456"/>
      <c r="O40" s="456"/>
      <c r="P40" s="456"/>
      <c r="Q40" s="456"/>
      <c r="R40" s="3"/>
    </row>
    <row r="41" spans="10:18" s="1" customFormat="1" x14ac:dyDescent="0.25">
      <c r="J41" s="456"/>
      <c r="K41" s="456"/>
      <c r="L41" s="456"/>
      <c r="M41" s="456"/>
      <c r="N41" s="456"/>
      <c r="O41" s="456"/>
      <c r="P41" s="456"/>
      <c r="Q41" s="456"/>
      <c r="R41" s="3"/>
    </row>
    <row r="42" spans="10:18" s="1" customFormat="1" x14ac:dyDescent="0.25">
      <c r="J42" s="3"/>
      <c r="K42" s="3"/>
      <c r="L42" s="3"/>
      <c r="M42" s="3"/>
      <c r="N42" s="3"/>
      <c r="O42" s="3"/>
      <c r="P42" s="3"/>
      <c r="Q42" s="3"/>
      <c r="R42" s="3"/>
    </row>
    <row r="43" spans="10:18" s="1" customFormat="1" x14ac:dyDescent="0.25">
      <c r="J43" s="3"/>
      <c r="K43" s="3"/>
      <c r="L43" s="3"/>
      <c r="M43" s="3"/>
      <c r="N43" s="3"/>
      <c r="O43" s="3"/>
      <c r="P43" s="3"/>
      <c r="Q43" s="3"/>
      <c r="R43" s="3"/>
    </row>
    <row r="44" spans="10:18" s="1" customFormat="1" x14ac:dyDescent="0.25">
      <c r="J44" s="453"/>
      <c r="K44" s="453"/>
      <c r="L44" s="453"/>
      <c r="M44" s="453"/>
      <c r="N44" s="453"/>
      <c r="O44" s="454"/>
      <c r="P44" s="454"/>
      <c r="Q44" s="454"/>
      <c r="R44" s="3"/>
    </row>
    <row r="45" spans="10:18" s="1" customFormat="1" x14ac:dyDescent="0.25">
      <c r="J45" s="453"/>
      <c r="K45" s="453"/>
      <c r="L45" s="453"/>
      <c r="M45" s="453"/>
      <c r="N45" s="453"/>
      <c r="O45" s="454"/>
      <c r="P45" s="454"/>
      <c r="Q45" s="454"/>
      <c r="R45" s="3"/>
    </row>
    <row r="46" spans="10:18" s="1" customFormat="1" x14ac:dyDescent="0.25"/>
    <row r="47" spans="10:18" s="1" customFormat="1" x14ac:dyDescent="0.25"/>
    <row r="48" spans="10:18" s="1" customFormat="1" x14ac:dyDescent="0.25"/>
  </sheetData>
  <sheetProtection sheet="1" objects="1" scenarios="1"/>
  <mergeCells count="8">
    <mergeCell ref="J44:N45"/>
    <mergeCell ref="O44:Q45"/>
    <mergeCell ref="M12:N16"/>
    <mergeCell ref="J30:N31"/>
    <mergeCell ref="O30:Q31"/>
    <mergeCell ref="J35:N36"/>
    <mergeCell ref="O35:Q36"/>
    <mergeCell ref="J40:Q41"/>
  </mergeCells>
  <pageMargins left="0.511811024" right="0.511811024" top="0.78740157499999996" bottom="0.78740157499999996" header="0.31496062000000002" footer="0.31496062000000002"/>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dimension ref="A1:X89"/>
  <sheetViews>
    <sheetView showGridLines="0" zoomScale="90" zoomScaleNormal="90" workbookViewId="0">
      <selection sqref="A1:W1"/>
    </sheetView>
  </sheetViews>
  <sheetFormatPr defaultColWidth="0" defaultRowHeight="15" zeroHeight="1" x14ac:dyDescent="0.25"/>
  <cols>
    <col min="1" max="1" width="15.42578125" customWidth="1"/>
    <col min="2" max="7" width="9.140625" customWidth="1"/>
    <col min="8" max="8" width="23.140625" customWidth="1"/>
    <col min="9" max="9" width="20.42578125" customWidth="1"/>
    <col min="10" max="10" width="16.5703125" customWidth="1"/>
    <col min="11" max="11" width="15.140625" customWidth="1"/>
    <col min="12" max="12" width="2.85546875" customWidth="1"/>
    <col min="13" max="13" width="15" customWidth="1"/>
    <col min="14" max="19" width="9.140625" customWidth="1"/>
    <col min="20" max="20" width="22.42578125" customWidth="1"/>
    <col min="21" max="21" width="23.42578125" customWidth="1"/>
    <col min="22" max="22" width="13.140625" customWidth="1"/>
    <col min="23" max="23" width="14.5703125" customWidth="1"/>
    <col min="24" max="24" width="5.140625" customWidth="1"/>
    <col min="25" max="16384" width="9.140625" hidden="1"/>
  </cols>
  <sheetData>
    <row r="1" spans="1:23" ht="48" customHeight="1" x14ac:dyDescent="0.25">
      <c r="A1" s="627" t="s">
        <v>148</v>
      </c>
      <c r="B1" s="627"/>
      <c r="C1" s="627"/>
      <c r="D1" s="627"/>
      <c r="E1" s="627"/>
      <c r="F1" s="627"/>
      <c r="G1" s="627"/>
      <c r="H1" s="627"/>
      <c r="I1" s="627"/>
      <c r="J1" s="627"/>
      <c r="K1" s="627"/>
      <c r="L1" s="627"/>
      <c r="M1" s="627"/>
      <c r="N1" s="627"/>
      <c r="O1" s="627"/>
      <c r="P1" s="627"/>
      <c r="Q1" s="627"/>
      <c r="R1" s="627"/>
      <c r="S1" s="627"/>
      <c r="T1" s="627"/>
      <c r="U1" s="627"/>
      <c r="V1" s="627"/>
      <c r="W1" s="627"/>
    </row>
    <row r="2" spans="1:23" ht="15.75" thickBot="1" x14ac:dyDescent="0.3"/>
    <row r="3" spans="1:23" x14ac:dyDescent="0.25">
      <c r="A3" s="660" t="s">
        <v>60</v>
      </c>
      <c r="B3" s="663" t="s">
        <v>61</v>
      </c>
      <c r="C3" s="664"/>
      <c r="D3" s="664"/>
      <c r="E3" s="664"/>
      <c r="F3" s="664"/>
      <c r="G3" s="664"/>
      <c r="H3" s="665"/>
      <c r="I3" s="666" t="s">
        <v>62</v>
      </c>
      <c r="J3" s="667"/>
      <c r="K3" s="668"/>
      <c r="M3" s="660" t="s">
        <v>60</v>
      </c>
      <c r="N3" s="663" t="s">
        <v>61</v>
      </c>
      <c r="O3" s="664"/>
      <c r="P3" s="664"/>
      <c r="Q3" s="664"/>
      <c r="R3" s="664"/>
      <c r="S3" s="664"/>
      <c r="T3" s="665"/>
      <c r="U3" s="666" t="s">
        <v>62</v>
      </c>
      <c r="V3" s="667"/>
      <c r="W3" s="668"/>
    </row>
    <row r="4" spans="1:23" x14ac:dyDescent="0.25">
      <c r="A4" s="661"/>
      <c r="B4" s="675" t="s">
        <v>63</v>
      </c>
      <c r="C4" s="676"/>
      <c r="D4" s="676"/>
      <c r="E4" s="676"/>
      <c r="F4" s="676"/>
      <c r="G4" s="676"/>
      <c r="H4" s="677"/>
      <c r="I4" s="669"/>
      <c r="J4" s="670"/>
      <c r="K4" s="671"/>
      <c r="M4" s="661"/>
      <c r="N4" s="675" t="s">
        <v>63</v>
      </c>
      <c r="O4" s="676"/>
      <c r="P4" s="676"/>
      <c r="Q4" s="676"/>
      <c r="R4" s="676"/>
      <c r="S4" s="676"/>
      <c r="T4" s="677"/>
      <c r="U4" s="669"/>
      <c r="V4" s="670"/>
      <c r="W4" s="671"/>
    </row>
    <row r="5" spans="1:23" x14ac:dyDescent="0.25">
      <c r="A5" s="662"/>
      <c r="B5" s="686" t="s">
        <v>64</v>
      </c>
      <c r="C5" s="687"/>
      <c r="D5" s="687"/>
      <c r="E5" s="687"/>
      <c r="F5" s="687"/>
      <c r="G5" s="687"/>
      <c r="H5" s="688"/>
      <c r="I5" s="672"/>
      <c r="J5" s="673"/>
      <c r="K5" s="674"/>
      <c r="M5" s="662"/>
      <c r="N5" s="686" t="s">
        <v>64</v>
      </c>
      <c r="O5" s="687"/>
      <c r="P5" s="687"/>
      <c r="Q5" s="687"/>
      <c r="R5" s="687"/>
      <c r="S5" s="687"/>
      <c r="T5" s="688"/>
      <c r="U5" s="672"/>
      <c r="V5" s="673"/>
      <c r="W5" s="674"/>
    </row>
    <row r="6" spans="1:23" x14ac:dyDescent="0.25">
      <c r="A6" s="628" t="s">
        <v>65</v>
      </c>
      <c r="B6" s="629"/>
      <c r="C6" s="629"/>
      <c r="D6" s="629"/>
      <c r="E6" s="629"/>
      <c r="F6" s="629"/>
      <c r="G6" s="629"/>
      <c r="H6" s="629"/>
      <c r="I6" s="629"/>
      <c r="J6" s="629"/>
      <c r="K6" s="630"/>
      <c r="M6" s="628" t="s">
        <v>65</v>
      </c>
      <c r="N6" s="629"/>
      <c r="O6" s="629"/>
      <c r="P6" s="629"/>
      <c r="Q6" s="629"/>
      <c r="R6" s="629"/>
      <c r="S6" s="629"/>
      <c r="T6" s="629"/>
      <c r="U6" s="629"/>
      <c r="V6" s="629"/>
      <c r="W6" s="630"/>
    </row>
    <row r="7" spans="1:23" x14ac:dyDescent="0.25">
      <c r="A7" s="689" t="s">
        <v>66</v>
      </c>
      <c r="B7" s="690"/>
      <c r="C7" s="690"/>
      <c r="D7" s="690"/>
      <c r="E7" s="690"/>
      <c r="F7" s="690"/>
      <c r="G7" s="690"/>
      <c r="H7" s="690"/>
      <c r="I7" s="690"/>
      <c r="J7" s="690"/>
      <c r="K7" s="691"/>
      <c r="M7" s="689" t="s">
        <v>66</v>
      </c>
      <c r="N7" s="690"/>
      <c r="O7" s="690"/>
      <c r="P7" s="690"/>
      <c r="Q7" s="690"/>
      <c r="R7" s="690"/>
      <c r="S7" s="690"/>
      <c r="T7" s="690"/>
      <c r="U7" s="690"/>
      <c r="V7" s="690"/>
      <c r="W7" s="691"/>
    </row>
    <row r="8" spans="1:23" x14ac:dyDescent="0.25">
      <c r="A8" s="628" t="s">
        <v>67</v>
      </c>
      <c r="B8" s="629"/>
      <c r="C8" s="629"/>
      <c r="D8" s="631"/>
      <c r="E8" s="632" t="s">
        <v>68</v>
      </c>
      <c r="F8" s="629"/>
      <c r="G8" s="629"/>
      <c r="H8" s="631"/>
      <c r="I8" s="632" t="s">
        <v>69</v>
      </c>
      <c r="J8" s="629"/>
      <c r="K8" s="630"/>
      <c r="M8" s="628" t="s">
        <v>67</v>
      </c>
      <c r="N8" s="629"/>
      <c r="O8" s="629"/>
      <c r="P8" s="631"/>
      <c r="Q8" s="632" t="s">
        <v>68</v>
      </c>
      <c r="R8" s="629"/>
      <c r="S8" s="629"/>
      <c r="T8" s="631"/>
      <c r="U8" s="632" t="s">
        <v>69</v>
      </c>
      <c r="V8" s="629"/>
      <c r="W8" s="630"/>
    </row>
    <row r="9" spans="1:23" x14ac:dyDescent="0.25">
      <c r="A9" s="689" t="s">
        <v>70</v>
      </c>
      <c r="B9" s="690"/>
      <c r="C9" s="690"/>
      <c r="D9" s="692"/>
      <c r="E9" s="647" t="s">
        <v>71</v>
      </c>
      <c r="F9" s="648"/>
      <c r="G9" s="648"/>
      <c r="H9" s="693"/>
      <c r="I9" s="647" t="s">
        <v>72</v>
      </c>
      <c r="J9" s="648"/>
      <c r="K9" s="649"/>
      <c r="M9" s="689" t="s">
        <v>96</v>
      </c>
      <c r="N9" s="690"/>
      <c r="O9" s="690"/>
      <c r="P9" s="692"/>
      <c r="Q9" s="647" t="s">
        <v>71</v>
      </c>
      <c r="R9" s="648"/>
      <c r="S9" s="648"/>
      <c r="T9" s="693"/>
      <c r="U9" s="647" t="s">
        <v>97</v>
      </c>
      <c r="V9" s="648"/>
      <c r="W9" s="649"/>
    </row>
    <row r="10" spans="1:23" x14ac:dyDescent="0.25">
      <c r="A10" s="650" t="s">
        <v>73</v>
      </c>
      <c r="B10" s="651"/>
      <c r="C10" s="651"/>
      <c r="D10" s="652"/>
      <c r="E10" s="632" t="s">
        <v>74</v>
      </c>
      <c r="F10" s="629"/>
      <c r="G10" s="629"/>
      <c r="H10" s="631"/>
      <c r="I10" s="226" t="s">
        <v>75</v>
      </c>
      <c r="J10" s="632" t="s">
        <v>76</v>
      </c>
      <c r="K10" s="630"/>
      <c r="M10" s="650" t="s">
        <v>73</v>
      </c>
      <c r="N10" s="651"/>
      <c r="O10" s="651"/>
      <c r="P10" s="652"/>
      <c r="Q10" s="632" t="s">
        <v>74</v>
      </c>
      <c r="R10" s="629"/>
      <c r="S10" s="629"/>
      <c r="T10" s="631"/>
      <c r="U10" s="226" t="s">
        <v>75</v>
      </c>
      <c r="V10" s="632" t="s">
        <v>76</v>
      </c>
      <c r="W10" s="630"/>
    </row>
    <row r="11" spans="1:23" ht="32.25" customHeight="1" x14ac:dyDescent="0.25">
      <c r="A11" s="653" t="s">
        <v>77</v>
      </c>
      <c r="B11" s="654"/>
      <c r="C11" s="654"/>
      <c r="D11" s="655"/>
      <c r="E11" s="656" t="s">
        <v>78</v>
      </c>
      <c r="F11" s="657"/>
      <c r="G11" s="657"/>
      <c r="H11" s="658"/>
      <c r="I11" s="227" t="s">
        <v>79</v>
      </c>
      <c r="J11" s="656">
        <v>2012</v>
      </c>
      <c r="K11" s="659"/>
      <c r="M11" s="653" t="s">
        <v>98</v>
      </c>
      <c r="N11" s="654"/>
      <c r="O11" s="654"/>
      <c r="P11" s="655"/>
      <c r="Q11" s="656" t="s">
        <v>78</v>
      </c>
      <c r="R11" s="657"/>
      <c r="S11" s="657"/>
      <c r="T11" s="658"/>
      <c r="U11" s="227" t="s">
        <v>79</v>
      </c>
      <c r="V11" s="656">
        <v>2012</v>
      </c>
      <c r="W11" s="659"/>
    </row>
    <row r="12" spans="1:23" x14ac:dyDescent="0.25">
      <c r="A12" s="639" t="s">
        <v>80</v>
      </c>
      <c r="B12" s="640"/>
      <c r="C12" s="640"/>
      <c r="D12" s="641"/>
      <c r="E12" s="642" t="s">
        <v>81</v>
      </c>
      <c r="F12" s="640"/>
      <c r="G12" s="640"/>
      <c r="H12" s="641"/>
      <c r="I12" s="633" t="s">
        <v>82</v>
      </c>
      <c r="J12" s="634"/>
      <c r="K12" s="635"/>
      <c r="M12" s="639" t="s">
        <v>80</v>
      </c>
      <c r="N12" s="640"/>
      <c r="O12" s="640"/>
      <c r="P12" s="641"/>
      <c r="Q12" s="642" t="s">
        <v>81</v>
      </c>
      <c r="R12" s="640"/>
      <c r="S12" s="640"/>
      <c r="T12" s="641"/>
      <c r="U12" s="633" t="s">
        <v>82</v>
      </c>
      <c r="V12" s="634"/>
      <c r="W12" s="635"/>
    </row>
    <row r="13" spans="1:23" ht="69.75" customHeight="1" x14ac:dyDescent="0.25">
      <c r="A13" s="643" t="s">
        <v>83</v>
      </c>
      <c r="B13" s="644"/>
      <c r="C13" s="644"/>
      <c r="D13" s="645"/>
      <c r="E13" s="646" t="s">
        <v>145</v>
      </c>
      <c r="F13" s="644"/>
      <c r="G13" s="644"/>
      <c r="H13" s="645"/>
      <c r="I13" s="647" t="s">
        <v>140</v>
      </c>
      <c r="J13" s="648"/>
      <c r="K13" s="649"/>
      <c r="M13" s="643" t="s">
        <v>99</v>
      </c>
      <c r="N13" s="644"/>
      <c r="O13" s="644"/>
      <c r="P13" s="645"/>
      <c r="Q13" s="646" t="s">
        <v>100</v>
      </c>
      <c r="R13" s="644"/>
      <c r="S13" s="644"/>
      <c r="T13" s="645"/>
      <c r="U13" s="647" t="s">
        <v>101</v>
      </c>
      <c r="V13" s="648"/>
      <c r="W13" s="649"/>
    </row>
    <row r="14" spans="1:23" x14ac:dyDescent="0.25">
      <c r="A14" s="628" t="s">
        <v>84</v>
      </c>
      <c r="B14" s="629"/>
      <c r="C14" s="629"/>
      <c r="D14" s="629"/>
      <c r="E14" s="629"/>
      <c r="F14" s="629"/>
      <c r="G14" s="629"/>
      <c r="H14" s="631"/>
      <c r="I14" s="632" t="s">
        <v>85</v>
      </c>
      <c r="J14" s="629"/>
      <c r="K14" s="630"/>
      <c r="M14" s="628" t="s">
        <v>84</v>
      </c>
      <c r="N14" s="629"/>
      <c r="O14" s="629"/>
      <c r="P14" s="629"/>
      <c r="Q14" s="629"/>
      <c r="R14" s="629"/>
      <c r="S14" s="629"/>
      <c r="T14" s="631"/>
      <c r="U14" s="632" t="s">
        <v>85</v>
      </c>
      <c r="V14" s="629"/>
      <c r="W14" s="630"/>
    </row>
    <row r="15" spans="1:23" ht="115.5" customHeight="1" x14ac:dyDescent="0.25">
      <c r="A15" s="643" t="s">
        <v>86</v>
      </c>
      <c r="B15" s="644"/>
      <c r="C15" s="644"/>
      <c r="D15" s="644"/>
      <c r="E15" s="644"/>
      <c r="F15" s="644"/>
      <c r="G15" s="644"/>
      <c r="H15" s="645"/>
      <c r="I15" s="647" t="s">
        <v>87</v>
      </c>
      <c r="J15" s="648"/>
      <c r="K15" s="649"/>
      <c r="M15" s="643" t="s">
        <v>102</v>
      </c>
      <c r="N15" s="644"/>
      <c r="O15" s="644"/>
      <c r="P15" s="644"/>
      <c r="Q15" s="644"/>
      <c r="R15" s="644"/>
      <c r="S15" s="644"/>
      <c r="T15" s="645"/>
      <c r="U15" s="646" t="s">
        <v>103</v>
      </c>
      <c r="V15" s="644"/>
      <c r="W15" s="678"/>
    </row>
    <row r="16" spans="1:23" x14ac:dyDescent="0.25">
      <c r="A16" s="636" t="s">
        <v>88</v>
      </c>
      <c r="B16" s="637"/>
      <c r="C16" s="637"/>
      <c r="D16" s="637"/>
      <c r="E16" s="637"/>
      <c r="F16" s="637"/>
      <c r="G16" s="637"/>
      <c r="H16" s="637"/>
      <c r="I16" s="637"/>
      <c r="J16" s="637"/>
      <c r="K16" s="638"/>
      <c r="M16" s="636" t="s">
        <v>88</v>
      </c>
      <c r="N16" s="637"/>
      <c r="O16" s="637"/>
      <c r="P16" s="637"/>
      <c r="Q16" s="637"/>
      <c r="R16" s="637"/>
      <c r="S16" s="637"/>
      <c r="T16" s="637"/>
      <c r="U16" s="637"/>
      <c r="V16" s="637"/>
      <c r="W16" s="638"/>
    </row>
    <row r="17" spans="1:23" x14ac:dyDescent="0.25">
      <c r="A17" s="643" t="s">
        <v>89</v>
      </c>
      <c r="B17" s="644"/>
      <c r="C17" s="644"/>
      <c r="D17" s="644"/>
      <c r="E17" s="644"/>
      <c r="F17" s="644"/>
      <c r="G17" s="644"/>
      <c r="H17" s="644"/>
      <c r="I17" s="644"/>
      <c r="J17" s="644"/>
      <c r="K17" s="678"/>
      <c r="M17" s="643" t="s">
        <v>104</v>
      </c>
      <c r="N17" s="644"/>
      <c r="O17" s="644"/>
      <c r="P17" s="644"/>
      <c r="Q17" s="644"/>
      <c r="R17" s="644"/>
      <c r="S17" s="644"/>
      <c r="T17" s="644"/>
      <c r="U17" s="644"/>
      <c r="V17" s="644"/>
      <c r="W17" s="678"/>
    </row>
    <row r="18" spans="1:23" x14ac:dyDescent="0.25">
      <c r="A18" s="636" t="s">
        <v>90</v>
      </c>
      <c r="B18" s="637"/>
      <c r="C18" s="637"/>
      <c r="D18" s="637"/>
      <c r="E18" s="637"/>
      <c r="F18" s="637"/>
      <c r="G18" s="637"/>
      <c r="H18" s="637"/>
      <c r="I18" s="637"/>
      <c r="J18" s="637"/>
      <c r="K18" s="638"/>
      <c r="M18" s="636" t="s">
        <v>90</v>
      </c>
      <c r="N18" s="637"/>
      <c r="O18" s="637"/>
      <c r="P18" s="637"/>
      <c r="Q18" s="637"/>
      <c r="R18" s="637"/>
      <c r="S18" s="637"/>
      <c r="T18" s="637"/>
      <c r="U18" s="637"/>
      <c r="V18" s="637"/>
      <c r="W18" s="638"/>
    </row>
    <row r="19" spans="1:23" x14ac:dyDescent="0.25">
      <c r="A19" s="694" t="s">
        <v>91</v>
      </c>
      <c r="B19" s="690"/>
      <c r="C19" s="690"/>
      <c r="D19" s="690"/>
      <c r="E19" s="690"/>
      <c r="F19" s="690"/>
      <c r="G19" s="690"/>
      <c r="H19" s="690"/>
      <c r="I19" s="690"/>
      <c r="J19" s="690"/>
      <c r="K19" s="691"/>
      <c r="M19" s="694" t="s">
        <v>105</v>
      </c>
      <c r="N19" s="690"/>
      <c r="O19" s="690"/>
      <c r="P19" s="690"/>
      <c r="Q19" s="690"/>
      <c r="R19" s="690"/>
      <c r="S19" s="690"/>
      <c r="T19" s="690"/>
      <c r="U19" s="690"/>
      <c r="V19" s="690"/>
      <c r="W19" s="691"/>
    </row>
    <row r="20" spans="1:23" x14ac:dyDescent="0.25">
      <c r="A20" s="628" t="s">
        <v>92</v>
      </c>
      <c r="B20" s="629"/>
      <c r="C20" s="629"/>
      <c r="D20" s="629"/>
      <c r="E20" s="631"/>
      <c r="F20" s="632" t="s">
        <v>93</v>
      </c>
      <c r="G20" s="629"/>
      <c r="H20" s="629"/>
      <c r="I20" s="629"/>
      <c r="J20" s="629"/>
      <c r="K20" s="630"/>
      <c r="M20" s="628" t="s">
        <v>92</v>
      </c>
      <c r="N20" s="629"/>
      <c r="O20" s="629"/>
      <c r="P20" s="629"/>
      <c r="Q20" s="631"/>
      <c r="R20" s="632" t="s">
        <v>93</v>
      </c>
      <c r="S20" s="629"/>
      <c r="T20" s="629"/>
      <c r="U20" s="629"/>
      <c r="V20" s="629"/>
      <c r="W20" s="630"/>
    </row>
    <row r="21" spans="1:23" ht="15.75" thickBot="1" x14ac:dyDescent="0.3">
      <c r="A21" s="680" t="s">
        <v>94</v>
      </c>
      <c r="B21" s="681"/>
      <c r="C21" s="681"/>
      <c r="D21" s="681"/>
      <c r="E21" s="682"/>
      <c r="F21" s="683" t="s">
        <v>95</v>
      </c>
      <c r="G21" s="681"/>
      <c r="H21" s="681"/>
      <c r="I21" s="681"/>
      <c r="J21" s="681"/>
      <c r="K21" s="684"/>
      <c r="M21" s="680" t="s">
        <v>94</v>
      </c>
      <c r="N21" s="681"/>
      <c r="O21" s="681"/>
      <c r="P21" s="681"/>
      <c r="Q21" s="682"/>
      <c r="R21" s="683" t="s">
        <v>95</v>
      </c>
      <c r="S21" s="681"/>
      <c r="T21" s="681"/>
      <c r="U21" s="681"/>
      <c r="V21" s="681"/>
      <c r="W21" s="684"/>
    </row>
    <row r="22" spans="1:23" ht="15.75" thickBot="1" x14ac:dyDescent="0.3"/>
    <row r="23" spans="1:23" x14ac:dyDescent="0.25">
      <c r="A23" s="660" t="s">
        <v>60</v>
      </c>
      <c r="B23" s="663" t="s">
        <v>61</v>
      </c>
      <c r="C23" s="664"/>
      <c r="D23" s="664"/>
      <c r="E23" s="664"/>
      <c r="F23" s="664"/>
      <c r="G23" s="664"/>
      <c r="H23" s="665"/>
      <c r="I23" s="666" t="s">
        <v>62</v>
      </c>
      <c r="J23" s="667"/>
      <c r="K23" s="668"/>
      <c r="M23" s="660" t="s">
        <v>60</v>
      </c>
      <c r="N23" s="663" t="s">
        <v>61</v>
      </c>
      <c r="O23" s="664"/>
      <c r="P23" s="664"/>
      <c r="Q23" s="664"/>
      <c r="R23" s="664"/>
      <c r="S23" s="664"/>
      <c r="T23" s="665"/>
      <c r="U23" s="666" t="s">
        <v>62</v>
      </c>
      <c r="V23" s="667"/>
      <c r="W23" s="668"/>
    </row>
    <row r="24" spans="1:23" x14ac:dyDescent="0.25">
      <c r="A24" s="661"/>
      <c r="B24" s="675" t="s">
        <v>63</v>
      </c>
      <c r="C24" s="676"/>
      <c r="D24" s="676"/>
      <c r="E24" s="676"/>
      <c r="F24" s="676"/>
      <c r="G24" s="676"/>
      <c r="H24" s="677"/>
      <c r="I24" s="669"/>
      <c r="J24" s="670"/>
      <c r="K24" s="671"/>
      <c r="M24" s="661"/>
      <c r="N24" s="675" t="s">
        <v>63</v>
      </c>
      <c r="O24" s="676"/>
      <c r="P24" s="676"/>
      <c r="Q24" s="676"/>
      <c r="R24" s="676"/>
      <c r="S24" s="676"/>
      <c r="T24" s="677"/>
      <c r="U24" s="669"/>
      <c r="V24" s="670"/>
      <c r="W24" s="671"/>
    </row>
    <row r="25" spans="1:23" x14ac:dyDescent="0.25">
      <c r="A25" s="662"/>
      <c r="B25" s="686" t="s">
        <v>64</v>
      </c>
      <c r="C25" s="687"/>
      <c r="D25" s="687"/>
      <c r="E25" s="687"/>
      <c r="F25" s="687"/>
      <c r="G25" s="687"/>
      <c r="H25" s="688"/>
      <c r="I25" s="672"/>
      <c r="J25" s="673"/>
      <c r="K25" s="674"/>
      <c r="M25" s="662"/>
      <c r="N25" s="686" t="s">
        <v>64</v>
      </c>
      <c r="O25" s="687"/>
      <c r="P25" s="687"/>
      <c r="Q25" s="687"/>
      <c r="R25" s="687"/>
      <c r="S25" s="687"/>
      <c r="T25" s="688"/>
      <c r="U25" s="672"/>
      <c r="V25" s="673"/>
      <c r="W25" s="674"/>
    </row>
    <row r="26" spans="1:23" x14ac:dyDescent="0.25">
      <c r="A26" s="628" t="s">
        <v>65</v>
      </c>
      <c r="B26" s="629"/>
      <c r="C26" s="629"/>
      <c r="D26" s="629"/>
      <c r="E26" s="629"/>
      <c r="F26" s="629"/>
      <c r="G26" s="629"/>
      <c r="H26" s="629"/>
      <c r="I26" s="629"/>
      <c r="J26" s="629"/>
      <c r="K26" s="630"/>
      <c r="M26" s="628" t="s">
        <v>65</v>
      </c>
      <c r="N26" s="629"/>
      <c r="O26" s="629"/>
      <c r="P26" s="629"/>
      <c r="Q26" s="629"/>
      <c r="R26" s="629"/>
      <c r="S26" s="629"/>
      <c r="T26" s="629"/>
      <c r="U26" s="629"/>
      <c r="V26" s="629"/>
      <c r="W26" s="630"/>
    </row>
    <row r="27" spans="1:23" x14ac:dyDescent="0.25">
      <c r="A27" s="689" t="s">
        <v>66</v>
      </c>
      <c r="B27" s="690"/>
      <c r="C27" s="690"/>
      <c r="D27" s="690"/>
      <c r="E27" s="690"/>
      <c r="F27" s="690"/>
      <c r="G27" s="690"/>
      <c r="H27" s="690"/>
      <c r="I27" s="690"/>
      <c r="J27" s="690"/>
      <c r="K27" s="691"/>
      <c r="M27" s="689" t="s">
        <v>66</v>
      </c>
      <c r="N27" s="690"/>
      <c r="O27" s="690"/>
      <c r="P27" s="690"/>
      <c r="Q27" s="690"/>
      <c r="R27" s="690"/>
      <c r="S27" s="690"/>
      <c r="T27" s="690"/>
      <c r="U27" s="690"/>
      <c r="V27" s="690"/>
      <c r="W27" s="691"/>
    </row>
    <row r="28" spans="1:23" x14ac:dyDescent="0.25">
      <c r="A28" s="628" t="s">
        <v>67</v>
      </c>
      <c r="B28" s="629"/>
      <c r="C28" s="629"/>
      <c r="D28" s="631"/>
      <c r="E28" s="632" t="s">
        <v>68</v>
      </c>
      <c r="F28" s="629"/>
      <c r="G28" s="629"/>
      <c r="H28" s="631"/>
      <c r="I28" s="632" t="s">
        <v>69</v>
      </c>
      <c r="J28" s="629"/>
      <c r="K28" s="630"/>
      <c r="M28" s="628" t="s">
        <v>67</v>
      </c>
      <c r="N28" s="629"/>
      <c r="O28" s="629"/>
      <c r="P28" s="631"/>
      <c r="Q28" s="632" t="s">
        <v>68</v>
      </c>
      <c r="R28" s="629"/>
      <c r="S28" s="629"/>
      <c r="T28" s="631"/>
      <c r="U28" s="632" t="s">
        <v>69</v>
      </c>
      <c r="V28" s="629"/>
      <c r="W28" s="630"/>
    </row>
    <row r="29" spans="1:23" x14ac:dyDescent="0.25">
      <c r="A29" s="689" t="s">
        <v>106</v>
      </c>
      <c r="B29" s="690"/>
      <c r="C29" s="690"/>
      <c r="D29" s="692"/>
      <c r="E29" s="647" t="s">
        <v>71</v>
      </c>
      <c r="F29" s="648"/>
      <c r="G29" s="648"/>
      <c r="H29" s="693"/>
      <c r="I29" s="647" t="s">
        <v>107</v>
      </c>
      <c r="J29" s="648"/>
      <c r="K29" s="649"/>
      <c r="M29" s="689" t="s">
        <v>106</v>
      </c>
      <c r="N29" s="690"/>
      <c r="O29" s="690"/>
      <c r="P29" s="692"/>
      <c r="Q29" s="646" t="s">
        <v>116</v>
      </c>
      <c r="R29" s="644"/>
      <c r="S29" s="644"/>
      <c r="T29" s="645"/>
      <c r="U29" s="646" t="s">
        <v>107</v>
      </c>
      <c r="V29" s="644"/>
      <c r="W29" s="678"/>
    </row>
    <row r="30" spans="1:23" x14ac:dyDescent="0.25">
      <c r="A30" s="650" t="s">
        <v>73</v>
      </c>
      <c r="B30" s="651"/>
      <c r="C30" s="651"/>
      <c r="D30" s="652"/>
      <c r="E30" s="632" t="s">
        <v>74</v>
      </c>
      <c r="F30" s="629"/>
      <c r="G30" s="629"/>
      <c r="H30" s="631"/>
      <c r="I30" s="226" t="s">
        <v>75</v>
      </c>
      <c r="J30" s="632" t="s">
        <v>76</v>
      </c>
      <c r="K30" s="630"/>
      <c r="M30" s="650" t="s">
        <v>73</v>
      </c>
      <c r="N30" s="651"/>
      <c r="O30" s="651"/>
      <c r="P30" s="652"/>
      <c r="Q30" s="632" t="s">
        <v>74</v>
      </c>
      <c r="R30" s="629"/>
      <c r="S30" s="629"/>
      <c r="T30" s="631"/>
      <c r="U30" s="226" t="s">
        <v>75</v>
      </c>
      <c r="V30" s="632" t="s">
        <v>76</v>
      </c>
      <c r="W30" s="630"/>
    </row>
    <row r="31" spans="1:23" ht="36" customHeight="1" x14ac:dyDescent="0.25">
      <c r="A31" s="653" t="s">
        <v>108</v>
      </c>
      <c r="B31" s="654"/>
      <c r="C31" s="654"/>
      <c r="D31" s="655"/>
      <c r="E31" s="656" t="s">
        <v>109</v>
      </c>
      <c r="F31" s="657"/>
      <c r="G31" s="657"/>
      <c r="H31" s="658"/>
      <c r="I31" s="227" t="s">
        <v>110</v>
      </c>
      <c r="J31" s="656">
        <v>2012</v>
      </c>
      <c r="K31" s="659"/>
      <c r="M31" s="653" t="s">
        <v>117</v>
      </c>
      <c r="N31" s="654"/>
      <c r="O31" s="654"/>
      <c r="P31" s="655"/>
      <c r="Q31" s="656" t="s">
        <v>109</v>
      </c>
      <c r="R31" s="657"/>
      <c r="S31" s="657"/>
      <c r="T31" s="658"/>
      <c r="U31" s="227" t="s">
        <v>118</v>
      </c>
      <c r="V31" s="656">
        <v>2014</v>
      </c>
      <c r="W31" s="659"/>
    </row>
    <row r="32" spans="1:23" x14ac:dyDescent="0.25">
      <c r="A32" s="639" t="s">
        <v>80</v>
      </c>
      <c r="B32" s="640"/>
      <c r="C32" s="640"/>
      <c r="D32" s="641"/>
      <c r="E32" s="642" t="s">
        <v>81</v>
      </c>
      <c r="F32" s="640"/>
      <c r="G32" s="640"/>
      <c r="H32" s="641"/>
      <c r="I32" s="633" t="s">
        <v>82</v>
      </c>
      <c r="J32" s="634"/>
      <c r="K32" s="635"/>
      <c r="M32" s="639" t="s">
        <v>80</v>
      </c>
      <c r="N32" s="640"/>
      <c r="O32" s="640"/>
      <c r="P32" s="641"/>
      <c r="Q32" s="642" t="s">
        <v>81</v>
      </c>
      <c r="R32" s="640"/>
      <c r="S32" s="640"/>
      <c r="T32" s="641"/>
      <c r="U32" s="633" t="s">
        <v>82</v>
      </c>
      <c r="V32" s="634"/>
      <c r="W32" s="635"/>
    </row>
    <row r="33" spans="1:23" ht="67.5" customHeight="1" x14ac:dyDescent="0.25">
      <c r="A33" s="643" t="s">
        <v>111</v>
      </c>
      <c r="B33" s="644"/>
      <c r="C33" s="644"/>
      <c r="D33" s="645"/>
      <c r="E33" s="646" t="s">
        <v>146</v>
      </c>
      <c r="F33" s="644"/>
      <c r="G33" s="644"/>
      <c r="H33" s="645"/>
      <c r="I33" s="647" t="s">
        <v>112</v>
      </c>
      <c r="J33" s="648"/>
      <c r="K33" s="649"/>
      <c r="M33" s="643" t="s">
        <v>119</v>
      </c>
      <c r="N33" s="644"/>
      <c r="O33" s="644"/>
      <c r="P33" s="645"/>
      <c r="Q33" s="647" t="s">
        <v>120</v>
      </c>
      <c r="R33" s="648"/>
      <c r="S33" s="648"/>
      <c r="T33" s="693"/>
      <c r="U33" s="646" t="s">
        <v>121</v>
      </c>
      <c r="V33" s="644"/>
      <c r="W33" s="678"/>
    </row>
    <row r="34" spans="1:23" x14ac:dyDescent="0.25">
      <c r="A34" s="628" t="s">
        <v>84</v>
      </c>
      <c r="B34" s="629"/>
      <c r="C34" s="629"/>
      <c r="D34" s="629"/>
      <c r="E34" s="629"/>
      <c r="F34" s="629"/>
      <c r="G34" s="629"/>
      <c r="H34" s="631"/>
      <c r="I34" s="632" t="s">
        <v>85</v>
      </c>
      <c r="J34" s="629"/>
      <c r="K34" s="630"/>
      <c r="M34" s="628" t="s">
        <v>84</v>
      </c>
      <c r="N34" s="629"/>
      <c r="O34" s="629"/>
      <c r="P34" s="629"/>
      <c r="Q34" s="629"/>
      <c r="R34" s="629"/>
      <c r="S34" s="629"/>
      <c r="T34" s="631"/>
      <c r="U34" s="632" t="s">
        <v>85</v>
      </c>
      <c r="V34" s="629"/>
      <c r="W34" s="630"/>
    </row>
    <row r="35" spans="1:23" ht="68.25" customHeight="1" x14ac:dyDescent="0.25">
      <c r="A35" s="643" t="s">
        <v>113</v>
      </c>
      <c r="B35" s="644"/>
      <c r="C35" s="644"/>
      <c r="D35" s="644"/>
      <c r="E35" s="644"/>
      <c r="F35" s="644"/>
      <c r="G35" s="644"/>
      <c r="H35" s="645"/>
      <c r="I35" s="646" t="s">
        <v>114</v>
      </c>
      <c r="J35" s="644"/>
      <c r="K35" s="678"/>
      <c r="M35" s="643" t="s">
        <v>122</v>
      </c>
      <c r="N35" s="644"/>
      <c r="O35" s="644"/>
      <c r="P35" s="644"/>
      <c r="Q35" s="644"/>
      <c r="R35" s="644"/>
      <c r="S35" s="644"/>
      <c r="T35" s="645"/>
      <c r="U35" s="646" t="s">
        <v>123</v>
      </c>
      <c r="V35" s="644"/>
      <c r="W35" s="678"/>
    </row>
    <row r="36" spans="1:23" x14ac:dyDescent="0.25">
      <c r="A36" s="636" t="s">
        <v>88</v>
      </c>
      <c r="B36" s="637"/>
      <c r="C36" s="637"/>
      <c r="D36" s="637"/>
      <c r="E36" s="637"/>
      <c r="F36" s="637"/>
      <c r="G36" s="637"/>
      <c r="H36" s="637"/>
      <c r="I36" s="637"/>
      <c r="J36" s="637"/>
      <c r="K36" s="638"/>
      <c r="M36" s="636" t="s">
        <v>88</v>
      </c>
      <c r="N36" s="637"/>
      <c r="O36" s="637"/>
      <c r="P36" s="637"/>
      <c r="Q36" s="637"/>
      <c r="R36" s="637"/>
      <c r="S36" s="637"/>
      <c r="T36" s="637"/>
      <c r="U36" s="637"/>
      <c r="V36" s="637"/>
      <c r="W36" s="638"/>
    </row>
    <row r="37" spans="1:23" x14ac:dyDescent="0.25">
      <c r="A37" s="689" t="s">
        <v>115</v>
      </c>
      <c r="B37" s="690"/>
      <c r="C37" s="690"/>
      <c r="D37" s="690"/>
      <c r="E37" s="690"/>
      <c r="F37" s="690"/>
      <c r="G37" s="690"/>
      <c r="H37" s="690"/>
      <c r="I37" s="690"/>
      <c r="J37" s="690"/>
      <c r="K37" s="691"/>
      <c r="M37" s="689" t="s">
        <v>124</v>
      </c>
      <c r="N37" s="690"/>
      <c r="O37" s="690"/>
      <c r="P37" s="690"/>
      <c r="Q37" s="690"/>
      <c r="R37" s="690"/>
      <c r="S37" s="690"/>
      <c r="T37" s="690"/>
      <c r="U37" s="690"/>
      <c r="V37" s="690"/>
      <c r="W37" s="691"/>
    </row>
    <row r="38" spans="1:23" x14ac:dyDescent="0.25">
      <c r="A38" s="636" t="s">
        <v>90</v>
      </c>
      <c r="B38" s="637"/>
      <c r="C38" s="637"/>
      <c r="D38" s="637"/>
      <c r="E38" s="637"/>
      <c r="F38" s="637"/>
      <c r="G38" s="637"/>
      <c r="H38" s="637"/>
      <c r="I38" s="637"/>
      <c r="J38" s="637"/>
      <c r="K38" s="638"/>
      <c r="M38" s="636" t="s">
        <v>90</v>
      </c>
      <c r="N38" s="637"/>
      <c r="O38" s="637"/>
      <c r="P38" s="637"/>
      <c r="Q38" s="637"/>
      <c r="R38" s="637"/>
      <c r="S38" s="637"/>
      <c r="T38" s="637"/>
      <c r="U38" s="637"/>
      <c r="V38" s="637"/>
      <c r="W38" s="638"/>
    </row>
    <row r="39" spans="1:23" x14ac:dyDescent="0.25">
      <c r="A39" s="694">
        <v>0.8</v>
      </c>
      <c r="B39" s="690"/>
      <c r="C39" s="690"/>
      <c r="D39" s="690"/>
      <c r="E39" s="690"/>
      <c r="F39" s="690"/>
      <c r="G39" s="690"/>
      <c r="H39" s="690"/>
      <c r="I39" s="690"/>
      <c r="J39" s="690"/>
      <c r="K39" s="691"/>
      <c r="M39" s="689" t="s">
        <v>125</v>
      </c>
      <c r="N39" s="690"/>
      <c r="O39" s="690"/>
      <c r="P39" s="690"/>
      <c r="Q39" s="690"/>
      <c r="R39" s="690"/>
      <c r="S39" s="690"/>
      <c r="T39" s="690"/>
      <c r="U39" s="690"/>
      <c r="V39" s="690"/>
      <c r="W39" s="691"/>
    </row>
    <row r="40" spans="1:23" x14ac:dyDescent="0.25">
      <c r="A40" s="628" t="s">
        <v>92</v>
      </c>
      <c r="B40" s="629"/>
      <c r="C40" s="629"/>
      <c r="D40" s="629"/>
      <c r="E40" s="631"/>
      <c r="F40" s="632" t="s">
        <v>93</v>
      </c>
      <c r="G40" s="629"/>
      <c r="H40" s="629"/>
      <c r="I40" s="629"/>
      <c r="J40" s="629"/>
      <c r="K40" s="630"/>
      <c r="M40" s="628" t="s">
        <v>92</v>
      </c>
      <c r="N40" s="629"/>
      <c r="O40" s="629"/>
      <c r="P40" s="629"/>
      <c r="Q40" s="631"/>
      <c r="R40" s="632" t="s">
        <v>93</v>
      </c>
      <c r="S40" s="629"/>
      <c r="T40" s="629"/>
      <c r="U40" s="629"/>
      <c r="V40" s="629"/>
      <c r="W40" s="630"/>
    </row>
    <row r="41" spans="1:23" ht="15.75" thickBot="1" x14ac:dyDescent="0.3">
      <c r="A41" s="680" t="s">
        <v>94</v>
      </c>
      <c r="B41" s="681"/>
      <c r="C41" s="681"/>
      <c r="D41" s="681"/>
      <c r="E41" s="682"/>
      <c r="F41" s="683" t="s">
        <v>95</v>
      </c>
      <c r="G41" s="681"/>
      <c r="H41" s="681"/>
      <c r="I41" s="681"/>
      <c r="J41" s="681"/>
      <c r="K41" s="684"/>
      <c r="M41" s="680" t="s">
        <v>126</v>
      </c>
      <c r="N41" s="681"/>
      <c r="O41" s="681"/>
      <c r="P41" s="681"/>
      <c r="Q41" s="682"/>
      <c r="R41" s="683" t="s">
        <v>127</v>
      </c>
      <c r="S41" s="681"/>
      <c r="T41" s="681"/>
      <c r="U41" s="681"/>
      <c r="V41" s="681"/>
      <c r="W41" s="684"/>
    </row>
    <row r="42" spans="1:23" ht="15.75" thickBot="1" x14ac:dyDescent="0.3"/>
    <row r="43" spans="1:23" ht="15" customHeight="1" x14ac:dyDescent="0.25">
      <c r="A43" s="660" t="s">
        <v>60</v>
      </c>
      <c r="B43" s="663" t="s">
        <v>61</v>
      </c>
      <c r="C43" s="664"/>
      <c r="D43" s="664"/>
      <c r="E43" s="664"/>
      <c r="F43" s="664"/>
      <c r="G43" s="664"/>
      <c r="H43" s="665"/>
      <c r="I43" s="666" t="s">
        <v>62</v>
      </c>
      <c r="J43" s="667"/>
      <c r="K43" s="668"/>
      <c r="M43" s="660" t="s">
        <v>60</v>
      </c>
      <c r="N43" s="663" t="s">
        <v>61</v>
      </c>
      <c r="O43" s="664"/>
      <c r="P43" s="664"/>
      <c r="Q43" s="664"/>
      <c r="R43" s="664"/>
      <c r="S43" s="664"/>
      <c r="T43" s="665"/>
      <c r="U43" s="666" t="s">
        <v>62</v>
      </c>
      <c r="V43" s="667"/>
      <c r="W43" s="668"/>
    </row>
    <row r="44" spans="1:23" ht="15" customHeight="1" x14ac:dyDescent="0.25">
      <c r="A44" s="661"/>
      <c r="B44" s="675" t="s">
        <v>63</v>
      </c>
      <c r="C44" s="676"/>
      <c r="D44" s="676"/>
      <c r="E44" s="676"/>
      <c r="F44" s="676"/>
      <c r="G44" s="676"/>
      <c r="H44" s="677"/>
      <c r="I44" s="669"/>
      <c r="J44" s="670"/>
      <c r="K44" s="671"/>
      <c r="M44" s="661"/>
      <c r="N44" s="675" t="s">
        <v>63</v>
      </c>
      <c r="O44" s="676"/>
      <c r="P44" s="676"/>
      <c r="Q44" s="676"/>
      <c r="R44" s="676"/>
      <c r="S44" s="676"/>
      <c r="T44" s="677"/>
      <c r="U44" s="669"/>
      <c r="V44" s="670"/>
      <c r="W44" s="671"/>
    </row>
    <row r="45" spans="1:23" ht="15" customHeight="1" x14ac:dyDescent="0.25">
      <c r="A45" s="662"/>
      <c r="B45" s="686" t="s">
        <v>64</v>
      </c>
      <c r="C45" s="687"/>
      <c r="D45" s="687"/>
      <c r="E45" s="687"/>
      <c r="F45" s="687"/>
      <c r="G45" s="687"/>
      <c r="H45" s="688"/>
      <c r="I45" s="672"/>
      <c r="J45" s="673"/>
      <c r="K45" s="674"/>
      <c r="M45" s="662"/>
      <c r="N45" s="686" t="s">
        <v>64</v>
      </c>
      <c r="O45" s="687"/>
      <c r="P45" s="687"/>
      <c r="Q45" s="687"/>
      <c r="R45" s="687"/>
      <c r="S45" s="687"/>
      <c r="T45" s="688"/>
      <c r="U45" s="672"/>
      <c r="V45" s="673"/>
      <c r="W45" s="674"/>
    </row>
    <row r="46" spans="1:23" x14ac:dyDescent="0.25">
      <c r="A46" s="628" t="s">
        <v>65</v>
      </c>
      <c r="B46" s="629"/>
      <c r="C46" s="629"/>
      <c r="D46" s="629"/>
      <c r="E46" s="629"/>
      <c r="F46" s="629"/>
      <c r="G46" s="629"/>
      <c r="H46" s="629"/>
      <c r="I46" s="629"/>
      <c r="J46" s="629"/>
      <c r="K46" s="630"/>
      <c r="M46" s="628" t="s">
        <v>65</v>
      </c>
      <c r="N46" s="629"/>
      <c r="O46" s="629"/>
      <c r="P46" s="629"/>
      <c r="Q46" s="629"/>
      <c r="R46" s="629"/>
      <c r="S46" s="629"/>
      <c r="T46" s="629"/>
      <c r="U46" s="629"/>
      <c r="V46" s="629"/>
      <c r="W46" s="630"/>
    </row>
    <row r="47" spans="1:23" x14ac:dyDescent="0.25">
      <c r="A47" s="689" t="s">
        <v>66</v>
      </c>
      <c r="B47" s="690"/>
      <c r="C47" s="690"/>
      <c r="D47" s="690"/>
      <c r="E47" s="690"/>
      <c r="F47" s="690"/>
      <c r="G47" s="690"/>
      <c r="H47" s="690"/>
      <c r="I47" s="690"/>
      <c r="J47" s="690"/>
      <c r="K47" s="691"/>
      <c r="M47" s="689" t="s">
        <v>66</v>
      </c>
      <c r="N47" s="690"/>
      <c r="O47" s="690"/>
      <c r="P47" s="690"/>
      <c r="Q47" s="690"/>
      <c r="R47" s="690"/>
      <c r="S47" s="690"/>
      <c r="T47" s="690"/>
      <c r="U47" s="690"/>
      <c r="V47" s="690"/>
      <c r="W47" s="691"/>
    </row>
    <row r="48" spans="1:23" x14ac:dyDescent="0.25">
      <c r="A48" s="628" t="s">
        <v>67</v>
      </c>
      <c r="B48" s="629"/>
      <c r="C48" s="629"/>
      <c r="D48" s="631"/>
      <c r="E48" s="632" t="s">
        <v>68</v>
      </c>
      <c r="F48" s="629"/>
      <c r="G48" s="629"/>
      <c r="H48" s="631"/>
      <c r="I48" s="632" t="s">
        <v>69</v>
      </c>
      <c r="J48" s="629"/>
      <c r="K48" s="630"/>
      <c r="M48" s="628" t="s">
        <v>67</v>
      </c>
      <c r="N48" s="629"/>
      <c r="O48" s="629"/>
      <c r="P48" s="631"/>
      <c r="Q48" s="632" t="s">
        <v>68</v>
      </c>
      <c r="R48" s="629"/>
      <c r="S48" s="629"/>
      <c r="T48" s="631"/>
      <c r="U48" s="632" t="s">
        <v>69</v>
      </c>
      <c r="V48" s="629"/>
      <c r="W48" s="630"/>
    </row>
    <row r="49" spans="1:23" ht="15" customHeight="1" x14ac:dyDescent="0.25">
      <c r="A49" s="689" t="s">
        <v>106</v>
      </c>
      <c r="B49" s="690"/>
      <c r="C49" s="690"/>
      <c r="D49" s="692"/>
      <c r="E49" s="647" t="s">
        <v>128</v>
      </c>
      <c r="F49" s="648"/>
      <c r="G49" s="648"/>
      <c r="H49" s="693"/>
      <c r="I49" s="647" t="s">
        <v>129</v>
      </c>
      <c r="J49" s="648"/>
      <c r="K49" s="649"/>
      <c r="M49" s="689" t="s">
        <v>157</v>
      </c>
      <c r="N49" s="690"/>
      <c r="O49" s="690"/>
      <c r="P49" s="692"/>
      <c r="Q49" s="647" t="s">
        <v>71</v>
      </c>
      <c r="R49" s="648"/>
      <c r="S49" s="648"/>
      <c r="T49" s="693"/>
      <c r="U49" s="647" t="s">
        <v>142</v>
      </c>
      <c r="V49" s="648"/>
      <c r="W49" s="649"/>
    </row>
    <row r="50" spans="1:23" ht="15" customHeight="1" x14ac:dyDescent="0.25">
      <c r="A50" s="650" t="s">
        <v>73</v>
      </c>
      <c r="B50" s="651"/>
      <c r="C50" s="651"/>
      <c r="D50" s="652"/>
      <c r="E50" s="632" t="s">
        <v>74</v>
      </c>
      <c r="F50" s="629"/>
      <c r="G50" s="629"/>
      <c r="H50" s="631"/>
      <c r="I50" s="226" t="s">
        <v>75</v>
      </c>
      <c r="J50" s="632" t="s">
        <v>76</v>
      </c>
      <c r="K50" s="630"/>
      <c r="M50" s="650" t="s">
        <v>73</v>
      </c>
      <c r="N50" s="651"/>
      <c r="O50" s="651"/>
      <c r="P50" s="652"/>
      <c r="Q50" s="632" t="s">
        <v>74</v>
      </c>
      <c r="R50" s="629"/>
      <c r="S50" s="629"/>
      <c r="T50" s="631"/>
      <c r="U50" s="226" t="s">
        <v>75</v>
      </c>
      <c r="V50" s="632" t="s">
        <v>76</v>
      </c>
      <c r="W50" s="630"/>
    </row>
    <row r="51" spans="1:23" ht="36" customHeight="1" x14ac:dyDescent="0.25">
      <c r="A51" s="653" t="s">
        <v>130</v>
      </c>
      <c r="B51" s="654"/>
      <c r="C51" s="654"/>
      <c r="D51" s="655"/>
      <c r="E51" s="656" t="s">
        <v>109</v>
      </c>
      <c r="F51" s="657"/>
      <c r="G51" s="657"/>
      <c r="H51" s="658"/>
      <c r="I51" s="227" t="s">
        <v>110</v>
      </c>
      <c r="J51" s="656">
        <v>2011</v>
      </c>
      <c r="K51" s="659"/>
      <c r="M51" s="653" t="s">
        <v>138</v>
      </c>
      <c r="N51" s="654"/>
      <c r="O51" s="654"/>
      <c r="P51" s="655"/>
      <c r="Q51" s="656" t="s">
        <v>109</v>
      </c>
      <c r="R51" s="657"/>
      <c r="S51" s="657"/>
      <c r="T51" s="658"/>
      <c r="U51" s="227" t="s">
        <v>110</v>
      </c>
      <c r="V51" s="656">
        <v>2019</v>
      </c>
      <c r="W51" s="659"/>
    </row>
    <row r="52" spans="1:23" ht="16.5" customHeight="1" x14ac:dyDescent="0.25">
      <c r="A52" s="639" t="s">
        <v>80</v>
      </c>
      <c r="B52" s="640"/>
      <c r="C52" s="640"/>
      <c r="D52" s="641"/>
      <c r="E52" s="642" t="s">
        <v>81</v>
      </c>
      <c r="F52" s="640"/>
      <c r="G52" s="640"/>
      <c r="H52" s="641"/>
      <c r="I52" s="633" t="s">
        <v>82</v>
      </c>
      <c r="J52" s="634"/>
      <c r="K52" s="635"/>
      <c r="M52" s="639" t="s">
        <v>80</v>
      </c>
      <c r="N52" s="640"/>
      <c r="O52" s="640"/>
      <c r="P52" s="641"/>
      <c r="Q52" s="642" t="s">
        <v>81</v>
      </c>
      <c r="R52" s="640"/>
      <c r="S52" s="640"/>
      <c r="T52" s="641"/>
      <c r="U52" s="633" t="s">
        <v>82</v>
      </c>
      <c r="V52" s="634"/>
      <c r="W52" s="635"/>
    </row>
    <row r="53" spans="1:23" ht="66" customHeight="1" x14ac:dyDescent="0.25">
      <c r="A53" s="643" t="s">
        <v>131</v>
      </c>
      <c r="B53" s="644"/>
      <c r="C53" s="644"/>
      <c r="D53" s="645"/>
      <c r="E53" s="646" t="s">
        <v>144</v>
      </c>
      <c r="F53" s="644"/>
      <c r="G53" s="644"/>
      <c r="H53" s="645"/>
      <c r="I53" s="647" t="s">
        <v>132</v>
      </c>
      <c r="J53" s="648"/>
      <c r="K53" s="649"/>
      <c r="M53" s="643" t="s">
        <v>158</v>
      </c>
      <c r="N53" s="644"/>
      <c r="O53" s="644"/>
      <c r="P53" s="645"/>
      <c r="Q53" s="646" t="s">
        <v>149</v>
      </c>
      <c r="R53" s="644"/>
      <c r="S53" s="644"/>
      <c r="T53" s="645"/>
      <c r="U53" s="647" t="s">
        <v>143</v>
      </c>
      <c r="V53" s="648"/>
      <c r="W53" s="649"/>
    </row>
    <row r="54" spans="1:23" ht="15" customHeight="1" x14ac:dyDescent="0.25">
      <c r="A54" s="628" t="s">
        <v>84</v>
      </c>
      <c r="B54" s="629"/>
      <c r="C54" s="629"/>
      <c r="D54" s="629"/>
      <c r="E54" s="629"/>
      <c r="F54" s="629"/>
      <c r="G54" s="629"/>
      <c r="H54" s="631"/>
      <c r="I54" s="632" t="s">
        <v>85</v>
      </c>
      <c r="J54" s="629"/>
      <c r="K54" s="630"/>
      <c r="M54" s="628" t="s">
        <v>84</v>
      </c>
      <c r="N54" s="629"/>
      <c r="O54" s="629"/>
      <c r="P54" s="629"/>
      <c r="Q54" s="629"/>
      <c r="R54" s="629"/>
      <c r="S54" s="629"/>
      <c r="T54" s="631"/>
      <c r="U54" s="632" t="s">
        <v>85</v>
      </c>
      <c r="V54" s="629"/>
      <c r="W54" s="630"/>
    </row>
    <row r="55" spans="1:23" ht="59.25" customHeight="1" x14ac:dyDescent="0.25">
      <c r="A55" s="643" t="s">
        <v>133</v>
      </c>
      <c r="B55" s="644"/>
      <c r="C55" s="644"/>
      <c r="D55" s="644"/>
      <c r="E55" s="644"/>
      <c r="F55" s="644"/>
      <c r="G55" s="644"/>
      <c r="H55" s="645"/>
      <c r="I55" s="685">
        <v>0.3</v>
      </c>
      <c r="J55" s="648"/>
      <c r="K55" s="649"/>
      <c r="M55" s="643" t="s">
        <v>160</v>
      </c>
      <c r="N55" s="644"/>
      <c r="O55" s="644"/>
      <c r="P55" s="644"/>
      <c r="Q55" s="644"/>
      <c r="R55" s="644"/>
      <c r="S55" s="644"/>
      <c r="T55" s="645"/>
      <c r="U55" s="646" t="s">
        <v>162</v>
      </c>
      <c r="V55" s="644"/>
      <c r="W55" s="678"/>
    </row>
    <row r="56" spans="1:23" ht="15" customHeight="1" x14ac:dyDescent="0.25">
      <c r="A56" s="636"/>
      <c r="B56" s="637"/>
      <c r="C56" s="637"/>
      <c r="D56" s="637"/>
      <c r="E56" s="637"/>
      <c r="F56" s="637"/>
      <c r="G56" s="637"/>
      <c r="H56" s="637"/>
      <c r="I56" s="637"/>
      <c r="J56" s="637"/>
      <c r="K56" s="638"/>
      <c r="M56" s="636" t="s">
        <v>88</v>
      </c>
      <c r="N56" s="637"/>
      <c r="O56" s="637"/>
      <c r="P56" s="637"/>
      <c r="Q56" s="637"/>
      <c r="R56" s="637"/>
      <c r="S56" s="637"/>
      <c r="T56" s="637"/>
      <c r="U56" s="637"/>
      <c r="V56" s="637"/>
      <c r="W56" s="638"/>
    </row>
    <row r="57" spans="1:23" ht="71.25" customHeight="1" x14ac:dyDescent="0.25">
      <c r="A57" s="643" t="s">
        <v>134</v>
      </c>
      <c r="B57" s="644"/>
      <c r="C57" s="644"/>
      <c r="D57" s="644"/>
      <c r="E57" s="644"/>
      <c r="F57" s="644"/>
      <c r="G57" s="644"/>
      <c r="H57" s="644"/>
      <c r="I57" s="644"/>
      <c r="J57" s="644"/>
      <c r="K57" s="678"/>
      <c r="M57" s="689" t="s">
        <v>159</v>
      </c>
      <c r="N57" s="690"/>
      <c r="O57" s="690"/>
      <c r="P57" s="690"/>
      <c r="Q57" s="690"/>
      <c r="R57" s="690"/>
      <c r="S57" s="690"/>
      <c r="T57" s="690"/>
      <c r="U57" s="690"/>
      <c r="V57" s="690"/>
      <c r="W57" s="691"/>
    </row>
    <row r="58" spans="1:23" x14ac:dyDescent="0.25">
      <c r="A58" s="636" t="s">
        <v>90</v>
      </c>
      <c r="B58" s="637"/>
      <c r="C58" s="637"/>
      <c r="D58" s="637"/>
      <c r="E58" s="637"/>
      <c r="F58" s="637"/>
      <c r="G58" s="637"/>
      <c r="H58" s="637"/>
      <c r="I58" s="637"/>
      <c r="J58" s="637"/>
      <c r="K58" s="638"/>
      <c r="M58" s="636" t="s">
        <v>90</v>
      </c>
      <c r="N58" s="637"/>
      <c r="O58" s="637"/>
      <c r="P58" s="637"/>
      <c r="Q58" s="637"/>
      <c r="R58" s="637"/>
      <c r="S58" s="637"/>
      <c r="T58" s="637"/>
      <c r="U58" s="637"/>
      <c r="V58" s="637"/>
      <c r="W58" s="638"/>
    </row>
    <row r="59" spans="1:23" ht="40.5" customHeight="1" x14ac:dyDescent="0.25">
      <c r="A59" s="679" t="s">
        <v>135</v>
      </c>
      <c r="B59" s="644"/>
      <c r="C59" s="644"/>
      <c r="D59" s="644"/>
      <c r="E59" s="644"/>
      <c r="F59" s="644"/>
      <c r="G59" s="644"/>
      <c r="H59" s="644"/>
      <c r="I59" s="644"/>
      <c r="J59" s="644"/>
      <c r="K59" s="678"/>
      <c r="M59" s="695" t="s">
        <v>161</v>
      </c>
      <c r="N59" s="696"/>
      <c r="O59" s="696"/>
      <c r="P59" s="696"/>
      <c r="Q59" s="696"/>
      <c r="R59" s="696"/>
      <c r="S59" s="696"/>
      <c r="T59" s="696"/>
      <c r="U59" s="696"/>
      <c r="V59" s="696"/>
      <c r="W59" s="697"/>
    </row>
    <row r="60" spans="1:23" x14ac:dyDescent="0.25">
      <c r="A60" s="628" t="s">
        <v>92</v>
      </c>
      <c r="B60" s="629"/>
      <c r="C60" s="629"/>
      <c r="D60" s="629"/>
      <c r="E60" s="631"/>
      <c r="F60" s="632" t="s">
        <v>93</v>
      </c>
      <c r="G60" s="629"/>
      <c r="H60" s="629"/>
      <c r="I60" s="629"/>
      <c r="J60" s="629"/>
      <c r="K60" s="630"/>
      <c r="M60" s="628" t="s">
        <v>92</v>
      </c>
      <c r="N60" s="629"/>
      <c r="O60" s="629"/>
      <c r="P60" s="629"/>
      <c r="Q60" s="631"/>
      <c r="R60" s="632" t="s">
        <v>93</v>
      </c>
      <c r="S60" s="629"/>
      <c r="T60" s="629"/>
      <c r="U60" s="629"/>
      <c r="V60" s="629"/>
      <c r="W60" s="630"/>
    </row>
    <row r="61" spans="1:23" ht="15.75" thickBot="1" x14ac:dyDescent="0.3">
      <c r="A61" s="680" t="s">
        <v>136</v>
      </c>
      <c r="B61" s="681"/>
      <c r="C61" s="681"/>
      <c r="D61" s="681"/>
      <c r="E61" s="682"/>
      <c r="F61" s="683" t="s">
        <v>137</v>
      </c>
      <c r="G61" s="681"/>
      <c r="H61" s="681"/>
      <c r="I61" s="681"/>
      <c r="J61" s="681"/>
      <c r="K61" s="684"/>
      <c r="M61" s="680" t="s">
        <v>94</v>
      </c>
      <c r="N61" s="681"/>
      <c r="O61" s="681"/>
      <c r="P61" s="681"/>
      <c r="Q61" s="682"/>
      <c r="R61" s="683" t="s">
        <v>139</v>
      </c>
      <c r="S61" s="681"/>
      <c r="T61" s="681"/>
      <c r="U61" s="681"/>
      <c r="V61" s="681"/>
      <c r="W61" s="684"/>
    </row>
    <row r="62" spans="1:23" ht="15.75" thickBot="1" x14ac:dyDescent="0.3"/>
    <row r="63" spans="1:23" ht="15" customHeight="1" x14ac:dyDescent="0.25">
      <c r="A63" s="660" t="s">
        <v>60</v>
      </c>
      <c r="B63" s="663" t="s">
        <v>61</v>
      </c>
      <c r="C63" s="664"/>
      <c r="D63" s="664"/>
      <c r="E63" s="664"/>
      <c r="F63" s="664"/>
      <c r="G63" s="664"/>
      <c r="H63" s="665"/>
      <c r="I63" s="666" t="s">
        <v>62</v>
      </c>
      <c r="J63" s="667"/>
      <c r="K63" s="668"/>
      <c r="M63" s="225"/>
    </row>
    <row r="64" spans="1:23" ht="15" customHeight="1" x14ac:dyDescent="0.25">
      <c r="A64" s="661"/>
      <c r="B64" s="675" t="s">
        <v>63</v>
      </c>
      <c r="C64" s="676"/>
      <c r="D64" s="676"/>
      <c r="E64" s="676"/>
      <c r="F64" s="676"/>
      <c r="G64" s="676"/>
      <c r="H64" s="677"/>
      <c r="I64" s="669"/>
      <c r="J64" s="670"/>
      <c r="K64" s="671"/>
    </row>
    <row r="65" spans="1:21" ht="15" customHeight="1" x14ac:dyDescent="0.25">
      <c r="A65" s="662"/>
      <c r="B65" s="686" t="s">
        <v>64</v>
      </c>
      <c r="C65" s="687"/>
      <c r="D65" s="687"/>
      <c r="E65" s="687"/>
      <c r="F65" s="687"/>
      <c r="G65" s="687"/>
      <c r="H65" s="688"/>
      <c r="I65" s="672"/>
      <c r="J65" s="673"/>
      <c r="K65" s="674"/>
    </row>
    <row r="66" spans="1:21" x14ac:dyDescent="0.25">
      <c r="A66" s="628" t="s">
        <v>65</v>
      </c>
      <c r="B66" s="629"/>
      <c r="C66" s="629"/>
      <c r="D66" s="629"/>
      <c r="E66" s="629"/>
      <c r="F66" s="629"/>
      <c r="G66" s="629"/>
      <c r="H66" s="629"/>
      <c r="I66" s="629"/>
      <c r="J66" s="629"/>
      <c r="K66" s="630"/>
    </row>
    <row r="67" spans="1:21" x14ac:dyDescent="0.25">
      <c r="A67" s="689" t="s">
        <v>66</v>
      </c>
      <c r="B67" s="690"/>
      <c r="C67" s="690"/>
      <c r="D67" s="690"/>
      <c r="E67" s="690"/>
      <c r="F67" s="690"/>
      <c r="G67" s="690"/>
      <c r="H67" s="690"/>
      <c r="I67" s="690"/>
      <c r="J67" s="690"/>
      <c r="K67" s="691"/>
    </row>
    <row r="68" spans="1:21" x14ac:dyDescent="0.25">
      <c r="A68" s="628" t="s">
        <v>67</v>
      </c>
      <c r="B68" s="629"/>
      <c r="C68" s="629"/>
      <c r="D68" s="631"/>
      <c r="E68" s="632" t="s">
        <v>68</v>
      </c>
      <c r="F68" s="629"/>
      <c r="G68" s="629"/>
      <c r="H68" s="631"/>
      <c r="I68" s="632" t="s">
        <v>69</v>
      </c>
      <c r="J68" s="629"/>
      <c r="K68" s="630"/>
    </row>
    <row r="69" spans="1:21" ht="15" customHeight="1" x14ac:dyDescent="0.25">
      <c r="A69" s="689" t="s">
        <v>151</v>
      </c>
      <c r="B69" s="690"/>
      <c r="C69" s="690"/>
      <c r="D69" s="692"/>
      <c r="E69" s="647" t="s">
        <v>71</v>
      </c>
      <c r="F69" s="648"/>
      <c r="G69" s="648"/>
      <c r="H69" s="693"/>
      <c r="I69" s="647" t="s">
        <v>142</v>
      </c>
      <c r="J69" s="648"/>
      <c r="K69" s="649"/>
    </row>
    <row r="70" spans="1:21" x14ac:dyDescent="0.25">
      <c r="A70" s="650" t="s">
        <v>73</v>
      </c>
      <c r="B70" s="651"/>
      <c r="C70" s="651"/>
      <c r="D70" s="652"/>
      <c r="E70" s="632" t="s">
        <v>74</v>
      </c>
      <c r="F70" s="629"/>
      <c r="G70" s="629"/>
      <c r="H70" s="631"/>
      <c r="I70" s="226" t="s">
        <v>75</v>
      </c>
      <c r="J70" s="632" t="s">
        <v>76</v>
      </c>
      <c r="K70" s="630"/>
      <c r="U70" s="223"/>
    </row>
    <row r="71" spans="1:21" ht="25.5" customHeight="1" x14ac:dyDescent="0.25">
      <c r="A71" s="653" t="s">
        <v>141</v>
      </c>
      <c r="B71" s="654"/>
      <c r="C71" s="654"/>
      <c r="D71" s="655"/>
      <c r="E71" s="656" t="s">
        <v>109</v>
      </c>
      <c r="F71" s="657"/>
      <c r="G71" s="657"/>
      <c r="H71" s="658"/>
      <c r="I71" s="227" t="s">
        <v>110</v>
      </c>
      <c r="J71" s="656">
        <v>2010</v>
      </c>
      <c r="K71" s="659"/>
      <c r="U71" s="224"/>
    </row>
    <row r="72" spans="1:21" x14ac:dyDescent="0.25">
      <c r="A72" s="639" t="s">
        <v>80</v>
      </c>
      <c r="B72" s="640"/>
      <c r="C72" s="640"/>
      <c r="D72" s="641"/>
      <c r="E72" s="642" t="s">
        <v>81</v>
      </c>
      <c r="F72" s="640"/>
      <c r="G72" s="640"/>
      <c r="H72" s="641"/>
      <c r="I72" s="633" t="s">
        <v>82</v>
      </c>
      <c r="J72" s="634"/>
      <c r="K72" s="635"/>
      <c r="U72" s="224"/>
    </row>
    <row r="73" spans="1:21" ht="70.5" customHeight="1" x14ac:dyDescent="0.25">
      <c r="A73" s="643" t="s">
        <v>156</v>
      </c>
      <c r="B73" s="644"/>
      <c r="C73" s="644"/>
      <c r="D73" s="645"/>
      <c r="E73" s="646" t="s">
        <v>150</v>
      </c>
      <c r="F73" s="644"/>
      <c r="G73" s="644"/>
      <c r="H73" s="645"/>
      <c r="I73" s="647" t="s">
        <v>147</v>
      </c>
      <c r="J73" s="648"/>
      <c r="K73" s="649"/>
      <c r="U73" s="224"/>
    </row>
    <row r="74" spans="1:21" x14ac:dyDescent="0.25">
      <c r="A74" s="628" t="s">
        <v>84</v>
      </c>
      <c r="B74" s="629"/>
      <c r="C74" s="629"/>
      <c r="D74" s="629"/>
      <c r="E74" s="629"/>
      <c r="F74" s="629"/>
      <c r="G74" s="629"/>
      <c r="H74" s="631"/>
      <c r="I74" s="632" t="s">
        <v>85</v>
      </c>
      <c r="J74" s="629"/>
      <c r="K74" s="630"/>
      <c r="U74" s="224"/>
    </row>
    <row r="75" spans="1:21" ht="66.75" customHeight="1" x14ac:dyDescent="0.25">
      <c r="A75" s="643" t="s">
        <v>153</v>
      </c>
      <c r="B75" s="644"/>
      <c r="C75" s="644"/>
      <c r="D75" s="644"/>
      <c r="E75" s="644"/>
      <c r="F75" s="644"/>
      <c r="G75" s="644"/>
      <c r="H75" s="645"/>
      <c r="I75" s="646" t="s">
        <v>155</v>
      </c>
      <c r="J75" s="644"/>
      <c r="K75" s="678"/>
      <c r="U75" s="224"/>
    </row>
    <row r="76" spans="1:21" x14ac:dyDescent="0.25">
      <c r="A76" s="636" t="s">
        <v>88</v>
      </c>
      <c r="B76" s="637"/>
      <c r="C76" s="637"/>
      <c r="D76" s="637"/>
      <c r="E76" s="637"/>
      <c r="F76" s="637"/>
      <c r="G76" s="637"/>
      <c r="H76" s="637"/>
      <c r="I76" s="637"/>
      <c r="J76" s="637"/>
      <c r="K76" s="638"/>
      <c r="U76" s="224"/>
    </row>
    <row r="77" spans="1:21" x14ac:dyDescent="0.25">
      <c r="A77" s="689" t="s">
        <v>152</v>
      </c>
      <c r="B77" s="690"/>
      <c r="C77" s="690"/>
      <c r="D77" s="690"/>
      <c r="E77" s="690"/>
      <c r="F77" s="690"/>
      <c r="G77" s="690"/>
      <c r="H77" s="690"/>
      <c r="I77" s="690"/>
      <c r="J77" s="690"/>
      <c r="K77" s="691"/>
      <c r="U77" s="224"/>
    </row>
    <row r="78" spans="1:21" x14ac:dyDescent="0.25">
      <c r="A78" s="636" t="s">
        <v>90</v>
      </c>
      <c r="B78" s="637"/>
      <c r="C78" s="637"/>
      <c r="D78" s="637"/>
      <c r="E78" s="637"/>
      <c r="F78" s="637"/>
      <c r="G78" s="637"/>
      <c r="H78" s="637"/>
      <c r="I78" s="637"/>
      <c r="J78" s="637"/>
      <c r="K78" s="638"/>
      <c r="U78" s="224"/>
    </row>
    <row r="79" spans="1:21" x14ac:dyDescent="0.25">
      <c r="A79" s="694" t="s">
        <v>154</v>
      </c>
      <c r="B79" s="690"/>
      <c r="C79" s="690"/>
      <c r="D79" s="690"/>
      <c r="E79" s="690"/>
      <c r="F79" s="690"/>
      <c r="G79" s="690"/>
      <c r="H79" s="690"/>
      <c r="I79" s="690"/>
      <c r="J79" s="690"/>
      <c r="K79" s="691"/>
      <c r="U79" s="224"/>
    </row>
    <row r="80" spans="1:21" x14ac:dyDescent="0.25">
      <c r="A80" s="628" t="s">
        <v>92</v>
      </c>
      <c r="B80" s="629"/>
      <c r="C80" s="629"/>
      <c r="D80" s="629"/>
      <c r="E80" s="631"/>
      <c r="F80" s="632" t="s">
        <v>93</v>
      </c>
      <c r="G80" s="629"/>
      <c r="H80" s="629"/>
      <c r="I80" s="629"/>
      <c r="J80" s="629"/>
      <c r="K80" s="630"/>
      <c r="U80" s="224"/>
    </row>
    <row r="81" spans="1:23" ht="15.75" thickBot="1" x14ac:dyDescent="0.3">
      <c r="A81" s="680" t="s">
        <v>94</v>
      </c>
      <c r="B81" s="681"/>
      <c r="C81" s="681"/>
      <c r="D81" s="681"/>
      <c r="E81" s="682"/>
      <c r="F81" s="683" t="s">
        <v>139</v>
      </c>
      <c r="G81" s="681"/>
      <c r="H81" s="681"/>
      <c r="I81" s="681"/>
      <c r="J81" s="681"/>
      <c r="K81" s="684"/>
      <c r="U81" s="224"/>
    </row>
    <row r="82" spans="1:23" x14ac:dyDescent="0.25">
      <c r="M82" s="225"/>
      <c r="N82" s="225"/>
      <c r="O82" s="225"/>
      <c r="P82" s="225"/>
      <c r="Q82" s="225"/>
      <c r="R82" s="225"/>
      <c r="S82" s="225"/>
      <c r="T82" s="225"/>
      <c r="U82" s="225"/>
      <c r="V82" s="225"/>
      <c r="W82" s="225"/>
    </row>
    <row r="83" spans="1:23" hidden="1" x14ac:dyDescent="0.25"/>
    <row r="84" spans="1:23" hidden="1" x14ac:dyDescent="0.25"/>
    <row r="85" spans="1:23" hidden="1" x14ac:dyDescent="0.25"/>
    <row r="86" spans="1:23" hidden="1" x14ac:dyDescent="0.25"/>
    <row r="87" spans="1:23" hidden="1" x14ac:dyDescent="0.25"/>
    <row r="88" spans="1:23" hidden="1" x14ac:dyDescent="0.25"/>
    <row r="89" spans="1:23" hidden="1" x14ac:dyDescent="0.25"/>
  </sheetData>
  <sheetProtection sheet="1" objects="1" scenarios="1"/>
  <mergeCells count="260">
    <mergeCell ref="A3:A5"/>
    <mergeCell ref="B3:H3"/>
    <mergeCell ref="I3:K5"/>
    <mergeCell ref="B4:H4"/>
    <mergeCell ref="B5:H5"/>
    <mergeCell ref="A6:K6"/>
    <mergeCell ref="J10:K10"/>
    <mergeCell ref="A11:D11"/>
    <mergeCell ref="E11:H11"/>
    <mergeCell ref="J11:K11"/>
    <mergeCell ref="A7:K7"/>
    <mergeCell ref="A8:D8"/>
    <mergeCell ref="E8:H8"/>
    <mergeCell ref="I8:K8"/>
    <mergeCell ref="A9:D9"/>
    <mergeCell ref="E9:H9"/>
    <mergeCell ref="I9:K9"/>
    <mergeCell ref="M3:M5"/>
    <mergeCell ref="N3:T3"/>
    <mergeCell ref="U3:W5"/>
    <mergeCell ref="N4:T4"/>
    <mergeCell ref="N5:T5"/>
    <mergeCell ref="M6:W6"/>
    <mergeCell ref="A18:K18"/>
    <mergeCell ref="A19:K19"/>
    <mergeCell ref="A20:E20"/>
    <mergeCell ref="F20:K20"/>
    <mergeCell ref="A14:H14"/>
    <mergeCell ref="I14:K14"/>
    <mergeCell ref="A15:H15"/>
    <mergeCell ref="I15:K15"/>
    <mergeCell ref="A16:K16"/>
    <mergeCell ref="A17:K17"/>
    <mergeCell ref="A12:D12"/>
    <mergeCell ref="E12:H12"/>
    <mergeCell ref="I12:K12"/>
    <mergeCell ref="A13:D13"/>
    <mergeCell ref="E13:H13"/>
    <mergeCell ref="I13:K13"/>
    <mergeCell ref="A10:D10"/>
    <mergeCell ref="E10:H10"/>
    <mergeCell ref="M10:P10"/>
    <mergeCell ref="Q10:T10"/>
    <mergeCell ref="V10:W10"/>
    <mergeCell ref="M11:P11"/>
    <mergeCell ref="Q11:T11"/>
    <mergeCell ref="V11:W11"/>
    <mergeCell ref="M7:W7"/>
    <mergeCell ref="M8:P8"/>
    <mergeCell ref="Q8:T8"/>
    <mergeCell ref="U8:W8"/>
    <mergeCell ref="M9:P9"/>
    <mergeCell ref="Q9:T9"/>
    <mergeCell ref="U9:W9"/>
    <mergeCell ref="M14:T14"/>
    <mergeCell ref="U14:W14"/>
    <mergeCell ref="M15:T15"/>
    <mergeCell ref="U15:W15"/>
    <mergeCell ref="M16:W16"/>
    <mergeCell ref="M17:W17"/>
    <mergeCell ref="M12:P12"/>
    <mergeCell ref="Q12:T12"/>
    <mergeCell ref="U12:W12"/>
    <mergeCell ref="M13:P13"/>
    <mergeCell ref="Q13:T13"/>
    <mergeCell ref="U13:W13"/>
    <mergeCell ref="B23:H23"/>
    <mergeCell ref="I23:K25"/>
    <mergeCell ref="B24:H24"/>
    <mergeCell ref="B25:H25"/>
    <mergeCell ref="A26:K26"/>
    <mergeCell ref="M18:W18"/>
    <mergeCell ref="M19:W19"/>
    <mergeCell ref="M20:Q20"/>
    <mergeCell ref="R20:W20"/>
    <mergeCell ref="M21:Q21"/>
    <mergeCell ref="R21:W21"/>
    <mergeCell ref="A21:E21"/>
    <mergeCell ref="F21:K21"/>
    <mergeCell ref="M23:M25"/>
    <mergeCell ref="N23:T23"/>
    <mergeCell ref="U23:W25"/>
    <mergeCell ref="N24:T24"/>
    <mergeCell ref="N25:T25"/>
    <mergeCell ref="M26:W26"/>
    <mergeCell ref="A23:A25"/>
    <mergeCell ref="A41:E41"/>
    <mergeCell ref="F41:K41"/>
    <mergeCell ref="A34:H34"/>
    <mergeCell ref="I34:K34"/>
    <mergeCell ref="A35:H35"/>
    <mergeCell ref="I35:K35"/>
    <mergeCell ref="A36:K36"/>
    <mergeCell ref="A37:K37"/>
    <mergeCell ref="A32:D32"/>
    <mergeCell ref="E32:H32"/>
    <mergeCell ref="I32:K32"/>
    <mergeCell ref="A33:D33"/>
    <mergeCell ref="E33:H33"/>
    <mergeCell ref="I33:K33"/>
    <mergeCell ref="A38:K38"/>
    <mergeCell ref="A39:K39"/>
    <mergeCell ref="A40:E40"/>
    <mergeCell ref="F40:K40"/>
    <mergeCell ref="A30:D30"/>
    <mergeCell ref="E30:H30"/>
    <mergeCell ref="J30:K30"/>
    <mergeCell ref="A31:D31"/>
    <mergeCell ref="E31:H31"/>
    <mergeCell ref="J31:K31"/>
    <mergeCell ref="A27:K27"/>
    <mergeCell ref="A28:D28"/>
    <mergeCell ref="E28:H28"/>
    <mergeCell ref="I28:K28"/>
    <mergeCell ref="A29:D29"/>
    <mergeCell ref="E29:H29"/>
    <mergeCell ref="I29:K29"/>
    <mergeCell ref="M30:P30"/>
    <mergeCell ref="Q30:T30"/>
    <mergeCell ref="V30:W30"/>
    <mergeCell ref="M31:P31"/>
    <mergeCell ref="Q31:T31"/>
    <mergeCell ref="V31:W31"/>
    <mergeCell ref="M27:W27"/>
    <mergeCell ref="M28:P28"/>
    <mergeCell ref="Q28:T28"/>
    <mergeCell ref="U28:W28"/>
    <mergeCell ref="M29:P29"/>
    <mergeCell ref="Q29:T29"/>
    <mergeCell ref="U29:W29"/>
    <mergeCell ref="M34:T34"/>
    <mergeCell ref="U34:W34"/>
    <mergeCell ref="M35:T35"/>
    <mergeCell ref="U35:W35"/>
    <mergeCell ref="M36:W36"/>
    <mergeCell ref="M37:W37"/>
    <mergeCell ref="M32:P32"/>
    <mergeCell ref="Q32:T32"/>
    <mergeCell ref="U32:W32"/>
    <mergeCell ref="M33:P33"/>
    <mergeCell ref="Q33:T33"/>
    <mergeCell ref="U33:W33"/>
    <mergeCell ref="M43:M45"/>
    <mergeCell ref="N43:T43"/>
    <mergeCell ref="U43:W45"/>
    <mergeCell ref="N44:T44"/>
    <mergeCell ref="N45:T45"/>
    <mergeCell ref="M46:W46"/>
    <mergeCell ref="M38:W38"/>
    <mergeCell ref="M39:W39"/>
    <mergeCell ref="M40:Q40"/>
    <mergeCell ref="R40:W40"/>
    <mergeCell ref="M41:Q41"/>
    <mergeCell ref="R41:W41"/>
    <mergeCell ref="M50:P50"/>
    <mergeCell ref="Q50:T50"/>
    <mergeCell ref="V50:W50"/>
    <mergeCell ref="M51:P51"/>
    <mergeCell ref="Q51:T51"/>
    <mergeCell ref="V51:W51"/>
    <mergeCell ref="M47:W47"/>
    <mergeCell ref="M48:P48"/>
    <mergeCell ref="Q48:T48"/>
    <mergeCell ref="U48:W48"/>
    <mergeCell ref="M49:P49"/>
    <mergeCell ref="Q49:T49"/>
    <mergeCell ref="U49:W49"/>
    <mergeCell ref="M54:T54"/>
    <mergeCell ref="U54:W54"/>
    <mergeCell ref="M55:T55"/>
    <mergeCell ref="U55:W55"/>
    <mergeCell ref="M56:W56"/>
    <mergeCell ref="M57:W57"/>
    <mergeCell ref="M52:P52"/>
    <mergeCell ref="Q52:T52"/>
    <mergeCell ref="U52:W52"/>
    <mergeCell ref="M53:P53"/>
    <mergeCell ref="Q53:T53"/>
    <mergeCell ref="U53:W53"/>
    <mergeCell ref="A63:A65"/>
    <mergeCell ref="B63:H63"/>
    <mergeCell ref="I63:K65"/>
    <mergeCell ref="B64:H64"/>
    <mergeCell ref="B65:H65"/>
    <mergeCell ref="A66:K66"/>
    <mergeCell ref="M58:W58"/>
    <mergeCell ref="M59:W59"/>
    <mergeCell ref="M60:Q60"/>
    <mergeCell ref="R60:W60"/>
    <mergeCell ref="M61:Q61"/>
    <mergeCell ref="R61:W61"/>
    <mergeCell ref="J70:K70"/>
    <mergeCell ref="A71:D71"/>
    <mergeCell ref="E71:H71"/>
    <mergeCell ref="J71:K71"/>
    <mergeCell ref="A67:K67"/>
    <mergeCell ref="A68:D68"/>
    <mergeCell ref="E68:H68"/>
    <mergeCell ref="I68:K68"/>
    <mergeCell ref="A69:D69"/>
    <mergeCell ref="E69:H69"/>
    <mergeCell ref="I69:K69"/>
    <mergeCell ref="B45:H45"/>
    <mergeCell ref="A47:K47"/>
    <mergeCell ref="A49:D49"/>
    <mergeCell ref="E49:H49"/>
    <mergeCell ref="A78:K78"/>
    <mergeCell ref="A79:K79"/>
    <mergeCell ref="A80:E80"/>
    <mergeCell ref="F80:K80"/>
    <mergeCell ref="A81:E81"/>
    <mergeCell ref="F81:K81"/>
    <mergeCell ref="A74:H74"/>
    <mergeCell ref="I74:K74"/>
    <mergeCell ref="A75:H75"/>
    <mergeCell ref="I75:K75"/>
    <mergeCell ref="A76:K76"/>
    <mergeCell ref="A77:K77"/>
    <mergeCell ref="A72:D72"/>
    <mergeCell ref="E72:H72"/>
    <mergeCell ref="I72:K72"/>
    <mergeCell ref="A73:D73"/>
    <mergeCell ref="E73:H73"/>
    <mergeCell ref="I73:K73"/>
    <mergeCell ref="A70:D70"/>
    <mergeCell ref="E70:H70"/>
    <mergeCell ref="A57:K57"/>
    <mergeCell ref="A58:K58"/>
    <mergeCell ref="A59:K59"/>
    <mergeCell ref="A61:E61"/>
    <mergeCell ref="F61:K61"/>
    <mergeCell ref="A60:E60"/>
    <mergeCell ref="F60:K60"/>
    <mergeCell ref="I54:K54"/>
    <mergeCell ref="A55:H55"/>
    <mergeCell ref="I55:K55"/>
    <mergeCell ref="A1:W1"/>
    <mergeCell ref="A46:K46"/>
    <mergeCell ref="A48:D48"/>
    <mergeCell ref="E48:H48"/>
    <mergeCell ref="I48:K48"/>
    <mergeCell ref="J50:K50"/>
    <mergeCell ref="I52:K52"/>
    <mergeCell ref="A54:H54"/>
    <mergeCell ref="A56:K56"/>
    <mergeCell ref="A52:D52"/>
    <mergeCell ref="E52:H52"/>
    <mergeCell ref="A53:D53"/>
    <mergeCell ref="E53:H53"/>
    <mergeCell ref="I53:K53"/>
    <mergeCell ref="I49:K49"/>
    <mergeCell ref="A50:D50"/>
    <mergeCell ref="E50:H50"/>
    <mergeCell ref="A51:D51"/>
    <mergeCell ref="E51:H51"/>
    <mergeCell ref="J51:K51"/>
    <mergeCell ref="A43:A45"/>
    <mergeCell ref="B43:H43"/>
    <mergeCell ref="I43:K45"/>
    <mergeCell ref="B44:H44"/>
  </mergeCells>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AC48"/>
  <sheetViews>
    <sheetView showGridLines="0" showRowColHeaders="0" zoomScale="130" zoomScaleNormal="130" workbookViewId="0"/>
  </sheetViews>
  <sheetFormatPr defaultColWidth="0" defaultRowHeight="15" customHeight="1" zeroHeight="1" x14ac:dyDescent="0.25"/>
  <cols>
    <col min="1" max="23" width="9.140625" customWidth="1"/>
    <col min="24" max="25" width="9.140625" hidden="1" customWidth="1"/>
    <col min="26" max="29" width="0" hidden="1" customWidth="1"/>
    <col min="30" max="16384" width="9.140625" hidden="1"/>
  </cols>
  <sheetData>
    <row r="1" spans="9:13" s="1" customFormat="1" x14ac:dyDescent="0.25"/>
    <row r="2" spans="9:13" s="1" customFormat="1" x14ac:dyDescent="0.25"/>
    <row r="3" spans="9:13" s="1" customFormat="1" x14ac:dyDescent="0.25"/>
    <row r="4" spans="9:13" s="1" customFormat="1" x14ac:dyDescent="0.25"/>
    <row r="5" spans="9:13" s="1" customFormat="1" x14ac:dyDescent="0.25"/>
    <row r="6" spans="9:13" s="1" customFormat="1" x14ac:dyDescent="0.25"/>
    <row r="7" spans="9:13" s="1" customFormat="1" x14ac:dyDescent="0.25"/>
    <row r="8" spans="9:13" s="1" customFormat="1" x14ac:dyDescent="0.25"/>
    <row r="9" spans="9:13" s="1" customFormat="1" x14ac:dyDescent="0.25"/>
    <row r="10" spans="9:13" s="1" customFormat="1" x14ac:dyDescent="0.25"/>
    <row r="11" spans="9:13" s="1" customFormat="1" x14ac:dyDescent="0.25"/>
    <row r="12" spans="9:13" s="1" customFormat="1" x14ac:dyDescent="0.25">
      <c r="I12" s="455"/>
      <c r="J12" s="455"/>
    </row>
    <row r="13" spans="9:13" s="1" customFormat="1" x14ac:dyDescent="0.25">
      <c r="I13" s="455"/>
      <c r="J13" s="455"/>
    </row>
    <row r="14" spans="9:13" s="1" customFormat="1" x14ac:dyDescent="0.25">
      <c r="I14" s="455"/>
      <c r="J14" s="455"/>
      <c r="K14" s="457"/>
      <c r="L14" s="457"/>
      <c r="M14" s="457"/>
    </row>
    <row r="15" spans="9:13" s="1" customFormat="1" x14ac:dyDescent="0.25">
      <c r="I15" s="455"/>
      <c r="J15" s="455"/>
      <c r="K15" s="457"/>
      <c r="L15" s="457"/>
      <c r="M15" s="457"/>
    </row>
    <row r="16" spans="9:13" s="1" customFormat="1" x14ac:dyDescent="0.25">
      <c r="I16" s="455"/>
      <c r="J16" s="455"/>
      <c r="K16" s="457"/>
      <c r="L16" s="457"/>
      <c r="M16" s="457"/>
    </row>
    <row r="17" spans="6:14" s="1" customFormat="1" x14ac:dyDescent="0.25"/>
    <row r="18" spans="6:14" s="1" customFormat="1" x14ac:dyDescent="0.25"/>
    <row r="19" spans="6:14" s="1" customFormat="1" x14ac:dyDescent="0.25"/>
    <row r="20" spans="6:14" s="1" customFormat="1" x14ac:dyDescent="0.25"/>
    <row r="21" spans="6:14" s="1" customFormat="1" x14ac:dyDescent="0.25">
      <c r="J21" s="263" t="s">
        <v>165</v>
      </c>
    </row>
    <row r="22" spans="6:14" s="1" customFormat="1" x14ac:dyDescent="0.25"/>
    <row r="23" spans="6:14" s="1" customFormat="1" x14ac:dyDescent="0.25"/>
    <row r="24" spans="6:14" s="1" customFormat="1" x14ac:dyDescent="0.25"/>
    <row r="25" spans="6:14" s="1" customFormat="1" x14ac:dyDescent="0.25"/>
    <row r="26" spans="6:14" s="1" customFormat="1" x14ac:dyDescent="0.25"/>
    <row r="27" spans="6:14" s="1" customFormat="1" x14ac:dyDescent="0.25"/>
    <row r="28" spans="6:14" s="1" customFormat="1" x14ac:dyDescent="0.25"/>
    <row r="29" spans="6:14" s="1" customFormat="1" ht="3" customHeight="1" x14ac:dyDescent="0.25"/>
    <row r="30" spans="6:14" s="1" customFormat="1" ht="18" customHeight="1" x14ac:dyDescent="0.25">
      <c r="F30" s="453"/>
      <c r="G30" s="453"/>
      <c r="H30" s="453"/>
      <c r="I30" s="453"/>
      <c r="J30" s="453"/>
      <c r="K30" s="454"/>
      <c r="L30" s="454"/>
      <c r="M30" s="454"/>
      <c r="N30" s="3"/>
    </row>
    <row r="31" spans="6:14" s="1" customFormat="1" ht="15" hidden="1" customHeight="1" x14ac:dyDescent="0.25">
      <c r="F31" s="453"/>
      <c r="G31" s="453"/>
      <c r="H31" s="453"/>
      <c r="I31" s="453"/>
      <c r="J31" s="453"/>
      <c r="K31" s="454"/>
      <c r="L31" s="454"/>
      <c r="M31" s="454"/>
      <c r="N31" s="3"/>
    </row>
    <row r="32" spans="6:14" s="1" customFormat="1" ht="4.5" hidden="1" customHeight="1" x14ac:dyDescent="0.25">
      <c r="F32" s="3"/>
      <c r="G32" s="3"/>
      <c r="H32" s="3"/>
      <c r="I32" s="3"/>
      <c r="J32" s="3"/>
      <c r="K32" s="3"/>
      <c r="L32" s="3"/>
      <c r="M32" s="3"/>
      <c r="N32" s="3"/>
    </row>
    <row r="33" spans="6:14" s="1" customFormat="1" ht="15" hidden="1" customHeight="1" x14ac:dyDescent="0.25">
      <c r="F33" s="3"/>
      <c r="G33" s="3"/>
      <c r="H33" s="4"/>
      <c r="I33" s="3"/>
      <c r="J33" s="3"/>
      <c r="K33" s="3"/>
      <c r="L33" s="3"/>
      <c r="M33" s="3"/>
      <c r="N33" s="3"/>
    </row>
    <row r="34" spans="6:14" s="1" customFormat="1" ht="5.25" hidden="1" customHeight="1" x14ac:dyDescent="0.25">
      <c r="F34" s="3"/>
      <c r="G34" s="3"/>
      <c r="H34" s="3"/>
      <c r="I34" s="3"/>
      <c r="J34" s="3"/>
      <c r="K34" s="3"/>
      <c r="L34" s="3"/>
      <c r="M34" s="3"/>
      <c r="N34" s="3"/>
    </row>
    <row r="35" spans="6:14" s="1" customFormat="1" ht="15" hidden="1" customHeight="1" x14ac:dyDescent="0.25">
      <c r="F35" s="453"/>
      <c r="G35" s="453"/>
      <c r="H35" s="453"/>
      <c r="I35" s="453"/>
      <c r="J35" s="453"/>
      <c r="K35" s="454"/>
      <c r="L35" s="454"/>
      <c r="M35" s="454"/>
      <c r="N35" s="3"/>
    </row>
    <row r="36" spans="6:14" s="1" customFormat="1" ht="15" hidden="1" customHeight="1" x14ac:dyDescent="0.25">
      <c r="F36" s="453"/>
      <c r="G36" s="453"/>
      <c r="H36" s="453"/>
      <c r="I36" s="453"/>
      <c r="J36" s="453"/>
      <c r="K36" s="454"/>
      <c r="L36" s="454"/>
      <c r="M36" s="454"/>
      <c r="N36" s="3"/>
    </row>
    <row r="37" spans="6:14" s="1" customFormat="1" ht="5.25" hidden="1" customHeight="1" x14ac:dyDescent="0.25">
      <c r="F37" s="3"/>
      <c r="G37" s="3"/>
      <c r="H37" s="3"/>
      <c r="I37" s="3"/>
      <c r="J37" s="3"/>
      <c r="K37" s="3"/>
      <c r="L37" s="3"/>
      <c r="M37" s="3"/>
      <c r="N37" s="3"/>
    </row>
    <row r="38" spans="6:14" s="1" customFormat="1" ht="15.75" hidden="1" customHeight="1" x14ac:dyDescent="0.25">
      <c r="F38" s="3"/>
      <c r="G38" s="3"/>
      <c r="H38" s="4"/>
      <c r="I38" s="3"/>
      <c r="J38" s="3"/>
      <c r="K38" s="3"/>
      <c r="L38" s="3"/>
      <c r="M38" s="3"/>
      <c r="N38" s="3"/>
    </row>
    <row r="39" spans="6:14" s="1" customFormat="1" ht="5.25" hidden="1" customHeight="1" x14ac:dyDescent="0.25">
      <c r="F39" s="3"/>
      <c r="G39" s="3"/>
      <c r="H39" s="3"/>
      <c r="I39" s="3"/>
      <c r="J39" s="3"/>
      <c r="K39" s="3"/>
      <c r="L39" s="3"/>
      <c r="M39" s="3"/>
      <c r="N39" s="3"/>
    </row>
    <row r="40" spans="6:14" s="1" customFormat="1" ht="15" hidden="1" customHeight="1" x14ac:dyDescent="0.25">
      <c r="F40" s="456"/>
      <c r="G40" s="456"/>
      <c r="H40" s="456"/>
      <c r="I40" s="456"/>
      <c r="J40" s="456"/>
      <c r="K40" s="456"/>
      <c r="L40" s="456"/>
      <c r="M40" s="456"/>
      <c r="N40" s="3"/>
    </row>
    <row r="41" spans="6:14" s="1" customFormat="1" ht="15" hidden="1" customHeight="1" x14ac:dyDescent="0.25">
      <c r="F41" s="456"/>
      <c r="G41" s="456"/>
      <c r="H41" s="456"/>
      <c r="I41" s="456"/>
      <c r="J41" s="456"/>
      <c r="K41" s="456"/>
      <c r="L41" s="456"/>
      <c r="M41" s="456"/>
      <c r="N41" s="3"/>
    </row>
    <row r="42" spans="6:14" s="1" customFormat="1" ht="15" hidden="1" customHeight="1" x14ac:dyDescent="0.25">
      <c r="F42" s="3"/>
      <c r="G42" s="3"/>
      <c r="H42" s="3"/>
      <c r="I42" s="3"/>
      <c r="J42" s="3"/>
      <c r="K42" s="3"/>
      <c r="L42" s="3"/>
      <c r="M42" s="3"/>
      <c r="N42" s="3"/>
    </row>
    <row r="43" spans="6:14" s="1" customFormat="1" ht="15" hidden="1" customHeight="1" x14ac:dyDescent="0.25">
      <c r="F43" s="3"/>
      <c r="G43" s="3"/>
      <c r="H43" s="3"/>
      <c r="I43" s="3"/>
      <c r="J43" s="3"/>
      <c r="K43" s="3"/>
      <c r="L43" s="3"/>
      <c r="M43" s="3"/>
      <c r="N43" s="3"/>
    </row>
    <row r="44" spans="6:14" s="1" customFormat="1" ht="15" hidden="1" customHeight="1" x14ac:dyDescent="0.25">
      <c r="F44" s="453"/>
      <c r="G44" s="453"/>
      <c r="H44" s="453"/>
      <c r="I44" s="453"/>
      <c r="J44" s="453"/>
      <c r="K44" s="454"/>
      <c r="L44" s="454"/>
      <c r="M44" s="454"/>
      <c r="N44" s="3"/>
    </row>
    <row r="45" spans="6:14" s="1" customFormat="1" ht="15" hidden="1" customHeight="1" x14ac:dyDescent="0.25">
      <c r="F45" s="453"/>
      <c r="G45" s="453"/>
      <c r="H45" s="453"/>
      <c r="I45" s="453"/>
      <c r="J45" s="453"/>
      <c r="K45" s="454"/>
      <c r="L45" s="454"/>
      <c r="M45" s="454"/>
      <c r="N45" s="3"/>
    </row>
    <row r="46" spans="6:14" s="1" customFormat="1" ht="15" hidden="1" customHeight="1" x14ac:dyDescent="0.25"/>
    <row r="47" spans="6:14" s="1" customFormat="1" ht="15" hidden="1" customHeight="1" x14ac:dyDescent="0.25"/>
    <row r="48" spans="6:14" s="1" customFormat="1" ht="15" hidden="1" customHeight="1" x14ac:dyDescent="0.25"/>
  </sheetData>
  <mergeCells count="9">
    <mergeCell ref="F40:M41"/>
    <mergeCell ref="F44:J45"/>
    <mergeCell ref="K44:M45"/>
    <mergeCell ref="I12:J16"/>
    <mergeCell ref="K14:M16"/>
    <mergeCell ref="F30:J31"/>
    <mergeCell ref="K30:M31"/>
    <mergeCell ref="F35:J36"/>
    <mergeCell ref="K35:M36"/>
  </mergeCells>
  <pageMargins left="0.511811024" right="0.511811024" top="0.78740157499999996" bottom="0.78740157499999996" header="0.31496062000000002" footer="0.31496062000000002"/>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0"/>
  <dimension ref="A1:AS308"/>
  <sheetViews>
    <sheetView workbookViewId="0"/>
  </sheetViews>
  <sheetFormatPr defaultColWidth="0" defaultRowHeight="15" x14ac:dyDescent="0.25"/>
  <cols>
    <col min="1" max="29" width="9.140625" customWidth="1"/>
    <col min="30" max="45" width="0" hidden="1" customWidth="1"/>
    <col min="46" max="16384" width="9.140625" hidden="1"/>
  </cols>
  <sheetData>
    <row r="1" spans="1:45"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row>
    <row r="2" spans="1:45"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row>
    <row r="3" spans="1:45"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row>
    <row r="4" spans="1:45"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row>
    <row r="5" spans="1:45"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row>
    <row r="6" spans="1:45"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row>
    <row r="7" spans="1:45"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row>
    <row r="8" spans="1:45" x14ac:dyDescent="0.2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row>
    <row r="9" spans="1:45" x14ac:dyDescent="0.2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row>
    <row r="10" spans="1:4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row>
    <row r="11" spans="1:45" s="425" customFormat="1"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row>
    <row r="12" spans="1:45" s="425" customFormat="1"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row>
    <row r="13" spans="1:45" s="425" customFormat="1" x14ac:dyDescent="0.2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row>
    <row r="14" spans="1:45" s="425" customFormat="1"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row>
    <row r="15" spans="1:45" s="425" customFormat="1"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row>
    <row r="16" spans="1:45" s="425" customFormat="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row>
    <row r="17" spans="1:45" s="425" customFormat="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row>
    <row r="18" spans="1:45" s="425" customFormat="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row>
    <row r="19" spans="1:45" s="425" customForma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row>
    <row r="20" spans="1:45" s="425" customForma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row>
    <row r="21" spans="1:45" s="425" customForma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row>
    <row r="22" spans="1:45" s="425" customForma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row>
    <row r="23" spans="1:45" s="425" customForma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row>
    <row r="24" spans="1:45" s="425" customForma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row>
    <row r="25" spans="1:45" s="425" customForma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row>
    <row r="26" spans="1:45" s="425" customForma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row>
    <row r="27" spans="1:45" s="425" customForma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row>
    <row r="28" spans="1:45" s="425" customForma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row>
    <row r="29" spans="1:45" s="425" customForma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row>
    <row r="30" spans="1:4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row>
    <row r="31" spans="1:4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row>
    <row r="32" spans="1:4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row>
    <row r="33" spans="1:4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row>
    <row r="34" spans="1:4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row>
    <row r="35" spans="1:4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row>
    <row r="36" spans="1:4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row>
    <row r="37" spans="1:4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row>
    <row r="38" spans="1:4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row>
    <row r="39" spans="1:4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row>
    <row r="40" spans="1:4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row>
    <row r="41" spans="1:4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row>
    <row r="42" spans="1:4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row>
    <row r="43" spans="1:4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row>
    <row r="44" spans="1:4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row>
    <row r="45" spans="1:4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row>
    <row r="46" spans="1:4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row>
    <row r="47" spans="1:4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row>
    <row r="48" spans="1:4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row>
    <row r="49" spans="1:4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row>
    <row r="50" spans="1:4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row>
    <row r="51" spans="1:4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row>
    <row r="52" spans="1:4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row>
    <row r="53" spans="1:4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row>
    <row r="54" spans="1:4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row>
    <row r="55" spans="1:4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row>
    <row r="56" spans="1:4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row>
    <row r="57" spans="1:4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row>
    <row r="58" spans="1:4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row>
    <row r="59" spans="1:4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row>
    <row r="60" spans="1:4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row>
    <row r="61" spans="1:4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row>
    <row r="62" spans="1:4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row>
    <row r="63" spans="1:4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row>
    <row r="64" spans="1:4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row>
    <row r="65" spans="1:4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row>
    <row r="66" spans="1:4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row>
    <row r="67" spans="1:4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row>
    <row r="68" spans="1:4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row>
    <row r="69" spans="1:4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row>
    <row r="70" spans="1:4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row>
    <row r="71" spans="1:4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row>
    <row r="72" spans="1:4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row>
    <row r="73" spans="1:4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row>
    <row r="74" spans="1:4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row>
    <row r="75" spans="1:4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row>
    <row r="76" spans="1:4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row>
    <row r="77" spans="1:4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row>
    <row r="78" spans="1:4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row>
    <row r="79" spans="1:4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row>
    <row r="80" spans="1:4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row>
    <row r="81" spans="1:4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row>
    <row r="82" spans="1:4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row>
    <row r="83" spans="1:4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row>
    <row r="84" spans="1:4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row>
    <row r="85" spans="1:4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row>
    <row r="86" spans="1:4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row>
    <row r="87" spans="1:4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row>
    <row r="88" spans="1:4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row>
    <row r="89" spans="1:4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row>
    <row r="90" spans="1:4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row>
    <row r="91" spans="1:4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row>
    <row r="92" spans="1:4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row>
    <row r="93" spans="1:4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row>
    <row r="94" spans="1:4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row>
    <row r="95" spans="1:4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row>
    <row r="96" spans="1:4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row>
    <row r="97" spans="1:4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row>
    <row r="98" spans="1:4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row>
    <row r="99" spans="1:4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row>
    <row r="100" spans="1:4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row>
    <row r="101" spans="1:4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row>
    <row r="102" spans="1:4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row>
    <row r="103" spans="1:4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row>
    <row r="104" spans="1:4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row>
    <row r="105" spans="1:4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row>
    <row r="106" spans="1:4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row>
    <row r="107" spans="1:4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row>
    <row r="108" spans="1:4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row>
    <row r="109" spans="1:4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row>
    <row r="110" spans="1:4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row>
    <row r="111" spans="1:4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row>
    <row r="112" spans="1:4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row>
    <row r="113" spans="1:4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row>
    <row r="114" spans="1:4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row>
    <row r="115" spans="1:4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row>
    <row r="116" spans="1:4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row>
    <row r="117" spans="1:4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row>
    <row r="118" spans="1:4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row>
    <row r="119" spans="1:4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row>
    <row r="120" spans="1:4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row>
    <row r="121" spans="1:4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row>
    <row r="122" spans="1:4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row>
    <row r="123" spans="1:4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row>
    <row r="124" spans="1:4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row>
    <row r="125" spans="1:4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row>
    <row r="126" spans="1:4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row>
    <row r="127" spans="1:4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row>
    <row r="128" spans="1:4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row>
    <row r="129" spans="1:4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row>
    <row r="130" spans="1:4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row>
    <row r="131" spans="1:4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row>
    <row r="132" spans="1:4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row>
    <row r="133" spans="1:4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row>
    <row r="134" spans="1:4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row>
    <row r="135" spans="1:4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row>
    <row r="136" spans="1:4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row>
    <row r="137" spans="1:4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row>
    <row r="138" spans="1:4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row>
    <row r="139" spans="1:4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row>
    <row r="140" spans="1:4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row>
    <row r="141" spans="1:4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row>
    <row r="142" spans="1:4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row>
    <row r="143" spans="1:4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row>
    <row r="144" spans="1:4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row>
    <row r="145" spans="1:4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row>
    <row r="146" spans="1:4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row>
    <row r="147" spans="1:4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row>
    <row r="148" spans="1:4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row>
    <row r="149" spans="1:4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row>
    <row r="150" spans="1:4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row>
    <row r="151" spans="1:4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row>
    <row r="152" spans="1:4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row>
    <row r="153" spans="1:4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row>
    <row r="154" spans="1:4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row>
    <row r="155" spans="1:4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row>
    <row r="156" spans="1:4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row>
    <row r="157" spans="1:4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row>
    <row r="158" spans="1:4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row>
    <row r="159" spans="1:4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row>
    <row r="160" spans="1:4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row>
    <row r="161" spans="1:4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row>
    <row r="162" spans="1:4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row>
    <row r="163" spans="1:4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row>
    <row r="164" spans="1:4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row>
    <row r="165" spans="1:4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row>
    <row r="166" spans="1:4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row>
    <row r="167" spans="1:4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row>
    <row r="168" spans="1:4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row>
    <row r="169" spans="1:4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row>
    <row r="170" spans="1:4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row>
    <row r="171" spans="1:4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row>
    <row r="172" spans="1:4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row>
    <row r="173" spans="1:4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row>
    <row r="174" spans="1:4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row>
    <row r="175" spans="1:4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row>
    <row r="176" spans="1:4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row>
    <row r="177" spans="1:4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row>
    <row r="178" spans="1:4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row>
    <row r="179" spans="1:4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row>
    <row r="180" spans="1:4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row>
    <row r="181" spans="1:4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row>
    <row r="182" spans="1:4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row>
    <row r="183" spans="1:4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row>
    <row r="184" spans="1:4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row>
    <row r="185" spans="1:4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row>
    <row r="186" spans="1:4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row>
    <row r="187" spans="1:4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row>
    <row r="188" spans="1:4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row>
    <row r="189" spans="1:4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row>
    <row r="190" spans="1:4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row>
    <row r="191" spans="1:4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row>
    <row r="192" spans="1:4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row>
    <row r="193" spans="1:4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row>
    <row r="194" spans="1:4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row>
    <row r="195" spans="1:4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row>
    <row r="196" spans="1:4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row>
    <row r="197" spans="1:4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row>
    <row r="198" spans="1:4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row>
    <row r="199" spans="1:4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row>
    <row r="200" spans="1:4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row>
    <row r="201" spans="1:4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row>
    <row r="202" spans="1:4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row>
    <row r="203" spans="1:4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row>
    <row r="204" spans="1:4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row>
    <row r="205" spans="1:4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row>
    <row r="206" spans="1:4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row>
    <row r="207" spans="1:4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row>
    <row r="208" spans="1:4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row>
    <row r="209" spans="1:4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row>
    <row r="210" spans="1:4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row>
    <row r="211" spans="1:4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row>
    <row r="212" spans="1:4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row>
    <row r="213" spans="1:4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row>
    <row r="214" spans="1:4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row>
    <row r="215" spans="1:4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row>
    <row r="216" spans="1:4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row>
    <row r="217" spans="1:4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row>
    <row r="218" spans="1:4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row>
    <row r="219" spans="1:4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row>
    <row r="220" spans="1:4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row>
    <row r="221" spans="1:4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row>
    <row r="222" spans="1:4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row>
    <row r="223" spans="1:4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row>
    <row r="224" spans="1:4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row>
    <row r="225" spans="1:4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row>
    <row r="226" spans="1:4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row>
    <row r="227" spans="1:4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row>
    <row r="228" spans="1:4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row>
    <row r="229" spans="1:4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row>
    <row r="230" spans="1:4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row>
    <row r="231" spans="1:4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row>
    <row r="232" spans="1:4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row>
    <row r="233" spans="1:4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row>
    <row r="234" spans="1:4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row>
    <row r="235" spans="1:4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row>
    <row r="236" spans="1:4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row>
    <row r="237" spans="1:4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row>
    <row r="238" spans="1:4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row>
    <row r="239" spans="1:4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row>
    <row r="240" spans="1:4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row>
    <row r="241" spans="1:4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row>
    <row r="242" spans="1:4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row>
    <row r="243" spans="1:4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row>
    <row r="244" spans="1:4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row>
    <row r="245" spans="1:4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row>
    <row r="246" spans="1:4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row>
    <row r="247" spans="1:4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row>
    <row r="248" spans="1:4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row>
    <row r="249" spans="1:4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row>
    <row r="250" spans="1:4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row>
    <row r="251" spans="1:4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row>
    <row r="252" spans="1:4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row>
    <row r="253" spans="1:4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row>
    <row r="254" spans="1:4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row>
    <row r="255" spans="1:4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row>
    <row r="256" spans="1:4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row>
    <row r="257" spans="1:4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row>
    <row r="258" spans="1:4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row>
    <row r="259" spans="1:4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row>
    <row r="260" spans="1:4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row>
    <row r="261" spans="1:4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row>
    <row r="262" spans="1:4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row>
    <row r="263" spans="1:4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row>
    <row r="264" spans="1:4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row>
    <row r="265" spans="1:4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row>
    <row r="266" spans="1:4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row>
    <row r="267" spans="1:4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row>
    <row r="268" spans="1:4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row>
    <row r="269" spans="1:4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row>
    <row r="270" spans="1:4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row>
    <row r="271" spans="1:4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row>
    <row r="272" spans="1:4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row>
    <row r="273" spans="1:4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row>
    <row r="274" spans="1:4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row>
    <row r="275" spans="1:4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row>
    <row r="276" spans="1:4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row>
    <row r="277" spans="1:4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row>
    <row r="278" spans="1:4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row>
    <row r="279" spans="1:4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row>
    <row r="280" spans="1:4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row>
    <row r="281" spans="1:4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row>
    <row r="282" spans="1:4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row>
    <row r="283" spans="1:4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row>
    <row r="284" spans="1:4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row>
    <row r="285" spans="1:4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row>
    <row r="286" spans="1:4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row>
    <row r="287" spans="1:4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row>
    <row r="288" spans="1:4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row>
    <row r="289" spans="1:4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row>
    <row r="290" spans="1:4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row>
    <row r="291" spans="1:4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row>
    <row r="292" spans="1:4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row>
    <row r="293" spans="1:4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row>
    <row r="294" spans="1:4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row>
    <row r="295" spans="1:4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row>
    <row r="296" spans="1:4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row>
    <row r="297" spans="1:4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row>
    <row r="298" spans="1:4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row>
    <row r="299" spans="1:4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row>
    <row r="300" spans="1:4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row>
    <row r="301" spans="1:4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row>
    <row r="302" spans="1:4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row>
    <row r="303" spans="1:4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row>
    <row r="304" spans="1:4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row>
    <row r="305" spans="1:4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row>
    <row r="306" spans="1:4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row>
    <row r="307" spans="1:4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row>
    <row r="308" spans="1:4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row>
  </sheetData>
  <pageMargins left="0.511811024" right="0.511811024" top="0.78740157499999996" bottom="0.78740157499999996" header="0.31496062000000002" footer="0.31496062000000002"/>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1"/>
  <dimension ref="A1:AS312"/>
  <sheetViews>
    <sheetView showGridLines="0" workbookViewId="0"/>
  </sheetViews>
  <sheetFormatPr defaultColWidth="0" defaultRowHeight="15" x14ac:dyDescent="0.25"/>
  <cols>
    <col min="1" max="1" width="52.140625" customWidth="1"/>
    <col min="2" max="2" width="2" customWidth="1"/>
    <col min="3" max="5" width="11" customWidth="1"/>
    <col min="6" max="6" width="17.7109375" customWidth="1"/>
    <col min="7" max="7" width="15.85546875" customWidth="1"/>
    <col min="8" max="8" width="2.140625" customWidth="1"/>
    <col min="9" max="11" width="11" customWidth="1"/>
    <col min="12" max="12" width="17.7109375" customWidth="1"/>
    <col min="13" max="13" width="15.85546875" customWidth="1"/>
    <col min="14" max="14" width="7.28515625" customWidth="1"/>
    <col min="15" max="29" width="9.140625" customWidth="1"/>
    <col min="30" max="45" width="0" hidden="1" customWidth="1"/>
    <col min="46" max="16384" width="9.140625" hidden="1"/>
  </cols>
  <sheetData>
    <row r="1" spans="1:45"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row>
    <row r="2" spans="1:45"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row>
    <row r="3" spans="1:45"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row>
    <row r="4" spans="1:45"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row>
    <row r="5" spans="1:45"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row>
    <row r="6" spans="1:45"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row>
    <row r="7" spans="1:45"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row>
    <row r="8" spans="1:45" x14ac:dyDescent="0.25">
      <c r="A8" s="425"/>
      <c r="B8" s="425"/>
      <c r="C8" s="425"/>
      <c r="D8" s="425"/>
      <c r="E8" s="425"/>
      <c r="F8" s="425"/>
      <c r="G8" s="425"/>
      <c r="H8" s="425"/>
      <c r="I8" s="425"/>
      <c r="J8" s="425"/>
      <c r="K8" s="425"/>
      <c r="L8" s="425"/>
      <c r="M8" s="425"/>
      <c r="N8" s="425"/>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row>
    <row r="9" spans="1:45" x14ac:dyDescent="0.25">
      <c r="B9" s="225"/>
      <c r="C9" s="698" t="str">
        <f>[4]INDICECLIMAORGANIZACIONAL!C1</f>
        <v>ÍNDICE DE CLIMA ORGANIZACIONAL   2020                                       (nº itens avaliados positivamente/nº total de itens)*100</v>
      </c>
      <c r="D9" s="698"/>
      <c r="E9" s="698"/>
      <c r="F9" s="698"/>
      <c r="G9" s="699">
        <f>[4]INDICECLIMAORGANIZACIONAL!G1</f>
        <v>0.88888888888888884</v>
      </c>
      <c r="H9" s="225"/>
      <c r="I9" s="698" t="str">
        <f>[4]INDICECLIMAORGANIZACIONAL!I1</f>
        <v>ÍNDICE DE CLIMA ORGANIZACIONAL  2018                                        (nº itens avaliados positivamente/nº total de itens)*100</v>
      </c>
      <c r="J9" s="698"/>
      <c r="K9" s="698"/>
      <c r="L9" s="698"/>
      <c r="M9" s="699">
        <f>[4]INDICECLIMAORGANIZACIONAL!M1</f>
        <v>0.6875</v>
      </c>
      <c r="N9" s="425"/>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row>
    <row r="10" spans="1:45" x14ac:dyDescent="0.25">
      <c r="B10" s="225"/>
      <c r="C10" s="698"/>
      <c r="D10" s="698"/>
      <c r="E10" s="698"/>
      <c r="F10" s="698"/>
      <c r="G10" s="699"/>
      <c r="H10" s="225"/>
      <c r="I10" s="698"/>
      <c r="J10" s="698"/>
      <c r="K10" s="698"/>
      <c r="L10" s="698"/>
      <c r="M10" s="699"/>
      <c r="N10" s="425"/>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row>
    <row r="11" spans="1:45" x14ac:dyDescent="0.25">
      <c r="B11" s="225"/>
      <c r="C11" s="698"/>
      <c r="D11" s="698"/>
      <c r="E11" s="698"/>
      <c r="F11" s="698"/>
      <c r="G11" s="699"/>
      <c r="H11" s="225"/>
      <c r="I11" s="698"/>
      <c r="J11" s="698"/>
      <c r="K11" s="698"/>
      <c r="L11" s="698"/>
      <c r="M11" s="699"/>
      <c r="N11" s="425"/>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row>
    <row r="12" spans="1:45" x14ac:dyDescent="0.25">
      <c r="B12" s="225"/>
      <c r="H12" s="225"/>
      <c r="I12" s="225"/>
      <c r="N12" s="425"/>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row>
    <row r="13" spans="1:45" x14ac:dyDescent="0.25">
      <c r="A13" s="700" t="str">
        <f>[4]INDICECLIMAORGANIZACIONAL!A5</f>
        <v>TENHO CONHECIMENTO DA MISSÃO, VISÃO E VALORES DO MME?</v>
      </c>
      <c r="B13" s="424"/>
      <c r="C13" s="701" t="str">
        <f>[4]INDICECLIMAORGANIZACIONAL!C5</f>
        <v>ITEM 01</v>
      </c>
      <c r="D13" s="702">
        <f>[4]INDICECLIMAORGANIZACIONAL!D5</f>
        <v>2020</v>
      </c>
      <c r="E13" s="702"/>
      <c r="F13" s="702"/>
      <c r="G13" s="702"/>
      <c r="H13" s="423"/>
      <c r="I13" s="703" t="str">
        <f>[4]INDICECLIMAORGANIZACIONAL!I5</f>
        <v>ITEM 01</v>
      </c>
      <c r="J13" s="702">
        <f>[4]INDICECLIMAORGANIZACIONAL!J5</f>
        <v>2017</v>
      </c>
      <c r="K13" s="702"/>
      <c r="L13" s="702"/>
      <c r="M13" s="702"/>
      <c r="N13" s="425"/>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row>
    <row r="14" spans="1:45" ht="38.25" x14ac:dyDescent="0.25">
      <c r="A14" s="700"/>
      <c r="B14" s="424"/>
      <c r="C14" s="701"/>
      <c r="D14" s="426" t="str">
        <f>[4]INDICECLIMAORGANIZACIONAL!D6</f>
        <v>TOTAL</v>
      </c>
      <c r="E14" s="426" t="str">
        <f>[4]INDICECLIMAORGANIZACIONAL!E6</f>
        <v>%</v>
      </c>
      <c r="F14" s="426" t="str">
        <f>[4]INDICECLIMAORGANIZACIONAL!F6</f>
        <v>RESULTADO</v>
      </c>
      <c r="G14" s="427" t="str">
        <f>[4]INDICECLIMAORGANIZACIONAL!G6</f>
        <v>ITEM AVALIADO POSITIVAMENTE?             (1 - SIM / 0 - NÃO)</v>
      </c>
      <c r="H14" s="158"/>
      <c r="I14" s="703"/>
      <c r="J14" s="426" t="str">
        <f>[4]INDICECLIMAORGANIZACIONAL!J6</f>
        <v>TOTAL</v>
      </c>
      <c r="K14" s="426" t="str">
        <f>[4]INDICECLIMAORGANIZACIONAL!K6</f>
        <v>%</v>
      </c>
      <c r="L14" s="426" t="str">
        <f>[4]INDICECLIMAORGANIZACIONAL!L6</f>
        <v>RESULTADO</v>
      </c>
      <c r="M14" s="427" t="str">
        <f>[4]INDICECLIMAORGANIZACIONAL!M6</f>
        <v>ITEM AVALIADO POSITIVAMENTE?             (1 - SIM / 0 - NÃO)</v>
      </c>
      <c r="N14" s="425"/>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row>
    <row r="15" spans="1:45" s="425" customFormat="1" x14ac:dyDescent="0.25">
      <c r="A15" s="428" t="str">
        <f>[4]INDICECLIMAORGANIZACIONAL!A7</f>
        <v>SIM</v>
      </c>
      <c r="B15" s="225"/>
      <c r="C15" s="701"/>
      <c r="D15" s="429">
        <f>[4]INDICECLIMAORGANIZACIONAL!D7</f>
        <v>136</v>
      </c>
      <c r="E15" s="430">
        <f>[4]INDICECLIMAORGANIZACIONAL!E7</f>
        <v>0.70833333333333337</v>
      </c>
      <c r="F15" s="431" t="str">
        <f>[4]INDICECLIMAORGANIZACIONAL!F7</f>
        <v>SATISFATÓRIO</v>
      </c>
      <c r="G15" s="704">
        <f>[4]INDICECLIMAORGANIZACIONAL!G7</f>
        <v>1</v>
      </c>
      <c r="H15" s="432"/>
      <c r="I15" s="703"/>
      <c r="J15" s="429">
        <f>[4]INDICECLIMAORGANIZACIONAL!J7</f>
        <v>131</v>
      </c>
      <c r="K15" s="430">
        <f>[4]INDICECLIMAORGANIZACIONAL!K7</f>
        <v>0.70810810810810809</v>
      </c>
      <c r="L15" s="430" t="str">
        <f>[4]INDICECLIMAORGANIZACIONAL!L7</f>
        <v>SATISFATÓRIO</v>
      </c>
      <c r="M15" s="704">
        <f>[4]INDICECLIMAORGANIZACIONAL!M7</f>
        <v>1</v>
      </c>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row>
    <row r="16" spans="1:45" s="425" customFormat="1" x14ac:dyDescent="0.25">
      <c r="A16" s="433" t="str">
        <f>[4]INDICECLIMAORGANIZACIONAL!A8</f>
        <v>PARCIAL</v>
      </c>
      <c r="B16" s="434"/>
      <c r="C16" s="701"/>
      <c r="D16" s="435">
        <f>[4]INDICECLIMAORGANIZACIONAL!D8</f>
        <v>54</v>
      </c>
      <c r="E16" s="430">
        <f>[4]INDICECLIMAORGANIZACIONAL!E8</f>
        <v>0.28125</v>
      </c>
      <c r="F16" s="431" t="str">
        <f>[4]INDICECLIMAORGANIZACIONAL!F8</f>
        <v>SATISFATÓRIO</v>
      </c>
      <c r="G16" s="704"/>
      <c r="H16" s="432"/>
      <c r="I16" s="703"/>
      <c r="J16" s="429">
        <f>[4]INDICECLIMAORGANIZACIONAL!J8</f>
        <v>45</v>
      </c>
      <c r="K16" s="430">
        <f>[4]INDICECLIMAORGANIZACIONAL!K8</f>
        <v>0.24324324324324326</v>
      </c>
      <c r="L16" s="430" t="str">
        <f>[4]INDICECLIMAORGANIZACIONAL!L8</f>
        <v>SATISFATÓRIO</v>
      </c>
      <c r="M16" s="704"/>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row>
    <row r="17" spans="1:45" s="425" customFormat="1" x14ac:dyDescent="0.25">
      <c r="A17" s="433" t="str">
        <f>[4]INDICECLIMAORGANIZACIONAL!A9</f>
        <v>NÃO</v>
      </c>
      <c r="B17" s="434"/>
      <c r="C17" s="701"/>
      <c r="D17" s="435">
        <f>[4]INDICECLIMAORGANIZACIONAL!D9</f>
        <v>2</v>
      </c>
      <c r="E17" s="430">
        <f>[4]INDICECLIMAORGANIZACIONAL!E9</f>
        <v>1.0416666666666666E-2</v>
      </c>
      <c r="F17" s="431" t="str">
        <f>[4]INDICECLIMAORGANIZACIONAL!F9</f>
        <v>DESEJÁVEL</v>
      </c>
      <c r="G17" s="704"/>
      <c r="H17" s="432"/>
      <c r="I17" s="703"/>
      <c r="J17" s="429">
        <f>[4]INDICECLIMAORGANIZACIONAL!J9</f>
        <v>9</v>
      </c>
      <c r="K17" s="430">
        <f>[4]INDICECLIMAORGANIZACIONAL!K9</f>
        <v>4.8648648648648651E-2</v>
      </c>
      <c r="L17" s="430" t="str">
        <f>[4]INDICECLIMAORGANIZACIONAL!L9</f>
        <v>DESEJÁVEL</v>
      </c>
      <c r="M17" s="704"/>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row>
    <row r="18" spans="1:45" s="425" customFormat="1" x14ac:dyDescent="0.25">
      <c r="A18" s="82" t="str">
        <f>[4]INDICECLIMAORGANIZACIONAL!A10</f>
        <v>TOTAL</v>
      </c>
      <c r="B18" s="156"/>
      <c r="C18" s="701"/>
      <c r="D18" s="421">
        <f>[4]INDICECLIMAORGANIZACIONAL!D10</f>
        <v>192</v>
      </c>
      <c r="E18" s="436">
        <f>[4]INDICECLIMAORGANIZACIONAL!E10</f>
        <v>1</v>
      </c>
      <c r="F18" s="437"/>
      <c r="G18" s="438"/>
      <c r="H18" s="169"/>
      <c r="I18" s="703"/>
      <c r="J18" s="421">
        <f>[4]INDICECLIMAORGANIZACIONAL!J10</f>
        <v>185</v>
      </c>
      <c r="K18" s="436">
        <f>[4]INDICECLIMAORGANIZACIONAL!K10</f>
        <v>1</v>
      </c>
      <c r="L18" s="439"/>
      <c r="M18" s="438"/>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row>
    <row r="19" spans="1:45" s="425" customFormat="1" x14ac:dyDescent="0.25">
      <c r="A19"/>
      <c r="B19" s="225"/>
      <c r="C19"/>
      <c r="D19"/>
      <c r="E19"/>
      <c r="F19"/>
      <c r="G19"/>
      <c r="H19" s="225"/>
      <c r="J19"/>
      <c r="K19"/>
      <c r="L19"/>
      <c r="M19"/>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row>
    <row r="20" spans="1:45" s="425" customFormat="1" x14ac:dyDescent="0.25">
      <c r="A20" s="700" t="str">
        <f>[4]INDICECLIMAORGANIZACIONAL!A12</f>
        <v>TENHO INTERESSE EM CONHECER A MISSÃO, VISÃO E VALORES DO MME?</v>
      </c>
      <c r="B20" s="424"/>
      <c r="C20" s="701" t="str">
        <f>[4]INDICECLIMAORGANIZACIONAL!C12</f>
        <v>ITEM 02</v>
      </c>
      <c r="D20" s="702">
        <f>[4]INDICECLIMAORGANIZACIONAL!D12</f>
        <v>2020</v>
      </c>
      <c r="E20" s="702"/>
      <c r="F20" s="702"/>
      <c r="G20" s="702"/>
      <c r="H20" s="423"/>
      <c r="I20" s="703" t="str">
        <f>[4]INDICECLIMAORGANIZACIONAL!I12</f>
        <v>ITEM 02</v>
      </c>
      <c r="J20" s="702">
        <f>[4]INDICECLIMAORGANIZACIONAL!J12</f>
        <v>2017</v>
      </c>
      <c r="K20" s="702"/>
      <c r="L20" s="702"/>
      <c r="M20" s="702"/>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row>
    <row r="21" spans="1:45" s="425" customFormat="1" ht="38.25" x14ac:dyDescent="0.25">
      <c r="A21" s="700"/>
      <c r="B21" s="424"/>
      <c r="C21" s="701"/>
      <c r="D21" s="426" t="str">
        <f>[4]INDICECLIMAORGANIZACIONAL!D13</f>
        <v>TOTAL</v>
      </c>
      <c r="E21" s="426" t="str">
        <f>[4]INDICECLIMAORGANIZACIONAL!E13</f>
        <v>%</v>
      </c>
      <c r="F21" s="426" t="str">
        <f>[4]INDICECLIMAORGANIZACIONAL!F13</f>
        <v>RESULTADO</v>
      </c>
      <c r="G21" s="427" t="str">
        <f>[4]INDICECLIMAORGANIZACIONAL!G13</f>
        <v>ITEM AVALIADO POSITIVAMENTE?             (1 - SIM / 0 - NÃO)</v>
      </c>
      <c r="H21" s="158"/>
      <c r="I21" s="703"/>
      <c r="J21" s="426" t="str">
        <f>[4]INDICECLIMAORGANIZACIONAL!J13</f>
        <v>TOTAL</v>
      </c>
      <c r="K21" s="426" t="str">
        <f>[4]INDICECLIMAORGANIZACIONAL!K13</f>
        <v>%</v>
      </c>
      <c r="L21" s="426" t="str">
        <f>[4]INDICECLIMAORGANIZACIONAL!L13</f>
        <v>RESULTADO</v>
      </c>
      <c r="M21" s="427" t="str">
        <f>[4]INDICECLIMAORGANIZACIONAL!M13</f>
        <v>ITEM AVALIADO POSITIVAMENTE?             (1 - SIM / 0 - NÃO)</v>
      </c>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row>
    <row r="22" spans="1:45" s="425" customFormat="1" x14ac:dyDescent="0.25">
      <c r="A22" s="428" t="str">
        <f>[4]INDICECLIMAORGANIZACIONAL!A14</f>
        <v>SIM</v>
      </c>
      <c r="B22" s="225"/>
      <c r="C22" s="701"/>
      <c r="D22" s="435">
        <f>[4]INDICECLIMAORGANIZACIONAL!D14</f>
        <v>168</v>
      </c>
      <c r="E22" s="440">
        <f>[4]INDICECLIMAORGANIZACIONAL!E14</f>
        <v>0.875</v>
      </c>
      <c r="F22" s="431" t="str">
        <f>[4]INDICECLIMAORGANIZACIONAL!F14</f>
        <v>DESEJÁVEL</v>
      </c>
      <c r="G22" s="704">
        <f>[4]INDICECLIMAORGANIZACIONAL!G14</f>
        <v>1</v>
      </c>
      <c r="H22" s="432"/>
      <c r="I22" s="703"/>
      <c r="J22" s="429">
        <f>[4]INDICECLIMAORGANIZACIONAL!J14</f>
        <v>144</v>
      </c>
      <c r="K22" s="430">
        <f>[4]INDICECLIMAORGANIZACIONAL!K14</f>
        <v>0.77837837837837842</v>
      </c>
      <c r="L22" s="430" t="str">
        <f>[4]INDICECLIMAORGANIZACIONAL!L14</f>
        <v>SATISFATÓRIO</v>
      </c>
      <c r="M22" s="704">
        <f>[4]INDICECLIMAORGANIZACIONAL!M14</f>
        <v>1</v>
      </c>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row>
    <row r="23" spans="1:45" s="425" customFormat="1" x14ac:dyDescent="0.25">
      <c r="A23" s="433" t="str">
        <f>[4]INDICECLIMAORGANIZACIONAL!A15</f>
        <v>PARCIAL</v>
      </c>
      <c r="B23" s="434"/>
      <c r="C23" s="701"/>
      <c r="D23" s="435">
        <f>[4]INDICECLIMAORGANIZACIONAL!D15</f>
        <v>14</v>
      </c>
      <c r="E23" s="440">
        <f>[4]INDICECLIMAORGANIZACIONAL!E15</f>
        <v>7.2916666666666671E-2</v>
      </c>
      <c r="F23" s="431" t="str">
        <f>[4]INDICECLIMAORGANIZACIONAL!F15</f>
        <v>SATISFATÓRIO</v>
      </c>
      <c r="G23" s="704"/>
      <c r="H23" s="432"/>
      <c r="I23" s="703"/>
      <c r="J23" s="429">
        <f>[4]INDICECLIMAORGANIZACIONAL!J15</f>
        <v>26</v>
      </c>
      <c r="K23" s="430">
        <f>[4]INDICECLIMAORGANIZACIONAL!K15</f>
        <v>0.14054054054054055</v>
      </c>
      <c r="L23" s="430" t="str">
        <f>[4]INDICECLIMAORGANIZACIONAL!L15</f>
        <v>SATISFATÓRIO</v>
      </c>
      <c r="M23" s="704"/>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row>
    <row r="24" spans="1:45" s="425" customFormat="1" x14ac:dyDescent="0.25">
      <c r="A24" s="433" t="str">
        <f>[4]INDICECLIMAORGANIZACIONAL!A16</f>
        <v>NÃO</v>
      </c>
      <c r="B24" s="434"/>
      <c r="C24" s="701"/>
      <c r="D24" s="435">
        <f>[4]INDICECLIMAORGANIZACIONAL!D16</f>
        <v>10</v>
      </c>
      <c r="E24" s="440">
        <f>[4]INDICECLIMAORGANIZACIONAL!E16</f>
        <v>5.2083333333333336E-2</v>
      </c>
      <c r="F24" s="431" t="str">
        <f>[4]INDICECLIMAORGANIZACIONAL!F16</f>
        <v>DESEJÁVEL</v>
      </c>
      <c r="G24" s="704"/>
      <c r="H24" s="432"/>
      <c r="I24" s="703"/>
      <c r="J24" s="429">
        <f>[4]INDICECLIMAORGANIZACIONAL!J16</f>
        <v>15</v>
      </c>
      <c r="K24" s="430">
        <f>[4]INDICECLIMAORGANIZACIONAL!K16</f>
        <v>8.1081081081081086E-2</v>
      </c>
      <c r="L24" s="430" t="str">
        <f>[4]INDICECLIMAORGANIZACIONAL!L16</f>
        <v>SATISFATÓRIO</v>
      </c>
      <c r="M24" s="704"/>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row>
    <row r="25" spans="1:45" s="425" customFormat="1" x14ac:dyDescent="0.25">
      <c r="A25" s="82" t="str">
        <f>[4]INDICECLIMAORGANIZACIONAL!A17</f>
        <v>TOTAL</v>
      </c>
      <c r="B25" s="156"/>
      <c r="C25" s="701"/>
      <c r="D25" s="421">
        <f>[4]INDICECLIMAORGANIZACIONAL!D17</f>
        <v>192</v>
      </c>
      <c r="E25" s="436">
        <f>[4]INDICECLIMAORGANIZACIONAL!E17</f>
        <v>1</v>
      </c>
      <c r="F25" s="437"/>
      <c r="G25" s="438"/>
      <c r="H25" s="169"/>
      <c r="I25" s="703"/>
      <c r="J25" s="421">
        <f>[4]INDICECLIMAORGANIZACIONAL!J17</f>
        <v>185</v>
      </c>
      <c r="K25" s="436">
        <f>[4]INDICECLIMAORGANIZACIONAL!K17</f>
        <v>1</v>
      </c>
      <c r="L25" s="439"/>
      <c r="M25" s="438"/>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row>
    <row r="26" spans="1:45" s="425" customFormat="1" x14ac:dyDescent="0.25">
      <c r="A26"/>
      <c r="B26" s="225"/>
      <c r="C26"/>
      <c r="D26"/>
      <c r="E26"/>
      <c r="F26"/>
      <c r="G26"/>
      <c r="H26" s="225"/>
      <c r="J26"/>
      <c r="K26"/>
      <c r="L26"/>
      <c r="M26"/>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row>
    <row r="27" spans="1:45" s="425" customFormat="1" x14ac:dyDescent="0.25">
      <c r="A27" s="700" t="str">
        <f>[4]INDICECLIMAORGANIZACIONAL!A19</f>
        <v>SOU VALORIZADO PROFISSIONALMENTE</v>
      </c>
      <c r="B27" s="424"/>
      <c r="C27" s="701" t="str">
        <f>[4]INDICECLIMAORGANIZACIONAL!C19</f>
        <v>ITEM 03</v>
      </c>
      <c r="D27" s="702">
        <f>[4]INDICECLIMAORGANIZACIONAL!D19</f>
        <v>2020</v>
      </c>
      <c r="E27" s="702"/>
      <c r="F27" s="702"/>
      <c r="G27" s="702"/>
      <c r="H27" s="423"/>
      <c r="I27" s="703" t="str">
        <f>[4]INDICECLIMAORGANIZACIONAL!I19</f>
        <v>ITEM 03</v>
      </c>
      <c r="J27" s="702">
        <f>[4]INDICECLIMAORGANIZACIONAL!J19</f>
        <v>2017</v>
      </c>
      <c r="K27" s="702"/>
      <c r="L27" s="702"/>
      <c r="M27" s="702"/>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row>
    <row r="28" spans="1:45" s="425" customFormat="1" ht="38.25" x14ac:dyDescent="0.25">
      <c r="A28" s="700"/>
      <c r="B28" s="424"/>
      <c r="C28" s="701"/>
      <c r="D28" s="426" t="str">
        <f>[4]INDICECLIMAORGANIZACIONAL!D20</f>
        <v>TOTAL</v>
      </c>
      <c r="E28" s="426" t="str">
        <f>[4]INDICECLIMAORGANIZACIONAL!E20</f>
        <v>%</v>
      </c>
      <c r="F28" s="426" t="str">
        <f>[4]INDICECLIMAORGANIZACIONAL!F20</f>
        <v>RESULTADO</v>
      </c>
      <c r="G28" s="427" t="str">
        <f>[4]INDICECLIMAORGANIZACIONAL!G20</f>
        <v>ITEM AVALIADO POSITIVAMENTE?             (1 - SIM / 0 - NÃO)</v>
      </c>
      <c r="H28" s="158"/>
      <c r="I28" s="703"/>
      <c r="J28" s="426" t="str">
        <f>[4]INDICECLIMAORGANIZACIONAL!J20</f>
        <v>TOTAL</v>
      </c>
      <c r="K28" s="426" t="str">
        <f>[4]INDICECLIMAORGANIZACIONAL!K20</f>
        <v>%</v>
      </c>
      <c r="L28" s="426" t="str">
        <f>[4]INDICECLIMAORGANIZACIONAL!L20</f>
        <v>RESULTADO</v>
      </c>
      <c r="M28" s="427" t="str">
        <f>[4]INDICECLIMAORGANIZACIONAL!M20</f>
        <v>ITEM AVALIADO POSITIVAMENTE?             (1 - SIM / 0 - NÃO)</v>
      </c>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row>
    <row r="29" spans="1:45" s="425" customFormat="1" x14ac:dyDescent="0.25">
      <c r="A29" s="428" t="str">
        <f>[4]INDICECLIMAORGANIZACIONAL!A21</f>
        <v>SIM</v>
      </c>
      <c r="B29" s="225"/>
      <c r="C29" s="701"/>
      <c r="D29" s="435">
        <f>[4]INDICECLIMAORGANIZACIONAL!D21</f>
        <v>133</v>
      </c>
      <c r="E29" s="440">
        <f>[4]INDICECLIMAORGANIZACIONAL!E21</f>
        <v>0.69270833333333337</v>
      </c>
      <c r="F29" s="431" t="str">
        <f>[4]INDICECLIMAORGANIZACIONAL!F21</f>
        <v>SATISFATÓRIO</v>
      </c>
      <c r="G29" s="704">
        <f>[4]INDICECLIMAORGANIZACIONAL!G21</f>
        <v>1</v>
      </c>
      <c r="H29" s="432"/>
      <c r="I29" s="703"/>
      <c r="J29" s="429">
        <f>[4]INDICECLIMAORGANIZACIONAL!J21</f>
        <v>68</v>
      </c>
      <c r="K29" s="430">
        <f>[4]INDICECLIMAORGANIZACIONAL!K21</f>
        <v>0.36956521739130432</v>
      </c>
      <c r="L29" s="430" t="str">
        <f>[4]INDICECLIMAORGANIZACIONAL!L21</f>
        <v>INSATISFATÓRIO</v>
      </c>
      <c r="M29" s="704">
        <f>[4]INDICECLIMAORGANIZACIONAL!M21</f>
        <v>0</v>
      </c>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row>
    <row r="30" spans="1:45" s="425" customFormat="1" x14ac:dyDescent="0.25">
      <c r="A30" s="433" t="str">
        <f>[4]INDICECLIMAORGANIZACIONAL!A22</f>
        <v>PARCIAL</v>
      </c>
      <c r="B30" s="434"/>
      <c r="C30" s="701"/>
      <c r="D30" s="435">
        <f>[4]INDICECLIMAORGANIZACIONAL!D22</f>
        <v>49</v>
      </c>
      <c r="E30" s="440">
        <f>[4]INDICECLIMAORGANIZACIONAL!E22</f>
        <v>0.25520833333333331</v>
      </c>
      <c r="F30" s="431" t="str">
        <f>[4]INDICECLIMAORGANIZACIONAL!F22</f>
        <v>SATISFATÓRIO</v>
      </c>
      <c r="G30" s="704"/>
      <c r="H30" s="432"/>
      <c r="I30" s="703"/>
      <c r="J30" s="429">
        <f>[4]INDICECLIMAORGANIZACIONAL!J22</f>
        <v>81</v>
      </c>
      <c r="K30" s="430">
        <f>[4]INDICECLIMAORGANIZACIONAL!K22</f>
        <v>0.44021739130434784</v>
      </c>
      <c r="L30" s="430" t="str">
        <f>[4]INDICECLIMAORGANIZACIONAL!L22</f>
        <v>SATISFATÓRIO</v>
      </c>
      <c r="M30" s="704"/>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row>
    <row r="31" spans="1:45" s="425" customFormat="1" x14ac:dyDescent="0.25">
      <c r="A31" s="433" t="str">
        <f>[4]INDICECLIMAORGANIZACIONAL!A23</f>
        <v>NÃO</v>
      </c>
      <c r="B31" s="434"/>
      <c r="C31" s="701"/>
      <c r="D31" s="435">
        <f>[4]INDICECLIMAORGANIZACIONAL!D23</f>
        <v>10</v>
      </c>
      <c r="E31" s="440">
        <f>[4]INDICECLIMAORGANIZACIONAL!E23</f>
        <v>5.2083333333333336E-2</v>
      </c>
      <c r="F31" s="431" t="str">
        <f>[4]INDICECLIMAORGANIZACIONAL!F23</f>
        <v>DESEJÁVEL</v>
      </c>
      <c r="G31" s="704"/>
      <c r="H31" s="432"/>
      <c r="I31" s="703"/>
      <c r="J31" s="429">
        <f>[4]INDICECLIMAORGANIZACIONAL!J23</f>
        <v>35</v>
      </c>
      <c r="K31" s="430">
        <f>[4]INDICECLIMAORGANIZACIONAL!K23</f>
        <v>0.19021739130434784</v>
      </c>
      <c r="L31" s="430" t="str">
        <f>[4]INDICECLIMAORGANIZACIONAL!L23</f>
        <v>INSATISFATÓRIO</v>
      </c>
      <c r="M31" s="704"/>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row>
    <row r="32" spans="1:45" s="425" customFormat="1" x14ac:dyDescent="0.25">
      <c r="A32" s="82" t="str">
        <f>[4]INDICECLIMAORGANIZACIONAL!A24</f>
        <v>TOTAL</v>
      </c>
      <c r="B32" s="156"/>
      <c r="C32" s="701"/>
      <c r="D32" s="421">
        <f>[4]INDICECLIMAORGANIZACIONAL!D24</f>
        <v>192</v>
      </c>
      <c r="E32" s="436">
        <f>[4]INDICECLIMAORGANIZACIONAL!E24</f>
        <v>1</v>
      </c>
      <c r="F32" s="437"/>
      <c r="G32" s="438"/>
      <c r="H32" s="169"/>
      <c r="I32" s="703"/>
      <c r="J32" s="421">
        <f>[4]INDICECLIMAORGANIZACIONAL!J24</f>
        <v>184</v>
      </c>
      <c r="K32" s="436">
        <f>[4]INDICECLIMAORGANIZACIONAL!K24</f>
        <v>1</v>
      </c>
      <c r="L32" s="439"/>
      <c r="M32" s="438"/>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row>
    <row r="33" spans="1:45" s="425" customFormat="1" x14ac:dyDescent="0.25">
      <c r="A33"/>
      <c r="B33" s="225"/>
      <c r="C33"/>
      <c r="D33"/>
      <c r="E33"/>
      <c r="F33"/>
      <c r="G33"/>
      <c r="H33" s="225"/>
      <c r="J33"/>
      <c r="K33"/>
      <c r="L33"/>
      <c r="M33"/>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row>
    <row r="34" spans="1:45" x14ac:dyDescent="0.25">
      <c r="A34" s="700" t="str">
        <f>[4]INDICECLIMAORGANIZACIONAL!A26</f>
        <v>SOU VALORIZADO PELO TRABALHO QUE EXECUTO</v>
      </c>
      <c r="B34" s="424"/>
      <c r="C34" s="701" t="str">
        <f>[4]INDICECLIMAORGANIZACIONAL!C26</f>
        <v>ITEM **</v>
      </c>
      <c r="D34" s="702">
        <f>[4]INDICECLIMAORGANIZACIONAL!D26</f>
        <v>2020</v>
      </c>
      <c r="E34" s="702"/>
      <c r="F34" s="702"/>
      <c r="G34" s="702"/>
      <c r="H34" s="423"/>
      <c r="I34" s="703" t="str">
        <f>[4]INDICECLIMAORGANIZACIONAL!I26</f>
        <v>ITEM 04</v>
      </c>
      <c r="J34" s="702">
        <f>[4]INDICECLIMAORGANIZACIONAL!J26</f>
        <v>2017</v>
      </c>
      <c r="K34" s="702"/>
      <c r="L34" s="702"/>
      <c r="M34" s="702"/>
      <c r="N34" s="425"/>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row>
    <row r="35" spans="1:45" ht="38.25" x14ac:dyDescent="0.25">
      <c r="A35" s="700"/>
      <c r="B35" s="424"/>
      <c r="C35" s="701"/>
      <c r="D35" s="426" t="str">
        <f>[4]INDICECLIMAORGANIZACIONAL!D27</f>
        <v>TOTAL</v>
      </c>
      <c r="E35" s="426" t="str">
        <f>[4]INDICECLIMAORGANIZACIONAL!E27</f>
        <v>%</v>
      </c>
      <c r="F35" s="426" t="str">
        <f>[4]INDICECLIMAORGANIZACIONAL!F27</f>
        <v>RESULTADO</v>
      </c>
      <c r="G35" s="427" t="str">
        <f>[4]INDICECLIMAORGANIZACIONAL!G27</f>
        <v>ITEM AVALIADO POSITIVAMENTE?             (1 - SIM / 0 - NÃO)</v>
      </c>
      <c r="H35" s="158"/>
      <c r="I35" s="703"/>
      <c r="J35" s="426" t="str">
        <f>[4]INDICECLIMAORGANIZACIONAL!J27</f>
        <v>TOTAL</v>
      </c>
      <c r="K35" s="426" t="str">
        <f>[4]INDICECLIMAORGANIZACIONAL!K27</f>
        <v>%</v>
      </c>
      <c r="L35" s="426" t="str">
        <f>[4]INDICECLIMAORGANIZACIONAL!L27</f>
        <v>RESULTADO</v>
      </c>
      <c r="M35" s="427" t="str">
        <f>[4]INDICECLIMAORGANIZACIONAL!M27</f>
        <v>ITEM AVALIADO POSITIVAMENTE?             (1 - SIM / 0 - NÃO)</v>
      </c>
      <c r="N35" s="425"/>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row>
    <row r="36" spans="1:45" x14ac:dyDescent="0.25">
      <c r="A36" s="428" t="str">
        <f>[4]INDICECLIMAORGANIZACIONAL!A28</f>
        <v>SIM</v>
      </c>
      <c r="B36" s="225"/>
      <c r="C36" s="701"/>
      <c r="D36" s="435" t="str">
        <f>[4]INDICECLIMAORGANIZACIONAL!D28</f>
        <v>*</v>
      </c>
      <c r="E36" s="440" t="str">
        <f>[4]INDICECLIMAORGANIZACIONAL!E28</f>
        <v>*</v>
      </c>
      <c r="F36" s="431" t="str">
        <f>[4]INDICECLIMAORGANIZACIONAL!F28</f>
        <v>*</v>
      </c>
      <c r="G36" s="705" t="str">
        <f>[4]INDICECLIMAORGANIZACIONAL!G28</f>
        <v>**</v>
      </c>
      <c r="H36" s="432"/>
      <c r="I36" s="703"/>
      <c r="J36" s="429">
        <f>[4]INDICECLIMAORGANIZACIONAL!J28</f>
        <v>73</v>
      </c>
      <c r="K36" s="430">
        <f>[4]INDICECLIMAORGANIZACIONAL!K28</f>
        <v>0.39673913043478259</v>
      </c>
      <c r="L36" s="430" t="str">
        <f>[4]INDICECLIMAORGANIZACIONAL!L28</f>
        <v>INSATISFATÓRIO</v>
      </c>
      <c r="M36" s="704">
        <f>[4]INDICECLIMAORGANIZACIONAL!M28</f>
        <v>0</v>
      </c>
      <c r="N36" s="425"/>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row>
    <row r="37" spans="1:45" x14ac:dyDescent="0.25">
      <c r="A37" s="433" t="str">
        <f>[4]INDICECLIMAORGANIZACIONAL!A29</f>
        <v>PARCIAL</v>
      </c>
      <c r="B37" s="434"/>
      <c r="C37" s="701"/>
      <c r="D37" s="435" t="str">
        <f>[4]INDICECLIMAORGANIZACIONAL!D29</f>
        <v>*</v>
      </c>
      <c r="E37" s="440" t="str">
        <f>[4]INDICECLIMAORGANIZACIONAL!E29</f>
        <v>*</v>
      </c>
      <c r="F37" s="431" t="str">
        <f>[4]INDICECLIMAORGANIZACIONAL!F29</f>
        <v>*</v>
      </c>
      <c r="G37" s="705"/>
      <c r="H37" s="432"/>
      <c r="I37" s="703"/>
      <c r="J37" s="429">
        <f>[4]INDICECLIMAORGANIZACIONAL!J29</f>
        <v>71</v>
      </c>
      <c r="K37" s="430">
        <f>[4]INDICECLIMAORGANIZACIONAL!K29</f>
        <v>0.3858695652173913</v>
      </c>
      <c r="L37" s="430" t="str">
        <f>[4]INDICECLIMAORGANIZACIONAL!L29</f>
        <v>SATISFATÓRIO</v>
      </c>
      <c r="M37" s="704"/>
      <c r="N37" s="425"/>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row>
    <row r="38" spans="1:45" x14ac:dyDescent="0.25">
      <c r="A38" s="433" t="str">
        <f>[4]INDICECLIMAORGANIZACIONAL!A30</f>
        <v>NÃO</v>
      </c>
      <c r="B38" s="434"/>
      <c r="C38" s="701"/>
      <c r="D38" s="435" t="str">
        <f>[4]INDICECLIMAORGANIZACIONAL!D30</f>
        <v>*</v>
      </c>
      <c r="E38" s="440" t="str">
        <f>[4]INDICECLIMAORGANIZACIONAL!E30</f>
        <v>*</v>
      </c>
      <c r="F38" s="431" t="str">
        <f>[4]INDICECLIMAORGANIZACIONAL!F30</f>
        <v>*</v>
      </c>
      <c r="G38" s="705"/>
      <c r="H38" s="432"/>
      <c r="I38" s="703"/>
      <c r="J38" s="429">
        <f>[4]INDICECLIMAORGANIZACIONAL!J30</f>
        <v>36</v>
      </c>
      <c r="K38" s="430">
        <f>[4]INDICECLIMAORGANIZACIONAL!K30</f>
        <v>0.19565217391304349</v>
      </c>
      <c r="L38" s="430" t="str">
        <f>[4]INDICECLIMAORGANIZACIONAL!L30</f>
        <v>INSATISFATÓRIO</v>
      </c>
      <c r="M38" s="704"/>
      <c r="N38" s="425"/>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row>
    <row r="39" spans="1:45" x14ac:dyDescent="0.25">
      <c r="A39" s="82" t="str">
        <f>[4]INDICECLIMAORGANIZACIONAL!A31</f>
        <v>TOTAL</v>
      </c>
      <c r="B39" s="156"/>
      <c r="C39" s="701"/>
      <c r="D39" s="421" t="str">
        <f>[4]INDICECLIMAORGANIZACIONAL!D31</f>
        <v>*</v>
      </c>
      <c r="E39" s="436" t="str">
        <f>[4]INDICECLIMAORGANIZACIONAL!E31</f>
        <v>*</v>
      </c>
      <c r="F39" s="437"/>
      <c r="G39" s="438"/>
      <c r="H39" s="169"/>
      <c r="I39" s="703"/>
      <c r="J39" s="421">
        <f>[4]INDICECLIMAORGANIZACIONAL!J31</f>
        <v>180</v>
      </c>
      <c r="K39" s="436">
        <f>[4]INDICECLIMAORGANIZACIONAL!K31</f>
        <v>0.97826086956521729</v>
      </c>
      <c r="L39" s="439"/>
      <c r="M39" s="438"/>
      <c r="N39" s="425"/>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row>
    <row r="40" spans="1:45" x14ac:dyDescent="0.25">
      <c r="B40" s="225"/>
      <c r="H40" s="225"/>
      <c r="I40" s="425"/>
      <c r="N40" s="425"/>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row>
    <row r="41" spans="1:45" x14ac:dyDescent="0.25">
      <c r="A41" s="700" t="str">
        <f>[4]INDICECLIMAORGANIZACIONAL!A33</f>
        <v>TENHO OPORTUNIDADE DE DESENVOLVIMENTO NO SERVIÇO</v>
      </c>
      <c r="B41" s="424"/>
      <c r="C41" s="701" t="str">
        <f>[4]INDICECLIMAORGANIZACIONAL!C33</f>
        <v>ITEM 04</v>
      </c>
      <c r="D41" s="702">
        <f>[4]INDICECLIMAORGANIZACIONAL!D33</f>
        <v>2020</v>
      </c>
      <c r="E41" s="702"/>
      <c r="F41" s="702"/>
      <c r="G41" s="702"/>
      <c r="H41" s="423"/>
      <c r="I41" s="703" t="str">
        <f>[4]INDICECLIMAORGANIZACIONAL!I33</f>
        <v>ITEM 05</v>
      </c>
      <c r="J41" s="702">
        <f>[4]INDICECLIMAORGANIZACIONAL!J33</f>
        <v>2017</v>
      </c>
      <c r="K41" s="702"/>
      <c r="L41" s="702"/>
      <c r="M41" s="702"/>
      <c r="N41" s="425"/>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row>
    <row r="42" spans="1:45" ht="38.25" x14ac:dyDescent="0.25">
      <c r="A42" s="700"/>
      <c r="B42" s="424"/>
      <c r="C42" s="701"/>
      <c r="D42" s="426" t="str">
        <f>[4]INDICECLIMAORGANIZACIONAL!D34</f>
        <v>TOTAL</v>
      </c>
      <c r="E42" s="426" t="str">
        <f>[4]INDICECLIMAORGANIZACIONAL!E34</f>
        <v>%</v>
      </c>
      <c r="F42" s="426" t="str">
        <f>[4]INDICECLIMAORGANIZACIONAL!F34</f>
        <v>RESULTADO</v>
      </c>
      <c r="G42" s="427" t="str">
        <f>[4]INDICECLIMAORGANIZACIONAL!G34</f>
        <v>ITEM AVALIADO POSITIVAMENTE?             (1 - SIM / 0 - NÃO)</v>
      </c>
      <c r="H42" s="158"/>
      <c r="I42" s="703"/>
      <c r="J42" s="426" t="str">
        <f>[4]INDICECLIMAORGANIZACIONAL!J34</f>
        <v>TOTAL</v>
      </c>
      <c r="K42" s="426" t="str">
        <f>[4]INDICECLIMAORGANIZACIONAL!K34</f>
        <v>%</v>
      </c>
      <c r="L42" s="426" t="str">
        <f>[4]INDICECLIMAORGANIZACIONAL!L34</f>
        <v>RESULTADO</v>
      </c>
      <c r="M42" s="427" t="str">
        <f>[4]INDICECLIMAORGANIZACIONAL!M34</f>
        <v>ITEM AVALIADO POSITIVAMENTE?             (1 - SIM / 0 - NÃO)</v>
      </c>
      <c r="N42" s="425"/>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row>
    <row r="43" spans="1:45" x14ac:dyDescent="0.25">
      <c r="A43" s="428" t="str">
        <f>[4]INDICECLIMAORGANIZACIONAL!A35</f>
        <v>SIM</v>
      </c>
      <c r="B43" s="225"/>
      <c r="C43" s="701"/>
      <c r="D43" s="435">
        <f>[4]INDICECLIMAORGANIZACIONAL!D35</f>
        <v>127</v>
      </c>
      <c r="E43" s="440">
        <f>[4]INDICECLIMAORGANIZACIONAL!E35</f>
        <v>0.66145833333333337</v>
      </c>
      <c r="F43" s="431" t="str">
        <f>[4]INDICECLIMAORGANIZACIONAL!F35</f>
        <v>SATISFATÓRIO</v>
      </c>
      <c r="G43" s="704">
        <f>[4]INDICECLIMAORGANIZACIONAL!G35</f>
        <v>1</v>
      </c>
      <c r="H43" s="432"/>
      <c r="I43" s="703"/>
      <c r="J43" s="429">
        <f>[4]INDICECLIMAORGANIZACIONAL!J35</f>
        <v>74</v>
      </c>
      <c r="K43" s="430">
        <f>[4]INDICECLIMAORGANIZACIONAL!K35</f>
        <v>0.40217391304347827</v>
      </c>
      <c r="L43" s="430" t="str">
        <f>[4]INDICECLIMAORGANIZACIONAL!L35</f>
        <v>INSATISFATÓRIO</v>
      </c>
      <c r="M43" s="704">
        <f>[4]INDICECLIMAORGANIZACIONAL!M35</f>
        <v>0</v>
      </c>
      <c r="N43" s="425"/>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row>
    <row r="44" spans="1:45" x14ac:dyDescent="0.25">
      <c r="A44" s="433" t="str">
        <f>[4]INDICECLIMAORGANIZACIONAL!A36</f>
        <v>PARCIAL</v>
      </c>
      <c r="B44" s="434"/>
      <c r="C44" s="701"/>
      <c r="D44" s="435">
        <f>[4]INDICECLIMAORGANIZACIONAL!D36</f>
        <v>51</v>
      </c>
      <c r="E44" s="440">
        <f>[4]INDICECLIMAORGANIZACIONAL!E36</f>
        <v>0.265625</v>
      </c>
      <c r="F44" s="431" t="str">
        <f>[4]INDICECLIMAORGANIZACIONAL!F36</f>
        <v>SATISFATÓRIO</v>
      </c>
      <c r="G44" s="704"/>
      <c r="H44" s="432"/>
      <c r="I44" s="703"/>
      <c r="J44" s="429">
        <f>[4]INDICECLIMAORGANIZACIONAL!J36</f>
        <v>70</v>
      </c>
      <c r="K44" s="430">
        <f>[4]INDICECLIMAORGANIZACIONAL!K36</f>
        <v>0.38043478260869568</v>
      </c>
      <c r="L44" s="430" t="str">
        <f>[4]INDICECLIMAORGANIZACIONAL!L36</f>
        <v>SATISFATÓRIO</v>
      </c>
      <c r="M44" s="704"/>
      <c r="N44" s="425"/>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row>
    <row r="45" spans="1:45" x14ac:dyDescent="0.25">
      <c r="A45" s="433" t="str">
        <f>[4]INDICECLIMAORGANIZACIONAL!A37</f>
        <v>NÃO</v>
      </c>
      <c r="B45" s="434"/>
      <c r="C45" s="701"/>
      <c r="D45" s="435">
        <f>[4]INDICECLIMAORGANIZACIONAL!D37</f>
        <v>14</v>
      </c>
      <c r="E45" s="440">
        <f>[4]INDICECLIMAORGANIZACIONAL!E37</f>
        <v>7.2916666666666671E-2</v>
      </c>
      <c r="F45" s="431" t="str">
        <f>[4]INDICECLIMAORGANIZACIONAL!F37</f>
        <v>SATISFATÓRIO</v>
      </c>
      <c r="G45" s="704"/>
      <c r="H45" s="432"/>
      <c r="I45" s="703"/>
      <c r="J45" s="429">
        <f>[4]INDICECLIMAORGANIZACIONAL!J37</f>
        <v>40</v>
      </c>
      <c r="K45" s="430">
        <f>[4]INDICECLIMAORGANIZACIONAL!K37</f>
        <v>0.21739130434782608</v>
      </c>
      <c r="L45" s="430" t="str">
        <f>[4]INDICECLIMAORGANIZACIONAL!L37</f>
        <v>INSATISFATÓRIO</v>
      </c>
      <c r="M45" s="704"/>
      <c r="N45" s="425"/>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row>
    <row r="46" spans="1:45" x14ac:dyDescent="0.25">
      <c r="A46" s="82" t="str">
        <f>[4]INDICECLIMAORGANIZACIONAL!A38</f>
        <v>TOTAL</v>
      </c>
      <c r="B46" s="156"/>
      <c r="C46" s="701"/>
      <c r="D46" s="421">
        <f>[4]INDICECLIMAORGANIZACIONAL!D38</f>
        <v>192</v>
      </c>
      <c r="E46" s="436">
        <f>[4]INDICECLIMAORGANIZACIONAL!E38</f>
        <v>1</v>
      </c>
      <c r="F46" s="437"/>
      <c r="G46" s="438"/>
      <c r="H46" s="169"/>
      <c r="I46" s="703"/>
      <c r="J46" s="421">
        <f>[4]INDICECLIMAORGANIZACIONAL!J38</f>
        <v>184</v>
      </c>
      <c r="K46" s="436">
        <f>[4]INDICECLIMAORGANIZACIONAL!K38</f>
        <v>1</v>
      </c>
      <c r="L46" s="439"/>
      <c r="M46" s="438"/>
      <c r="N46" s="425"/>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row>
    <row r="47" spans="1:45" x14ac:dyDescent="0.25">
      <c r="B47" s="225"/>
      <c r="H47" s="225"/>
      <c r="I47" s="425"/>
      <c r="N47" s="425"/>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row>
    <row r="48" spans="1:45" x14ac:dyDescent="0.25">
      <c r="A48" s="700" t="str">
        <f>[4]INDICECLIMAORGANIZACIONAL!A40</f>
        <v>O MME INVESTE NO MEU CRESCIMENTO PROFISSIONAL?</v>
      </c>
      <c r="B48" s="424"/>
      <c r="C48" s="701" t="str">
        <f>[4]INDICECLIMAORGANIZACIONAL!C40</f>
        <v>ITEM 05</v>
      </c>
      <c r="D48" s="702">
        <f>[4]INDICECLIMAORGANIZACIONAL!D40</f>
        <v>2020</v>
      </c>
      <c r="E48" s="702"/>
      <c r="F48" s="702"/>
      <c r="G48" s="702"/>
      <c r="H48" s="423"/>
      <c r="I48" s="703" t="str">
        <f>[4]INDICECLIMAORGANIZACIONAL!I40</f>
        <v>ITEM 06</v>
      </c>
      <c r="J48" s="702">
        <f>[4]INDICECLIMAORGANIZACIONAL!J40</f>
        <v>2017</v>
      </c>
      <c r="K48" s="702"/>
      <c r="L48" s="702"/>
      <c r="M48" s="702"/>
      <c r="N48" s="425"/>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row>
    <row r="49" spans="1:45" ht="38.25" x14ac:dyDescent="0.25">
      <c r="A49" s="700"/>
      <c r="B49" s="424"/>
      <c r="C49" s="701"/>
      <c r="D49" s="426" t="str">
        <f>[4]INDICECLIMAORGANIZACIONAL!D41</f>
        <v>TOTAL</v>
      </c>
      <c r="E49" s="426" t="str">
        <f>[4]INDICECLIMAORGANIZACIONAL!E41</f>
        <v>%</v>
      </c>
      <c r="F49" s="426" t="str">
        <f>[4]INDICECLIMAORGANIZACIONAL!F41</f>
        <v>RESULTADO</v>
      </c>
      <c r="G49" s="427" t="str">
        <f>[4]INDICECLIMAORGANIZACIONAL!G41</f>
        <v>ITEM AVALIADO POSITIVAMENTE?             (1 - SIM / 0 - NÃO)</v>
      </c>
      <c r="H49" s="158"/>
      <c r="I49" s="703"/>
      <c r="J49" s="426" t="str">
        <f>[4]INDICECLIMAORGANIZACIONAL!J41</f>
        <v>TOTAL</v>
      </c>
      <c r="K49" s="426" t="str">
        <f>[4]INDICECLIMAORGANIZACIONAL!K41</f>
        <v>%</v>
      </c>
      <c r="L49" s="426" t="str">
        <f>[4]INDICECLIMAORGANIZACIONAL!L41</f>
        <v>RESULTADO</v>
      </c>
      <c r="M49" s="427" t="str">
        <f>[4]INDICECLIMAORGANIZACIONAL!M41</f>
        <v>ITEM AVALIADO POSITIVAMENTE?             (1 - SIM / 0 - NÃO)</v>
      </c>
      <c r="N49" s="425"/>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row>
    <row r="50" spans="1:45" x14ac:dyDescent="0.25">
      <c r="A50" s="428" t="str">
        <f>[4]INDICECLIMAORGANIZACIONAL!A42</f>
        <v>SIM</v>
      </c>
      <c r="B50" s="225"/>
      <c r="C50" s="701"/>
      <c r="D50" s="435">
        <f>[4]INDICECLIMAORGANIZACIONAL!D42</f>
        <v>93</v>
      </c>
      <c r="E50" s="440">
        <f>[4]INDICECLIMAORGANIZACIONAL!E42</f>
        <v>0.484375</v>
      </c>
      <c r="F50" s="431" t="str">
        <f>[4]INDICECLIMAORGANIZACIONAL!F42</f>
        <v>INSATISFATÓRIO</v>
      </c>
      <c r="G50" s="704">
        <f>[4]INDICECLIMAORGANIZACIONAL!G42</f>
        <v>0</v>
      </c>
      <c r="H50" s="432"/>
      <c r="I50" s="703"/>
      <c r="J50" s="429">
        <f>[4]INDICECLIMAORGANIZACIONAL!J42</f>
        <v>46</v>
      </c>
      <c r="K50" s="430">
        <f>[4]INDICECLIMAORGANIZACIONAL!K42</f>
        <v>0.2541436464088398</v>
      </c>
      <c r="L50" s="430" t="str">
        <f>[4]INDICECLIMAORGANIZACIONAL!L42</f>
        <v>INSATISFATÓRIO</v>
      </c>
      <c r="M50" s="704">
        <f>[4]INDICECLIMAORGANIZACIONAL!M42</f>
        <v>0</v>
      </c>
      <c r="N50" s="425"/>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row>
    <row r="51" spans="1:45" x14ac:dyDescent="0.25">
      <c r="A51" s="433" t="str">
        <f>[4]INDICECLIMAORGANIZACIONAL!A43</f>
        <v>PARCIAL</v>
      </c>
      <c r="B51" s="434"/>
      <c r="C51" s="701"/>
      <c r="D51" s="435">
        <f>[4]INDICECLIMAORGANIZACIONAL!D43</f>
        <v>75</v>
      </c>
      <c r="E51" s="440">
        <f>[4]INDICECLIMAORGANIZACIONAL!E43</f>
        <v>0.390625</v>
      </c>
      <c r="F51" s="431" t="str">
        <f>[4]INDICECLIMAORGANIZACIONAL!F43</f>
        <v>SATISFATÓRIO</v>
      </c>
      <c r="G51" s="704"/>
      <c r="H51" s="432"/>
      <c r="I51" s="703"/>
      <c r="J51" s="429">
        <f>[4]INDICECLIMAORGANIZACIONAL!J43</f>
        <v>85</v>
      </c>
      <c r="K51" s="430">
        <f>[4]INDICECLIMAORGANIZACIONAL!K43</f>
        <v>0.46961325966850831</v>
      </c>
      <c r="L51" s="430" t="str">
        <f>[4]INDICECLIMAORGANIZACIONAL!L43</f>
        <v>SATISFATÓRIO</v>
      </c>
      <c r="M51" s="704"/>
      <c r="N51" s="425"/>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row>
    <row r="52" spans="1:45" x14ac:dyDescent="0.25">
      <c r="A52" s="433" t="str">
        <f>[4]INDICECLIMAORGANIZACIONAL!A44</f>
        <v>NÃO</v>
      </c>
      <c r="B52" s="434"/>
      <c r="C52" s="701"/>
      <c r="D52" s="435">
        <f>[4]INDICECLIMAORGANIZACIONAL!D44</f>
        <v>24</v>
      </c>
      <c r="E52" s="440">
        <f>[4]INDICECLIMAORGANIZACIONAL!E44</f>
        <v>0.125</v>
      </c>
      <c r="F52" s="431" t="str">
        <f>[4]INDICECLIMAORGANIZACIONAL!F44</f>
        <v>INSATISFATÓRIO</v>
      </c>
      <c r="G52" s="704"/>
      <c r="H52" s="432"/>
      <c r="I52" s="703"/>
      <c r="J52" s="429">
        <f>[4]INDICECLIMAORGANIZACIONAL!J44</f>
        <v>50</v>
      </c>
      <c r="K52" s="430">
        <f>[4]INDICECLIMAORGANIZACIONAL!K44</f>
        <v>0.27624309392265195</v>
      </c>
      <c r="L52" s="430" t="str">
        <f>[4]INDICECLIMAORGANIZACIONAL!L44</f>
        <v>INSATISFATÓRIO</v>
      </c>
      <c r="M52" s="704"/>
      <c r="N52" s="425"/>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row>
    <row r="53" spans="1:45" x14ac:dyDescent="0.25">
      <c r="A53" s="82" t="str">
        <f>[4]INDICECLIMAORGANIZACIONAL!A45</f>
        <v>TOTAL</v>
      </c>
      <c r="B53" s="156"/>
      <c r="C53" s="701"/>
      <c r="D53" s="421">
        <f>[4]INDICECLIMAORGANIZACIONAL!D45</f>
        <v>192</v>
      </c>
      <c r="E53" s="436">
        <f>[4]INDICECLIMAORGANIZACIONAL!E45</f>
        <v>1</v>
      </c>
      <c r="F53" s="437"/>
      <c r="G53" s="438"/>
      <c r="H53" s="169"/>
      <c r="I53" s="703"/>
      <c r="J53" s="421">
        <f>[4]INDICECLIMAORGANIZACIONAL!J45</f>
        <v>181</v>
      </c>
      <c r="K53" s="436">
        <f>[4]INDICECLIMAORGANIZACIONAL!K45</f>
        <v>1</v>
      </c>
      <c r="L53" s="439"/>
      <c r="M53" s="438"/>
      <c r="N53" s="425"/>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row>
    <row r="54" spans="1:45" x14ac:dyDescent="0.25">
      <c r="B54" s="225"/>
      <c r="H54" s="225"/>
      <c r="I54" s="425"/>
      <c r="N54" s="425"/>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row>
    <row r="55" spans="1:45" x14ac:dyDescent="0.25">
      <c r="A55" s="700" t="str">
        <f>[4]INDICECLIMAORGANIZACIONAL!A47</f>
        <v>SINTO ORGULHO DE SER SERVIDOR/EMPREGADO DO MME?</v>
      </c>
      <c r="B55" s="424"/>
      <c r="C55" s="701" t="str">
        <f>[4]INDICECLIMAORGANIZACIONAL!C47</f>
        <v>ITEM 06</v>
      </c>
      <c r="D55" s="706">
        <f>[4]INDICECLIMAORGANIZACIONAL!D47</f>
        <v>2020</v>
      </c>
      <c r="E55" s="707"/>
      <c r="F55" s="707"/>
      <c r="G55" s="708"/>
      <c r="H55" s="423"/>
      <c r="I55" s="703" t="str">
        <f>[4]INDICECLIMAORGANIZACIONAL!I47</f>
        <v>ITEM 07</v>
      </c>
      <c r="J55" s="702">
        <f>[4]INDICECLIMAORGANIZACIONAL!J47</f>
        <v>2017</v>
      </c>
      <c r="K55" s="702"/>
      <c r="L55" s="702"/>
      <c r="M55" s="702"/>
      <c r="N55" s="425"/>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row>
    <row r="56" spans="1:45" ht="38.25" x14ac:dyDescent="0.25">
      <c r="A56" s="700"/>
      <c r="B56" s="424"/>
      <c r="C56" s="701"/>
      <c r="D56" s="426" t="str">
        <f>[4]INDICECLIMAORGANIZACIONAL!D48</f>
        <v>TOTAL</v>
      </c>
      <c r="E56" s="426" t="str">
        <f>[4]INDICECLIMAORGANIZACIONAL!E48</f>
        <v>%</v>
      </c>
      <c r="F56" s="426" t="str">
        <f>[4]INDICECLIMAORGANIZACIONAL!F48</f>
        <v>RESULTADO</v>
      </c>
      <c r="G56" s="427" t="str">
        <f>[4]INDICECLIMAORGANIZACIONAL!G48</f>
        <v>ITEM AVALIADO POSITIVAMENTE?             (1 - SIM / 0 - NÃO)</v>
      </c>
      <c r="H56" s="158"/>
      <c r="I56" s="703"/>
      <c r="J56" s="426" t="str">
        <f>[4]INDICECLIMAORGANIZACIONAL!J48</f>
        <v>TOTAL</v>
      </c>
      <c r="K56" s="426" t="str">
        <f>[4]INDICECLIMAORGANIZACIONAL!K48</f>
        <v>%</v>
      </c>
      <c r="L56" s="426" t="str">
        <f>[4]INDICECLIMAORGANIZACIONAL!L48</f>
        <v>RESULTADO</v>
      </c>
      <c r="M56" s="427" t="str">
        <f>[4]INDICECLIMAORGANIZACIONAL!M48</f>
        <v>ITEM AVALIADO POSITIVAMENTE?             (1 - SIM / 0 - NÃO)</v>
      </c>
      <c r="N56" s="425"/>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row>
    <row r="57" spans="1:45" x14ac:dyDescent="0.25">
      <c r="A57" s="428" t="str">
        <f>[4]INDICECLIMAORGANIZACIONAL!A49</f>
        <v>SIM</v>
      </c>
      <c r="B57" s="225"/>
      <c r="C57" s="701"/>
      <c r="D57" s="435">
        <f>[4]INDICECLIMAORGANIZACIONAL!D49</f>
        <v>161</v>
      </c>
      <c r="E57" s="440">
        <f>[4]INDICECLIMAORGANIZACIONAL!E49</f>
        <v>0.83854166666666663</v>
      </c>
      <c r="F57" s="431" t="str">
        <f>[4]INDICECLIMAORGANIZACIONAL!F49</f>
        <v>DESEJÁVEL</v>
      </c>
      <c r="G57" s="704">
        <f>[4]INDICECLIMAORGANIZACIONAL!G49</f>
        <v>1</v>
      </c>
      <c r="H57" s="432"/>
      <c r="I57" s="703"/>
      <c r="J57" s="429">
        <f>[4]INDICECLIMAORGANIZACIONAL!J49</f>
        <v>114</v>
      </c>
      <c r="K57" s="430">
        <f>[4]INDICECLIMAORGANIZACIONAL!K49</f>
        <v>0.6333333333333333</v>
      </c>
      <c r="L57" s="430" t="str">
        <f>[4]INDICECLIMAORGANIZACIONAL!L49</f>
        <v>SATISFATÓRIO</v>
      </c>
      <c r="M57" s="704">
        <f>[4]INDICECLIMAORGANIZACIONAL!M49</f>
        <v>1</v>
      </c>
      <c r="N57" s="425"/>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row>
    <row r="58" spans="1:45" x14ac:dyDescent="0.25">
      <c r="A58" s="433" t="str">
        <f>[4]INDICECLIMAORGANIZACIONAL!A50</f>
        <v>PARCIAL</v>
      </c>
      <c r="B58" s="434"/>
      <c r="C58" s="701"/>
      <c r="D58" s="435">
        <f>[4]INDICECLIMAORGANIZACIONAL!D50</f>
        <v>26</v>
      </c>
      <c r="E58" s="440">
        <f>[4]INDICECLIMAORGANIZACIONAL!E50</f>
        <v>0.13541666666666666</v>
      </c>
      <c r="F58" s="431" t="str">
        <f>[4]INDICECLIMAORGANIZACIONAL!F50</f>
        <v>SATISFATÓRIO</v>
      </c>
      <c r="G58" s="704"/>
      <c r="H58" s="432"/>
      <c r="I58" s="703"/>
      <c r="J58" s="429">
        <f>[4]INDICECLIMAORGANIZACIONAL!J50</f>
        <v>46</v>
      </c>
      <c r="K58" s="430">
        <f>[4]INDICECLIMAORGANIZACIONAL!K50</f>
        <v>0.25555555555555554</v>
      </c>
      <c r="L58" s="430" t="str">
        <f>[4]INDICECLIMAORGANIZACIONAL!L50</f>
        <v>SATISFATÓRIO</v>
      </c>
      <c r="M58" s="704"/>
      <c r="N58" s="425"/>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row>
    <row r="59" spans="1:45" x14ac:dyDescent="0.25">
      <c r="A59" s="433" t="str">
        <f>[4]INDICECLIMAORGANIZACIONAL!A51</f>
        <v>NÃO</v>
      </c>
      <c r="B59" s="434"/>
      <c r="C59" s="701"/>
      <c r="D59" s="435">
        <f>[4]INDICECLIMAORGANIZACIONAL!D51</f>
        <v>5</v>
      </c>
      <c r="E59" s="440">
        <f>[4]INDICECLIMAORGANIZACIONAL!E51</f>
        <v>2.6041666666666668E-2</v>
      </c>
      <c r="F59" s="431" t="str">
        <f>[4]INDICECLIMAORGANIZACIONAL!F51</f>
        <v>DESEJÁVEL</v>
      </c>
      <c r="G59" s="704"/>
      <c r="H59" s="432"/>
      <c r="I59" s="703"/>
      <c r="J59" s="429">
        <f>[4]INDICECLIMAORGANIZACIONAL!J51</f>
        <v>20</v>
      </c>
      <c r="K59" s="430">
        <f>[4]INDICECLIMAORGANIZACIONAL!K51</f>
        <v>0.1111111111111111</v>
      </c>
      <c r="L59" s="430" t="str">
        <f>[4]INDICECLIMAORGANIZACIONAL!L51</f>
        <v>INSATISFATÓRIO</v>
      </c>
      <c r="M59" s="704"/>
      <c r="N59" s="425"/>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row>
    <row r="60" spans="1:45" x14ac:dyDescent="0.25">
      <c r="A60" s="82" t="str">
        <f>[4]INDICECLIMAORGANIZACIONAL!A52</f>
        <v>TOTAL</v>
      </c>
      <c r="B60" s="156"/>
      <c r="C60" s="701"/>
      <c r="D60" s="421">
        <f>[4]INDICECLIMAORGANIZACIONAL!D52</f>
        <v>192</v>
      </c>
      <c r="E60" s="436">
        <f>[4]INDICECLIMAORGANIZACIONAL!E52</f>
        <v>0.99999999999999989</v>
      </c>
      <c r="F60" s="437"/>
      <c r="G60" s="438"/>
      <c r="H60" s="169"/>
      <c r="I60" s="703"/>
      <c r="J60" s="421">
        <f>[4]INDICECLIMAORGANIZACIONAL!J52</f>
        <v>180</v>
      </c>
      <c r="K60" s="436">
        <f>[4]INDICECLIMAORGANIZACIONAL!K52</f>
        <v>1</v>
      </c>
      <c r="L60" s="439"/>
      <c r="M60" s="438"/>
      <c r="N60" s="425"/>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row>
    <row r="61" spans="1:45" x14ac:dyDescent="0.25">
      <c r="B61" s="225"/>
      <c r="H61" s="225"/>
      <c r="I61" s="425"/>
      <c r="N61" s="425"/>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row>
    <row r="62" spans="1:45" x14ac:dyDescent="0.25">
      <c r="A62" s="700" t="str">
        <f>[4]INDICECLIMAORGANIZACIONAL!A54</f>
        <v>CONFIO PLENAMENTE NA MINHA CHEFIA</v>
      </c>
      <c r="B62" s="424"/>
      <c r="C62" s="701" t="str">
        <f>[4]INDICECLIMAORGANIZACIONAL!C54</f>
        <v>ITEM **</v>
      </c>
      <c r="D62" s="702">
        <f>[4]INDICECLIMAORGANIZACIONAL!D54</f>
        <v>2020</v>
      </c>
      <c r="E62" s="702"/>
      <c r="F62" s="702"/>
      <c r="G62" s="702"/>
      <c r="H62" s="423"/>
      <c r="I62" s="703" t="str">
        <f>[4]INDICECLIMAORGANIZACIONAL!I54</f>
        <v>ITEM 08</v>
      </c>
      <c r="J62" s="702">
        <f>[4]INDICECLIMAORGANIZACIONAL!J54</f>
        <v>2017</v>
      </c>
      <c r="K62" s="702"/>
      <c r="L62" s="702"/>
      <c r="M62" s="702"/>
      <c r="N62" s="425"/>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row>
    <row r="63" spans="1:45" ht="38.25" x14ac:dyDescent="0.25">
      <c r="A63" s="700"/>
      <c r="B63" s="424"/>
      <c r="C63" s="701"/>
      <c r="D63" s="426" t="str">
        <f>[4]INDICECLIMAORGANIZACIONAL!D55</f>
        <v>TOTAL</v>
      </c>
      <c r="E63" s="426" t="str">
        <f>[4]INDICECLIMAORGANIZACIONAL!E55</f>
        <v>%</v>
      </c>
      <c r="F63" s="426" t="str">
        <f>[4]INDICECLIMAORGANIZACIONAL!F55</f>
        <v>RESULTADO</v>
      </c>
      <c r="G63" s="427" t="str">
        <f>[4]INDICECLIMAORGANIZACIONAL!G55</f>
        <v>ITEM AVALIADO POSITIVAMENTE?             (1 - SIM / 0 - NÃO)</v>
      </c>
      <c r="H63" s="158"/>
      <c r="I63" s="703"/>
      <c r="J63" s="426" t="str">
        <f>[4]INDICECLIMAORGANIZACIONAL!J55</f>
        <v>TOTAL</v>
      </c>
      <c r="K63" s="426" t="str">
        <f>[4]INDICECLIMAORGANIZACIONAL!K55</f>
        <v>%</v>
      </c>
      <c r="L63" s="426" t="str">
        <f>[4]INDICECLIMAORGANIZACIONAL!L55</f>
        <v>RESULTADO</v>
      </c>
      <c r="M63" s="427" t="str">
        <f>[4]INDICECLIMAORGANIZACIONAL!M55</f>
        <v>ITEM AVALIADO POSITIVAMENTE?             (1 - SIM / 0 - NÃO)</v>
      </c>
      <c r="N63" s="425"/>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row>
    <row r="64" spans="1:45" x14ac:dyDescent="0.25">
      <c r="A64" s="428" t="str">
        <f>[4]INDICECLIMAORGANIZACIONAL!A56</f>
        <v>SIM</v>
      </c>
      <c r="B64" s="225"/>
      <c r="C64" s="701"/>
      <c r="D64" s="435" t="str">
        <f>[4]INDICECLIMAORGANIZACIONAL!D56</f>
        <v>*</v>
      </c>
      <c r="E64" s="440" t="str">
        <f>[4]INDICECLIMAORGANIZACIONAL!E56</f>
        <v>*</v>
      </c>
      <c r="F64" s="431" t="str">
        <f>[4]INDICECLIMAORGANIZACIONAL!F56</f>
        <v>*</v>
      </c>
      <c r="G64" s="705" t="str">
        <f>[4]INDICECLIMAORGANIZACIONAL!G56</f>
        <v>**</v>
      </c>
      <c r="H64" s="432"/>
      <c r="I64" s="703"/>
      <c r="J64" s="429">
        <f>[4]INDICECLIMAORGANIZACIONAL!J56</f>
        <v>113</v>
      </c>
      <c r="K64" s="430">
        <f>[4]INDICECLIMAORGANIZACIONAL!K56</f>
        <v>0.61413043478260865</v>
      </c>
      <c r="L64" s="430" t="str">
        <f>[4]INDICECLIMAORGANIZACIONAL!L56</f>
        <v>SATISFATÓRIO</v>
      </c>
      <c r="M64" s="704">
        <f>[4]INDICECLIMAORGANIZACIONAL!M56</f>
        <v>1</v>
      </c>
      <c r="N64" s="425"/>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row>
    <row r="65" spans="1:45" x14ac:dyDescent="0.25">
      <c r="A65" s="433" t="str">
        <f>[4]INDICECLIMAORGANIZACIONAL!A57</f>
        <v>PARCIAL</v>
      </c>
      <c r="B65" s="434"/>
      <c r="C65" s="701"/>
      <c r="D65" s="435" t="str">
        <f>[4]INDICECLIMAORGANIZACIONAL!D57</f>
        <v>*</v>
      </c>
      <c r="E65" s="440" t="str">
        <f>[4]INDICECLIMAORGANIZACIONAL!E57</f>
        <v>*</v>
      </c>
      <c r="F65" s="431" t="str">
        <f>[4]INDICECLIMAORGANIZACIONAL!F57</f>
        <v>*</v>
      </c>
      <c r="G65" s="705"/>
      <c r="H65" s="432"/>
      <c r="I65" s="703"/>
      <c r="J65" s="429">
        <f>[4]INDICECLIMAORGANIZACIONAL!J57</f>
        <v>48</v>
      </c>
      <c r="K65" s="430">
        <f>[4]INDICECLIMAORGANIZACIONAL!K57</f>
        <v>0.2608695652173913</v>
      </c>
      <c r="L65" s="430" t="str">
        <f>[4]INDICECLIMAORGANIZACIONAL!L57</f>
        <v>SATISFATÓRIO</v>
      </c>
      <c r="M65" s="704"/>
      <c r="N65" s="425"/>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row>
    <row r="66" spans="1:45" x14ac:dyDescent="0.25">
      <c r="A66" s="433" t="str">
        <f>[4]INDICECLIMAORGANIZACIONAL!A58</f>
        <v>NÃO</v>
      </c>
      <c r="B66" s="434"/>
      <c r="C66" s="701"/>
      <c r="D66" s="435" t="str">
        <f>[4]INDICECLIMAORGANIZACIONAL!D58</f>
        <v>*</v>
      </c>
      <c r="E66" s="440" t="str">
        <f>[4]INDICECLIMAORGANIZACIONAL!E58</f>
        <v>*</v>
      </c>
      <c r="F66" s="431" t="str">
        <f>[4]INDICECLIMAORGANIZACIONAL!F58</f>
        <v>*</v>
      </c>
      <c r="G66" s="705"/>
      <c r="H66" s="432"/>
      <c r="I66" s="703"/>
      <c r="J66" s="429">
        <f>[4]INDICECLIMAORGANIZACIONAL!J58</f>
        <v>23</v>
      </c>
      <c r="K66" s="430">
        <f>[4]INDICECLIMAORGANIZACIONAL!K58</f>
        <v>0.125</v>
      </c>
      <c r="L66" s="430" t="str">
        <f>[4]INDICECLIMAORGANIZACIONAL!L58</f>
        <v>INSATISFATÓRIO</v>
      </c>
      <c r="M66" s="704"/>
      <c r="N66" s="425"/>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row>
    <row r="67" spans="1:45" x14ac:dyDescent="0.25">
      <c r="A67" s="82" t="str">
        <f>[4]INDICECLIMAORGANIZACIONAL!A59</f>
        <v>TOTAL</v>
      </c>
      <c r="B67" s="156"/>
      <c r="C67" s="701"/>
      <c r="D67" s="421" t="str">
        <f>[4]INDICECLIMAORGANIZACIONAL!D59</f>
        <v>*</v>
      </c>
      <c r="E67" s="436" t="str">
        <f>[4]INDICECLIMAORGANIZACIONAL!E59</f>
        <v>*</v>
      </c>
      <c r="F67" s="437"/>
      <c r="G67" s="438"/>
      <c r="H67" s="169"/>
      <c r="I67" s="703"/>
      <c r="J67" s="421">
        <f>[4]INDICECLIMAORGANIZACIONAL!J59</f>
        <v>184</v>
      </c>
      <c r="K67" s="436">
        <f>[4]INDICECLIMAORGANIZACIONAL!K59</f>
        <v>1</v>
      </c>
      <c r="L67" s="439"/>
      <c r="M67" s="438"/>
      <c r="N67" s="425"/>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row>
    <row r="68" spans="1:45" x14ac:dyDescent="0.25">
      <c r="B68" s="225"/>
      <c r="H68" s="225"/>
      <c r="I68" s="425"/>
      <c r="N68" s="425"/>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row>
    <row r="69" spans="1:45" x14ac:dyDescent="0.25">
      <c r="A69" s="700" t="str">
        <f>[4]INDICECLIMAORGANIZACIONAL!A61</f>
        <v>MEU CHEFE TEM O PERFIL INDICADO PARA FUNÇÃO QUE OCUPA?</v>
      </c>
      <c r="B69" s="424"/>
      <c r="C69" s="701" t="str">
        <f>[4]INDICECLIMAORGANIZACIONAL!C61</f>
        <v>ITEM 07</v>
      </c>
      <c r="D69" s="702">
        <f>[4]INDICECLIMAORGANIZACIONAL!D61</f>
        <v>2020</v>
      </c>
      <c r="E69" s="702"/>
      <c r="F69" s="702"/>
      <c r="G69" s="702"/>
      <c r="H69" s="423"/>
      <c r="I69" s="703" t="str">
        <f>[4]INDICECLIMAORGANIZACIONAL!I61</f>
        <v>ITEM 09</v>
      </c>
      <c r="J69" s="702">
        <f>[4]INDICECLIMAORGANIZACIONAL!J61</f>
        <v>2017</v>
      </c>
      <c r="K69" s="702"/>
      <c r="L69" s="702"/>
      <c r="M69" s="702"/>
      <c r="N69" s="425"/>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row>
    <row r="70" spans="1:45" ht="38.25" x14ac:dyDescent="0.25">
      <c r="A70" s="700"/>
      <c r="B70" s="424"/>
      <c r="C70" s="701"/>
      <c r="D70" s="426" t="str">
        <f>[4]INDICECLIMAORGANIZACIONAL!D62</f>
        <v>TOTAL</v>
      </c>
      <c r="E70" s="426" t="str">
        <f>[4]INDICECLIMAORGANIZACIONAL!E62</f>
        <v>%</v>
      </c>
      <c r="F70" s="426" t="str">
        <f>[4]INDICECLIMAORGANIZACIONAL!F62</f>
        <v>RESULTADO</v>
      </c>
      <c r="G70" s="427" t="str">
        <f>[4]INDICECLIMAORGANIZACIONAL!G62</f>
        <v>ITEM AVALIADO POSITIVAMENTE?             (1 - SIM / 0 - NÃO)</v>
      </c>
      <c r="H70" s="158"/>
      <c r="I70" s="703"/>
      <c r="J70" s="426" t="str">
        <f>[4]INDICECLIMAORGANIZACIONAL!J62</f>
        <v>TOTAL</v>
      </c>
      <c r="K70" s="426" t="str">
        <f>[4]INDICECLIMAORGANIZACIONAL!K62</f>
        <v>%</v>
      </c>
      <c r="L70" s="426" t="str">
        <f>[4]INDICECLIMAORGANIZACIONAL!L62</f>
        <v>RESULTADO</v>
      </c>
      <c r="M70" s="427" t="str">
        <f>[4]INDICECLIMAORGANIZACIONAL!M62</f>
        <v>ITEM AVALIADO POSITIVAMENTE?             (1 - SIM / 0 - NÃO)</v>
      </c>
      <c r="N70" s="425"/>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row>
    <row r="71" spans="1:45" x14ac:dyDescent="0.25">
      <c r="A71" s="428" t="str">
        <f>[4]INDICECLIMAORGANIZACIONAL!A63</f>
        <v>SIM</v>
      </c>
      <c r="B71" s="225"/>
      <c r="C71" s="701"/>
      <c r="D71" s="435">
        <f>[4]INDICECLIMAORGANIZACIONAL!D63</f>
        <v>166</v>
      </c>
      <c r="E71" s="440">
        <f>[4]INDICECLIMAORGANIZACIONAL!E63</f>
        <v>0.86458333333333337</v>
      </c>
      <c r="F71" s="431" t="str">
        <f>[4]INDICECLIMAORGANIZACIONAL!F63</f>
        <v>DESEJÁVEL</v>
      </c>
      <c r="G71" s="704">
        <f>[4]INDICECLIMAORGANIZACIONAL!G63</f>
        <v>1</v>
      </c>
      <c r="H71" s="432"/>
      <c r="I71" s="703"/>
      <c r="J71" s="429">
        <f>[4]INDICECLIMAORGANIZACIONAL!J63</f>
        <v>132</v>
      </c>
      <c r="K71" s="430">
        <f>[4]INDICECLIMAORGANIZACIONAL!K63</f>
        <v>0.71739130434782605</v>
      </c>
      <c r="L71" s="430" t="str">
        <f>[4]INDICECLIMAORGANIZACIONAL!L63</f>
        <v>SATISFATÓRIO</v>
      </c>
      <c r="M71" s="704">
        <f>[4]INDICECLIMAORGANIZACIONAL!M63</f>
        <v>1</v>
      </c>
      <c r="N71" s="425"/>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row>
    <row r="72" spans="1:45" x14ac:dyDescent="0.25">
      <c r="A72" s="433" t="str">
        <f>[4]INDICECLIMAORGANIZACIONAL!A64</f>
        <v>PARCIAL</v>
      </c>
      <c r="B72" s="434"/>
      <c r="C72" s="701"/>
      <c r="D72" s="435">
        <f>[4]INDICECLIMAORGANIZACIONAL!D64</f>
        <v>19</v>
      </c>
      <c r="E72" s="440">
        <f>[4]INDICECLIMAORGANIZACIONAL!E64</f>
        <v>9.8958333333333329E-2</v>
      </c>
      <c r="F72" s="431" t="str">
        <f>[4]INDICECLIMAORGANIZACIONAL!F64</f>
        <v>SATISFATÓRIO</v>
      </c>
      <c r="G72" s="704"/>
      <c r="H72" s="432"/>
      <c r="I72" s="703"/>
      <c r="J72" s="429">
        <f>[4]INDICECLIMAORGANIZACIONAL!J64</f>
        <v>39</v>
      </c>
      <c r="K72" s="430">
        <f>[4]INDICECLIMAORGANIZACIONAL!K64</f>
        <v>0.21195652173913043</v>
      </c>
      <c r="L72" s="430" t="str">
        <f>[4]INDICECLIMAORGANIZACIONAL!L64</f>
        <v>SATISFATÓRIO</v>
      </c>
      <c r="M72" s="704"/>
      <c r="N72" s="425"/>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row>
    <row r="73" spans="1:45" x14ac:dyDescent="0.25">
      <c r="A73" s="433" t="str">
        <f>[4]INDICECLIMAORGANIZACIONAL!A65</f>
        <v>NÃO</v>
      </c>
      <c r="B73" s="434"/>
      <c r="C73" s="701"/>
      <c r="D73" s="435">
        <f>[4]INDICECLIMAORGANIZACIONAL!D65</f>
        <v>7</v>
      </c>
      <c r="E73" s="440">
        <f>[4]INDICECLIMAORGANIZACIONAL!E65</f>
        <v>3.6458333333333336E-2</v>
      </c>
      <c r="F73" s="431" t="str">
        <f>[4]INDICECLIMAORGANIZACIONAL!F65</f>
        <v>DESEJÁVEL</v>
      </c>
      <c r="G73" s="704"/>
      <c r="H73" s="432"/>
      <c r="I73" s="703"/>
      <c r="J73" s="429">
        <f>[4]INDICECLIMAORGANIZACIONAL!J65</f>
        <v>13</v>
      </c>
      <c r="K73" s="430">
        <f>[4]INDICECLIMAORGANIZACIONAL!K65</f>
        <v>7.0652173913043473E-2</v>
      </c>
      <c r="L73" s="430" t="str">
        <f>[4]INDICECLIMAORGANIZACIONAL!L65</f>
        <v>SATISFATÓRIO</v>
      </c>
      <c r="M73" s="704"/>
      <c r="N73" s="425"/>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row>
    <row r="74" spans="1:45" x14ac:dyDescent="0.25">
      <c r="A74" s="82" t="str">
        <f>[4]INDICECLIMAORGANIZACIONAL!A66</f>
        <v>TOTAL</v>
      </c>
      <c r="B74" s="156"/>
      <c r="C74" s="701"/>
      <c r="D74" s="421">
        <f>[4]INDICECLIMAORGANIZACIONAL!D66</f>
        <v>192</v>
      </c>
      <c r="E74" s="436">
        <f>[4]INDICECLIMAORGANIZACIONAL!E66</f>
        <v>1</v>
      </c>
      <c r="F74" s="437"/>
      <c r="G74" s="438"/>
      <c r="H74" s="169"/>
      <c r="I74" s="703"/>
      <c r="J74" s="421">
        <f>[4]INDICECLIMAORGANIZACIONAL!J66</f>
        <v>184</v>
      </c>
      <c r="K74" s="436">
        <f>[4]INDICECLIMAORGANIZACIONAL!K66</f>
        <v>1</v>
      </c>
      <c r="L74" s="439"/>
      <c r="M74" s="438"/>
      <c r="N74" s="425"/>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row>
    <row r="75" spans="1:45" x14ac:dyDescent="0.25">
      <c r="B75" s="225"/>
      <c r="H75" s="225"/>
      <c r="I75" s="425"/>
      <c r="N75" s="425"/>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row>
    <row r="76" spans="1:45" x14ac:dyDescent="0.25">
      <c r="A76" s="700" t="str">
        <f>[4]INDICECLIMAORGANIZACIONAL!A68</f>
        <v>MEU CHEFE IMPULSIONA A EQUIPE PARA ALCANÇAR AS METAS</v>
      </c>
      <c r="B76" s="424"/>
      <c r="C76" s="701" t="str">
        <f>[4]INDICECLIMAORGANIZACIONAL!C68</f>
        <v>ITEM 08</v>
      </c>
      <c r="D76" s="702">
        <f>[4]INDICECLIMAORGANIZACIONAL!D68</f>
        <v>2020</v>
      </c>
      <c r="E76" s="702"/>
      <c r="F76" s="702"/>
      <c r="G76" s="702"/>
      <c r="H76" s="423"/>
      <c r="I76" s="703" t="str">
        <f>[4]INDICECLIMAORGANIZACIONAL!I68</f>
        <v>ITEM 10</v>
      </c>
      <c r="J76" s="702">
        <f>[4]INDICECLIMAORGANIZACIONAL!J68</f>
        <v>2017</v>
      </c>
      <c r="K76" s="702"/>
      <c r="L76" s="702"/>
      <c r="M76" s="702"/>
      <c r="N76" s="425"/>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row>
    <row r="77" spans="1:45" ht="38.25" x14ac:dyDescent="0.25">
      <c r="A77" s="700"/>
      <c r="B77" s="424"/>
      <c r="C77" s="701"/>
      <c r="D77" s="426" t="str">
        <f>[4]INDICECLIMAORGANIZACIONAL!D69</f>
        <v>TOTAL</v>
      </c>
      <c r="E77" s="426" t="str">
        <f>[4]INDICECLIMAORGANIZACIONAL!E69</f>
        <v>%</v>
      </c>
      <c r="F77" s="426" t="str">
        <f>[4]INDICECLIMAORGANIZACIONAL!F69</f>
        <v>RESULTADO</v>
      </c>
      <c r="G77" s="427" t="str">
        <f>[4]INDICECLIMAORGANIZACIONAL!G69</f>
        <v>ITEM AVALIADO POSITIVAMENTE?             (1 - SIM / 0 - NÃO)</v>
      </c>
      <c r="H77" s="158"/>
      <c r="I77" s="703"/>
      <c r="J77" s="426" t="str">
        <f>[4]INDICECLIMAORGANIZACIONAL!J69</f>
        <v>TOTAL</v>
      </c>
      <c r="K77" s="426" t="str">
        <f>[4]INDICECLIMAORGANIZACIONAL!K69</f>
        <v>%</v>
      </c>
      <c r="L77" s="426" t="str">
        <f>[4]INDICECLIMAORGANIZACIONAL!L69</f>
        <v>RESULTADO</v>
      </c>
      <c r="M77" s="427" t="str">
        <f>[4]INDICECLIMAORGANIZACIONAL!M69</f>
        <v>ITEM AVALIADO POSITIVAMENTE?             (1 - SIM / 0 - NÃO)</v>
      </c>
      <c r="N77" s="425"/>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row>
    <row r="78" spans="1:45" x14ac:dyDescent="0.25">
      <c r="A78" s="428" t="str">
        <f>[4]INDICECLIMAORGANIZACIONAL!A70</f>
        <v>SIM</v>
      </c>
      <c r="B78" s="225"/>
      <c r="C78" s="701"/>
      <c r="D78" s="435">
        <f>[4]INDICECLIMAORGANIZACIONAL!D70</f>
        <v>163</v>
      </c>
      <c r="E78" s="440">
        <f>[4]INDICECLIMAORGANIZACIONAL!E70</f>
        <v>0.84895833333333337</v>
      </c>
      <c r="F78" s="431" t="str">
        <f>[4]INDICECLIMAORGANIZACIONAL!F70</f>
        <v>DESEJÁVEL</v>
      </c>
      <c r="G78" s="704">
        <f>[4]INDICECLIMAORGANIZACIONAL!G70</f>
        <v>1</v>
      </c>
      <c r="H78" s="432"/>
      <c r="I78" s="703"/>
      <c r="J78" s="429">
        <f>[4]INDICECLIMAORGANIZACIONAL!J70</f>
        <v>112</v>
      </c>
      <c r="K78" s="430">
        <f>[4]INDICECLIMAORGANIZACIONAL!K70</f>
        <v>0.60869565217391308</v>
      </c>
      <c r="L78" s="430" t="str">
        <f>[4]INDICECLIMAORGANIZACIONAL!L70</f>
        <v>SATISFATÓRIO</v>
      </c>
      <c r="M78" s="704">
        <f>[4]INDICECLIMAORGANIZACIONAL!M70</f>
        <v>1</v>
      </c>
      <c r="N78" s="425"/>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row>
    <row r="79" spans="1:45" x14ac:dyDescent="0.25">
      <c r="A79" s="433" t="str">
        <f>[4]INDICECLIMAORGANIZACIONAL!A71</f>
        <v>PARCIAL</v>
      </c>
      <c r="B79" s="434"/>
      <c r="C79" s="701"/>
      <c r="D79" s="435">
        <f>[4]INDICECLIMAORGANIZACIONAL!D71</f>
        <v>23</v>
      </c>
      <c r="E79" s="440">
        <f>[4]INDICECLIMAORGANIZACIONAL!E71</f>
        <v>0.11979166666666667</v>
      </c>
      <c r="F79" s="431" t="str">
        <f>[4]INDICECLIMAORGANIZACIONAL!F71</f>
        <v>SATISFATÓRIO</v>
      </c>
      <c r="G79" s="704"/>
      <c r="H79" s="432"/>
      <c r="I79" s="703"/>
      <c r="J79" s="429">
        <f>[4]INDICECLIMAORGANIZACIONAL!J71</f>
        <v>45</v>
      </c>
      <c r="K79" s="430">
        <f>[4]INDICECLIMAORGANIZACIONAL!K71</f>
        <v>0.24456521739130435</v>
      </c>
      <c r="L79" s="430" t="str">
        <f>[4]INDICECLIMAORGANIZACIONAL!L71</f>
        <v>SATISFATÓRIO</v>
      </c>
      <c r="M79" s="704"/>
      <c r="N79" s="425"/>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row>
    <row r="80" spans="1:45" x14ac:dyDescent="0.25">
      <c r="A80" s="433" t="str">
        <f>[4]INDICECLIMAORGANIZACIONAL!A72</f>
        <v>NÃO</v>
      </c>
      <c r="B80" s="434"/>
      <c r="C80" s="701"/>
      <c r="D80" s="435">
        <f>[4]INDICECLIMAORGANIZACIONAL!D72</f>
        <v>6</v>
      </c>
      <c r="E80" s="440">
        <f>[4]INDICECLIMAORGANIZACIONAL!E72</f>
        <v>3.125E-2</v>
      </c>
      <c r="F80" s="431" t="str">
        <f>[4]INDICECLIMAORGANIZACIONAL!F72</f>
        <v>DESEJÁVEL</v>
      </c>
      <c r="G80" s="704"/>
      <c r="H80" s="432"/>
      <c r="I80" s="703"/>
      <c r="J80" s="429">
        <f>[4]INDICECLIMAORGANIZACIONAL!J72</f>
        <v>27</v>
      </c>
      <c r="K80" s="430">
        <f>[4]INDICECLIMAORGANIZACIONAL!K72</f>
        <v>0.14673913043478262</v>
      </c>
      <c r="L80" s="430" t="str">
        <f>[4]INDICECLIMAORGANIZACIONAL!L72</f>
        <v>INSATISFATÓRIO</v>
      </c>
      <c r="M80" s="704"/>
      <c r="N80" s="425"/>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row>
    <row r="81" spans="1:45" x14ac:dyDescent="0.25">
      <c r="A81" s="82" t="str">
        <f>[4]INDICECLIMAORGANIZACIONAL!A73</f>
        <v>TOTAL</v>
      </c>
      <c r="B81" s="156"/>
      <c r="C81" s="701"/>
      <c r="D81" s="421">
        <f>[4]INDICECLIMAORGANIZACIONAL!D73</f>
        <v>192</v>
      </c>
      <c r="E81" s="436">
        <f>[4]INDICECLIMAORGANIZACIONAL!E73</f>
        <v>1</v>
      </c>
      <c r="F81" s="437"/>
      <c r="G81" s="438"/>
      <c r="H81" s="169"/>
      <c r="I81" s="703"/>
      <c r="J81" s="421">
        <f>[4]INDICECLIMAORGANIZACIONAL!J73</f>
        <v>184</v>
      </c>
      <c r="K81" s="436">
        <f>[4]INDICECLIMAORGANIZACIONAL!K73</f>
        <v>1</v>
      </c>
      <c r="L81" s="439"/>
      <c r="M81" s="438"/>
      <c r="N81" s="425"/>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row>
    <row r="82" spans="1:45" x14ac:dyDescent="0.25">
      <c r="B82" s="225"/>
      <c r="H82" s="225"/>
      <c r="I82" s="425"/>
      <c r="N82" s="425"/>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row>
    <row r="83" spans="1:45" x14ac:dyDescent="0.25">
      <c r="A83" s="700" t="str">
        <f>[4]INDICECLIMAORGANIZACIONAL!A75</f>
        <v>CONSIDERO A EQUIPE DO MEU SETOR/UNIDADE SUFICIENTE PARA O DESENVOLVIMENTO DAS ATIVIDADES?</v>
      </c>
      <c r="B83" s="424"/>
      <c r="C83" s="701" t="str">
        <f>[4]INDICECLIMAORGANIZACIONAL!C75</f>
        <v>ITEM 09</v>
      </c>
      <c r="D83" s="702">
        <f>[4]INDICECLIMAORGANIZACIONAL!D75</f>
        <v>2020</v>
      </c>
      <c r="E83" s="702"/>
      <c r="F83" s="702"/>
      <c r="G83" s="702"/>
      <c r="H83" s="423"/>
      <c r="I83" s="703" t="str">
        <f>[4]INDICECLIMAORGANIZACIONAL!I75</f>
        <v>ITEM 11</v>
      </c>
      <c r="J83" s="702">
        <f>[4]INDICECLIMAORGANIZACIONAL!J75</f>
        <v>2017</v>
      </c>
      <c r="K83" s="702"/>
      <c r="L83" s="702"/>
      <c r="M83" s="702"/>
      <c r="N83" s="425"/>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row>
    <row r="84" spans="1:45" ht="38.25" x14ac:dyDescent="0.25">
      <c r="A84" s="700"/>
      <c r="B84" s="424"/>
      <c r="C84" s="701"/>
      <c r="D84" s="426" t="str">
        <f>[4]INDICECLIMAORGANIZACIONAL!D76</f>
        <v>TOTAL</v>
      </c>
      <c r="E84" s="426" t="str">
        <f>[4]INDICECLIMAORGANIZACIONAL!E76</f>
        <v>%</v>
      </c>
      <c r="F84" s="426" t="str">
        <f>[4]INDICECLIMAORGANIZACIONAL!F76</f>
        <v>RESULTADO</v>
      </c>
      <c r="G84" s="427" t="str">
        <f>[4]INDICECLIMAORGANIZACIONAL!G76</f>
        <v>ITEM AVALIADO POSITIVAMENTE?             (1 - SIM / 0 - NÃO)</v>
      </c>
      <c r="H84" s="158"/>
      <c r="I84" s="703"/>
      <c r="J84" s="426" t="str">
        <f>[4]INDICECLIMAORGANIZACIONAL!J76</f>
        <v>TOTAL</v>
      </c>
      <c r="K84" s="426" t="str">
        <f>[4]INDICECLIMAORGANIZACIONAL!K76</f>
        <v>%</v>
      </c>
      <c r="L84" s="426" t="str">
        <f>[4]INDICECLIMAORGANIZACIONAL!L76</f>
        <v>RESULTADO</v>
      </c>
      <c r="M84" s="427" t="str">
        <f>[4]INDICECLIMAORGANIZACIONAL!M76</f>
        <v>ITEM AVALIADO POSITIVAMENTE?             (1 - SIM / 0 - NÃO)</v>
      </c>
      <c r="N84" s="425"/>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row>
    <row r="85" spans="1:45" x14ac:dyDescent="0.25">
      <c r="A85" s="428" t="str">
        <f>[4]INDICECLIMAORGANIZACIONAL!A77</f>
        <v>SIM</v>
      </c>
      <c r="B85" s="225"/>
      <c r="C85" s="701"/>
      <c r="D85" s="435">
        <f>[4]INDICECLIMAORGANIZACIONAL!D77</f>
        <v>72</v>
      </c>
      <c r="E85" s="440">
        <f>[4]INDICECLIMAORGANIZACIONAL!E77</f>
        <v>0.375</v>
      </c>
      <c r="F85" s="431" t="str">
        <f>[4]INDICECLIMAORGANIZACIONAL!F77</f>
        <v>INSATISFATÓRIO</v>
      </c>
      <c r="G85" s="704">
        <f>[4]INDICECLIMAORGANIZACIONAL!G77</f>
        <v>0</v>
      </c>
      <c r="H85" s="432"/>
      <c r="I85" s="703"/>
      <c r="J85" s="429">
        <f>[4]INDICECLIMAORGANIZACIONAL!J77</f>
        <v>68</v>
      </c>
      <c r="K85" s="430">
        <f>[4]INDICECLIMAORGANIZACIONAL!K77</f>
        <v>0.37158469945355194</v>
      </c>
      <c r="L85" s="430" t="str">
        <f>[4]INDICECLIMAORGANIZACIONAL!L77</f>
        <v>INSATISFATÓRIO</v>
      </c>
      <c r="M85" s="704">
        <f>[4]INDICECLIMAORGANIZACIONAL!M77</f>
        <v>0</v>
      </c>
      <c r="N85" s="425"/>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row>
    <row r="86" spans="1:45" x14ac:dyDescent="0.25">
      <c r="A86" s="433" t="str">
        <f>[4]INDICECLIMAORGANIZACIONAL!A78</f>
        <v>PARCIAL</v>
      </c>
      <c r="B86" s="434"/>
      <c r="C86" s="701"/>
      <c r="D86" s="435">
        <f>[4]INDICECLIMAORGANIZACIONAL!D78</f>
        <v>68</v>
      </c>
      <c r="E86" s="440">
        <f>[4]INDICECLIMAORGANIZACIONAL!E78</f>
        <v>0.35416666666666669</v>
      </c>
      <c r="F86" s="431" t="str">
        <f>[4]INDICECLIMAORGANIZACIONAL!F78</f>
        <v>SATISFATÓRIO</v>
      </c>
      <c r="G86" s="704"/>
      <c r="H86" s="432"/>
      <c r="I86" s="703"/>
      <c r="J86" s="429">
        <f>[4]INDICECLIMAORGANIZACIONAL!J78</f>
        <v>67</v>
      </c>
      <c r="K86" s="430">
        <f>[4]INDICECLIMAORGANIZACIONAL!K78</f>
        <v>0.36612021857923499</v>
      </c>
      <c r="L86" s="430" t="str">
        <f>[4]INDICECLIMAORGANIZACIONAL!L78</f>
        <v>SATISFATÓRIO</v>
      </c>
      <c r="M86" s="704"/>
      <c r="N86" s="425"/>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row>
    <row r="87" spans="1:45" x14ac:dyDescent="0.25">
      <c r="A87" s="433" t="str">
        <f>[4]INDICECLIMAORGANIZACIONAL!A79</f>
        <v>NÃO</v>
      </c>
      <c r="B87" s="434"/>
      <c r="C87" s="701"/>
      <c r="D87" s="435">
        <f>[4]INDICECLIMAORGANIZACIONAL!D79</f>
        <v>52</v>
      </c>
      <c r="E87" s="440">
        <f>[4]INDICECLIMAORGANIZACIONAL!E79</f>
        <v>0.27083333333333331</v>
      </c>
      <c r="F87" s="431" t="str">
        <f>[4]INDICECLIMAORGANIZACIONAL!F79</f>
        <v>INSATISFATÓRIO</v>
      </c>
      <c r="G87" s="704"/>
      <c r="H87" s="432"/>
      <c r="I87" s="703"/>
      <c r="J87" s="429">
        <f>[4]INDICECLIMAORGANIZACIONAL!J79</f>
        <v>48</v>
      </c>
      <c r="K87" s="430">
        <f>[4]INDICECLIMAORGANIZACIONAL!K79</f>
        <v>0.26229508196721313</v>
      </c>
      <c r="L87" s="430" t="str">
        <f>[4]INDICECLIMAORGANIZACIONAL!L79</f>
        <v>INSATISFATÓRIO</v>
      </c>
      <c r="M87" s="704"/>
      <c r="N87" s="425"/>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row>
    <row r="88" spans="1:45" x14ac:dyDescent="0.25">
      <c r="A88" s="82" t="str">
        <f>[4]INDICECLIMAORGANIZACIONAL!A80</f>
        <v>TOTAL</v>
      </c>
      <c r="B88" s="156"/>
      <c r="C88" s="701"/>
      <c r="D88" s="421">
        <f>[4]INDICECLIMAORGANIZACIONAL!D80</f>
        <v>192</v>
      </c>
      <c r="E88" s="436">
        <f>[4]INDICECLIMAORGANIZACIONAL!E80</f>
        <v>1</v>
      </c>
      <c r="F88" s="437"/>
      <c r="G88" s="438"/>
      <c r="H88" s="169"/>
      <c r="I88" s="703"/>
      <c r="J88" s="421">
        <f>[4]INDICECLIMAORGANIZACIONAL!J80</f>
        <v>183</v>
      </c>
      <c r="K88" s="436">
        <f>[4]INDICECLIMAORGANIZACIONAL!K80</f>
        <v>1</v>
      </c>
      <c r="L88" s="439"/>
      <c r="M88" s="438"/>
      <c r="N88" s="425"/>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row>
    <row r="89" spans="1:45" x14ac:dyDescent="0.25">
      <c r="B89" s="225"/>
      <c r="H89" s="225"/>
      <c r="I89" s="425"/>
      <c r="N89" s="425"/>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row>
    <row r="90" spans="1:45" x14ac:dyDescent="0.25">
      <c r="A90" s="700" t="str">
        <f>[4]INDICECLIMAORGANIZACIONAL!A82</f>
        <v>CONSIDERO ADEQUADA A DISTRIBUIÇÃO DAS TAREFAS NO SETOR/UNIDADE EM QUE ATUO?</v>
      </c>
      <c r="B90" s="424"/>
      <c r="C90" s="701" t="str">
        <f>[4]INDICECLIMAORGANIZACIONAL!C82</f>
        <v>ITEM 10</v>
      </c>
      <c r="D90" s="702">
        <f>[4]INDICECLIMAORGANIZACIONAL!D82</f>
        <v>2020</v>
      </c>
      <c r="E90" s="702"/>
      <c r="F90" s="702"/>
      <c r="G90" s="702"/>
      <c r="H90" s="423"/>
      <c r="I90" s="703" t="str">
        <f>[4]INDICECLIMAORGANIZACIONAL!I82</f>
        <v>ITEM 12</v>
      </c>
      <c r="J90" s="702">
        <f>[4]INDICECLIMAORGANIZACIONAL!J82</f>
        <v>2017</v>
      </c>
      <c r="K90" s="702"/>
      <c r="L90" s="702"/>
      <c r="M90" s="702"/>
      <c r="N90" s="425"/>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row>
    <row r="91" spans="1:45" ht="38.25" x14ac:dyDescent="0.25">
      <c r="A91" s="700"/>
      <c r="B91" s="424"/>
      <c r="C91" s="701"/>
      <c r="D91" s="426" t="str">
        <f>[4]INDICECLIMAORGANIZACIONAL!D83</f>
        <v>TOTAL</v>
      </c>
      <c r="E91" s="426" t="str">
        <f>[4]INDICECLIMAORGANIZACIONAL!E83</f>
        <v>%</v>
      </c>
      <c r="F91" s="426" t="str">
        <f>[4]INDICECLIMAORGANIZACIONAL!F83</f>
        <v>RESULTADO</v>
      </c>
      <c r="G91" s="427" t="str">
        <f>[4]INDICECLIMAORGANIZACIONAL!G83</f>
        <v>ITEM AVALIADO POSITIVAMENTE?             (1 - SIM / 0 - NÃO)</v>
      </c>
      <c r="H91" s="158"/>
      <c r="I91" s="703"/>
      <c r="J91" s="426" t="str">
        <f>[4]INDICECLIMAORGANIZACIONAL!J83</f>
        <v>TOTAL</v>
      </c>
      <c r="K91" s="426" t="str">
        <f>[4]INDICECLIMAORGANIZACIONAL!K83</f>
        <v>%</v>
      </c>
      <c r="L91" s="426" t="str">
        <f>[4]INDICECLIMAORGANIZACIONAL!L83</f>
        <v>RESULTADO</v>
      </c>
      <c r="M91" s="427" t="str">
        <f>[4]INDICECLIMAORGANIZACIONAL!M83</f>
        <v>ITEM AVALIADO POSITIVAMENTE?             (1 - SIM / 0 - NÃO)</v>
      </c>
      <c r="N91" s="425"/>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row>
    <row r="92" spans="1:45" x14ac:dyDescent="0.25">
      <c r="A92" s="428" t="str">
        <f>[4]INDICECLIMAORGANIZACIONAL!A84</f>
        <v>SIM</v>
      </c>
      <c r="B92" s="225"/>
      <c r="C92" s="701"/>
      <c r="D92" s="435">
        <f>[4]INDICECLIMAORGANIZACIONAL!D84</f>
        <v>84</v>
      </c>
      <c r="E92" s="440">
        <f>[4]INDICECLIMAORGANIZACIONAL!E84</f>
        <v>0.4375</v>
      </c>
      <c r="F92" s="431" t="str">
        <f>[4]INDICECLIMAORGANIZACIONAL!F84</f>
        <v>INSATISFATÓRIO</v>
      </c>
      <c r="G92" s="704">
        <f>[4]INDICECLIMAORGANIZACIONAL!G84</f>
        <v>0</v>
      </c>
      <c r="H92" s="432"/>
      <c r="I92" s="703"/>
      <c r="J92" s="429">
        <f>[4]INDICECLIMAORGANIZACIONAL!J84</f>
        <v>65</v>
      </c>
      <c r="K92" s="430">
        <f>[4]INDICECLIMAORGANIZACIONAL!K84</f>
        <v>0.3551912568306011</v>
      </c>
      <c r="L92" s="430" t="str">
        <f>[4]INDICECLIMAORGANIZACIONAL!L84</f>
        <v>INSATISFATÓRIO</v>
      </c>
      <c r="M92" s="704">
        <f>[4]INDICECLIMAORGANIZACIONAL!M84</f>
        <v>0</v>
      </c>
      <c r="N92" s="425"/>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row>
    <row r="93" spans="1:45" x14ac:dyDescent="0.25">
      <c r="A93" s="433" t="str">
        <f>[4]INDICECLIMAORGANIZACIONAL!A85</f>
        <v>PARCIAL</v>
      </c>
      <c r="B93" s="434"/>
      <c r="C93" s="701"/>
      <c r="D93" s="435">
        <f>[4]INDICECLIMAORGANIZACIONAL!D85</f>
        <v>73</v>
      </c>
      <c r="E93" s="440">
        <f>[4]INDICECLIMAORGANIZACIONAL!E85</f>
        <v>0.38020833333333331</v>
      </c>
      <c r="F93" s="431" t="str">
        <f>[4]INDICECLIMAORGANIZACIONAL!F85</f>
        <v>SATISFATÓRIO</v>
      </c>
      <c r="G93" s="704"/>
      <c r="H93" s="432"/>
      <c r="I93" s="703"/>
      <c r="J93" s="429">
        <f>[4]INDICECLIMAORGANIZACIONAL!J85</f>
        <v>65</v>
      </c>
      <c r="K93" s="430">
        <f>[4]INDICECLIMAORGANIZACIONAL!K85</f>
        <v>0.3551912568306011</v>
      </c>
      <c r="L93" s="430" t="str">
        <f>[4]INDICECLIMAORGANIZACIONAL!L85</f>
        <v>SATISFATÓRIO</v>
      </c>
      <c r="M93" s="704"/>
      <c r="N93" s="425"/>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row>
    <row r="94" spans="1:45" x14ac:dyDescent="0.25">
      <c r="A94" s="433" t="str">
        <f>[4]INDICECLIMAORGANIZACIONAL!A86</f>
        <v>NÃO</v>
      </c>
      <c r="B94" s="434"/>
      <c r="C94" s="701"/>
      <c r="D94" s="435">
        <f>[4]INDICECLIMAORGANIZACIONAL!D86</f>
        <v>35</v>
      </c>
      <c r="E94" s="440">
        <f>[4]INDICECLIMAORGANIZACIONAL!E86</f>
        <v>0.18229166666666666</v>
      </c>
      <c r="F94" s="431" t="str">
        <f>[4]INDICECLIMAORGANIZACIONAL!F86</f>
        <v>INSATISFATÓRIO</v>
      </c>
      <c r="G94" s="704"/>
      <c r="H94" s="432"/>
      <c r="I94" s="703"/>
      <c r="J94" s="429">
        <f>[4]INDICECLIMAORGANIZACIONAL!J86</f>
        <v>53</v>
      </c>
      <c r="K94" s="430">
        <f>[4]INDICECLIMAORGANIZACIONAL!K86</f>
        <v>0.2896174863387978</v>
      </c>
      <c r="L94" s="430" t="str">
        <f>[4]INDICECLIMAORGANIZACIONAL!L86</f>
        <v>INSATISFATÓRIO</v>
      </c>
      <c r="M94" s="704"/>
      <c r="N94" s="425"/>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row>
    <row r="95" spans="1:45" x14ac:dyDescent="0.25">
      <c r="A95" s="82" t="str">
        <f>[4]INDICECLIMAORGANIZACIONAL!A87</f>
        <v>TOTAL</v>
      </c>
      <c r="B95" s="156"/>
      <c r="C95" s="701"/>
      <c r="D95" s="421">
        <f>[4]INDICECLIMAORGANIZACIONAL!D87</f>
        <v>192</v>
      </c>
      <c r="E95" s="436">
        <f>[4]INDICECLIMAORGANIZACIONAL!E87</f>
        <v>0.99999999999999989</v>
      </c>
      <c r="F95" s="437"/>
      <c r="G95" s="438"/>
      <c r="H95" s="169"/>
      <c r="I95" s="703"/>
      <c r="J95" s="421">
        <f>[4]INDICECLIMAORGANIZACIONAL!J87</f>
        <v>183</v>
      </c>
      <c r="K95" s="436">
        <f>[4]INDICECLIMAORGANIZACIONAL!K87</f>
        <v>1</v>
      </c>
      <c r="L95" s="439"/>
      <c r="M95" s="438"/>
      <c r="N95" s="425"/>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row>
    <row r="96" spans="1:45" x14ac:dyDescent="0.25">
      <c r="B96" s="225"/>
      <c r="H96" s="225"/>
      <c r="I96" s="425"/>
      <c r="N96" s="425"/>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row>
    <row r="97" spans="1:45" x14ac:dyDescent="0.25">
      <c r="A97" s="700" t="str">
        <f>[4]INDICECLIMAORGANIZACIONAL!A89</f>
        <v>MEU SALÁRIO É JUSTO E ADEQUADO A MINHA FUNÇÃO?</v>
      </c>
      <c r="B97" s="424"/>
      <c r="C97" s="701" t="str">
        <f>[4]INDICECLIMAORGANIZACIONAL!C89</f>
        <v>ITEM 11</v>
      </c>
      <c r="D97" s="702">
        <f>[4]INDICECLIMAORGANIZACIONAL!D89</f>
        <v>2020</v>
      </c>
      <c r="E97" s="702"/>
      <c r="F97" s="702"/>
      <c r="G97" s="702"/>
      <c r="H97" s="423"/>
      <c r="I97" s="703" t="str">
        <f>[4]INDICECLIMAORGANIZACIONAL!I89</f>
        <v>ITEM 13</v>
      </c>
      <c r="J97" s="702">
        <f>[4]INDICECLIMAORGANIZACIONAL!J89</f>
        <v>2017</v>
      </c>
      <c r="K97" s="702"/>
      <c r="L97" s="702"/>
      <c r="M97" s="702"/>
      <c r="N97" s="425"/>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row>
    <row r="98" spans="1:45" ht="38.25" x14ac:dyDescent="0.25">
      <c r="A98" s="700"/>
      <c r="B98" s="424"/>
      <c r="C98" s="701"/>
      <c r="D98" s="426" t="str">
        <f>[4]INDICECLIMAORGANIZACIONAL!D90</f>
        <v>TOTAL</v>
      </c>
      <c r="E98" s="426" t="str">
        <f>[4]INDICECLIMAORGANIZACIONAL!E90</f>
        <v>%</v>
      </c>
      <c r="F98" s="426" t="str">
        <f>[4]INDICECLIMAORGANIZACIONAL!F90</f>
        <v>RESULTADO</v>
      </c>
      <c r="G98" s="427" t="str">
        <f>[4]INDICECLIMAORGANIZACIONAL!G90</f>
        <v>ITEM AVALIADO POSITIVAMENTE?             (1 - SIM / 0 - NÃO)</v>
      </c>
      <c r="H98" s="158"/>
      <c r="I98" s="703"/>
      <c r="J98" s="426" t="str">
        <f>[4]INDICECLIMAORGANIZACIONAL!J90</f>
        <v>TOTAL</v>
      </c>
      <c r="K98" s="426" t="str">
        <f>[4]INDICECLIMAORGANIZACIONAL!K90</f>
        <v>%</v>
      </c>
      <c r="L98" s="426" t="str">
        <f>[4]INDICECLIMAORGANIZACIONAL!L90</f>
        <v>RESULTADO</v>
      </c>
      <c r="M98" s="427" t="str">
        <f>[4]INDICECLIMAORGANIZACIONAL!M90</f>
        <v>ITEM AVALIADO POSITIVAMENTE?             (1 - SIM / 0 - NÃO)</v>
      </c>
      <c r="N98" s="425"/>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row>
    <row r="99" spans="1:45" x14ac:dyDescent="0.25">
      <c r="A99" s="428" t="str">
        <f>[4]INDICECLIMAORGANIZACIONAL!A91</f>
        <v>SIM</v>
      </c>
      <c r="B99" s="225"/>
      <c r="C99" s="701"/>
      <c r="D99" s="435">
        <f>[4]INDICECLIMAORGANIZACIONAL!D91</f>
        <v>90</v>
      </c>
      <c r="E99" s="440">
        <f>[4]INDICECLIMAORGANIZACIONAL!E91</f>
        <v>0.46875</v>
      </c>
      <c r="F99" s="431" t="str">
        <f>[4]INDICECLIMAORGANIZACIONAL!F91</f>
        <v>INSATISFATÓRIO</v>
      </c>
      <c r="G99" s="704">
        <f>[4]INDICECLIMAORGANIZACIONAL!G91</f>
        <v>0</v>
      </c>
      <c r="H99" s="432"/>
      <c r="I99" s="703"/>
      <c r="J99" s="429">
        <f>[4]INDICECLIMAORGANIZACIONAL!J91</f>
        <v>61</v>
      </c>
      <c r="K99" s="430">
        <f>[4]INDICECLIMAORGANIZACIONAL!K91</f>
        <v>0.33333333333333331</v>
      </c>
      <c r="L99" s="430" t="str">
        <f>[4]INDICECLIMAORGANIZACIONAL!L91</f>
        <v>INSATISFATÓRIO</v>
      </c>
      <c r="M99" s="704">
        <f>[4]INDICECLIMAORGANIZACIONAL!M91</f>
        <v>0</v>
      </c>
      <c r="N99" s="425"/>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row>
    <row r="100" spans="1:45" x14ac:dyDescent="0.25">
      <c r="A100" s="433" t="str">
        <f>[4]INDICECLIMAORGANIZACIONAL!A92</f>
        <v>PARCIAL</v>
      </c>
      <c r="B100" s="434"/>
      <c r="C100" s="701"/>
      <c r="D100" s="435">
        <f>[4]INDICECLIMAORGANIZACIONAL!D92</f>
        <v>69</v>
      </c>
      <c r="E100" s="440">
        <f>[4]INDICECLIMAORGANIZACIONAL!E92</f>
        <v>0.359375</v>
      </c>
      <c r="F100" s="431" t="str">
        <f>[4]INDICECLIMAORGANIZACIONAL!F92</f>
        <v>SATISFATÓRIO</v>
      </c>
      <c r="G100" s="704"/>
      <c r="H100" s="432"/>
      <c r="I100" s="703"/>
      <c r="J100" s="429">
        <f>[4]INDICECLIMAORGANIZACIONAL!J92</f>
        <v>58</v>
      </c>
      <c r="K100" s="430">
        <f>[4]INDICECLIMAORGANIZACIONAL!K92</f>
        <v>0.31693989071038253</v>
      </c>
      <c r="L100" s="430" t="str">
        <f>[4]INDICECLIMAORGANIZACIONAL!L92</f>
        <v>SATISFATÓRIO</v>
      </c>
      <c r="M100" s="704"/>
      <c r="N100" s="425"/>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row>
    <row r="101" spans="1:45" x14ac:dyDescent="0.25">
      <c r="A101" s="433" t="str">
        <f>[4]INDICECLIMAORGANIZACIONAL!A93</f>
        <v>NÃO</v>
      </c>
      <c r="B101" s="434"/>
      <c r="C101" s="701"/>
      <c r="D101" s="435">
        <f>[4]INDICECLIMAORGANIZACIONAL!D93</f>
        <v>33</v>
      </c>
      <c r="E101" s="440">
        <f>[4]INDICECLIMAORGANIZACIONAL!E93</f>
        <v>0.171875</v>
      </c>
      <c r="F101" s="431" t="str">
        <f>[4]INDICECLIMAORGANIZACIONAL!F93</f>
        <v>INSATISFATÓRIO</v>
      </c>
      <c r="G101" s="704"/>
      <c r="H101" s="432"/>
      <c r="I101" s="703"/>
      <c r="J101" s="429">
        <f>[4]INDICECLIMAORGANIZACIONAL!J93</f>
        <v>64</v>
      </c>
      <c r="K101" s="430">
        <f>[4]INDICECLIMAORGANIZACIONAL!K93</f>
        <v>0.34972677595628415</v>
      </c>
      <c r="L101" s="430" t="str">
        <f>[4]INDICECLIMAORGANIZACIONAL!L93</f>
        <v>CRÍTICO</v>
      </c>
      <c r="M101" s="704"/>
      <c r="N101" s="425"/>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row>
    <row r="102" spans="1:45" x14ac:dyDescent="0.25">
      <c r="A102" s="82" t="str">
        <f>[4]INDICECLIMAORGANIZACIONAL!A94</f>
        <v>TOTAL</v>
      </c>
      <c r="B102" s="156"/>
      <c r="C102" s="701"/>
      <c r="D102" s="421">
        <f>[4]INDICECLIMAORGANIZACIONAL!D94</f>
        <v>192</v>
      </c>
      <c r="E102" s="436">
        <f>[4]INDICECLIMAORGANIZACIONAL!E94</f>
        <v>1</v>
      </c>
      <c r="F102" s="437"/>
      <c r="G102" s="438"/>
      <c r="H102" s="169"/>
      <c r="I102" s="703"/>
      <c r="J102" s="421">
        <f>[4]INDICECLIMAORGANIZACIONAL!J94</f>
        <v>183</v>
      </c>
      <c r="K102" s="436">
        <f>[4]INDICECLIMAORGANIZACIONAL!K94</f>
        <v>1</v>
      </c>
      <c r="L102" s="439"/>
      <c r="M102" s="438"/>
      <c r="N102" s="425"/>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row>
    <row r="103" spans="1:45" x14ac:dyDescent="0.25">
      <c r="B103" s="225"/>
      <c r="H103" s="225"/>
      <c r="I103" s="425"/>
      <c r="N103" s="425"/>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row>
    <row r="104" spans="1:45" x14ac:dyDescent="0.25">
      <c r="A104" s="700" t="str">
        <f>[4]INDICECLIMAORGANIZACIONAL!A96</f>
        <v>MEU SALÁRIO E BENEFÍCIOS ESTÃO NA MÉDIA OU ACIMA DO QUE É OFERECIDO NO MERCADO?</v>
      </c>
      <c r="B104" s="424"/>
      <c r="C104" s="701" t="str">
        <f>[4]INDICECLIMAORGANIZACIONAL!C96</f>
        <v>ITEM 12</v>
      </c>
      <c r="D104" s="702">
        <f>[4]INDICECLIMAORGANIZACIONAL!D96</f>
        <v>2020</v>
      </c>
      <c r="E104" s="702"/>
      <c r="F104" s="702"/>
      <c r="G104" s="702"/>
      <c r="H104" s="423"/>
      <c r="I104" s="703" t="str">
        <f>[4]INDICECLIMAORGANIZACIONAL!I96</f>
        <v>ITEM **</v>
      </c>
      <c r="J104" s="702">
        <f>[4]INDICECLIMAORGANIZACIONAL!J96</f>
        <v>2017</v>
      </c>
      <c r="K104" s="702"/>
      <c r="L104" s="702"/>
      <c r="M104" s="702"/>
      <c r="N104" s="425"/>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row>
    <row r="105" spans="1:45" ht="38.25" x14ac:dyDescent="0.25">
      <c r="A105" s="700"/>
      <c r="B105" s="424"/>
      <c r="C105" s="701"/>
      <c r="D105" s="426" t="str">
        <f>[4]INDICECLIMAORGANIZACIONAL!D97</f>
        <v>TOTAL</v>
      </c>
      <c r="E105" s="426" t="str">
        <f>[4]INDICECLIMAORGANIZACIONAL!E97</f>
        <v>%</v>
      </c>
      <c r="F105" s="426" t="str">
        <f>[4]INDICECLIMAORGANIZACIONAL!F97</f>
        <v>RESULTADO</v>
      </c>
      <c r="G105" s="427" t="str">
        <f>[4]INDICECLIMAORGANIZACIONAL!G97</f>
        <v>ITEM AVALIADO POSITIVAMENTE?             (1 - SIM / 0 - NÃO)</v>
      </c>
      <c r="H105" s="158"/>
      <c r="I105" s="703"/>
      <c r="J105" s="426" t="str">
        <f>[4]INDICECLIMAORGANIZACIONAL!J97</f>
        <v>TOTAL</v>
      </c>
      <c r="K105" s="426" t="str">
        <f>[4]INDICECLIMAORGANIZACIONAL!K97</f>
        <v>%</v>
      </c>
      <c r="L105" s="426" t="str">
        <f>[4]INDICECLIMAORGANIZACIONAL!L97</f>
        <v>RESULTADO</v>
      </c>
      <c r="M105" s="427" t="str">
        <f>[4]INDICECLIMAORGANIZACIONAL!M97</f>
        <v>ITEM AVALIADO POSITIVAMENTE?             (1 - SIM / 0 - NÃO)</v>
      </c>
      <c r="N105" s="425"/>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row>
    <row r="106" spans="1:45" x14ac:dyDescent="0.25">
      <c r="A106" s="428" t="str">
        <f>[4]INDICECLIMAORGANIZACIONAL!A98</f>
        <v>SIM</v>
      </c>
      <c r="B106" s="225"/>
      <c r="C106" s="701"/>
      <c r="D106" s="435">
        <f>[4]INDICECLIMAORGANIZACIONAL!D98</f>
        <v>55</v>
      </c>
      <c r="E106" s="440">
        <f>[4]INDICECLIMAORGANIZACIONAL!E98</f>
        <v>0.28645833333333331</v>
      </c>
      <c r="F106" s="431" t="str">
        <f>[4]INDICECLIMAORGANIZACIONAL!F98</f>
        <v>INSATISFATÓRIO</v>
      </c>
      <c r="G106" s="704">
        <f>[4]INDICECLIMAORGANIZACIONAL!G98</f>
        <v>0</v>
      </c>
      <c r="H106" s="432"/>
      <c r="I106" s="703"/>
      <c r="J106" s="429" t="str">
        <f>[4]INDICECLIMAORGANIZACIONAL!J98</f>
        <v>*</v>
      </c>
      <c r="K106" s="430" t="str">
        <f>[4]INDICECLIMAORGANIZACIONAL!K98</f>
        <v>*</v>
      </c>
      <c r="L106" s="440" t="str">
        <f>[4]INDICECLIMAORGANIZACIONAL!L98</f>
        <v>*</v>
      </c>
      <c r="M106" s="705" t="str">
        <f>[4]INDICECLIMAORGANIZACIONAL!M98</f>
        <v>**</v>
      </c>
      <c r="N106" s="425"/>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row>
    <row r="107" spans="1:45" x14ac:dyDescent="0.25">
      <c r="A107" s="433" t="str">
        <f>[4]INDICECLIMAORGANIZACIONAL!A99</f>
        <v>PARCIAL</v>
      </c>
      <c r="B107" s="434"/>
      <c r="C107" s="701"/>
      <c r="D107" s="435">
        <f>[4]INDICECLIMAORGANIZACIONAL!D99</f>
        <v>81</v>
      </c>
      <c r="E107" s="440">
        <f>[4]INDICECLIMAORGANIZACIONAL!E99</f>
        <v>0.421875</v>
      </c>
      <c r="F107" s="431" t="str">
        <f>[4]INDICECLIMAORGANIZACIONAL!F99</f>
        <v>SATISFATÓRIO</v>
      </c>
      <c r="G107" s="704"/>
      <c r="H107" s="432"/>
      <c r="I107" s="703"/>
      <c r="J107" s="429" t="str">
        <f>[4]INDICECLIMAORGANIZACIONAL!J99</f>
        <v>*</v>
      </c>
      <c r="K107" s="430" t="str">
        <f>[4]INDICECLIMAORGANIZACIONAL!K99</f>
        <v>*</v>
      </c>
      <c r="L107" s="440" t="str">
        <f>[4]INDICECLIMAORGANIZACIONAL!L99</f>
        <v>*</v>
      </c>
      <c r="M107" s="705"/>
      <c r="N107" s="425"/>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row>
    <row r="108" spans="1:45" x14ac:dyDescent="0.25">
      <c r="A108" s="433" t="str">
        <f>[4]INDICECLIMAORGANIZACIONAL!A100</f>
        <v>NÃO</v>
      </c>
      <c r="B108" s="434"/>
      <c r="C108" s="701"/>
      <c r="D108" s="435">
        <f>[4]INDICECLIMAORGANIZACIONAL!D100</f>
        <v>56</v>
      </c>
      <c r="E108" s="440">
        <f>[4]INDICECLIMAORGANIZACIONAL!E100</f>
        <v>0.29166666666666669</v>
      </c>
      <c r="F108" s="431" t="str">
        <f>[4]INDICECLIMAORGANIZACIONAL!F100</f>
        <v>INSATISFATÓRIO</v>
      </c>
      <c r="G108" s="704"/>
      <c r="H108" s="432"/>
      <c r="I108" s="703"/>
      <c r="J108" s="429" t="str">
        <f>[4]INDICECLIMAORGANIZACIONAL!J100</f>
        <v>*</v>
      </c>
      <c r="K108" s="430" t="str">
        <f>[4]INDICECLIMAORGANIZACIONAL!K100</f>
        <v>*</v>
      </c>
      <c r="L108" s="440" t="str">
        <f>[4]INDICECLIMAORGANIZACIONAL!L100</f>
        <v>*</v>
      </c>
      <c r="M108" s="705"/>
      <c r="N108" s="425"/>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row>
    <row r="109" spans="1:45" x14ac:dyDescent="0.25">
      <c r="A109" s="82" t="str">
        <f>[4]INDICECLIMAORGANIZACIONAL!A101</f>
        <v>TOTAL</v>
      </c>
      <c r="B109" s="156"/>
      <c r="C109" s="701"/>
      <c r="D109" s="421">
        <f>[4]INDICECLIMAORGANIZACIONAL!D101</f>
        <v>192</v>
      </c>
      <c r="E109" s="436">
        <f>[4]INDICECLIMAORGANIZACIONAL!E101</f>
        <v>1</v>
      </c>
      <c r="F109" s="437"/>
      <c r="G109" s="438"/>
      <c r="H109" s="169"/>
      <c r="I109" s="703"/>
      <c r="J109" s="421" t="str">
        <f>[4]INDICECLIMAORGANIZACIONAL!J101</f>
        <v>*</v>
      </c>
      <c r="K109" s="436" t="str">
        <f>[4]INDICECLIMAORGANIZACIONAL!K101</f>
        <v>*</v>
      </c>
      <c r="L109" s="439"/>
      <c r="M109" s="438"/>
      <c r="N109" s="425"/>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row>
    <row r="110" spans="1:45" x14ac:dyDescent="0.25">
      <c r="A110">
        <f>[4]INDICECLIMAORGANIZACIONAL!A102</f>
        <v>0</v>
      </c>
      <c r="B110" s="225"/>
      <c r="C110">
        <f>[4]INDICECLIMAORGANIZACIONAL!C102</f>
        <v>0</v>
      </c>
      <c r="D110">
        <f>[4]INDICECLIMAORGANIZACIONAL!D102</f>
        <v>0</v>
      </c>
      <c r="E110">
        <f>[4]INDICECLIMAORGANIZACIONAL!E102</f>
        <v>0</v>
      </c>
      <c r="F110">
        <f>[4]INDICECLIMAORGANIZACIONAL!F102</f>
        <v>0</v>
      </c>
      <c r="G110">
        <f>[4]INDICECLIMAORGANIZACIONAL!G102</f>
        <v>0</v>
      </c>
      <c r="H110" s="225"/>
      <c r="I110" s="425">
        <f>[4]INDICECLIMAORGANIZACIONAL!I102</f>
        <v>0</v>
      </c>
      <c r="J110">
        <f>[4]INDICECLIMAORGANIZACIONAL!J102</f>
        <v>0</v>
      </c>
      <c r="K110">
        <f>[4]INDICECLIMAORGANIZACIONAL!K102</f>
        <v>0</v>
      </c>
      <c r="L110">
        <f>[4]INDICECLIMAORGANIZACIONAL!L102</f>
        <v>0</v>
      </c>
      <c r="M110">
        <f>[4]INDICECLIMAORGANIZACIONAL!M102</f>
        <v>0</v>
      </c>
      <c r="N110" s="425"/>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row>
    <row r="111" spans="1:45" x14ac:dyDescent="0.25">
      <c r="A111" s="700" t="str">
        <f>[4]INDICECLIMAORGANIZACIONAL!A103</f>
        <v>O RELACIONAMENTO COM OS COLEGAS DE TRABALHO FAVORECE A EXECUÇÃO DAS ATIVIDADES NA UNIDADE/SETOR?</v>
      </c>
      <c r="B111" s="424"/>
      <c r="C111" s="701" t="str">
        <f>[4]INDICECLIMAORGANIZACIONAL!C103</f>
        <v>ITEM 13</v>
      </c>
      <c r="D111" s="702">
        <f>[4]INDICECLIMAORGANIZACIONAL!D103</f>
        <v>2020</v>
      </c>
      <c r="E111" s="702"/>
      <c r="F111" s="702"/>
      <c r="G111" s="702"/>
      <c r="H111" s="423"/>
      <c r="I111" s="703" t="str">
        <f>[4]INDICECLIMAORGANIZACIONAL!I103</f>
        <v>ITEM 14</v>
      </c>
      <c r="J111" s="702">
        <f>[4]INDICECLIMAORGANIZACIONAL!J103</f>
        <v>2017</v>
      </c>
      <c r="K111" s="702"/>
      <c r="L111" s="702"/>
      <c r="M111" s="702"/>
      <c r="N111" s="425"/>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row>
    <row r="112" spans="1:45" ht="38.25" x14ac:dyDescent="0.25">
      <c r="A112" s="700"/>
      <c r="B112" s="424"/>
      <c r="C112" s="701"/>
      <c r="D112" s="426" t="str">
        <f>[4]INDICECLIMAORGANIZACIONAL!D104</f>
        <v>TOTAL</v>
      </c>
      <c r="E112" s="426" t="str">
        <f>[4]INDICECLIMAORGANIZACIONAL!E104</f>
        <v>%</v>
      </c>
      <c r="F112" s="426" t="str">
        <f>[4]INDICECLIMAORGANIZACIONAL!F104</f>
        <v>RESULTADO</v>
      </c>
      <c r="G112" s="427" t="str">
        <f>[4]INDICECLIMAORGANIZACIONAL!G104</f>
        <v>ITEM AVALIADO POSITIVAMENTE?             (1 - SIM / 0 - NÃO)</v>
      </c>
      <c r="H112" s="158"/>
      <c r="I112" s="703"/>
      <c r="J112" s="426" t="str">
        <f>[4]INDICECLIMAORGANIZACIONAL!J104</f>
        <v>TOTAL</v>
      </c>
      <c r="K112" s="426" t="str">
        <f>[4]INDICECLIMAORGANIZACIONAL!K104</f>
        <v>%</v>
      </c>
      <c r="L112" s="426" t="str">
        <f>[4]INDICECLIMAORGANIZACIONAL!L104</f>
        <v>RESULTADO</v>
      </c>
      <c r="M112" s="427" t="str">
        <f>[4]INDICECLIMAORGANIZACIONAL!M104</f>
        <v>ITEM AVALIADO POSITIVAMENTE?             (1 - SIM / 0 - NÃO)</v>
      </c>
      <c r="N112" s="425"/>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row>
    <row r="113" spans="1:45" x14ac:dyDescent="0.25">
      <c r="A113" s="428" t="str">
        <f>[4]INDICECLIMAORGANIZACIONAL!A105</f>
        <v>SIM</v>
      </c>
      <c r="B113" s="225"/>
      <c r="C113" s="701"/>
      <c r="D113" s="435">
        <f>[4]INDICECLIMAORGANIZACIONAL!D105</f>
        <v>162</v>
      </c>
      <c r="E113" s="440">
        <f>[4]INDICECLIMAORGANIZACIONAL!E105</f>
        <v>0.84375</v>
      </c>
      <c r="F113" s="431" t="str">
        <f>[4]INDICECLIMAORGANIZACIONAL!F105</f>
        <v>DESEJÁVEL</v>
      </c>
      <c r="G113" s="704">
        <f>[4]INDICECLIMAORGANIZACIONAL!G105</f>
        <v>1</v>
      </c>
      <c r="H113" s="432"/>
      <c r="I113" s="703"/>
      <c r="J113" s="429">
        <f>[4]INDICECLIMAORGANIZACIONAL!J105</f>
        <v>143</v>
      </c>
      <c r="K113" s="430">
        <f>[4]INDICECLIMAORGANIZACIONAL!K105</f>
        <v>0.79005524861878451</v>
      </c>
      <c r="L113" s="430" t="str">
        <f>[4]INDICECLIMAORGANIZACIONAL!L105</f>
        <v>SATISFATÓRIO</v>
      </c>
      <c r="M113" s="704">
        <f>[4]INDICECLIMAORGANIZACIONAL!M105</f>
        <v>1</v>
      </c>
      <c r="N113" s="425"/>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row>
    <row r="114" spans="1:45" x14ac:dyDescent="0.25">
      <c r="A114" s="433" t="str">
        <f>[4]INDICECLIMAORGANIZACIONAL!A106</f>
        <v>PARCIAL</v>
      </c>
      <c r="B114" s="434"/>
      <c r="C114" s="701"/>
      <c r="D114" s="435">
        <f>[4]INDICECLIMAORGANIZACIONAL!D106</f>
        <v>29</v>
      </c>
      <c r="E114" s="440">
        <f>[4]INDICECLIMAORGANIZACIONAL!E106</f>
        <v>0.15104166666666666</v>
      </c>
      <c r="F114" s="431" t="str">
        <f>[4]INDICECLIMAORGANIZACIONAL!F106</f>
        <v>SATISFATÓRIO</v>
      </c>
      <c r="G114" s="704"/>
      <c r="H114" s="432"/>
      <c r="I114" s="703"/>
      <c r="J114" s="429">
        <f>[4]INDICECLIMAORGANIZACIONAL!J106</f>
        <v>35</v>
      </c>
      <c r="K114" s="430">
        <f>[4]INDICECLIMAORGANIZACIONAL!K106</f>
        <v>0.19337016574585636</v>
      </c>
      <c r="L114" s="430" t="str">
        <f>[4]INDICECLIMAORGANIZACIONAL!L106</f>
        <v>SATISFATÓRIO</v>
      </c>
      <c r="M114" s="704"/>
      <c r="N114" s="425"/>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row>
    <row r="115" spans="1:45" x14ac:dyDescent="0.25">
      <c r="A115" s="433" t="str">
        <f>[4]INDICECLIMAORGANIZACIONAL!A107</f>
        <v>NÃO</v>
      </c>
      <c r="B115" s="434"/>
      <c r="C115" s="701"/>
      <c r="D115" s="435">
        <f>[4]INDICECLIMAORGANIZACIONAL!D107</f>
        <v>1</v>
      </c>
      <c r="E115" s="440">
        <f>[4]INDICECLIMAORGANIZACIONAL!E107</f>
        <v>5.208333333333333E-3</v>
      </c>
      <c r="F115" s="431" t="str">
        <f>[4]INDICECLIMAORGANIZACIONAL!F107</f>
        <v>DESEJÁVEL</v>
      </c>
      <c r="G115" s="704"/>
      <c r="H115" s="432"/>
      <c r="I115" s="703"/>
      <c r="J115" s="429">
        <f>[4]INDICECLIMAORGANIZACIONAL!J107</f>
        <v>3</v>
      </c>
      <c r="K115" s="430">
        <f>[4]INDICECLIMAORGANIZACIONAL!K107</f>
        <v>1.6574585635359115E-2</v>
      </c>
      <c r="L115" s="430" t="str">
        <f>[4]INDICECLIMAORGANIZACIONAL!L107</f>
        <v>DESEJÁVEL</v>
      </c>
      <c r="M115" s="704"/>
      <c r="N115" s="425"/>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row>
    <row r="116" spans="1:45" x14ac:dyDescent="0.25">
      <c r="A116" s="82" t="str">
        <f>[4]INDICECLIMAORGANIZACIONAL!A108</f>
        <v>TOTAL</v>
      </c>
      <c r="B116" s="156"/>
      <c r="C116" s="701"/>
      <c r="D116" s="421">
        <f>[4]INDICECLIMAORGANIZACIONAL!D108</f>
        <v>192</v>
      </c>
      <c r="E116" s="436">
        <f>[4]INDICECLIMAORGANIZACIONAL!E108</f>
        <v>1</v>
      </c>
      <c r="F116" s="437"/>
      <c r="G116" s="438"/>
      <c r="H116" s="169"/>
      <c r="I116" s="703"/>
      <c r="J116" s="421">
        <f>[4]INDICECLIMAORGANIZACIONAL!J108</f>
        <v>181</v>
      </c>
      <c r="K116" s="436">
        <f>[4]INDICECLIMAORGANIZACIONAL!K108</f>
        <v>0.99999999999999989</v>
      </c>
      <c r="L116" s="439"/>
      <c r="M116" s="438"/>
      <c r="N116" s="425"/>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row>
    <row r="117" spans="1:45" x14ac:dyDescent="0.25">
      <c r="B117" s="225"/>
      <c r="H117" s="225"/>
      <c r="I117" s="425"/>
      <c r="N117" s="425"/>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row>
    <row r="118" spans="1:45" x14ac:dyDescent="0.25">
      <c r="A118" s="700" t="str">
        <f>[4]INDICECLIMAORGANIZACIONAL!A110</f>
        <v>AS ATITUDES DOS MEUS COLEGAS DE TRABALHO SÃO ADEQUADAS E COMPATÍVEIS COM O AMBIENTE DE TRABALHO?</v>
      </c>
      <c r="B118" s="424"/>
      <c r="C118" s="701" t="str">
        <f>[4]INDICECLIMAORGANIZACIONAL!C110</f>
        <v>ITEM 01</v>
      </c>
      <c r="D118" s="702">
        <f>[4]INDICECLIMAORGANIZACIONAL!D110</f>
        <v>2020</v>
      </c>
      <c r="E118" s="702"/>
      <c r="F118" s="702"/>
      <c r="G118" s="702"/>
      <c r="H118" s="423"/>
      <c r="I118" s="703" t="str">
        <f>[4]INDICECLIMAORGANIZACIONAL!I110</f>
        <v>ITEM 15</v>
      </c>
      <c r="J118" s="702">
        <f>[4]INDICECLIMAORGANIZACIONAL!J110</f>
        <v>2017</v>
      </c>
      <c r="K118" s="702"/>
      <c r="L118" s="702"/>
      <c r="M118" s="702"/>
      <c r="N118" s="425"/>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row>
    <row r="119" spans="1:45" ht="38.25" x14ac:dyDescent="0.25">
      <c r="A119" s="700"/>
      <c r="B119" s="424"/>
      <c r="C119" s="701"/>
      <c r="D119" s="426" t="str">
        <f>[4]INDICECLIMAORGANIZACIONAL!D111</f>
        <v>TOTAL</v>
      </c>
      <c r="E119" s="426" t="str">
        <f>[4]INDICECLIMAORGANIZACIONAL!E111</f>
        <v>%</v>
      </c>
      <c r="F119" s="426" t="str">
        <f>[4]INDICECLIMAORGANIZACIONAL!F111</f>
        <v>RESULTADO</v>
      </c>
      <c r="G119" s="427" t="str">
        <f>[4]INDICECLIMAORGANIZACIONAL!G111</f>
        <v>ITEM AVALIADO POSITIVAMENTE?             (1 - SIM / 0 - NÃO)</v>
      </c>
      <c r="H119" s="158"/>
      <c r="I119" s="703"/>
      <c r="J119" s="426" t="str">
        <f>[4]INDICECLIMAORGANIZACIONAL!J111</f>
        <v>TOTAL</v>
      </c>
      <c r="K119" s="426" t="str">
        <f>[4]INDICECLIMAORGANIZACIONAL!K111</f>
        <v>%</v>
      </c>
      <c r="L119" s="426" t="str">
        <f>[4]INDICECLIMAORGANIZACIONAL!L111</f>
        <v>RESULTADO</v>
      </c>
      <c r="M119" s="427" t="str">
        <f>[4]INDICECLIMAORGANIZACIONAL!M111</f>
        <v>ITEM AVALIADO POSITIVAMENTE?             (1 - SIM / 0 - NÃO)</v>
      </c>
      <c r="N119" s="425"/>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row>
    <row r="120" spans="1:45" x14ac:dyDescent="0.25">
      <c r="A120" s="428" t="str">
        <f>[4]INDICECLIMAORGANIZACIONAL!A112</f>
        <v>SIM</v>
      </c>
      <c r="B120" s="225"/>
      <c r="C120" s="701"/>
      <c r="D120" s="435">
        <f>[4]INDICECLIMAORGANIZACIONAL!D112</f>
        <v>147</v>
      </c>
      <c r="E120" s="440">
        <f>[4]INDICECLIMAORGANIZACIONAL!E112</f>
        <v>0.765625</v>
      </c>
      <c r="F120" s="431" t="str">
        <f>[4]INDICECLIMAORGANIZACIONAL!F112</f>
        <v>SATISFATÓRIO</v>
      </c>
      <c r="G120" s="704">
        <f>[4]INDICECLIMAORGANIZACIONAL!G112</f>
        <v>1</v>
      </c>
      <c r="H120" s="432"/>
      <c r="I120" s="703"/>
      <c r="J120" s="429">
        <f>[4]INDICECLIMAORGANIZACIONAL!J112</f>
        <v>100</v>
      </c>
      <c r="K120" s="430">
        <f>[4]INDICECLIMAORGANIZACIONAL!K112</f>
        <v>0.5524861878453039</v>
      </c>
      <c r="L120" s="430" t="str">
        <f>[4]INDICECLIMAORGANIZACIONAL!L112</f>
        <v>SATISFATÓRIO</v>
      </c>
      <c r="M120" s="704">
        <f>[4]INDICECLIMAORGANIZACIONAL!M112</f>
        <v>1</v>
      </c>
      <c r="N120" s="425"/>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row>
    <row r="121" spans="1:45" x14ac:dyDescent="0.25">
      <c r="A121" s="433" t="str">
        <f>[4]INDICECLIMAORGANIZACIONAL!A113</f>
        <v>PARCIAL</v>
      </c>
      <c r="B121" s="434"/>
      <c r="C121" s="701"/>
      <c r="D121" s="435">
        <f>[4]INDICECLIMAORGANIZACIONAL!D113</f>
        <v>42</v>
      </c>
      <c r="E121" s="440">
        <f>[4]INDICECLIMAORGANIZACIONAL!E113</f>
        <v>0.21875</v>
      </c>
      <c r="F121" s="431" t="str">
        <f>[4]INDICECLIMAORGANIZACIONAL!F113</f>
        <v>SATISFATÓRIO</v>
      </c>
      <c r="G121" s="704"/>
      <c r="H121" s="432"/>
      <c r="I121" s="703"/>
      <c r="J121" s="429">
        <f>[4]INDICECLIMAORGANIZACIONAL!J113</f>
        <v>72</v>
      </c>
      <c r="K121" s="430">
        <f>[4]INDICECLIMAORGANIZACIONAL!K113</f>
        <v>0.39779005524861877</v>
      </c>
      <c r="L121" s="430" t="str">
        <f>[4]INDICECLIMAORGANIZACIONAL!L113</f>
        <v>SATISFATÓRIO</v>
      </c>
      <c r="M121" s="704"/>
      <c r="N121" s="425"/>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row>
    <row r="122" spans="1:45" x14ac:dyDescent="0.25">
      <c r="A122" s="433" t="str">
        <f>[4]INDICECLIMAORGANIZACIONAL!A114</f>
        <v>NÃO</v>
      </c>
      <c r="B122" s="434"/>
      <c r="C122" s="701"/>
      <c r="D122" s="435">
        <f>[4]INDICECLIMAORGANIZACIONAL!D114</f>
        <v>3</v>
      </c>
      <c r="E122" s="440">
        <f>[4]INDICECLIMAORGANIZACIONAL!E114</f>
        <v>1.5625E-2</v>
      </c>
      <c r="F122" s="431" t="str">
        <f>[4]INDICECLIMAORGANIZACIONAL!F114</f>
        <v>DESEJÁVEL</v>
      </c>
      <c r="G122" s="704"/>
      <c r="H122" s="432"/>
      <c r="I122" s="703"/>
      <c r="J122" s="429">
        <f>[4]INDICECLIMAORGANIZACIONAL!J114</f>
        <v>9</v>
      </c>
      <c r="K122" s="430">
        <f>[4]INDICECLIMAORGANIZACIONAL!K114</f>
        <v>4.9723756906077346E-2</v>
      </c>
      <c r="L122" s="430" t="str">
        <f>[4]INDICECLIMAORGANIZACIONAL!L114</f>
        <v>DESEJÁVEL</v>
      </c>
      <c r="M122" s="704"/>
      <c r="N122" s="425"/>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row>
    <row r="123" spans="1:45" x14ac:dyDescent="0.25">
      <c r="A123" s="82" t="str">
        <f>[4]INDICECLIMAORGANIZACIONAL!A115</f>
        <v>TOTAL</v>
      </c>
      <c r="B123" s="156"/>
      <c r="C123" s="701"/>
      <c r="D123" s="421">
        <f>[4]INDICECLIMAORGANIZACIONAL!D115</f>
        <v>192</v>
      </c>
      <c r="E123" s="436">
        <f>[4]INDICECLIMAORGANIZACIONAL!E115</f>
        <v>1</v>
      </c>
      <c r="F123" s="437"/>
      <c r="G123" s="438"/>
      <c r="H123" s="169"/>
      <c r="I123" s="703"/>
      <c r="J123" s="421">
        <f>[4]INDICECLIMAORGANIZACIONAL!J115</f>
        <v>181</v>
      </c>
      <c r="K123" s="436">
        <f>[4]INDICECLIMAORGANIZACIONAL!K115</f>
        <v>1</v>
      </c>
      <c r="L123" s="439"/>
      <c r="M123" s="438"/>
      <c r="N123" s="425"/>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row>
    <row r="124" spans="1:45" x14ac:dyDescent="0.25">
      <c r="B124" s="225"/>
      <c r="H124" s="225"/>
      <c r="I124" s="425"/>
      <c r="N124" s="425"/>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row>
    <row r="125" spans="1:45" x14ac:dyDescent="0.25">
      <c r="A125" s="700" t="str">
        <f>[4]INDICECLIMAORGANIZACIONAL!A117</f>
        <v>CONSIDERO IMPORTANTE AS CAMPANHAS DE VACINAÇÃO, EXAMES PERIÓDICOS, ATENDIMENTOS MÉDICOS, ENFERMAGEM, PSICOLÓGICAS, ODONTOLÓGICAS MASSAGEM EXPRESSA E EVENTOS COMEMORATIVOS?</v>
      </c>
      <c r="B125" s="424"/>
      <c r="C125" s="701" t="str">
        <f>[4]INDICECLIMAORGANIZACIONAL!C117</f>
        <v>ITEM 14</v>
      </c>
      <c r="D125" s="702">
        <f>[4]INDICECLIMAORGANIZACIONAL!D117</f>
        <v>2020</v>
      </c>
      <c r="E125" s="702"/>
      <c r="F125" s="702"/>
      <c r="G125" s="702"/>
      <c r="H125" s="423"/>
      <c r="I125" s="703" t="str">
        <f>[4]INDICECLIMAORGANIZACIONAL!I117</f>
        <v>ITEM 16</v>
      </c>
      <c r="J125" s="702">
        <f>[4]INDICECLIMAORGANIZACIONAL!J117</f>
        <v>2017</v>
      </c>
      <c r="K125" s="702"/>
      <c r="L125" s="702"/>
      <c r="M125" s="702"/>
      <c r="N125" s="425"/>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row>
    <row r="126" spans="1:45" ht="38.25" x14ac:dyDescent="0.25">
      <c r="A126" s="700"/>
      <c r="B126" s="424"/>
      <c r="C126" s="701"/>
      <c r="D126" s="426" t="str">
        <f>[4]INDICECLIMAORGANIZACIONAL!D118</f>
        <v>TOTAL</v>
      </c>
      <c r="E126" s="426" t="str">
        <f>[4]INDICECLIMAORGANIZACIONAL!E118</f>
        <v>%</v>
      </c>
      <c r="F126" s="426" t="str">
        <f>[4]INDICECLIMAORGANIZACIONAL!F118</f>
        <v>RESULTADO</v>
      </c>
      <c r="G126" s="427" t="str">
        <f>[4]INDICECLIMAORGANIZACIONAL!G118</f>
        <v>ITEM AVALIADO POSITIVAMENTE?             (1 - SIM / 0 - NÃO)</v>
      </c>
      <c r="H126" s="158"/>
      <c r="I126" s="703"/>
      <c r="J126" s="426" t="str">
        <f>[4]INDICECLIMAORGANIZACIONAL!J118</f>
        <v>TOTAL</v>
      </c>
      <c r="K126" s="426" t="str">
        <f>[4]INDICECLIMAORGANIZACIONAL!K118</f>
        <v>%</v>
      </c>
      <c r="L126" s="426" t="str">
        <f>[4]INDICECLIMAORGANIZACIONAL!L118</f>
        <v>RESULTADO</v>
      </c>
      <c r="M126" s="427" t="str">
        <f>[4]INDICECLIMAORGANIZACIONAL!M118</f>
        <v>ITEM AVALIADO POSITIVAMENTE?             (1 - SIM / 0 - NÃO)</v>
      </c>
      <c r="N126" s="425"/>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row>
    <row r="127" spans="1:45" x14ac:dyDescent="0.25">
      <c r="A127" s="428" t="str">
        <f>[4]INDICECLIMAORGANIZACIONAL!A119</f>
        <v>SIM</v>
      </c>
      <c r="B127" s="225"/>
      <c r="C127" s="701"/>
      <c r="D127" s="435">
        <f>[4]INDICECLIMAORGANIZACIONAL!D119</f>
        <v>185</v>
      </c>
      <c r="E127" s="440">
        <f>[4]INDICECLIMAORGANIZACIONAL!E119</f>
        <v>0.96354166666666663</v>
      </c>
      <c r="F127" s="431" t="str">
        <f>[4]INDICECLIMAORGANIZACIONAL!F119</f>
        <v>DESEJÁVEL</v>
      </c>
      <c r="G127" s="704">
        <f>[4]INDICECLIMAORGANIZACIONAL!G119</f>
        <v>1</v>
      </c>
      <c r="H127" s="432"/>
      <c r="I127" s="703"/>
      <c r="J127" s="429">
        <f>[4]INDICECLIMAORGANIZACIONAL!J119</f>
        <v>169</v>
      </c>
      <c r="K127" s="430">
        <f>[4]INDICECLIMAORGANIZACIONAL!K119</f>
        <v>0.93888888888888888</v>
      </c>
      <c r="L127" s="430" t="str">
        <f>[4]INDICECLIMAORGANIZACIONAL!L119</f>
        <v>DESEJÁVEL</v>
      </c>
      <c r="M127" s="704">
        <f>[4]INDICECLIMAORGANIZACIONAL!M119</f>
        <v>1</v>
      </c>
      <c r="N127" s="425"/>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row>
    <row r="128" spans="1:45" x14ac:dyDescent="0.25">
      <c r="A128" s="433" t="str">
        <f>[4]INDICECLIMAORGANIZACIONAL!A120</f>
        <v>PARCIAL</v>
      </c>
      <c r="B128" s="434"/>
      <c r="C128" s="701"/>
      <c r="D128" s="435">
        <f>[4]INDICECLIMAORGANIZACIONAL!D120</f>
        <v>5</v>
      </c>
      <c r="E128" s="440">
        <f>[4]INDICECLIMAORGANIZACIONAL!E120</f>
        <v>2.6041666666666668E-2</v>
      </c>
      <c r="F128" s="431" t="str">
        <f>[4]INDICECLIMAORGANIZACIONAL!F120</f>
        <v>SATISFATÓRIO</v>
      </c>
      <c r="G128" s="704"/>
      <c r="H128" s="432"/>
      <c r="I128" s="703"/>
      <c r="J128" s="429">
        <f>[4]INDICECLIMAORGANIZACIONAL!J120</f>
        <v>10</v>
      </c>
      <c r="K128" s="430">
        <f>[4]INDICECLIMAORGANIZACIONAL!K120</f>
        <v>5.5555555555555552E-2</v>
      </c>
      <c r="L128" s="430" t="str">
        <f>[4]INDICECLIMAORGANIZACIONAL!L120</f>
        <v>SATISFATÓRIO</v>
      </c>
      <c r="M128" s="704"/>
      <c r="N128" s="425"/>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row>
    <row r="129" spans="1:45" x14ac:dyDescent="0.25">
      <c r="A129" s="433" t="str">
        <f>[4]INDICECLIMAORGANIZACIONAL!A121</f>
        <v>NÃO</v>
      </c>
      <c r="B129" s="434"/>
      <c r="C129" s="701"/>
      <c r="D129" s="435">
        <f>[4]INDICECLIMAORGANIZACIONAL!D121</f>
        <v>2</v>
      </c>
      <c r="E129" s="440">
        <f>[4]INDICECLIMAORGANIZACIONAL!E121</f>
        <v>1.0416666666666666E-2</v>
      </c>
      <c r="F129" s="431" t="str">
        <f>[4]INDICECLIMAORGANIZACIONAL!F121</f>
        <v>DESEJÁVEL</v>
      </c>
      <c r="G129" s="704"/>
      <c r="H129" s="432"/>
      <c r="I129" s="703"/>
      <c r="J129" s="429">
        <f>[4]INDICECLIMAORGANIZACIONAL!J121</f>
        <v>1</v>
      </c>
      <c r="K129" s="430">
        <f>[4]INDICECLIMAORGANIZACIONAL!K121</f>
        <v>5.5555555555555558E-3</v>
      </c>
      <c r="L129" s="430" t="str">
        <f>[4]INDICECLIMAORGANIZACIONAL!L121</f>
        <v>DESEJÁVEL</v>
      </c>
      <c r="M129" s="704"/>
      <c r="N129" s="425"/>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row>
    <row r="130" spans="1:45" x14ac:dyDescent="0.25">
      <c r="A130" s="82" t="str">
        <f>[4]INDICECLIMAORGANIZACIONAL!A122</f>
        <v>TOTAL</v>
      </c>
      <c r="B130" s="156"/>
      <c r="C130" s="701"/>
      <c r="D130" s="421">
        <f>[4]INDICECLIMAORGANIZACIONAL!D122</f>
        <v>192</v>
      </c>
      <c r="E130" s="436">
        <f>[4]INDICECLIMAORGANIZACIONAL!E122</f>
        <v>0.99999999999999989</v>
      </c>
      <c r="F130" s="437"/>
      <c r="G130" s="438"/>
      <c r="H130" s="169"/>
      <c r="I130" s="703"/>
      <c r="J130" s="421">
        <f>[4]INDICECLIMAORGANIZACIONAL!J122</f>
        <v>180</v>
      </c>
      <c r="K130" s="436">
        <f>[4]INDICECLIMAORGANIZACIONAL!K122</f>
        <v>1</v>
      </c>
      <c r="L130" s="439"/>
      <c r="M130" s="438"/>
      <c r="N130" s="425"/>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row>
    <row r="131" spans="1:45" x14ac:dyDescent="0.25">
      <c r="B131" s="225"/>
      <c r="H131" s="225"/>
      <c r="I131" s="425"/>
      <c r="N131" s="425"/>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row>
    <row r="132" spans="1:45" x14ac:dyDescent="0.25">
      <c r="A132" s="700" t="str">
        <f>[4]INDICECLIMAORGANIZACIONAL!A124</f>
        <v>CONSIDERO IMPORTANTE A DISPONIBILIZAÇÃO DOS ESPAÇOS PARA SERVIÇOS DE RESTAURANTE, COSTUREIRA, SALÃO DE BELEZA, ASSOCIAÇÃO DOS SERVIDORES/EMPREGADOS DO MME, ACADEMIA, AULAS DE IOGA NO AMBIENTE DE TRABALHO?</v>
      </c>
      <c r="B132" s="424"/>
      <c r="C132" s="701" t="str">
        <f>[4]INDICECLIMAORGANIZACIONAL!C124</f>
        <v>ITEM 15</v>
      </c>
      <c r="D132" s="702">
        <f>[4]INDICECLIMAORGANIZACIONAL!D124</f>
        <v>2020</v>
      </c>
      <c r="E132" s="702"/>
      <c r="F132" s="702"/>
      <c r="G132" s="702"/>
      <c r="H132" s="423"/>
      <c r="I132" s="703" t="str">
        <f>[4]INDICECLIMAORGANIZACIONAL!I124</f>
        <v>ITEM 17</v>
      </c>
      <c r="J132" s="702">
        <f>[4]INDICECLIMAORGANIZACIONAL!J124</f>
        <v>2017</v>
      </c>
      <c r="K132" s="702"/>
      <c r="L132" s="702"/>
      <c r="M132" s="702"/>
      <c r="N132" s="425"/>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row>
    <row r="133" spans="1:45" ht="38.25" x14ac:dyDescent="0.25">
      <c r="A133" s="700"/>
      <c r="B133" s="424"/>
      <c r="C133" s="701"/>
      <c r="D133" s="426" t="str">
        <f>[4]INDICECLIMAORGANIZACIONAL!D125</f>
        <v>TOTAL</v>
      </c>
      <c r="E133" s="426" t="str">
        <f>[4]INDICECLIMAORGANIZACIONAL!E125</f>
        <v>%</v>
      </c>
      <c r="F133" s="426" t="str">
        <f>[4]INDICECLIMAORGANIZACIONAL!F125</f>
        <v>RESULTADO</v>
      </c>
      <c r="G133" s="427" t="str">
        <f>[4]INDICECLIMAORGANIZACIONAL!G125</f>
        <v>ITEM AVALIADO POSITIVAMENTE?             (1 - SIM / 0 - NÃO)</v>
      </c>
      <c r="H133" s="158"/>
      <c r="I133" s="703"/>
      <c r="J133" s="426" t="str">
        <f>[4]INDICECLIMAORGANIZACIONAL!J125</f>
        <v>TOTAL</v>
      </c>
      <c r="K133" s="426" t="str">
        <f>[4]INDICECLIMAORGANIZACIONAL!K125</f>
        <v>%</v>
      </c>
      <c r="L133" s="426" t="str">
        <f>[4]INDICECLIMAORGANIZACIONAL!L125</f>
        <v>RESULTADO</v>
      </c>
      <c r="M133" s="427" t="str">
        <f>[4]INDICECLIMAORGANIZACIONAL!M125</f>
        <v>ITEM AVALIADO POSITIVAMENTE?             (1 - SIM / 0 - NÃO)</v>
      </c>
      <c r="N133" s="425"/>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row>
    <row r="134" spans="1:45" x14ac:dyDescent="0.25">
      <c r="A134" s="428" t="str">
        <f>[4]INDICECLIMAORGANIZACIONAL!A126</f>
        <v>SIM</v>
      </c>
      <c r="B134" s="225"/>
      <c r="C134" s="701"/>
      <c r="D134" s="435">
        <f>[4]INDICECLIMAORGANIZACIONAL!D126</f>
        <v>173</v>
      </c>
      <c r="E134" s="440">
        <f>[4]INDICECLIMAORGANIZACIONAL!E126</f>
        <v>0.90104166666666663</v>
      </c>
      <c r="F134" s="431" t="str">
        <f>[4]INDICECLIMAORGANIZACIONAL!F126</f>
        <v>DESEJÁVEL</v>
      </c>
      <c r="G134" s="704">
        <f>[4]INDICECLIMAORGANIZACIONAL!G126</f>
        <v>1</v>
      </c>
      <c r="H134" s="432"/>
      <c r="I134" s="703"/>
      <c r="J134" s="429">
        <f>[4]INDICECLIMAORGANIZACIONAL!J126</f>
        <v>153</v>
      </c>
      <c r="K134" s="430">
        <f>[4]INDICECLIMAORGANIZACIONAL!K126</f>
        <v>0.85</v>
      </c>
      <c r="L134" s="430" t="str">
        <f>[4]INDICECLIMAORGANIZACIONAL!L126</f>
        <v>DESEJÁVEL</v>
      </c>
      <c r="M134" s="704">
        <f>[4]INDICECLIMAORGANIZACIONAL!M126</f>
        <v>1</v>
      </c>
      <c r="N134" s="425"/>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row>
    <row r="135" spans="1:45" x14ac:dyDescent="0.25">
      <c r="A135" s="433" t="str">
        <f>[4]INDICECLIMAORGANIZACIONAL!A127</f>
        <v>PARCIAL</v>
      </c>
      <c r="B135" s="434"/>
      <c r="C135" s="701"/>
      <c r="D135" s="435">
        <f>[4]INDICECLIMAORGANIZACIONAL!D127</f>
        <v>16</v>
      </c>
      <c r="E135" s="440">
        <f>[4]INDICECLIMAORGANIZACIONAL!E127</f>
        <v>8.3333333333333329E-2</v>
      </c>
      <c r="F135" s="431" t="str">
        <f>[4]INDICECLIMAORGANIZACIONAL!F127</f>
        <v>SATISFATÓRIO</v>
      </c>
      <c r="G135" s="704"/>
      <c r="H135" s="432"/>
      <c r="I135" s="703"/>
      <c r="J135" s="429">
        <f>[4]INDICECLIMAORGANIZACIONAL!J127</f>
        <v>25</v>
      </c>
      <c r="K135" s="430">
        <f>[4]INDICECLIMAORGANIZACIONAL!K127</f>
        <v>0.1388888888888889</v>
      </c>
      <c r="L135" s="430" t="str">
        <f>[4]INDICECLIMAORGANIZACIONAL!L127</f>
        <v>SATISFATÓRIO</v>
      </c>
      <c r="M135" s="704"/>
      <c r="N135" s="425"/>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row>
    <row r="136" spans="1:45" x14ac:dyDescent="0.25">
      <c r="A136" s="433" t="str">
        <f>[4]INDICECLIMAORGANIZACIONAL!A128</f>
        <v>NÃO</v>
      </c>
      <c r="B136" s="434"/>
      <c r="C136" s="701"/>
      <c r="D136" s="435">
        <f>[4]INDICECLIMAORGANIZACIONAL!D128</f>
        <v>3</v>
      </c>
      <c r="E136" s="440">
        <f>[4]INDICECLIMAORGANIZACIONAL!E128</f>
        <v>1.5625E-2</v>
      </c>
      <c r="F136" s="431" t="str">
        <f>[4]INDICECLIMAORGANIZACIONAL!F128</f>
        <v>DESEJÁVEL</v>
      </c>
      <c r="G136" s="704"/>
      <c r="H136" s="432"/>
      <c r="I136" s="703"/>
      <c r="J136" s="429">
        <f>[4]INDICECLIMAORGANIZACIONAL!J128</f>
        <v>2</v>
      </c>
      <c r="K136" s="430">
        <f>[4]INDICECLIMAORGANIZACIONAL!K128</f>
        <v>1.1111111111111112E-2</v>
      </c>
      <c r="L136" s="430" t="str">
        <f>[4]INDICECLIMAORGANIZACIONAL!L128</f>
        <v>DESEJÁVEL</v>
      </c>
      <c r="M136" s="704"/>
      <c r="N136" s="425"/>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row>
    <row r="137" spans="1:45" x14ac:dyDescent="0.25">
      <c r="A137" s="82" t="str">
        <f>[4]INDICECLIMAORGANIZACIONAL!A129</f>
        <v>TOTAL</v>
      </c>
      <c r="B137" s="156"/>
      <c r="C137" s="701"/>
      <c r="D137" s="421">
        <f>[4]INDICECLIMAORGANIZACIONAL!D129</f>
        <v>192</v>
      </c>
      <c r="E137" s="436">
        <f>[4]INDICECLIMAORGANIZACIONAL!E129</f>
        <v>1</v>
      </c>
      <c r="F137" s="437"/>
      <c r="G137" s="438"/>
      <c r="H137" s="169"/>
      <c r="I137" s="703"/>
      <c r="J137" s="421">
        <f>[4]INDICECLIMAORGANIZACIONAL!J129</f>
        <v>180</v>
      </c>
      <c r="K137" s="436">
        <f>[4]INDICECLIMAORGANIZACIONAL!K129</f>
        <v>1</v>
      </c>
      <c r="L137" s="439"/>
      <c r="M137" s="438"/>
      <c r="N137" s="425"/>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row>
    <row r="138" spans="1:45" x14ac:dyDescent="0.25">
      <c r="B138" s="225"/>
      <c r="H138" s="225"/>
      <c r="I138" s="425"/>
      <c r="N138" s="425"/>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row>
    <row r="139" spans="1:45" x14ac:dyDescent="0.25">
      <c r="A139" s="700" t="str">
        <f>[4]INDICECLIMAORGANIZACIONAL!A131</f>
        <v>CONSIDERO IMPORTANTE ATIVIDADES DE TREINAMENTO NO AMBIENTE DE TRABALHO - CENTRO DE CAPACITAÇÃO DO MME?</v>
      </c>
      <c r="B139" s="424"/>
      <c r="C139" s="701" t="str">
        <f>[4]INDICECLIMAORGANIZACIONAL!C131</f>
        <v>ITEM 16</v>
      </c>
      <c r="D139" s="702">
        <f>[4]INDICECLIMAORGANIZACIONAL!D131</f>
        <v>2020</v>
      </c>
      <c r="E139" s="702"/>
      <c r="F139" s="702"/>
      <c r="G139" s="702"/>
      <c r="H139" s="423"/>
      <c r="I139" s="703" t="str">
        <f>[4]INDICECLIMAORGANIZACIONAL!I131</f>
        <v>ITEM 18</v>
      </c>
      <c r="J139" s="702">
        <f>[4]INDICECLIMAORGANIZACIONAL!J131</f>
        <v>2017</v>
      </c>
      <c r="K139" s="702"/>
      <c r="L139" s="702"/>
      <c r="M139" s="702"/>
      <c r="N139" s="425"/>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row>
    <row r="140" spans="1:45" ht="38.25" x14ac:dyDescent="0.25">
      <c r="A140" s="700"/>
      <c r="B140" s="424"/>
      <c r="C140" s="701"/>
      <c r="D140" s="426" t="str">
        <f>[4]INDICECLIMAORGANIZACIONAL!D132</f>
        <v>TOTAL</v>
      </c>
      <c r="E140" s="426" t="str">
        <f>[4]INDICECLIMAORGANIZACIONAL!E132</f>
        <v>%</v>
      </c>
      <c r="F140" s="426" t="str">
        <f>[4]INDICECLIMAORGANIZACIONAL!F132</f>
        <v>RESULTADO</v>
      </c>
      <c r="G140" s="427" t="str">
        <f>[4]INDICECLIMAORGANIZACIONAL!G132</f>
        <v>ITEM AVALIADO POSITIVAMENTE?             (1 - SIM / 0 - NÃO)</v>
      </c>
      <c r="H140" s="158"/>
      <c r="I140" s="703"/>
      <c r="J140" s="426" t="str">
        <f>[4]INDICECLIMAORGANIZACIONAL!J132</f>
        <v>TOTAL</v>
      </c>
      <c r="K140" s="426" t="str">
        <f>[4]INDICECLIMAORGANIZACIONAL!K132</f>
        <v>%</v>
      </c>
      <c r="L140" s="426" t="str">
        <f>[4]INDICECLIMAORGANIZACIONAL!L132</f>
        <v>RESULTADO</v>
      </c>
      <c r="M140" s="427" t="str">
        <f>[4]INDICECLIMAORGANIZACIONAL!M132</f>
        <v>ITEM AVALIADO POSITIVAMENTE?             (1 - SIM / 0 - NÃO)</v>
      </c>
      <c r="N140" s="425"/>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row>
    <row r="141" spans="1:45" x14ac:dyDescent="0.25">
      <c r="A141" s="428" t="str">
        <f>[4]INDICECLIMAORGANIZACIONAL!A133</f>
        <v>SIM</v>
      </c>
      <c r="B141" s="225"/>
      <c r="C141" s="701"/>
      <c r="D141" s="435">
        <f>[4]INDICECLIMAORGANIZACIONAL!D133</f>
        <v>185</v>
      </c>
      <c r="E141" s="440">
        <f>[4]INDICECLIMAORGANIZACIONAL!E133</f>
        <v>0.96354166666666663</v>
      </c>
      <c r="F141" s="431" t="str">
        <f>[4]INDICECLIMAORGANIZACIONAL!F133</f>
        <v>DESEJÁVEL</v>
      </c>
      <c r="G141" s="704">
        <f>[4]INDICECLIMAORGANIZACIONAL!G133</f>
        <v>1</v>
      </c>
      <c r="H141" s="432"/>
      <c r="I141" s="703"/>
      <c r="J141" s="429">
        <f>[4]INDICECLIMAORGANIZACIONAL!J133</f>
        <v>163</v>
      </c>
      <c r="K141" s="430">
        <f>[4]INDICECLIMAORGANIZACIONAL!K133</f>
        <v>0.90555555555555556</v>
      </c>
      <c r="L141" s="430" t="str">
        <f>[4]INDICECLIMAORGANIZACIONAL!L133</f>
        <v>DESEJÁVEL</v>
      </c>
      <c r="M141" s="704">
        <f>[4]INDICECLIMAORGANIZACIONAL!M133</f>
        <v>1</v>
      </c>
      <c r="N141" s="425"/>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row>
    <row r="142" spans="1:45" x14ac:dyDescent="0.25">
      <c r="A142" s="433" t="str">
        <f>[4]INDICECLIMAORGANIZACIONAL!A134</f>
        <v>PARCIAL</v>
      </c>
      <c r="B142" s="434"/>
      <c r="C142" s="701"/>
      <c r="D142" s="435">
        <f>[4]INDICECLIMAORGANIZACIONAL!D134</f>
        <v>7</v>
      </c>
      <c r="E142" s="440">
        <f>[4]INDICECLIMAORGANIZACIONAL!E134</f>
        <v>3.6458333333333336E-2</v>
      </c>
      <c r="F142" s="431" t="str">
        <f>[4]INDICECLIMAORGANIZACIONAL!F134</f>
        <v>SATISFATÓRIO</v>
      </c>
      <c r="G142" s="704"/>
      <c r="H142" s="432"/>
      <c r="I142" s="703"/>
      <c r="J142" s="429">
        <f>[4]INDICECLIMAORGANIZACIONAL!J134</f>
        <v>14</v>
      </c>
      <c r="K142" s="430">
        <f>[4]INDICECLIMAORGANIZACIONAL!K134</f>
        <v>7.7777777777777779E-2</v>
      </c>
      <c r="L142" s="430" t="str">
        <f>[4]INDICECLIMAORGANIZACIONAL!L134</f>
        <v>SATISFATÓRIO</v>
      </c>
      <c r="M142" s="704"/>
      <c r="N142" s="425"/>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row>
    <row r="143" spans="1:45" x14ac:dyDescent="0.25">
      <c r="A143" s="433" t="str">
        <f>[4]INDICECLIMAORGANIZACIONAL!A135</f>
        <v>NÃO</v>
      </c>
      <c r="B143" s="434"/>
      <c r="C143" s="701"/>
      <c r="D143" s="435">
        <f>[4]INDICECLIMAORGANIZACIONAL!D135</f>
        <v>0</v>
      </c>
      <c r="E143" s="440">
        <f>[4]INDICECLIMAORGANIZACIONAL!E135</f>
        <v>0</v>
      </c>
      <c r="F143" s="431" t="str">
        <f>[4]INDICECLIMAORGANIZACIONAL!F135</f>
        <v>DESEJÁVEL</v>
      </c>
      <c r="G143" s="704"/>
      <c r="H143" s="432"/>
      <c r="I143" s="703"/>
      <c r="J143" s="429">
        <f>[4]INDICECLIMAORGANIZACIONAL!J135</f>
        <v>3</v>
      </c>
      <c r="K143" s="430">
        <f>[4]INDICECLIMAORGANIZACIONAL!K135</f>
        <v>1.6666666666666666E-2</v>
      </c>
      <c r="L143" s="430" t="str">
        <f>[4]INDICECLIMAORGANIZACIONAL!L135</f>
        <v>DESEJÁVEL</v>
      </c>
      <c r="M143" s="704"/>
      <c r="N143" s="425"/>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row>
    <row r="144" spans="1:45" x14ac:dyDescent="0.25">
      <c r="A144" s="82" t="str">
        <f>[4]INDICECLIMAORGANIZACIONAL!A136</f>
        <v>TOTAL</v>
      </c>
      <c r="B144" s="156"/>
      <c r="C144" s="701"/>
      <c r="D144" s="421">
        <f>[4]INDICECLIMAORGANIZACIONAL!D136</f>
        <v>192</v>
      </c>
      <c r="E144" s="436">
        <f>[4]INDICECLIMAORGANIZACIONAL!E136</f>
        <v>1</v>
      </c>
      <c r="F144" s="437">
        <f>[4]INDICECLIMAORGANIZACIONAL!F136</f>
        <v>0</v>
      </c>
      <c r="G144" s="438">
        <f>[4]INDICECLIMAORGANIZACIONAL!G136</f>
        <v>0</v>
      </c>
      <c r="H144" s="169"/>
      <c r="I144" s="703"/>
      <c r="J144" s="421">
        <f>[4]INDICECLIMAORGANIZACIONAL!J136</f>
        <v>180</v>
      </c>
      <c r="K144" s="436">
        <f>[4]INDICECLIMAORGANIZACIONAL!K136</f>
        <v>1</v>
      </c>
      <c r="L144" s="439">
        <f>[4]INDICECLIMAORGANIZACIONAL!L136</f>
        <v>0</v>
      </c>
      <c r="M144" s="438">
        <f>[4]INDICECLIMAORGANIZACIONAL!M136</f>
        <v>0</v>
      </c>
      <c r="N144" s="425"/>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row>
    <row r="145" spans="1:45" x14ac:dyDescent="0.25">
      <c r="A145">
        <f>[4]INDICECLIMAORGANIZACIONAL!A137</f>
        <v>0</v>
      </c>
      <c r="B145" s="225"/>
      <c r="C145">
        <f>[4]INDICECLIMAORGANIZACIONAL!C137</f>
        <v>0</v>
      </c>
      <c r="D145">
        <f>[4]INDICECLIMAORGANIZACIONAL!D137</f>
        <v>0</v>
      </c>
      <c r="E145">
        <f>[4]INDICECLIMAORGANIZACIONAL!E137</f>
        <v>0</v>
      </c>
      <c r="F145">
        <f>[4]INDICECLIMAORGANIZACIONAL!F137</f>
        <v>0</v>
      </c>
      <c r="G145">
        <f>[4]INDICECLIMAORGANIZACIONAL!G137</f>
        <v>0</v>
      </c>
      <c r="H145" s="225"/>
      <c r="I145" s="425">
        <f>[4]INDICECLIMAORGANIZACIONAL!I137</f>
        <v>0</v>
      </c>
      <c r="J145">
        <f>[4]INDICECLIMAORGANIZACIONAL!J137</f>
        <v>0</v>
      </c>
      <c r="K145">
        <f>[4]INDICECLIMAORGANIZACIONAL!K137</f>
        <v>0</v>
      </c>
      <c r="L145">
        <f>[4]INDICECLIMAORGANIZACIONAL!L137</f>
        <v>0</v>
      </c>
      <c r="M145">
        <f>[4]INDICECLIMAORGANIZACIONAL!M137</f>
        <v>0</v>
      </c>
      <c r="N145" s="425"/>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row>
    <row r="146" spans="1:45" x14ac:dyDescent="0.25">
      <c r="A146" s="700" t="str">
        <f>[4]INDICECLIMAORGANIZACIONAL!A138</f>
        <v>VOCÊ CONTRIBUI PARA REDUZIR A IMPRESSÃO OU CÓPIA DE DOCUMENTOS?</v>
      </c>
      <c r="B146" s="424"/>
      <c r="C146" s="701" t="str">
        <f>[4]INDICECLIMAORGANIZACIONAL!C138</f>
        <v>ITEM 17</v>
      </c>
      <c r="D146" s="702">
        <f>[4]INDICECLIMAORGANIZACIONAL!D138</f>
        <v>2020</v>
      </c>
      <c r="E146" s="702"/>
      <c r="F146" s="702"/>
      <c r="G146" s="702"/>
      <c r="H146" s="423"/>
      <c r="I146" s="703" t="str">
        <f>[4]INDICECLIMAORGANIZACIONAL!I138</f>
        <v>ITEM 19</v>
      </c>
      <c r="J146" s="702">
        <f>[4]INDICECLIMAORGANIZACIONAL!J138</f>
        <v>2017</v>
      </c>
      <c r="K146" s="702"/>
      <c r="L146" s="702"/>
      <c r="M146" s="702"/>
      <c r="N146" s="425"/>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row>
    <row r="147" spans="1:45" ht="38.25" x14ac:dyDescent="0.25">
      <c r="A147" s="700"/>
      <c r="B147" s="424"/>
      <c r="C147" s="701"/>
      <c r="D147" s="426" t="str">
        <f>[4]INDICECLIMAORGANIZACIONAL!D139</f>
        <v>TOTAL</v>
      </c>
      <c r="E147" s="426" t="str">
        <f>[4]INDICECLIMAORGANIZACIONAL!E139</f>
        <v>%</v>
      </c>
      <c r="F147" s="426" t="str">
        <f>[4]INDICECLIMAORGANIZACIONAL!F139</f>
        <v>RESULTADO</v>
      </c>
      <c r="G147" s="427" t="str">
        <f>[4]INDICECLIMAORGANIZACIONAL!G139</f>
        <v>ITEM AVALIADO POSITIVAMENTE?             (1 - SIM / 0 - NÃO)</v>
      </c>
      <c r="H147" s="158"/>
      <c r="I147" s="703"/>
      <c r="J147" s="426" t="str">
        <f>[4]INDICECLIMAORGANIZACIONAL!J139</f>
        <v>TOTAL</v>
      </c>
      <c r="K147" s="426" t="str">
        <f>[4]INDICECLIMAORGANIZACIONAL!K139</f>
        <v>%</v>
      </c>
      <c r="L147" s="426" t="str">
        <f>[4]INDICECLIMAORGANIZACIONAL!L139</f>
        <v>RESULTADO</v>
      </c>
      <c r="M147" s="427" t="str">
        <f>[4]INDICECLIMAORGANIZACIONAL!M139</f>
        <v>ITEM AVALIADO POSITIVAMENTE?             (1 - SIM / 0 - NÃO)</v>
      </c>
      <c r="N147" s="425"/>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row>
    <row r="148" spans="1:45" x14ac:dyDescent="0.25">
      <c r="A148" s="428" t="str">
        <f>[4]INDICECLIMAORGANIZACIONAL!A140</f>
        <v>SIM</v>
      </c>
      <c r="B148" s="225"/>
      <c r="C148" s="701"/>
      <c r="D148" s="435">
        <f>[4]INDICECLIMAORGANIZACIONAL!D140</f>
        <v>181</v>
      </c>
      <c r="E148" s="440">
        <f>[4]INDICECLIMAORGANIZACIONAL!E140</f>
        <v>0.94270833333333337</v>
      </c>
      <c r="F148" s="431" t="str">
        <f>[4]INDICECLIMAORGANIZACIONAL!F140</f>
        <v>DESEJÁVEL</v>
      </c>
      <c r="G148" s="704">
        <f>[4]INDICECLIMAORGANIZACIONAL!G140</f>
        <v>1</v>
      </c>
      <c r="H148" s="432"/>
      <c r="I148" s="703"/>
      <c r="J148" s="429">
        <f>[4]INDICECLIMAORGANIZACIONAL!J140</f>
        <v>157</v>
      </c>
      <c r="K148" s="430">
        <f>[4]INDICECLIMAORGANIZACIONAL!K140</f>
        <v>0.87222222222222223</v>
      </c>
      <c r="L148" s="430" t="str">
        <f>[4]INDICECLIMAORGANIZACIONAL!L140</f>
        <v>DESEJÁVEL</v>
      </c>
      <c r="M148" s="704">
        <f>[4]INDICECLIMAORGANIZACIONAL!M140</f>
        <v>1</v>
      </c>
      <c r="N148" s="425"/>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row>
    <row r="149" spans="1:45" x14ac:dyDescent="0.25">
      <c r="A149" s="433" t="str">
        <f>[4]INDICECLIMAORGANIZACIONAL!A141</f>
        <v>PARCIAL</v>
      </c>
      <c r="B149" s="434"/>
      <c r="C149" s="701"/>
      <c r="D149" s="435">
        <f>[4]INDICECLIMAORGANIZACIONAL!D141</f>
        <v>10</v>
      </c>
      <c r="E149" s="440">
        <f>[4]INDICECLIMAORGANIZACIONAL!E141</f>
        <v>5.2083333333333336E-2</v>
      </c>
      <c r="F149" s="431" t="str">
        <f>[4]INDICECLIMAORGANIZACIONAL!F141</f>
        <v>SATISFATÓRIO</v>
      </c>
      <c r="G149" s="704"/>
      <c r="H149" s="432"/>
      <c r="I149" s="703"/>
      <c r="J149" s="429">
        <f>[4]INDICECLIMAORGANIZACIONAL!J141</f>
        <v>21</v>
      </c>
      <c r="K149" s="430">
        <f>[4]INDICECLIMAORGANIZACIONAL!K141</f>
        <v>0.11666666666666667</v>
      </c>
      <c r="L149" s="430" t="str">
        <f>[4]INDICECLIMAORGANIZACIONAL!L141</f>
        <v>SATISFATÓRIO</v>
      </c>
      <c r="M149" s="704"/>
      <c r="N149" s="425"/>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row>
    <row r="150" spans="1:45" x14ac:dyDescent="0.25">
      <c r="A150" s="433" t="str">
        <f>[4]INDICECLIMAORGANIZACIONAL!A142</f>
        <v>NÃO</v>
      </c>
      <c r="B150" s="434"/>
      <c r="C150" s="701"/>
      <c r="D150" s="435">
        <f>[4]INDICECLIMAORGANIZACIONAL!D142</f>
        <v>1</v>
      </c>
      <c r="E150" s="440">
        <f>[4]INDICECLIMAORGANIZACIONAL!E142</f>
        <v>5.208333333333333E-3</v>
      </c>
      <c r="F150" s="431" t="str">
        <f>[4]INDICECLIMAORGANIZACIONAL!F142</f>
        <v>DESEJÁVEL</v>
      </c>
      <c r="G150" s="704"/>
      <c r="H150" s="432"/>
      <c r="I150" s="703"/>
      <c r="J150" s="429">
        <f>[4]INDICECLIMAORGANIZACIONAL!J142</f>
        <v>2</v>
      </c>
      <c r="K150" s="430">
        <f>[4]INDICECLIMAORGANIZACIONAL!K142</f>
        <v>1.1111111111111112E-2</v>
      </c>
      <c r="L150" s="430" t="str">
        <f>[4]INDICECLIMAORGANIZACIONAL!L142</f>
        <v>DESEJÁVEL</v>
      </c>
      <c r="M150" s="704"/>
      <c r="N150" s="425"/>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row>
    <row r="151" spans="1:45" x14ac:dyDescent="0.25">
      <c r="A151" s="82" t="str">
        <f>[4]INDICECLIMAORGANIZACIONAL!A143</f>
        <v>TOTAL</v>
      </c>
      <c r="B151" s="156"/>
      <c r="C151" s="701"/>
      <c r="D151" s="421">
        <f>[4]INDICECLIMAORGANIZACIONAL!D143</f>
        <v>192</v>
      </c>
      <c r="E151" s="436">
        <f>[4]INDICECLIMAORGANIZACIONAL!E143</f>
        <v>1</v>
      </c>
      <c r="F151" s="437"/>
      <c r="G151" s="438"/>
      <c r="H151" s="169"/>
      <c r="I151" s="703"/>
      <c r="J151" s="421">
        <f>[4]INDICECLIMAORGANIZACIONAL!J143</f>
        <v>180</v>
      </c>
      <c r="K151" s="436">
        <f>[4]INDICECLIMAORGANIZACIONAL!K143</f>
        <v>1</v>
      </c>
      <c r="L151" s="439"/>
      <c r="M151" s="438"/>
      <c r="N151" s="425"/>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row>
    <row r="152" spans="1:45" x14ac:dyDescent="0.25">
      <c r="B152" s="225"/>
      <c r="H152" s="225"/>
      <c r="I152" s="425"/>
      <c r="N152" s="425"/>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row>
    <row r="153" spans="1:45" x14ac:dyDescent="0.25">
      <c r="A153" s="700" t="str">
        <f>[4]INDICECLIMAORGANIZACIONAL!A145</f>
        <v>VOCÊ CONTRIBUI PARA A ECONCOMIA E REAPROVEITAMENTO DO CONSUMO DE ÁGUA E ENERGIA?</v>
      </c>
      <c r="B153" s="424"/>
      <c r="C153" s="701" t="str">
        <f>[4]INDICECLIMAORGANIZACIONAL!C145</f>
        <v>ITEM 18</v>
      </c>
      <c r="D153" s="702">
        <f>[4]INDICECLIMAORGANIZACIONAL!D145</f>
        <v>2020</v>
      </c>
      <c r="E153" s="702"/>
      <c r="F153" s="702"/>
      <c r="G153" s="702"/>
      <c r="H153" s="423"/>
      <c r="I153" s="703" t="str">
        <f>[4]INDICECLIMAORGANIZACIONAL!I145</f>
        <v>ITEM 20</v>
      </c>
      <c r="J153" s="702">
        <f>[4]INDICECLIMAORGANIZACIONAL!J145</f>
        <v>2017</v>
      </c>
      <c r="K153" s="702"/>
      <c r="L153" s="702"/>
      <c r="M153" s="702"/>
      <c r="N153" s="425"/>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row>
    <row r="154" spans="1:45" ht="38.25" x14ac:dyDescent="0.25">
      <c r="A154" s="700"/>
      <c r="B154" s="424"/>
      <c r="C154" s="701"/>
      <c r="D154" s="426" t="str">
        <f>[4]INDICECLIMAORGANIZACIONAL!D146</f>
        <v>TOTAL</v>
      </c>
      <c r="E154" s="426" t="str">
        <f>[4]INDICECLIMAORGANIZACIONAL!E146</f>
        <v>%</v>
      </c>
      <c r="F154" s="426" t="str">
        <f>[4]INDICECLIMAORGANIZACIONAL!F146</f>
        <v>RESULTADO</v>
      </c>
      <c r="G154" s="427" t="str">
        <f>[4]INDICECLIMAORGANIZACIONAL!G146</f>
        <v>ITEM AVALIADO POSITIVAMENTE?             (1 - SIM / 0 - NÃO)</v>
      </c>
      <c r="H154" s="158"/>
      <c r="I154" s="703"/>
      <c r="J154" s="426" t="str">
        <f>[4]INDICECLIMAORGANIZACIONAL!J146</f>
        <v>TOTAL</v>
      </c>
      <c r="K154" s="426" t="str">
        <f>[4]INDICECLIMAORGANIZACIONAL!K146</f>
        <v>%</v>
      </c>
      <c r="L154" s="426" t="str">
        <f>[4]INDICECLIMAORGANIZACIONAL!L146</f>
        <v>RESULTADO</v>
      </c>
      <c r="M154" s="427" t="str">
        <f>[4]INDICECLIMAORGANIZACIONAL!M146</f>
        <v>ITEM AVALIADO POSITIVAMENTE?             (1 - SIM / 0 - NÃO)</v>
      </c>
      <c r="N154" s="425"/>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row>
    <row r="155" spans="1:45" x14ac:dyDescent="0.25">
      <c r="A155" s="428" t="str">
        <f>[4]INDICECLIMAORGANIZACIONAL!A147</f>
        <v>SIM</v>
      </c>
      <c r="B155" s="225"/>
      <c r="C155" s="701"/>
      <c r="D155" s="435">
        <f>[4]INDICECLIMAORGANIZACIONAL!D147</f>
        <v>184</v>
      </c>
      <c r="E155" s="440">
        <f>[4]INDICECLIMAORGANIZACIONAL!E147</f>
        <v>0.95833333333333337</v>
      </c>
      <c r="F155" s="431" t="str">
        <f>[4]INDICECLIMAORGANIZACIONAL!F147</f>
        <v>DESEJÁVEL</v>
      </c>
      <c r="G155" s="704">
        <f>[4]INDICECLIMAORGANIZACIONAL!G147</f>
        <v>1</v>
      </c>
      <c r="H155" s="432"/>
      <c r="I155" s="703"/>
      <c r="J155" s="429">
        <f>[4]INDICECLIMAORGANIZACIONAL!J147</f>
        <v>160</v>
      </c>
      <c r="K155" s="430">
        <f>[4]INDICECLIMAORGANIZACIONAL!K147</f>
        <v>0.88888888888888884</v>
      </c>
      <c r="L155" s="430" t="str">
        <f>[4]INDICECLIMAORGANIZACIONAL!L147</f>
        <v>DESEJÁVEL</v>
      </c>
      <c r="M155" s="704">
        <f>[4]INDICECLIMAORGANIZACIONAL!M147</f>
        <v>1</v>
      </c>
      <c r="N155" s="425"/>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row>
    <row r="156" spans="1:45" x14ac:dyDescent="0.25">
      <c r="A156" s="433" t="str">
        <f>[4]INDICECLIMAORGANIZACIONAL!A148</f>
        <v>PARCIAL</v>
      </c>
      <c r="B156" s="434"/>
      <c r="C156" s="701"/>
      <c r="D156" s="435">
        <f>[4]INDICECLIMAORGANIZACIONAL!D148</f>
        <v>8</v>
      </c>
      <c r="E156" s="440">
        <f>[4]INDICECLIMAORGANIZACIONAL!E148</f>
        <v>4.1666666666666664E-2</v>
      </c>
      <c r="F156" s="431" t="str">
        <f>[4]INDICECLIMAORGANIZACIONAL!F148</f>
        <v>SATISFATÓRIO</v>
      </c>
      <c r="G156" s="704"/>
      <c r="H156" s="432"/>
      <c r="I156" s="703"/>
      <c r="J156" s="429">
        <f>[4]INDICECLIMAORGANIZACIONAL!J148</f>
        <v>16</v>
      </c>
      <c r="K156" s="430">
        <f>[4]INDICECLIMAORGANIZACIONAL!K148</f>
        <v>8.8888888888888892E-2</v>
      </c>
      <c r="L156" s="430" t="str">
        <f>[4]INDICECLIMAORGANIZACIONAL!L148</f>
        <v>SATISFATÓRIO</v>
      </c>
      <c r="M156" s="704"/>
      <c r="N156" s="425"/>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row>
    <row r="157" spans="1:45" x14ac:dyDescent="0.25">
      <c r="A157" s="433" t="str">
        <f>[4]INDICECLIMAORGANIZACIONAL!A149</f>
        <v>NÃO</v>
      </c>
      <c r="B157" s="434"/>
      <c r="C157" s="701"/>
      <c r="D157" s="435">
        <f>[4]INDICECLIMAORGANIZACIONAL!D149</f>
        <v>0</v>
      </c>
      <c r="E157" s="440">
        <f>[4]INDICECLIMAORGANIZACIONAL!E149</f>
        <v>0</v>
      </c>
      <c r="F157" s="431" t="str">
        <f>[4]INDICECLIMAORGANIZACIONAL!F149</f>
        <v>DESEJÁVEL</v>
      </c>
      <c r="G157" s="704"/>
      <c r="H157" s="432"/>
      <c r="I157" s="703"/>
      <c r="J157" s="429">
        <f>[4]INDICECLIMAORGANIZACIONAL!J149</f>
        <v>4</v>
      </c>
      <c r="K157" s="430">
        <f>[4]INDICECLIMAORGANIZACIONAL!K149</f>
        <v>2.2222222222222223E-2</v>
      </c>
      <c r="L157" s="430" t="str">
        <f>[4]INDICECLIMAORGANIZACIONAL!L149</f>
        <v>DESEJÁVEL</v>
      </c>
      <c r="M157" s="704"/>
      <c r="N157" s="425"/>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row>
    <row r="158" spans="1:45" x14ac:dyDescent="0.25">
      <c r="A158" s="82" t="str">
        <f>[4]INDICECLIMAORGANIZACIONAL!A150</f>
        <v>TOTAL</v>
      </c>
      <c r="B158" s="156"/>
      <c r="C158" s="701"/>
      <c r="D158" s="421">
        <f>[4]INDICECLIMAORGANIZACIONAL!D150</f>
        <v>192</v>
      </c>
      <c r="E158" s="436">
        <f>[4]INDICECLIMAORGANIZACIONAL!E150</f>
        <v>1</v>
      </c>
      <c r="F158" s="437"/>
      <c r="G158" s="438"/>
      <c r="H158" s="169"/>
      <c r="I158" s="703"/>
      <c r="J158" s="421">
        <f>[4]INDICECLIMAORGANIZACIONAL!J150</f>
        <v>180</v>
      </c>
      <c r="K158" s="436">
        <f>[4]INDICECLIMAORGANIZACIONAL!K150</f>
        <v>1</v>
      </c>
      <c r="L158" s="439"/>
      <c r="M158" s="438"/>
      <c r="N158" s="425"/>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row>
    <row r="159" spans="1:45" x14ac:dyDescent="0.25">
      <c r="B159" s="225"/>
      <c r="H159" s="225"/>
      <c r="I159" s="425"/>
      <c r="N159" s="425"/>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row>
    <row r="160" spans="1:45" x14ac:dyDescent="0.25">
      <c r="A160" s="700" t="str">
        <f>[4]INDICECLIMAORGANIZACIONAL!A152</f>
        <v>VOCÊ CONTRIBUI PARA A COLETA SELETIVA DO LIXO?</v>
      </c>
      <c r="B160" s="424"/>
      <c r="C160" s="701" t="str">
        <f>[4]INDICECLIMAORGANIZACIONAL!C152</f>
        <v>ITEM 19</v>
      </c>
      <c r="D160" s="702">
        <f>[4]INDICECLIMAORGANIZACIONAL!D152</f>
        <v>2020</v>
      </c>
      <c r="E160" s="702"/>
      <c r="F160" s="702"/>
      <c r="G160" s="702"/>
      <c r="H160" s="423"/>
      <c r="I160" s="703" t="str">
        <f>[4]INDICECLIMAORGANIZACIONAL!I152</f>
        <v>ITEM 21</v>
      </c>
      <c r="J160" s="702">
        <f>[4]INDICECLIMAORGANIZACIONAL!J152</f>
        <v>2017</v>
      </c>
      <c r="K160" s="702"/>
      <c r="L160" s="702"/>
      <c r="M160" s="702"/>
      <c r="N160" s="425"/>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row>
    <row r="161" spans="1:45" ht="38.25" x14ac:dyDescent="0.25">
      <c r="A161" s="700"/>
      <c r="B161" s="424"/>
      <c r="C161" s="701"/>
      <c r="D161" s="426" t="str">
        <f>[4]INDICECLIMAORGANIZACIONAL!D153</f>
        <v>TOTAL</v>
      </c>
      <c r="E161" s="426" t="str">
        <f>[4]INDICECLIMAORGANIZACIONAL!E153</f>
        <v>%</v>
      </c>
      <c r="F161" s="426" t="str">
        <f>[4]INDICECLIMAORGANIZACIONAL!F153</f>
        <v>RESULTADO</v>
      </c>
      <c r="G161" s="427" t="str">
        <f>[4]INDICECLIMAORGANIZACIONAL!G153</f>
        <v>ITEM AVALIADO POSITIVAMENTE?             (1 - SIM / 0 - NÃO)</v>
      </c>
      <c r="H161" s="158"/>
      <c r="I161" s="703"/>
      <c r="J161" s="426" t="str">
        <f>[4]INDICECLIMAORGANIZACIONAL!J153</f>
        <v>TOTAL</v>
      </c>
      <c r="K161" s="426" t="str">
        <f>[4]INDICECLIMAORGANIZACIONAL!K153</f>
        <v>%</v>
      </c>
      <c r="L161" s="426" t="str">
        <f>[4]INDICECLIMAORGANIZACIONAL!L153</f>
        <v>RESULTADO</v>
      </c>
      <c r="M161" s="427" t="str">
        <f>[4]INDICECLIMAORGANIZACIONAL!M153</f>
        <v>ITEM AVALIADO POSITIVAMENTE?             (1 - SIM / 0 - NÃO)</v>
      </c>
      <c r="N161" s="425"/>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row>
    <row r="162" spans="1:45" x14ac:dyDescent="0.25">
      <c r="A162" s="428" t="str">
        <f>[4]INDICECLIMAORGANIZACIONAL!A154</f>
        <v>SIM</v>
      </c>
      <c r="B162" s="225"/>
      <c r="C162" s="701"/>
      <c r="D162" s="435">
        <f>[4]INDICECLIMAORGANIZACIONAL!D154</f>
        <v>171</v>
      </c>
      <c r="E162" s="440">
        <f>[4]INDICECLIMAORGANIZACIONAL!E154</f>
        <v>0.890625</v>
      </c>
      <c r="F162" s="431" t="str">
        <f>[4]INDICECLIMAORGANIZACIONAL!F154</f>
        <v>DESEJÁVEL</v>
      </c>
      <c r="G162" s="704">
        <f>[4]INDICECLIMAORGANIZACIONAL!G154</f>
        <v>1</v>
      </c>
      <c r="H162" s="432"/>
      <c r="I162" s="703"/>
      <c r="J162" s="429">
        <f>[4]INDICECLIMAORGANIZACIONAL!J154</f>
        <v>139</v>
      </c>
      <c r="K162" s="430">
        <f>[4]INDICECLIMAORGANIZACIONAL!K154</f>
        <v>0.77222222222222225</v>
      </c>
      <c r="L162" s="430" t="str">
        <f>[4]INDICECLIMAORGANIZACIONAL!L154</f>
        <v>SATISFATÓRIO</v>
      </c>
      <c r="M162" s="704">
        <f>[4]INDICECLIMAORGANIZACIONAL!M154</f>
        <v>1</v>
      </c>
      <c r="N162" s="425"/>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row>
    <row r="163" spans="1:45" x14ac:dyDescent="0.25">
      <c r="A163" s="433" t="str">
        <f>[4]INDICECLIMAORGANIZACIONAL!A155</f>
        <v>PARCIAL</v>
      </c>
      <c r="B163" s="434"/>
      <c r="C163" s="701"/>
      <c r="D163" s="435">
        <f>[4]INDICECLIMAORGANIZACIONAL!D155</f>
        <v>21</v>
      </c>
      <c r="E163" s="440">
        <f>[4]INDICECLIMAORGANIZACIONAL!E155</f>
        <v>0.109375</v>
      </c>
      <c r="F163" s="431" t="str">
        <f>[4]INDICECLIMAORGANIZACIONAL!F155</f>
        <v>SATISFATÓRIO</v>
      </c>
      <c r="G163" s="704"/>
      <c r="H163" s="432"/>
      <c r="I163" s="703"/>
      <c r="J163" s="429">
        <f>[4]INDICECLIMAORGANIZACIONAL!J155</f>
        <v>34</v>
      </c>
      <c r="K163" s="430">
        <f>[4]INDICECLIMAORGANIZACIONAL!K155</f>
        <v>0.18888888888888888</v>
      </c>
      <c r="L163" s="430" t="str">
        <f>[4]INDICECLIMAORGANIZACIONAL!L155</f>
        <v>SATISFATÓRIO</v>
      </c>
      <c r="M163" s="704"/>
      <c r="N163" s="425"/>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row>
    <row r="164" spans="1:45" x14ac:dyDescent="0.25">
      <c r="A164" s="433" t="str">
        <f>[4]INDICECLIMAORGANIZACIONAL!A156</f>
        <v>NÃO</v>
      </c>
      <c r="B164" s="434"/>
      <c r="C164" s="701"/>
      <c r="D164" s="435">
        <f>[4]INDICECLIMAORGANIZACIONAL!D156</f>
        <v>0</v>
      </c>
      <c r="E164" s="440">
        <f>[4]INDICECLIMAORGANIZACIONAL!E156</f>
        <v>0</v>
      </c>
      <c r="F164" s="431" t="str">
        <f>[4]INDICECLIMAORGANIZACIONAL!F156</f>
        <v>DESEJÁVEL</v>
      </c>
      <c r="G164" s="704"/>
      <c r="H164" s="432"/>
      <c r="I164" s="703"/>
      <c r="J164" s="429">
        <f>[4]INDICECLIMAORGANIZACIONAL!J156</f>
        <v>7</v>
      </c>
      <c r="K164" s="430">
        <f>[4]INDICECLIMAORGANIZACIONAL!K156</f>
        <v>3.888888888888889E-2</v>
      </c>
      <c r="L164" s="430" t="str">
        <f>[4]INDICECLIMAORGANIZACIONAL!L156</f>
        <v>DESEJÁVEL</v>
      </c>
      <c r="M164" s="704"/>
      <c r="N164" s="425"/>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row>
    <row r="165" spans="1:45" x14ac:dyDescent="0.25">
      <c r="A165" s="82" t="str">
        <f>[4]INDICECLIMAORGANIZACIONAL!A157</f>
        <v>TOTAL</v>
      </c>
      <c r="B165" s="156"/>
      <c r="C165" s="701"/>
      <c r="D165" s="421">
        <f>[4]INDICECLIMAORGANIZACIONAL!D157</f>
        <v>192</v>
      </c>
      <c r="E165" s="436">
        <f>[4]INDICECLIMAORGANIZACIONAL!E157</f>
        <v>1</v>
      </c>
      <c r="F165" s="437"/>
      <c r="G165" s="438"/>
      <c r="H165" s="169"/>
      <c r="I165" s="703"/>
      <c r="J165" s="421">
        <f>[4]INDICECLIMAORGANIZACIONAL!J157</f>
        <v>180</v>
      </c>
      <c r="K165" s="436">
        <f>[4]INDICECLIMAORGANIZACIONAL!K157</f>
        <v>1</v>
      </c>
      <c r="L165" s="439"/>
      <c r="M165" s="438"/>
      <c r="N165" s="425"/>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row>
    <row r="166" spans="1:45" x14ac:dyDescent="0.25">
      <c r="B166" s="225"/>
      <c r="H166" s="225"/>
      <c r="I166" s="425"/>
      <c r="N166" s="425"/>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row>
    <row r="167" spans="1:45" x14ac:dyDescent="0.25">
      <c r="A167" s="700" t="str">
        <f>[4]INDICECLIMAORGANIZACIONAL!A159</f>
        <v>AS INFORMAÇÕES SÃO BEM DIVULGADAS NO ÂMBITO DO MME?</v>
      </c>
      <c r="B167" s="424"/>
      <c r="C167" s="701" t="str">
        <f>[4]INDICECLIMAORGANIZACIONAL!C159</f>
        <v>ITEM 20</v>
      </c>
      <c r="D167" s="702">
        <f>[4]INDICECLIMAORGANIZACIONAL!D159</f>
        <v>2020</v>
      </c>
      <c r="E167" s="702"/>
      <c r="F167" s="702"/>
      <c r="G167" s="702"/>
      <c r="H167" s="423"/>
      <c r="I167" s="703" t="str">
        <f>[4]INDICECLIMAORGANIZACIONAL!I159</f>
        <v>ITEM 22</v>
      </c>
      <c r="J167" s="702">
        <f>[4]INDICECLIMAORGANIZACIONAL!J159</f>
        <v>2017</v>
      </c>
      <c r="K167" s="702"/>
      <c r="L167" s="702"/>
      <c r="M167" s="702"/>
      <c r="N167" s="425"/>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row>
    <row r="168" spans="1:45" ht="38.25" x14ac:dyDescent="0.25">
      <c r="A168" s="700"/>
      <c r="B168" s="424"/>
      <c r="C168" s="701"/>
      <c r="D168" s="426" t="str">
        <f>[4]INDICECLIMAORGANIZACIONAL!D160</f>
        <v>TOTAL</v>
      </c>
      <c r="E168" s="426" t="str">
        <f>[4]INDICECLIMAORGANIZACIONAL!E160</f>
        <v>%</v>
      </c>
      <c r="F168" s="426" t="str">
        <f>[4]INDICECLIMAORGANIZACIONAL!F160</f>
        <v>RESULTADO</v>
      </c>
      <c r="G168" s="427" t="str">
        <f>[4]INDICECLIMAORGANIZACIONAL!G160</f>
        <v>ITEM AVALIADO POSITIVAMENTE?             (1 - SIM / 0 - NÃO)</v>
      </c>
      <c r="H168" s="158"/>
      <c r="I168" s="703"/>
      <c r="J168" s="426" t="str">
        <f>[4]INDICECLIMAORGANIZACIONAL!J160</f>
        <v>TOTAL</v>
      </c>
      <c r="K168" s="426" t="str">
        <f>[4]INDICECLIMAORGANIZACIONAL!K160</f>
        <v>%</v>
      </c>
      <c r="L168" s="426" t="str">
        <f>[4]INDICECLIMAORGANIZACIONAL!L160</f>
        <v>RESULTADO</v>
      </c>
      <c r="M168" s="427" t="str">
        <f>[4]INDICECLIMAORGANIZACIONAL!M160</f>
        <v>ITEM AVALIADO POSITIVAMENTE?             (1 - SIM / 0 - NÃO)</v>
      </c>
      <c r="N168" s="425"/>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row>
    <row r="169" spans="1:45" x14ac:dyDescent="0.25">
      <c r="A169" s="428" t="str">
        <f>[4]INDICECLIMAORGANIZACIONAL!A161</f>
        <v>SIM</v>
      </c>
      <c r="B169" s="225"/>
      <c r="C169" s="701"/>
      <c r="D169" s="435">
        <f>[4]INDICECLIMAORGANIZACIONAL!D161</f>
        <v>103</v>
      </c>
      <c r="E169" s="440">
        <f>[4]INDICECLIMAORGANIZACIONAL!E161</f>
        <v>0.53645833333333337</v>
      </c>
      <c r="F169" s="431" t="str">
        <f>[4]INDICECLIMAORGANIZACIONAL!F161</f>
        <v>SATISFATÓRIO</v>
      </c>
      <c r="G169" s="704">
        <f>[4]INDICECLIMAORGANIZACIONAL!G161</f>
        <v>1</v>
      </c>
      <c r="H169" s="432"/>
      <c r="I169" s="703"/>
      <c r="J169" s="429">
        <f>[4]INDICECLIMAORGANIZACIONAL!J161</f>
        <v>63</v>
      </c>
      <c r="K169" s="430">
        <f>[4]INDICECLIMAORGANIZACIONAL!K161</f>
        <v>0.35</v>
      </c>
      <c r="L169" s="430" t="str">
        <f>[4]INDICECLIMAORGANIZACIONAL!L161</f>
        <v>INSATISFATÓRIO</v>
      </c>
      <c r="M169" s="704">
        <f>[4]INDICECLIMAORGANIZACIONAL!M161</f>
        <v>0</v>
      </c>
      <c r="N169" s="425"/>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row>
    <row r="170" spans="1:45" x14ac:dyDescent="0.25">
      <c r="A170" s="433" t="str">
        <f>[4]INDICECLIMAORGANIZACIONAL!A162</f>
        <v>PARCIAL</v>
      </c>
      <c r="B170" s="434"/>
      <c r="C170" s="701"/>
      <c r="D170" s="435">
        <f>[4]INDICECLIMAORGANIZACIONAL!D162</f>
        <v>73</v>
      </c>
      <c r="E170" s="440">
        <f>[4]INDICECLIMAORGANIZACIONAL!E162</f>
        <v>0.38020833333333331</v>
      </c>
      <c r="F170" s="431" t="str">
        <f>[4]INDICECLIMAORGANIZACIONAL!F162</f>
        <v>SATISFATÓRIO</v>
      </c>
      <c r="G170" s="704"/>
      <c r="H170" s="432"/>
      <c r="I170" s="703"/>
      <c r="J170" s="429">
        <f>[4]INDICECLIMAORGANIZACIONAL!J162</f>
        <v>82</v>
      </c>
      <c r="K170" s="430">
        <f>[4]INDICECLIMAORGANIZACIONAL!K162</f>
        <v>0.45555555555555555</v>
      </c>
      <c r="L170" s="430" t="str">
        <f>[4]INDICECLIMAORGANIZACIONAL!L162</f>
        <v>SATISFATÓRIO</v>
      </c>
      <c r="M170" s="704"/>
      <c r="N170" s="425"/>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row>
    <row r="171" spans="1:45" x14ac:dyDescent="0.25">
      <c r="A171" s="433" t="str">
        <f>[4]INDICECLIMAORGANIZACIONAL!A163</f>
        <v>NÃO</v>
      </c>
      <c r="B171" s="434"/>
      <c r="C171" s="701"/>
      <c r="D171" s="435">
        <f>[4]INDICECLIMAORGANIZACIONAL!D163</f>
        <v>16</v>
      </c>
      <c r="E171" s="440">
        <f>[4]INDICECLIMAORGANIZACIONAL!E163</f>
        <v>8.3333333333333329E-2</v>
      </c>
      <c r="F171" s="431" t="str">
        <f>[4]INDICECLIMAORGANIZACIONAL!F163</f>
        <v>SATISFATÓRIO</v>
      </c>
      <c r="G171" s="704"/>
      <c r="H171" s="432"/>
      <c r="I171" s="703"/>
      <c r="J171" s="429">
        <f>[4]INDICECLIMAORGANIZACIONAL!J163</f>
        <v>35</v>
      </c>
      <c r="K171" s="430">
        <f>[4]INDICECLIMAORGANIZACIONAL!K163</f>
        <v>0.19444444444444445</v>
      </c>
      <c r="L171" s="430" t="str">
        <f>[4]INDICECLIMAORGANIZACIONAL!L163</f>
        <v>INSATISFATÓRIO</v>
      </c>
      <c r="M171" s="704"/>
      <c r="N171" s="425"/>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row>
    <row r="172" spans="1:45" x14ac:dyDescent="0.25">
      <c r="A172" s="82" t="str">
        <f>[4]INDICECLIMAORGANIZACIONAL!A164</f>
        <v>TOTAL</v>
      </c>
      <c r="B172" s="156"/>
      <c r="C172" s="701"/>
      <c r="D172" s="421">
        <f>[4]INDICECLIMAORGANIZACIONAL!D164</f>
        <v>192</v>
      </c>
      <c r="E172" s="436">
        <f>[4]INDICECLIMAORGANIZACIONAL!E164</f>
        <v>1</v>
      </c>
      <c r="F172" s="437"/>
      <c r="G172" s="438"/>
      <c r="H172" s="169"/>
      <c r="I172" s="703"/>
      <c r="J172" s="421">
        <f>[4]INDICECLIMAORGANIZACIONAL!J164</f>
        <v>180</v>
      </c>
      <c r="K172" s="436">
        <f>[4]INDICECLIMAORGANIZACIONAL!K164</f>
        <v>1</v>
      </c>
      <c r="L172" s="439"/>
      <c r="M172" s="438"/>
      <c r="N172" s="425"/>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row>
    <row r="173" spans="1:45" x14ac:dyDescent="0.25">
      <c r="B173" s="225"/>
      <c r="H173" s="225"/>
      <c r="I173" s="425"/>
      <c r="N173" s="425"/>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row>
    <row r="174" spans="1:45" x14ac:dyDescent="0.25">
      <c r="A174" s="700" t="str">
        <f>[4]INDICECLIMAORGANIZACIONAL!A166</f>
        <v>A COMUNICAÇÃO ENTRE AS UNIDADES DO MME FACILITA O DESENVOLVIMENTO DO TRABALHO?</v>
      </c>
      <c r="B174" s="424"/>
      <c r="C174" s="701" t="str">
        <f>[4]INDICECLIMAORGANIZACIONAL!C166</f>
        <v>ITEM 21</v>
      </c>
      <c r="D174" s="702">
        <f>[4]INDICECLIMAORGANIZACIONAL!D166</f>
        <v>2020</v>
      </c>
      <c r="E174" s="702"/>
      <c r="F174" s="702"/>
      <c r="G174" s="702"/>
      <c r="H174" s="423"/>
      <c r="I174" s="703" t="str">
        <f>[4]INDICECLIMAORGANIZACIONAL!I166</f>
        <v>ITEM 23</v>
      </c>
      <c r="J174" s="702">
        <f>[4]INDICECLIMAORGANIZACIONAL!J166</f>
        <v>2017</v>
      </c>
      <c r="K174" s="702"/>
      <c r="L174" s="702"/>
      <c r="M174" s="702"/>
      <c r="N174" s="425"/>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row>
    <row r="175" spans="1:45" ht="38.25" x14ac:dyDescent="0.25">
      <c r="A175" s="700"/>
      <c r="B175" s="424"/>
      <c r="C175" s="701"/>
      <c r="D175" s="426" t="str">
        <f>[4]INDICECLIMAORGANIZACIONAL!D167</f>
        <v>TOTAL</v>
      </c>
      <c r="E175" s="426" t="str">
        <f>[4]INDICECLIMAORGANIZACIONAL!E167</f>
        <v>%</v>
      </c>
      <c r="F175" s="426" t="str">
        <f>[4]INDICECLIMAORGANIZACIONAL!F167</f>
        <v>RESULTADO</v>
      </c>
      <c r="G175" s="427" t="str">
        <f>[4]INDICECLIMAORGANIZACIONAL!G167</f>
        <v>ITEM AVALIADO POSITIVAMENTE?             (1 - SIM / 0 - NÃO)</v>
      </c>
      <c r="H175" s="158"/>
      <c r="I175" s="703"/>
      <c r="J175" s="426" t="str">
        <f>[4]INDICECLIMAORGANIZACIONAL!J167</f>
        <v>TOTAL</v>
      </c>
      <c r="K175" s="426" t="str">
        <f>[4]INDICECLIMAORGANIZACIONAL!K167</f>
        <v>%</v>
      </c>
      <c r="L175" s="426" t="str">
        <f>[4]INDICECLIMAORGANIZACIONAL!L167</f>
        <v>RESULTADO</v>
      </c>
      <c r="M175" s="427" t="str">
        <f>[4]INDICECLIMAORGANIZACIONAL!M167</f>
        <v>ITEM AVALIADO POSITIVAMENTE?             (1 - SIM / 0 - NÃO)</v>
      </c>
      <c r="N175" s="425"/>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row>
    <row r="176" spans="1:45" x14ac:dyDescent="0.25">
      <c r="A176" s="428" t="str">
        <f>[4]INDICECLIMAORGANIZACIONAL!A168</f>
        <v>SIM</v>
      </c>
      <c r="B176" s="225"/>
      <c r="C176" s="701"/>
      <c r="D176" s="435">
        <f>[4]INDICECLIMAORGANIZACIONAL!D168</f>
        <v>111</v>
      </c>
      <c r="E176" s="440">
        <f>[4]INDICECLIMAORGANIZACIONAL!E168</f>
        <v>0.578125</v>
      </c>
      <c r="F176" s="431" t="str">
        <f>[4]INDICECLIMAORGANIZACIONAL!F168</f>
        <v>SATISFATÓRIO</v>
      </c>
      <c r="G176" s="704">
        <f>[4]INDICECLIMAORGANIZACIONAL!G168</f>
        <v>1</v>
      </c>
      <c r="H176" s="432"/>
      <c r="I176" s="703"/>
      <c r="J176" s="429">
        <f>[4]INDICECLIMAORGANIZACIONAL!J168</f>
        <v>64</v>
      </c>
      <c r="K176" s="430">
        <f>[4]INDICECLIMAORGANIZACIONAL!K168</f>
        <v>0.35555555555555557</v>
      </c>
      <c r="L176" s="430" t="str">
        <f>[4]INDICECLIMAORGANIZACIONAL!L168</f>
        <v>INSATISFATÓRIO</v>
      </c>
      <c r="M176" s="704">
        <f>[4]INDICECLIMAORGANIZACIONAL!M168</f>
        <v>0</v>
      </c>
      <c r="N176" s="425"/>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row>
    <row r="177" spans="1:45" x14ac:dyDescent="0.25">
      <c r="A177" s="433" t="str">
        <f>[4]INDICECLIMAORGANIZACIONAL!A169</f>
        <v>PARCIAL</v>
      </c>
      <c r="B177" s="434"/>
      <c r="C177" s="701"/>
      <c r="D177" s="435">
        <f>[4]INDICECLIMAORGANIZACIONAL!D169</f>
        <v>63</v>
      </c>
      <c r="E177" s="440">
        <f>[4]INDICECLIMAORGANIZACIONAL!E169</f>
        <v>0.328125</v>
      </c>
      <c r="F177" s="431" t="str">
        <f>[4]INDICECLIMAORGANIZACIONAL!F169</f>
        <v>SATISFATÓRIO</v>
      </c>
      <c r="G177" s="704"/>
      <c r="H177" s="432"/>
      <c r="I177" s="703"/>
      <c r="J177" s="429">
        <f>[4]INDICECLIMAORGANIZACIONAL!J169</f>
        <v>70</v>
      </c>
      <c r="K177" s="430">
        <f>[4]INDICECLIMAORGANIZACIONAL!K169</f>
        <v>0.3888888888888889</v>
      </c>
      <c r="L177" s="430" t="str">
        <f>[4]INDICECLIMAORGANIZACIONAL!L169</f>
        <v>SATISFATÓRIO</v>
      </c>
      <c r="M177" s="704"/>
      <c r="N177" s="425"/>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row>
    <row r="178" spans="1:45" x14ac:dyDescent="0.25">
      <c r="A178" s="433" t="str">
        <f>[4]INDICECLIMAORGANIZACIONAL!A170</f>
        <v>NÃO</v>
      </c>
      <c r="B178" s="434"/>
      <c r="C178" s="701"/>
      <c r="D178" s="435">
        <f>[4]INDICECLIMAORGANIZACIONAL!D170</f>
        <v>18</v>
      </c>
      <c r="E178" s="440">
        <f>[4]INDICECLIMAORGANIZACIONAL!E170</f>
        <v>9.375E-2</v>
      </c>
      <c r="F178" s="431" t="str">
        <f>[4]INDICECLIMAORGANIZACIONAL!F170</f>
        <v>SATISFATÓRIO</v>
      </c>
      <c r="G178" s="704"/>
      <c r="H178" s="432"/>
      <c r="I178" s="703"/>
      <c r="J178" s="429">
        <f>[4]INDICECLIMAORGANIZACIONAL!J170</f>
        <v>46</v>
      </c>
      <c r="K178" s="430">
        <f>[4]INDICECLIMAORGANIZACIONAL!K170</f>
        <v>0.25555555555555554</v>
      </c>
      <c r="L178" s="430" t="str">
        <f>[4]INDICECLIMAORGANIZACIONAL!L170</f>
        <v>INSATISFATÓRIO</v>
      </c>
      <c r="M178" s="704"/>
      <c r="N178" s="425"/>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row>
    <row r="179" spans="1:45" x14ac:dyDescent="0.25">
      <c r="A179" s="82" t="str">
        <f>[4]INDICECLIMAORGANIZACIONAL!A171</f>
        <v>TOTAL</v>
      </c>
      <c r="B179" s="156"/>
      <c r="C179" s="701"/>
      <c r="D179" s="421">
        <f>[4]INDICECLIMAORGANIZACIONAL!D171</f>
        <v>192</v>
      </c>
      <c r="E179" s="436">
        <f>[4]INDICECLIMAORGANIZACIONAL!E171</f>
        <v>1</v>
      </c>
      <c r="F179" s="437"/>
      <c r="G179" s="438"/>
      <c r="H179" s="169"/>
      <c r="I179" s="703"/>
      <c r="J179" s="421">
        <f>[4]INDICECLIMAORGANIZACIONAL!J171</f>
        <v>180</v>
      </c>
      <c r="K179" s="436">
        <f>[4]INDICECLIMAORGANIZACIONAL!K171</f>
        <v>1</v>
      </c>
      <c r="L179" s="439"/>
      <c r="M179" s="438"/>
      <c r="N179" s="425"/>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row>
    <row r="180" spans="1:45" x14ac:dyDescent="0.25">
      <c r="B180" s="225"/>
      <c r="H180" s="225"/>
      <c r="I180" s="425"/>
      <c r="N180" s="425"/>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row>
    <row r="181" spans="1:45" x14ac:dyDescent="0.25">
      <c r="A181" s="700" t="str">
        <f>[4]INDICECLIMAORGANIZACIONAL!A173</f>
        <v>AS NORMAS E DIRETRIZES ADOTADAS PELO MME FACILITAM A EXECUÇÃO DAS MINHAS ATIVIDADES?</v>
      </c>
      <c r="B181" s="424"/>
      <c r="C181" s="701" t="str">
        <f>[4]INDICECLIMAORGANIZACIONAL!C173</f>
        <v>ITEM 22</v>
      </c>
      <c r="D181" s="702">
        <f>[4]INDICECLIMAORGANIZACIONAL!D173</f>
        <v>2020</v>
      </c>
      <c r="E181" s="702"/>
      <c r="F181" s="702"/>
      <c r="G181" s="702"/>
      <c r="H181" s="423"/>
      <c r="I181" s="703" t="str">
        <f>[4]INDICECLIMAORGANIZACIONAL!I173</f>
        <v>ITEM 24</v>
      </c>
      <c r="J181" s="702">
        <f>[4]INDICECLIMAORGANIZACIONAL!J173</f>
        <v>2017</v>
      </c>
      <c r="K181" s="702"/>
      <c r="L181" s="702"/>
      <c r="M181" s="702"/>
      <c r="N181" s="425"/>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row>
    <row r="182" spans="1:45" ht="38.25" x14ac:dyDescent="0.25">
      <c r="A182" s="700"/>
      <c r="B182" s="424"/>
      <c r="C182" s="701"/>
      <c r="D182" s="426" t="str">
        <f>[4]INDICECLIMAORGANIZACIONAL!D174</f>
        <v>TOTAL</v>
      </c>
      <c r="E182" s="426" t="str">
        <f>[4]INDICECLIMAORGANIZACIONAL!E174</f>
        <v>%</v>
      </c>
      <c r="F182" s="426" t="str">
        <f>[4]INDICECLIMAORGANIZACIONAL!F174</f>
        <v>RESULTADO</v>
      </c>
      <c r="G182" s="427" t="str">
        <f>[4]INDICECLIMAORGANIZACIONAL!G174</f>
        <v>ITEM AVALIADO POSITIVAMENTE?             (1 - SIM / 0 - NÃO)</v>
      </c>
      <c r="H182" s="158"/>
      <c r="I182" s="703"/>
      <c r="J182" s="426" t="str">
        <f>[4]INDICECLIMAORGANIZACIONAL!J174</f>
        <v>TOTAL</v>
      </c>
      <c r="K182" s="426" t="str">
        <f>[4]INDICECLIMAORGANIZACIONAL!K174</f>
        <v>%</v>
      </c>
      <c r="L182" s="426" t="str">
        <f>[4]INDICECLIMAORGANIZACIONAL!L174</f>
        <v>RESULTADO</v>
      </c>
      <c r="M182" s="427" t="str">
        <f>[4]INDICECLIMAORGANIZACIONAL!M174</f>
        <v>ITEM AVALIADO POSITIVAMENTE?             (1 - SIM / 0 - NÃO)</v>
      </c>
      <c r="N182" s="425"/>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row>
    <row r="183" spans="1:45" x14ac:dyDescent="0.25">
      <c r="A183" s="428" t="str">
        <f>[4]INDICECLIMAORGANIZACIONAL!A175</f>
        <v>SIM</v>
      </c>
      <c r="B183" s="225"/>
      <c r="C183" s="701"/>
      <c r="D183" s="435">
        <f>[4]INDICECLIMAORGANIZACIONAL!D175</f>
        <v>121</v>
      </c>
      <c r="E183" s="440">
        <f>[4]INDICECLIMAORGANIZACIONAL!E175</f>
        <v>0.63020833333333337</v>
      </c>
      <c r="F183" s="431" t="str">
        <f>[4]INDICECLIMAORGANIZACIONAL!F175</f>
        <v>SATISFATÓRIO</v>
      </c>
      <c r="G183" s="704">
        <f>[4]INDICECLIMAORGANIZACIONAL!G175</f>
        <v>1</v>
      </c>
      <c r="H183" s="432"/>
      <c r="I183" s="703"/>
      <c r="J183" s="429">
        <f>[4]INDICECLIMAORGANIZACIONAL!J175</f>
        <v>84</v>
      </c>
      <c r="K183" s="430">
        <f>[4]INDICECLIMAORGANIZACIONAL!K175</f>
        <v>0.46408839779005523</v>
      </c>
      <c r="L183" s="430" t="str">
        <f>[4]INDICECLIMAORGANIZACIONAL!L175</f>
        <v>INSATISFATÓRIO</v>
      </c>
      <c r="M183" s="704">
        <f>[4]INDICECLIMAORGANIZACIONAL!M175</f>
        <v>0</v>
      </c>
      <c r="N183" s="425"/>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row>
    <row r="184" spans="1:45" x14ac:dyDescent="0.25">
      <c r="A184" s="433" t="str">
        <f>[4]INDICECLIMAORGANIZACIONAL!A176</f>
        <v>PARCIAL</v>
      </c>
      <c r="B184" s="434"/>
      <c r="C184" s="701"/>
      <c r="D184" s="435">
        <f>[4]INDICECLIMAORGANIZACIONAL!D176</f>
        <v>62</v>
      </c>
      <c r="E184" s="440">
        <f>[4]INDICECLIMAORGANIZACIONAL!E176</f>
        <v>0.32291666666666669</v>
      </c>
      <c r="F184" s="431" t="str">
        <f>[4]INDICECLIMAORGANIZACIONAL!F176</f>
        <v>SATISFATÓRIO</v>
      </c>
      <c r="G184" s="704"/>
      <c r="H184" s="432"/>
      <c r="I184" s="703"/>
      <c r="J184" s="429">
        <f>[4]INDICECLIMAORGANIZACIONAL!J176</f>
        <v>67</v>
      </c>
      <c r="K184" s="430">
        <f>[4]INDICECLIMAORGANIZACIONAL!K176</f>
        <v>0.37016574585635359</v>
      </c>
      <c r="L184" s="430" t="str">
        <f>[4]INDICECLIMAORGANIZACIONAL!L176</f>
        <v>SATISFATÓRIO</v>
      </c>
      <c r="M184" s="704"/>
      <c r="N184" s="425"/>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row>
    <row r="185" spans="1:45" x14ac:dyDescent="0.25">
      <c r="A185" s="433" t="str">
        <f>[4]INDICECLIMAORGANIZACIONAL!A177</f>
        <v>NÃO</v>
      </c>
      <c r="B185" s="434"/>
      <c r="C185" s="701"/>
      <c r="D185" s="435">
        <f>[4]INDICECLIMAORGANIZACIONAL!D177</f>
        <v>9</v>
      </c>
      <c r="E185" s="440">
        <f>[4]INDICECLIMAORGANIZACIONAL!E177</f>
        <v>4.6875E-2</v>
      </c>
      <c r="F185" s="431" t="str">
        <f>[4]INDICECLIMAORGANIZACIONAL!F177</f>
        <v>DESEJÁVEL</v>
      </c>
      <c r="G185" s="704"/>
      <c r="H185" s="432"/>
      <c r="I185" s="703"/>
      <c r="J185" s="429">
        <f>[4]INDICECLIMAORGANIZACIONAL!J177</f>
        <v>30</v>
      </c>
      <c r="K185" s="430">
        <f>[4]INDICECLIMAORGANIZACIONAL!K177</f>
        <v>0.16574585635359115</v>
      </c>
      <c r="L185" s="430" t="str">
        <f>[4]INDICECLIMAORGANIZACIONAL!L177</f>
        <v>INSATISFATÓRIO</v>
      </c>
      <c r="M185" s="704"/>
      <c r="N185" s="425"/>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row>
    <row r="186" spans="1:45" x14ac:dyDescent="0.25">
      <c r="A186" s="82" t="str">
        <f>[4]INDICECLIMAORGANIZACIONAL!A178</f>
        <v>TOTAL</v>
      </c>
      <c r="B186" s="156"/>
      <c r="C186" s="701"/>
      <c r="D186" s="421">
        <f>[4]INDICECLIMAORGANIZACIONAL!D178</f>
        <v>192</v>
      </c>
      <c r="E186" s="436">
        <f>[4]INDICECLIMAORGANIZACIONAL!E178</f>
        <v>1</v>
      </c>
      <c r="F186" s="437"/>
      <c r="G186" s="438"/>
      <c r="H186" s="169"/>
      <c r="I186" s="703"/>
      <c r="J186" s="421">
        <f>[4]INDICECLIMAORGANIZACIONAL!J178</f>
        <v>181</v>
      </c>
      <c r="K186" s="436">
        <f>[4]INDICECLIMAORGANIZACIONAL!K178</f>
        <v>1</v>
      </c>
      <c r="L186" s="439"/>
      <c r="M186" s="438"/>
      <c r="N186" s="425"/>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row>
    <row r="187" spans="1:45" x14ac:dyDescent="0.25">
      <c r="B187" s="225"/>
      <c r="H187" s="225"/>
      <c r="I187" s="425"/>
      <c r="N187" s="425"/>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row>
    <row r="188" spans="1:45" x14ac:dyDescent="0.25">
      <c r="A188" s="700" t="str">
        <f>[4]INDICECLIMAORGANIZACIONAL!A180</f>
        <v>CONSIDERO ADEQUADA A LIMPEZA REALIZADA NO MEU AMBIENTE DE TRABALHO?</v>
      </c>
      <c r="B188" s="424"/>
      <c r="C188" s="701" t="str">
        <f>[4]INDICECLIMAORGANIZACIONAL!C180</f>
        <v>ITEM 23</v>
      </c>
      <c r="D188" s="702">
        <f>[4]INDICECLIMAORGANIZACIONAL!D180</f>
        <v>2020</v>
      </c>
      <c r="E188" s="702"/>
      <c r="F188" s="702"/>
      <c r="G188" s="702"/>
      <c r="H188" s="423"/>
      <c r="I188" s="703" t="str">
        <f>[4]INDICECLIMAORGANIZACIONAL!I180</f>
        <v>ITEM 25</v>
      </c>
      <c r="J188" s="702">
        <f>[4]INDICECLIMAORGANIZACIONAL!J180</f>
        <v>2017</v>
      </c>
      <c r="K188" s="702"/>
      <c r="L188" s="702"/>
      <c r="M188" s="702"/>
      <c r="N188" s="425"/>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row>
    <row r="189" spans="1:45" ht="38.25" x14ac:dyDescent="0.25">
      <c r="A189" s="700"/>
      <c r="B189" s="424"/>
      <c r="C189" s="701"/>
      <c r="D189" s="426" t="str">
        <f>[4]INDICECLIMAORGANIZACIONAL!D181</f>
        <v>TOTAL</v>
      </c>
      <c r="E189" s="426" t="str">
        <f>[4]INDICECLIMAORGANIZACIONAL!E181</f>
        <v>%</v>
      </c>
      <c r="F189" s="426" t="str">
        <f>[4]INDICECLIMAORGANIZACIONAL!F181</f>
        <v>RESULTADO</v>
      </c>
      <c r="G189" s="427" t="str">
        <f>[4]INDICECLIMAORGANIZACIONAL!G181</f>
        <v>ITEM AVALIADO POSITIVAMENTE?             (1 - SIM / 0 - NÃO)</v>
      </c>
      <c r="H189" s="158"/>
      <c r="I189" s="703"/>
      <c r="J189" s="426" t="str">
        <f>[4]INDICECLIMAORGANIZACIONAL!J181</f>
        <v>TOTAL</v>
      </c>
      <c r="K189" s="426" t="str">
        <f>[4]INDICECLIMAORGANIZACIONAL!K181</f>
        <v>%</v>
      </c>
      <c r="L189" s="426" t="str">
        <f>[4]INDICECLIMAORGANIZACIONAL!L181</f>
        <v>RESULTADO</v>
      </c>
      <c r="M189" s="427" t="str">
        <f>[4]INDICECLIMAORGANIZACIONAL!M181</f>
        <v>ITEM AVALIADO POSITIVAMENTE?             (1 - SIM / 0 - NÃO)</v>
      </c>
      <c r="N189" s="425"/>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row>
    <row r="190" spans="1:45" x14ac:dyDescent="0.25">
      <c r="A190" s="428" t="str">
        <f>[4]INDICECLIMAORGANIZACIONAL!A182</f>
        <v>SIM</v>
      </c>
      <c r="B190" s="225"/>
      <c r="C190" s="701"/>
      <c r="D190" s="435">
        <f>[4]INDICECLIMAORGANIZACIONAL!D182</f>
        <v>176</v>
      </c>
      <c r="E190" s="440">
        <f>[4]INDICECLIMAORGANIZACIONAL!E182</f>
        <v>0.91666666666666663</v>
      </c>
      <c r="F190" s="431" t="str">
        <f>[4]INDICECLIMAORGANIZACIONAL!F182</f>
        <v>DESEJÁVEL</v>
      </c>
      <c r="G190" s="704">
        <f>[4]INDICECLIMAORGANIZACIONAL!G182</f>
        <v>1</v>
      </c>
      <c r="H190" s="432"/>
      <c r="I190" s="703"/>
      <c r="J190" s="429">
        <f>[4]INDICECLIMAORGANIZACIONAL!J182</f>
        <v>140</v>
      </c>
      <c r="K190" s="430">
        <f>[4]INDICECLIMAORGANIZACIONAL!K182</f>
        <v>0.78212290502793291</v>
      </c>
      <c r="L190" s="430" t="str">
        <f>[4]INDICECLIMAORGANIZACIONAL!L182</f>
        <v>SATISFATÓRIO</v>
      </c>
      <c r="M190" s="704">
        <f>[4]INDICECLIMAORGANIZACIONAL!M182</f>
        <v>1</v>
      </c>
      <c r="N190" s="425"/>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row>
    <row r="191" spans="1:45" x14ac:dyDescent="0.25">
      <c r="A191" s="433" t="str">
        <f>[4]INDICECLIMAORGANIZACIONAL!A183</f>
        <v>PARCIAL</v>
      </c>
      <c r="B191" s="434"/>
      <c r="C191" s="701"/>
      <c r="D191" s="435">
        <f>[4]INDICECLIMAORGANIZACIONAL!D183</f>
        <v>16</v>
      </c>
      <c r="E191" s="440">
        <f>[4]INDICECLIMAORGANIZACIONAL!E183</f>
        <v>8.3333333333333329E-2</v>
      </c>
      <c r="F191" s="431" t="str">
        <f>[4]INDICECLIMAORGANIZACIONAL!F183</f>
        <v>SATISFATÓRIO</v>
      </c>
      <c r="G191" s="704"/>
      <c r="H191" s="432"/>
      <c r="I191" s="703"/>
      <c r="J191" s="429">
        <f>[4]INDICECLIMAORGANIZACIONAL!J183</f>
        <v>35</v>
      </c>
      <c r="K191" s="430">
        <f>[4]INDICECLIMAORGANIZACIONAL!K183</f>
        <v>0.19553072625698323</v>
      </c>
      <c r="L191" s="430" t="str">
        <f>[4]INDICECLIMAORGANIZACIONAL!L183</f>
        <v>SATISFATÓRIO</v>
      </c>
      <c r="M191" s="704"/>
      <c r="N191" s="425"/>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row>
    <row r="192" spans="1:45" x14ac:dyDescent="0.25">
      <c r="A192" s="433" t="str">
        <f>[4]INDICECLIMAORGANIZACIONAL!A184</f>
        <v>NÃO</v>
      </c>
      <c r="B192" s="434"/>
      <c r="C192" s="701"/>
      <c r="D192" s="435">
        <f>[4]INDICECLIMAORGANIZACIONAL!D184</f>
        <v>0</v>
      </c>
      <c r="E192" s="440">
        <f>[4]INDICECLIMAORGANIZACIONAL!E184</f>
        <v>0</v>
      </c>
      <c r="F192" s="431" t="str">
        <f>[4]INDICECLIMAORGANIZACIONAL!F184</f>
        <v>DESEJÁVEL</v>
      </c>
      <c r="G192" s="704"/>
      <c r="H192" s="432"/>
      <c r="I192" s="703"/>
      <c r="J192" s="429">
        <f>[4]INDICECLIMAORGANIZACIONAL!J184</f>
        <v>4</v>
      </c>
      <c r="K192" s="430">
        <f>[4]INDICECLIMAORGANIZACIONAL!K184</f>
        <v>2.23463687150838E-2</v>
      </c>
      <c r="L192" s="430" t="str">
        <f>[4]INDICECLIMAORGANIZACIONAL!L184</f>
        <v>DESEJÁVEL</v>
      </c>
      <c r="M192" s="704"/>
      <c r="N192" s="425"/>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row>
    <row r="193" spans="1:45" x14ac:dyDescent="0.25">
      <c r="A193" s="82" t="str">
        <f>[4]INDICECLIMAORGANIZACIONAL!A185</f>
        <v>TOTAL</v>
      </c>
      <c r="B193" s="156"/>
      <c r="C193" s="701"/>
      <c r="D193" s="421">
        <f>[4]INDICECLIMAORGANIZACIONAL!D185</f>
        <v>192</v>
      </c>
      <c r="E193" s="436">
        <f>[4]INDICECLIMAORGANIZACIONAL!E185</f>
        <v>1</v>
      </c>
      <c r="F193" s="437"/>
      <c r="G193" s="438"/>
      <c r="H193" s="169"/>
      <c r="I193" s="703"/>
      <c r="J193" s="421">
        <f>[4]INDICECLIMAORGANIZACIONAL!J185</f>
        <v>179</v>
      </c>
      <c r="K193" s="436">
        <f>[4]INDICECLIMAORGANIZACIONAL!K185</f>
        <v>0.99999999999999989</v>
      </c>
      <c r="L193" s="439"/>
      <c r="M193" s="438"/>
      <c r="N193" s="425"/>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row>
    <row r="194" spans="1:45" x14ac:dyDescent="0.25">
      <c r="B194" s="225"/>
      <c r="H194" s="225"/>
      <c r="I194" s="425"/>
      <c r="N194" s="425"/>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row>
    <row r="195" spans="1:45" x14ac:dyDescent="0.25">
      <c r="A195" s="700" t="str">
        <f>[4]INDICECLIMAORGANIZACIONAL!A187</f>
        <v>CONSIDERO ADEQUADA A VENTILAÇÃO NO MEU AMBIENTE DE TRABALHO?</v>
      </c>
      <c r="B195" s="424"/>
      <c r="C195" s="701" t="str">
        <f>[4]INDICECLIMAORGANIZACIONAL!C187</f>
        <v>ITEM 24</v>
      </c>
      <c r="D195" s="702">
        <f>[4]INDICECLIMAORGANIZACIONAL!D187</f>
        <v>2020</v>
      </c>
      <c r="E195" s="702"/>
      <c r="F195" s="702"/>
      <c r="G195" s="702"/>
      <c r="H195" s="423"/>
      <c r="I195" s="703" t="str">
        <f>[4]INDICECLIMAORGANIZACIONAL!I187</f>
        <v>ITEM 26</v>
      </c>
      <c r="J195" s="702">
        <f>[4]INDICECLIMAORGANIZACIONAL!J187</f>
        <v>2017</v>
      </c>
      <c r="K195" s="702"/>
      <c r="L195" s="702"/>
      <c r="M195" s="702"/>
      <c r="N195" s="425"/>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row>
    <row r="196" spans="1:45" ht="38.25" x14ac:dyDescent="0.25">
      <c r="A196" s="700"/>
      <c r="B196" s="424"/>
      <c r="C196" s="701"/>
      <c r="D196" s="426" t="str">
        <f>[4]INDICECLIMAORGANIZACIONAL!D188</f>
        <v>TOTAL</v>
      </c>
      <c r="E196" s="426" t="str">
        <f>[4]INDICECLIMAORGANIZACIONAL!E188</f>
        <v>%</v>
      </c>
      <c r="F196" s="426" t="str">
        <f>[4]INDICECLIMAORGANIZACIONAL!F188</f>
        <v>RESULTADO</v>
      </c>
      <c r="G196" s="427" t="str">
        <f>[4]INDICECLIMAORGANIZACIONAL!G188</f>
        <v>ITEM AVALIADO POSITIVAMENTE?             (1 - SIM / 0 - NÃO)</v>
      </c>
      <c r="H196" s="158"/>
      <c r="I196" s="703"/>
      <c r="J196" s="426" t="str">
        <f>[4]INDICECLIMAORGANIZACIONAL!J188</f>
        <v>TOTAL</v>
      </c>
      <c r="K196" s="426" t="str">
        <f>[4]INDICECLIMAORGANIZACIONAL!K188</f>
        <v>%</v>
      </c>
      <c r="L196" s="426" t="str">
        <f>[4]INDICECLIMAORGANIZACIONAL!L188</f>
        <v>RESULTADO</v>
      </c>
      <c r="M196" s="427" t="str">
        <f>[4]INDICECLIMAORGANIZACIONAL!M188</f>
        <v>ITEM AVALIADO POSITIVAMENTE?             (1 - SIM / 0 - NÃO)</v>
      </c>
      <c r="N196" s="425"/>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row>
    <row r="197" spans="1:45" x14ac:dyDescent="0.25">
      <c r="A197" s="428" t="str">
        <f>[4]INDICECLIMAORGANIZACIONAL!A189</f>
        <v>SIM</v>
      </c>
      <c r="B197" s="225"/>
      <c r="C197" s="701"/>
      <c r="D197" s="435">
        <f>[4]INDICECLIMAORGANIZACIONAL!D189</f>
        <v>132</v>
      </c>
      <c r="E197" s="440">
        <f>[4]INDICECLIMAORGANIZACIONAL!E189</f>
        <v>0.6875</v>
      </c>
      <c r="F197" s="431" t="str">
        <f>[4]INDICECLIMAORGANIZACIONAL!F189</f>
        <v>SATISFATÓRIO</v>
      </c>
      <c r="G197" s="704">
        <f>[4]INDICECLIMAORGANIZACIONAL!G189</f>
        <v>1</v>
      </c>
      <c r="H197" s="432"/>
      <c r="I197" s="703"/>
      <c r="J197" s="429">
        <f>[4]INDICECLIMAORGANIZACIONAL!J189</f>
        <v>122</v>
      </c>
      <c r="K197" s="430">
        <f>[4]INDICECLIMAORGANIZACIONAL!K189</f>
        <v>0.68156424581005581</v>
      </c>
      <c r="L197" s="430" t="str">
        <f>[4]INDICECLIMAORGANIZACIONAL!L189</f>
        <v>SATISFATÓRIO</v>
      </c>
      <c r="M197" s="704">
        <f>[4]INDICECLIMAORGANIZACIONAL!M189</f>
        <v>1</v>
      </c>
      <c r="N197" s="425"/>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row>
    <row r="198" spans="1:45" x14ac:dyDescent="0.25">
      <c r="A198" s="433" t="str">
        <f>[4]INDICECLIMAORGANIZACIONAL!A190</f>
        <v>PARCIAL</v>
      </c>
      <c r="B198" s="434"/>
      <c r="C198" s="701"/>
      <c r="D198" s="435">
        <f>[4]INDICECLIMAORGANIZACIONAL!D190</f>
        <v>54</v>
      </c>
      <c r="E198" s="440">
        <f>[4]INDICECLIMAORGANIZACIONAL!E190</f>
        <v>0.28125</v>
      </c>
      <c r="F198" s="431" t="str">
        <f>[4]INDICECLIMAORGANIZACIONAL!F190</f>
        <v>SATISFATÓRIO</v>
      </c>
      <c r="G198" s="704"/>
      <c r="H198" s="432"/>
      <c r="I198" s="703"/>
      <c r="J198" s="429">
        <f>[4]INDICECLIMAORGANIZACIONAL!J190</f>
        <v>47</v>
      </c>
      <c r="K198" s="430">
        <f>[4]INDICECLIMAORGANIZACIONAL!K190</f>
        <v>0.26256983240223464</v>
      </c>
      <c r="L198" s="430" t="str">
        <f>[4]INDICECLIMAORGANIZACIONAL!L190</f>
        <v>SATISFATÓRIO</v>
      </c>
      <c r="M198" s="704"/>
      <c r="N198" s="425"/>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row>
    <row r="199" spans="1:45" x14ac:dyDescent="0.25">
      <c r="A199" s="433" t="str">
        <f>[4]INDICECLIMAORGANIZACIONAL!A191</f>
        <v>NÃO</v>
      </c>
      <c r="B199" s="434"/>
      <c r="C199" s="701"/>
      <c r="D199" s="435">
        <f>[4]INDICECLIMAORGANIZACIONAL!D191</f>
        <v>6</v>
      </c>
      <c r="E199" s="440">
        <f>[4]INDICECLIMAORGANIZACIONAL!E191</f>
        <v>3.125E-2</v>
      </c>
      <c r="F199" s="431" t="str">
        <f>[4]INDICECLIMAORGANIZACIONAL!F191</f>
        <v>DESEJÁVEL</v>
      </c>
      <c r="G199" s="704"/>
      <c r="H199" s="432"/>
      <c r="I199" s="703"/>
      <c r="J199" s="429">
        <f>[4]INDICECLIMAORGANIZACIONAL!J191</f>
        <v>10</v>
      </c>
      <c r="K199" s="430">
        <f>[4]INDICECLIMAORGANIZACIONAL!K191</f>
        <v>5.5865921787709494E-2</v>
      </c>
      <c r="L199" s="430" t="str">
        <f>[4]INDICECLIMAORGANIZACIONAL!L191</f>
        <v>DESEJÁVEL</v>
      </c>
      <c r="M199" s="704"/>
      <c r="N199" s="425"/>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row>
    <row r="200" spans="1:45" x14ac:dyDescent="0.25">
      <c r="A200" s="82" t="str">
        <f>[4]INDICECLIMAORGANIZACIONAL!A192</f>
        <v>TOTAL</v>
      </c>
      <c r="B200" s="156"/>
      <c r="C200" s="701"/>
      <c r="D200" s="421">
        <f>[4]INDICECLIMAORGANIZACIONAL!D192</f>
        <v>192</v>
      </c>
      <c r="E200" s="436">
        <f>[4]INDICECLIMAORGANIZACIONAL!E192</f>
        <v>1</v>
      </c>
      <c r="F200" s="437"/>
      <c r="G200" s="438"/>
      <c r="H200" s="169"/>
      <c r="I200" s="703"/>
      <c r="J200" s="421">
        <f>[4]INDICECLIMAORGANIZACIONAL!J192</f>
        <v>179</v>
      </c>
      <c r="K200" s="436">
        <f>[4]INDICECLIMAORGANIZACIONAL!K192</f>
        <v>1</v>
      </c>
      <c r="L200" s="439"/>
      <c r="M200" s="438"/>
      <c r="N200" s="425"/>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row>
    <row r="201" spans="1:45" x14ac:dyDescent="0.25">
      <c r="B201" s="225"/>
      <c r="H201" s="225"/>
      <c r="I201" s="425"/>
      <c r="N201" s="425"/>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row>
    <row r="202" spans="1:45" x14ac:dyDescent="0.25">
      <c r="A202" s="700" t="str">
        <f>[4]INDICECLIMAORGANIZACIONAL!A194</f>
        <v>CONSIDERO ADEQUADA A ILUMINAÇÃO NO MEU AMBIENTE DE TRABALHO?</v>
      </c>
      <c r="B202" s="424"/>
      <c r="C202" s="701" t="str">
        <f>[4]INDICECLIMAORGANIZACIONAL!C194</f>
        <v>ITEM 25</v>
      </c>
      <c r="D202" s="702">
        <f>[4]INDICECLIMAORGANIZACIONAL!D194</f>
        <v>2020</v>
      </c>
      <c r="E202" s="702"/>
      <c r="F202" s="702"/>
      <c r="G202" s="702"/>
      <c r="H202" s="423"/>
      <c r="I202" s="703" t="str">
        <f>[4]INDICECLIMAORGANIZACIONAL!I194</f>
        <v>ITEM 27</v>
      </c>
      <c r="J202" s="702">
        <f>[4]INDICECLIMAORGANIZACIONAL!J194</f>
        <v>2017</v>
      </c>
      <c r="K202" s="702"/>
      <c r="L202" s="702"/>
      <c r="M202" s="702"/>
      <c r="N202" s="425"/>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row>
    <row r="203" spans="1:45" ht="38.25" x14ac:dyDescent="0.25">
      <c r="A203" s="700"/>
      <c r="B203" s="424"/>
      <c r="C203" s="701"/>
      <c r="D203" s="426" t="str">
        <f>[4]INDICECLIMAORGANIZACIONAL!D195</f>
        <v>TOTAL</v>
      </c>
      <c r="E203" s="426" t="str">
        <f>[4]INDICECLIMAORGANIZACIONAL!E195</f>
        <v>%</v>
      </c>
      <c r="F203" s="426" t="str">
        <f>[4]INDICECLIMAORGANIZACIONAL!F195</f>
        <v>RESULTADO</v>
      </c>
      <c r="G203" s="427" t="str">
        <f>[4]INDICECLIMAORGANIZACIONAL!G195</f>
        <v>ITEM AVALIADO POSITIVAMENTE?             (1 - SIM / 0 - NÃO)</v>
      </c>
      <c r="H203" s="158"/>
      <c r="I203" s="703"/>
      <c r="J203" s="426" t="str">
        <f>[4]INDICECLIMAORGANIZACIONAL!J195</f>
        <v>TOTAL</v>
      </c>
      <c r="K203" s="426" t="str">
        <f>[4]INDICECLIMAORGANIZACIONAL!K195</f>
        <v>%</v>
      </c>
      <c r="L203" s="426" t="str">
        <f>[4]INDICECLIMAORGANIZACIONAL!L195</f>
        <v>RESULTADO</v>
      </c>
      <c r="M203" s="427" t="str">
        <f>[4]INDICECLIMAORGANIZACIONAL!M195</f>
        <v>ITEM AVALIADO POSITIVAMENTE?             (1 - SIM / 0 - NÃO)</v>
      </c>
      <c r="N203" s="425"/>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row>
    <row r="204" spans="1:45" x14ac:dyDescent="0.25">
      <c r="A204" s="428" t="str">
        <f>[4]INDICECLIMAORGANIZACIONAL!A196</f>
        <v>SIM</v>
      </c>
      <c r="B204" s="225"/>
      <c r="C204" s="701"/>
      <c r="D204" s="435">
        <f>[4]INDICECLIMAORGANIZACIONAL!D196</f>
        <v>154</v>
      </c>
      <c r="E204" s="440">
        <f>[4]INDICECLIMAORGANIZACIONAL!E196</f>
        <v>0.80208333333333337</v>
      </c>
      <c r="F204" s="431" t="str">
        <f>[4]INDICECLIMAORGANIZACIONAL!F196</f>
        <v>DESEJÁVEL</v>
      </c>
      <c r="G204" s="704">
        <f>[4]INDICECLIMAORGANIZACIONAL!G196</f>
        <v>1</v>
      </c>
      <c r="H204" s="432"/>
      <c r="I204" s="703"/>
      <c r="J204" s="429">
        <f>[4]INDICECLIMAORGANIZACIONAL!J196</f>
        <v>154</v>
      </c>
      <c r="K204" s="430">
        <f>[4]INDICECLIMAORGANIZACIONAL!K196</f>
        <v>0.86033519553072624</v>
      </c>
      <c r="L204" s="430" t="str">
        <f>[4]INDICECLIMAORGANIZACIONAL!L196</f>
        <v>DESEJÁVEL</v>
      </c>
      <c r="M204" s="704">
        <f>[4]INDICECLIMAORGANIZACIONAL!M196</f>
        <v>1</v>
      </c>
      <c r="N204" s="425"/>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row>
    <row r="205" spans="1:45" x14ac:dyDescent="0.25">
      <c r="A205" s="433" t="str">
        <f>[4]INDICECLIMAORGANIZACIONAL!A197</f>
        <v>PARCIAL</v>
      </c>
      <c r="B205" s="434"/>
      <c r="C205" s="701"/>
      <c r="D205" s="435">
        <f>[4]INDICECLIMAORGANIZACIONAL!D197</f>
        <v>34</v>
      </c>
      <c r="E205" s="440">
        <f>[4]INDICECLIMAORGANIZACIONAL!E197</f>
        <v>0.17708333333333334</v>
      </c>
      <c r="F205" s="431" t="str">
        <f>[4]INDICECLIMAORGANIZACIONAL!F197</f>
        <v>SATISFATÓRIO</v>
      </c>
      <c r="G205" s="704"/>
      <c r="H205" s="432"/>
      <c r="I205" s="703"/>
      <c r="J205" s="429">
        <f>[4]INDICECLIMAORGANIZACIONAL!J197</f>
        <v>20</v>
      </c>
      <c r="K205" s="430">
        <f>[4]INDICECLIMAORGANIZACIONAL!K197</f>
        <v>0.11173184357541899</v>
      </c>
      <c r="L205" s="430" t="str">
        <f>[4]INDICECLIMAORGANIZACIONAL!L197</f>
        <v>SATISFATÓRIO</v>
      </c>
      <c r="M205" s="704"/>
      <c r="N205" s="425"/>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row>
    <row r="206" spans="1:45" x14ac:dyDescent="0.25">
      <c r="A206" s="433" t="str">
        <f>[4]INDICECLIMAORGANIZACIONAL!A198</f>
        <v>NÃO</v>
      </c>
      <c r="B206" s="434"/>
      <c r="C206" s="701"/>
      <c r="D206" s="435">
        <f>[4]INDICECLIMAORGANIZACIONAL!D198</f>
        <v>4</v>
      </c>
      <c r="E206" s="440">
        <f>[4]INDICECLIMAORGANIZACIONAL!E198</f>
        <v>2.0833333333333332E-2</v>
      </c>
      <c r="F206" s="431" t="str">
        <f>[4]INDICECLIMAORGANIZACIONAL!F198</f>
        <v>DESEJÁVEL</v>
      </c>
      <c r="G206" s="704"/>
      <c r="H206" s="432"/>
      <c r="I206" s="703"/>
      <c r="J206" s="429">
        <f>[4]INDICECLIMAORGANIZACIONAL!J198</f>
        <v>5</v>
      </c>
      <c r="K206" s="430">
        <f>[4]INDICECLIMAORGANIZACIONAL!K198</f>
        <v>2.7932960893854747E-2</v>
      </c>
      <c r="L206" s="430" t="str">
        <f>[4]INDICECLIMAORGANIZACIONAL!L198</f>
        <v>DESEJÁVEL</v>
      </c>
      <c r="M206" s="704"/>
      <c r="N206" s="425"/>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row>
    <row r="207" spans="1:45" x14ac:dyDescent="0.25">
      <c r="A207" s="82" t="str">
        <f>[4]INDICECLIMAORGANIZACIONAL!A199</f>
        <v>TOTAL</v>
      </c>
      <c r="B207" s="156"/>
      <c r="C207" s="701"/>
      <c r="D207" s="421">
        <f>[4]INDICECLIMAORGANIZACIONAL!D199</f>
        <v>192</v>
      </c>
      <c r="E207" s="436">
        <f>[4]INDICECLIMAORGANIZACIONAL!E199</f>
        <v>1</v>
      </c>
      <c r="F207" s="437"/>
      <c r="G207" s="438"/>
      <c r="H207" s="169"/>
      <c r="I207" s="703"/>
      <c r="J207" s="421">
        <f>[4]INDICECLIMAORGANIZACIONAL!J199</f>
        <v>179</v>
      </c>
      <c r="K207" s="436">
        <f>[4]INDICECLIMAORGANIZACIONAL!K199</f>
        <v>1</v>
      </c>
      <c r="L207" s="439"/>
      <c r="M207" s="438"/>
      <c r="N207" s="425"/>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row>
    <row r="208" spans="1:45" x14ac:dyDescent="0.25">
      <c r="B208" s="225"/>
      <c r="H208" s="225"/>
      <c r="I208" s="425"/>
      <c r="N208" s="425"/>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row>
    <row r="209" spans="1:45" x14ac:dyDescent="0.25">
      <c r="A209" s="700" t="str">
        <f>[4]INDICECLIMAORGANIZACIONAL!A201</f>
        <v>CONSIDERO ADEQUADA A SEGURANÇA NO MEU AMBIENTE DE TRABALHO?</v>
      </c>
      <c r="B209" s="424"/>
      <c r="C209" s="701" t="str">
        <f>[4]INDICECLIMAORGANIZACIONAL!C201</f>
        <v>ITEM 26</v>
      </c>
      <c r="D209" s="702">
        <f>[4]INDICECLIMAORGANIZACIONAL!D201</f>
        <v>2020</v>
      </c>
      <c r="E209" s="702"/>
      <c r="F209" s="702"/>
      <c r="G209" s="702"/>
      <c r="H209" s="423"/>
      <c r="I209" s="703" t="str">
        <f>[4]INDICECLIMAORGANIZACIONAL!I201</f>
        <v>ITEM 28</v>
      </c>
      <c r="J209" s="702">
        <f>[4]INDICECLIMAORGANIZACIONAL!J201</f>
        <v>2017</v>
      </c>
      <c r="K209" s="702"/>
      <c r="L209" s="702"/>
      <c r="M209" s="702"/>
      <c r="N209" s="425"/>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row>
    <row r="210" spans="1:45" ht="38.25" x14ac:dyDescent="0.25">
      <c r="A210" s="700"/>
      <c r="B210" s="424"/>
      <c r="C210" s="701"/>
      <c r="D210" s="426" t="str">
        <f>[4]INDICECLIMAORGANIZACIONAL!D202</f>
        <v>TOTAL</v>
      </c>
      <c r="E210" s="426" t="str">
        <f>[4]INDICECLIMAORGANIZACIONAL!E202</f>
        <v>%</v>
      </c>
      <c r="F210" s="426" t="str">
        <f>[4]INDICECLIMAORGANIZACIONAL!F202</f>
        <v>RESULTADO</v>
      </c>
      <c r="G210" s="427" t="str">
        <f>[4]INDICECLIMAORGANIZACIONAL!G202</f>
        <v>ITEM AVALIADO POSITIVAMENTE?             (1 - SIM / 0 - NÃO)</v>
      </c>
      <c r="H210" s="158"/>
      <c r="I210" s="703"/>
      <c r="J210" s="426" t="str">
        <f>[4]INDICECLIMAORGANIZACIONAL!J202</f>
        <v>TOTAL</v>
      </c>
      <c r="K210" s="426" t="str">
        <f>[4]INDICECLIMAORGANIZACIONAL!K202</f>
        <v>%</v>
      </c>
      <c r="L210" s="426" t="str">
        <f>[4]INDICECLIMAORGANIZACIONAL!L202</f>
        <v>RESULTADO</v>
      </c>
      <c r="M210" s="427" t="str">
        <f>[4]INDICECLIMAORGANIZACIONAL!M202</f>
        <v>ITEM AVALIADO POSITIVAMENTE?             (1 - SIM / 0 - NÃO)</v>
      </c>
      <c r="N210" s="425"/>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row>
    <row r="211" spans="1:45" x14ac:dyDescent="0.25">
      <c r="A211" s="428" t="str">
        <f>[4]INDICECLIMAORGANIZACIONAL!A203</f>
        <v>SIM</v>
      </c>
      <c r="B211" s="225"/>
      <c r="C211" s="701"/>
      <c r="D211" s="435">
        <f>[4]INDICECLIMAORGANIZACIONAL!D203</f>
        <v>171</v>
      </c>
      <c r="E211" s="440">
        <f>[4]INDICECLIMAORGANIZACIONAL!E203</f>
        <v>0.890625</v>
      </c>
      <c r="F211" s="431" t="str">
        <f>[4]INDICECLIMAORGANIZACIONAL!F203</f>
        <v>DESEJÁVEL</v>
      </c>
      <c r="G211" s="704">
        <f>[4]INDICECLIMAORGANIZACIONAL!G203</f>
        <v>1</v>
      </c>
      <c r="H211" s="432"/>
      <c r="I211" s="703"/>
      <c r="J211" s="429">
        <f>[4]INDICECLIMAORGANIZACIONAL!J203</f>
        <v>147</v>
      </c>
      <c r="K211" s="430">
        <f>[4]INDICECLIMAORGANIZACIONAL!K203</f>
        <v>0.82122905027932958</v>
      </c>
      <c r="L211" s="430" t="str">
        <f>[4]INDICECLIMAORGANIZACIONAL!L203</f>
        <v>DESEJÁVEL</v>
      </c>
      <c r="M211" s="704">
        <f>[4]INDICECLIMAORGANIZACIONAL!M203</f>
        <v>1</v>
      </c>
      <c r="N211" s="425"/>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row>
    <row r="212" spans="1:45" x14ac:dyDescent="0.25">
      <c r="A212" s="433" t="str">
        <f>[4]INDICECLIMAORGANIZACIONAL!A204</f>
        <v>PARCIAL</v>
      </c>
      <c r="B212" s="434"/>
      <c r="C212" s="701"/>
      <c r="D212" s="435">
        <f>[4]INDICECLIMAORGANIZACIONAL!D204</f>
        <v>20</v>
      </c>
      <c r="E212" s="440">
        <f>[4]INDICECLIMAORGANIZACIONAL!E204</f>
        <v>0.10416666666666667</v>
      </c>
      <c r="F212" s="431" t="str">
        <f>[4]INDICECLIMAORGANIZACIONAL!F204</f>
        <v>SATISFATÓRIO</v>
      </c>
      <c r="G212" s="704"/>
      <c r="H212" s="432"/>
      <c r="I212" s="703"/>
      <c r="J212" s="429">
        <f>[4]INDICECLIMAORGANIZACIONAL!J204</f>
        <v>30</v>
      </c>
      <c r="K212" s="430">
        <f>[4]INDICECLIMAORGANIZACIONAL!K204</f>
        <v>0.16759776536312848</v>
      </c>
      <c r="L212" s="430" t="str">
        <f>[4]INDICECLIMAORGANIZACIONAL!L204</f>
        <v>SATISFATÓRIO</v>
      </c>
      <c r="M212" s="704"/>
      <c r="N212" s="425"/>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row>
    <row r="213" spans="1:45" x14ac:dyDescent="0.25">
      <c r="A213" s="433" t="str">
        <f>[4]INDICECLIMAORGANIZACIONAL!A205</f>
        <v>NÃO</v>
      </c>
      <c r="B213" s="434"/>
      <c r="C213" s="701"/>
      <c r="D213" s="435">
        <f>[4]INDICECLIMAORGANIZACIONAL!D205</f>
        <v>1</v>
      </c>
      <c r="E213" s="440">
        <f>[4]INDICECLIMAORGANIZACIONAL!E205</f>
        <v>5.208333333333333E-3</v>
      </c>
      <c r="F213" s="431" t="str">
        <f>[4]INDICECLIMAORGANIZACIONAL!F205</f>
        <v>DESEJÁVEL</v>
      </c>
      <c r="G213" s="704"/>
      <c r="H213" s="432"/>
      <c r="I213" s="703"/>
      <c r="J213" s="429">
        <f>[4]INDICECLIMAORGANIZACIONAL!J205</f>
        <v>2</v>
      </c>
      <c r="K213" s="430">
        <f>[4]INDICECLIMAORGANIZACIONAL!K205</f>
        <v>1.11731843575419E-2</v>
      </c>
      <c r="L213" s="430" t="str">
        <f>[4]INDICECLIMAORGANIZACIONAL!L205</f>
        <v>DESEJÁVEL</v>
      </c>
      <c r="M213" s="704"/>
      <c r="N213" s="425"/>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row>
    <row r="214" spans="1:45" x14ac:dyDescent="0.25">
      <c r="A214" s="82" t="str">
        <f>[4]INDICECLIMAORGANIZACIONAL!A206</f>
        <v>TOTAL</v>
      </c>
      <c r="B214" s="156"/>
      <c r="C214" s="701"/>
      <c r="D214" s="421">
        <f>[4]INDICECLIMAORGANIZACIONAL!D206</f>
        <v>192</v>
      </c>
      <c r="E214" s="436">
        <f>[4]INDICECLIMAORGANIZACIONAL!E206</f>
        <v>1</v>
      </c>
      <c r="F214" s="437"/>
      <c r="G214" s="438"/>
      <c r="H214" s="169"/>
      <c r="I214" s="703"/>
      <c r="J214" s="421">
        <f>[4]INDICECLIMAORGANIZACIONAL!J206</f>
        <v>179</v>
      </c>
      <c r="K214" s="436">
        <f>[4]INDICECLIMAORGANIZACIONAL!K206</f>
        <v>0.99999999999999989</v>
      </c>
      <c r="L214" s="439"/>
      <c r="M214" s="438"/>
      <c r="N214" s="425"/>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row>
    <row r="215" spans="1:45" x14ac:dyDescent="0.25">
      <c r="B215" s="225"/>
      <c r="H215" s="225"/>
      <c r="I215" s="425"/>
      <c r="N215" s="425"/>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row>
    <row r="216" spans="1:45" x14ac:dyDescent="0.25">
      <c r="A216" s="700" t="str">
        <f>[4]INDICECLIMAORGANIZACIONAL!A208</f>
        <v>CONSIDERO ADEQUADA A DISTRIBUIÇÃO DO ESPAÇO FÍSICO NO MEU AMBIENTE DE TRABALHO?</v>
      </c>
      <c r="B216" s="424"/>
      <c r="C216" s="701" t="str">
        <f>[4]INDICECLIMAORGANIZACIONAL!C208</f>
        <v>ITEM 27</v>
      </c>
      <c r="D216" s="702">
        <f>[4]INDICECLIMAORGANIZACIONAL!D208</f>
        <v>2020</v>
      </c>
      <c r="E216" s="702"/>
      <c r="F216" s="702"/>
      <c r="G216" s="702"/>
      <c r="H216" s="423"/>
      <c r="I216" s="703" t="str">
        <f>[4]INDICECLIMAORGANIZACIONAL!I208</f>
        <v>ITEM 29</v>
      </c>
      <c r="J216" s="702">
        <f>[4]INDICECLIMAORGANIZACIONAL!J208</f>
        <v>2017</v>
      </c>
      <c r="K216" s="702"/>
      <c r="L216" s="702"/>
      <c r="M216" s="702"/>
      <c r="N216" s="425"/>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row>
    <row r="217" spans="1:45" ht="38.25" x14ac:dyDescent="0.25">
      <c r="A217" s="700"/>
      <c r="B217" s="424"/>
      <c r="C217" s="701"/>
      <c r="D217" s="426" t="str">
        <f>[4]INDICECLIMAORGANIZACIONAL!D209</f>
        <v>TOTAL</v>
      </c>
      <c r="E217" s="426" t="str">
        <f>[4]INDICECLIMAORGANIZACIONAL!E209</f>
        <v>%</v>
      </c>
      <c r="F217" s="426" t="str">
        <f>[4]INDICECLIMAORGANIZACIONAL!F209</f>
        <v>RESULTADO</v>
      </c>
      <c r="G217" s="427" t="str">
        <f>[4]INDICECLIMAORGANIZACIONAL!G209</f>
        <v>ITEM AVALIADO POSITIVAMENTE?             (1 - SIM / 0 - NÃO)</v>
      </c>
      <c r="H217" s="158"/>
      <c r="I217" s="703"/>
      <c r="J217" s="426" t="str">
        <f>[4]INDICECLIMAORGANIZACIONAL!J209</f>
        <v>TOTAL</v>
      </c>
      <c r="K217" s="426" t="str">
        <f>[4]INDICECLIMAORGANIZACIONAL!K209</f>
        <v>%</v>
      </c>
      <c r="L217" s="426" t="str">
        <f>[4]INDICECLIMAORGANIZACIONAL!L209</f>
        <v>RESULTADO</v>
      </c>
      <c r="M217" s="427" t="str">
        <f>[4]INDICECLIMAORGANIZACIONAL!M209</f>
        <v>ITEM AVALIADO POSITIVAMENTE?             (1 - SIM / 0 - NÃO)</v>
      </c>
      <c r="N217" s="425"/>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row>
    <row r="218" spans="1:45" x14ac:dyDescent="0.25">
      <c r="A218" s="428" t="str">
        <f>[4]INDICECLIMAORGANIZACIONAL!A210</f>
        <v>SIM</v>
      </c>
      <c r="B218" s="225"/>
      <c r="C218" s="701"/>
      <c r="D218" s="435">
        <f>[4]INDICECLIMAORGANIZACIONAL!D210</f>
        <v>153</v>
      </c>
      <c r="E218" s="440">
        <f>[4]INDICECLIMAORGANIZACIONAL!E210</f>
        <v>0.796875</v>
      </c>
      <c r="F218" s="431" t="str">
        <f>[4]INDICECLIMAORGANIZACIONAL!F210</f>
        <v>SATISFATÓRIO</v>
      </c>
      <c r="G218" s="704">
        <f>[4]INDICECLIMAORGANIZACIONAL!G210</f>
        <v>1</v>
      </c>
      <c r="H218" s="432"/>
      <c r="I218" s="703"/>
      <c r="J218" s="429">
        <f>[4]INDICECLIMAORGANIZACIONAL!J210</f>
        <v>134</v>
      </c>
      <c r="K218" s="430">
        <f>[4]INDICECLIMAORGANIZACIONAL!K210</f>
        <v>0.74860335195530725</v>
      </c>
      <c r="L218" s="430" t="str">
        <f>[4]INDICECLIMAORGANIZACIONAL!L210</f>
        <v>SATISFATÓRIO</v>
      </c>
      <c r="M218" s="704">
        <f>[4]INDICECLIMAORGANIZACIONAL!M210</f>
        <v>1</v>
      </c>
      <c r="N218" s="425"/>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row>
    <row r="219" spans="1:45" x14ac:dyDescent="0.25">
      <c r="A219" s="433" t="str">
        <f>[4]INDICECLIMAORGANIZACIONAL!A211</f>
        <v>PARCIAL</v>
      </c>
      <c r="B219" s="434"/>
      <c r="C219" s="701"/>
      <c r="D219" s="435">
        <f>[4]INDICECLIMAORGANIZACIONAL!D211</f>
        <v>31</v>
      </c>
      <c r="E219" s="440">
        <f>[4]INDICECLIMAORGANIZACIONAL!E211</f>
        <v>0.16145833333333334</v>
      </c>
      <c r="F219" s="431" t="str">
        <f>[4]INDICECLIMAORGANIZACIONAL!F211</f>
        <v>SATISFATÓRIO</v>
      </c>
      <c r="G219" s="704"/>
      <c r="H219" s="432"/>
      <c r="I219" s="703"/>
      <c r="J219" s="429">
        <f>[4]INDICECLIMAORGANIZACIONAL!J211</f>
        <v>35</v>
      </c>
      <c r="K219" s="430">
        <f>[4]INDICECLIMAORGANIZACIONAL!K211</f>
        <v>0.19553072625698323</v>
      </c>
      <c r="L219" s="430" t="str">
        <f>[4]INDICECLIMAORGANIZACIONAL!L211</f>
        <v>SATISFATÓRIO</v>
      </c>
      <c r="M219" s="704"/>
      <c r="N219" s="425"/>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row>
    <row r="220" spans="1:45" x14ac:dyDescent="0.25">
      <c r="A220" s="433" t="str">
        <f>[4]INDICECLIMAORGANIZACIONAL!A212</f>
        <v>NÃO</v>
      </c>
      <c r="B220" s="434"/>
      <c r="C220" s="701"/>
      <c r="D220" s="435">
        <f>[4]INDICECLIMAORGANIZACIONAL!D212</f>
        <v>8</v>
      </c>
      <c r="E220" s="440">
        <f>[4]INDICECLIMAORGANIZACIONAL!E212</f>
        <v>4.1666666666666664E-2</v>
      </c>
      <c r="F220" s="431" t="str">
        <f>[4]INDICECLIMAORGANIZACIONAL!F212</f>
        <v>DESEJÁVEL</v>
      </c>
      <c r="G220" s="704"/>
      <c r="H220" s="432"/>
      <c r="I220" s="703"/>
      <c r="J220" s="429">
        <f>[4]INDICECLIMAORGANIZACIONAL!J212</f>
        <v>10</v>
      </c>
      <c r="K220" s="430">
        <f>[4]INDICECLIMAORGANIZACIONAL!K212</f>
        <v>5.5865921787709494E-2</v>
      </c>
      <c r="L220" s="430" t="str">
        <f>[4]INDICECLIMAORGANIZACIONAL!L212</f>
        <v>DESEJÁVEL</v>
      </c>
      <c r="M220" s="704"/>
      <c r="N220" s="425"/>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row>
    <row r="221" spans="1:45" x14ac:dyDescent="0.25">
      <c r="A221" s="82" t="str">
        <f>[4]INDICECLIMAORGANIZACIONAL!A213</f>
        <v>TOTAL</v>
      </c>
      <c r="B221" s="156"/>
      <c r="C221" s="701"/>
      <c r="D221" s="421">
        <f>[4]INDICECLIMAORGANIZACIONAL!D213</f>
        <v>192</v>
      </c>
      <c r="E221" s="436">
        <f>[4]INDICECLIMAORGANIZACIONAL!E213</f>
        <v>1</v>
      </c>
      <c r="F221" s="437"/>
      <c r="G221" s="438"/>
      <c r="H221" s="169"/>
      <c r="I221" s="703"/>
      <c r="J221" s="421">
        <f>[4]INDICECLIMAORGANIZACIONAL!J213</f>
        <v>179</v>
      </c>
      <c r="K221" s="436">
        <f>[4]INDICECLIMAORGANIZACIONAL!K213</f>
        <v>1</v>
      </c>
      <c r="L221" s="439"/>
      <c r="M221" s="438"/>
      <c r="N221" s="425"/>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row>
    <row r="222" spans="1:45" x14ac:dyDescent="0.25">
      <c r="B222" s="225"/>
      <c r="H222" s="225"/>
      <c r="I222" s="425"/>
      <c r="N222" s="425"/>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row>
    <row r="223" spans="1:45" x14ac:dyDescent="0.25">
      <c r="A223" s="700" t="str">
        <f>[4]INDICECLIMAORGANIZACIONAL!A215</f>
        <v>OS MÓVEIS SÃO ERGONÔMICOS?</v>
      </c>
      <c r="B223" s="424"/>
      <c r="C223" s="701" t="str">
        <f>[4]INDICECLIMAORGANIZACIONAL!C215</f>
        <v>ITEM 28</v>
      </c>
      <c r="D223" s="702">
        <f>[4]INDICECLIMAORGANIZACIONAL!D215</f>
        <v>2020</v>
      </c>
      <c r="E223" s="702"/>
      <c r="F223" s="702"/>
      <c r="G223" s="702"/>
      <c r="H223" s="423"/>
      <c r="I223" s="703" t="str">
        <f>[4]INDICECLIMAORGANIZACIONAL!I215</f>
        <v>ITEM **</v>
      </c>
      <c r="J223" s="702">
        <f>[4]INDICECLIMAORGANIZACIONAL!J215</f>
        <v>2017</v>
      </c>
      <c r="K223" s="702"/>
      <c r="L223" s="702"/>
      <c r="M223" s="702"/>
      <c r="N223" s="425"/>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row>
    <row r="224" spans="1:45" ht="38.25" x14ac:dyDescent="0.25">
      <c r="A224" s="700"/>
      <c r="B224" s="424"/>
      <c r="C224" s="701"/>
      <c r="D224" s="426" t="str">
        <f>[4]INDICECLIMAORGANIZACIONAL!D216</f>
        <v>TOTAL</v>
      </c>
      <c r="E224" s="426" t="str">
        <f>[4]INDICECLIMAORGANIZACIONAL!E216</f>
        <v>%</v>
      </c>
      <c r="F224" s="426" t="str">
        <f>[4]INDICECLIMAORGANIZACIONAL!F216</f>
        <v>RESULTADO</v>
      </c>
      <c r="G224" s="427" t="str">
        <f>[4]INDICECLIMAORGANIZACIONAL!G216</f>
        <v>ITEM AVALIADO POSITIVAMENTE?             (1 - SIM / 0 - NÃO)</v>
      </c>
      <c r="H224" s="158"/>
      <c r="I224" s="703"/>
      <c r="J224" s="426" t="str">
        <f>[4]INDICECLIMAORGANIZACIONAL!J216</f>
        <v>TOTAL</v>
      </c>
      <c r="K224" s="426" t="str">
        <f>[4]INDICECLIMAORGANIZACIONAL!K216</f>
        <v>%</v>
      </c>
      <c r="L224" s="426" t="str">
        <f>[4]INDICECLIMAORGANIZACIONAL!L216</f>
        <v>RESULTADO</v>
      </c>
      <c r="M224" s="427" t="str">
        <f>[4]INDICECLIMAORGANIZACIONAL!M216</f>
        <v>ITEM AVALIADO POSITIVAMENTE?             (1 - SIM / 0 - NÃO)</v>
      </c>
      <c r="N224" s="425"/>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row>
    <row r="225" spans="1:45" x14ac:dyDescent="0.25">
      <c r="A225" s="428" t="str">
        <f>[4]INDICECLIMAORGANIZACIONAL!A217</f>
        <v>SIM</v>
      </c>
      <c r="B225" s="225"/>
      <c r="C225" s="701"/>
      <c r="D225" s="435">
        <f>[4]INDICECLIMAORGANIZACIONAL!D217</f>
        <v>122</v>
      </c>
      <c r="E225" s="440">
        <f>[4]INDICECLIMAORGANIZACIONAL!E217</f>
        <v>0.63541666666666663</v>
      </c>
      <c r="F225" s="431" t="str">
        <f>[4]INDICECLIMAORGANIZACIONAL!F217</f>
        <v>SATISFATÓRIO</v>
      </c>
      <c r="G225" s="704">
        <f>[4]INDICECLIMAORGANIZACIONAL!G217</f>
        <v>1</v>
      </c>
      <c r="H225" s="432"/>
      <c r="I225" s="703"/>
      <c r="J225" s="429" t="str">
        <f>[4]INDICECLIMAORGANIZACIONAL!J217</f>
        <v>*</v>
      </c>
      <c r="K225" s="430" t="str">
        <f>[4]INDICECLIMAORGANIZACIONAL!K217</f>
        <v>*</v>
      </c>
      <c r="L225" s="440" t="str">
        <f>[4]INDICECLIMAORGANIZACIONAL!L217</f>
        <v>*</v>
      </c>
      <c r="M225" s="705" t="str">
        <f>[4]INDICECLIMAORGANIZACIONAL!M217</f>
        <v>**</v>
      </c>
      <c r="N225" s="425"/>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row>
    <row r="226" spans="1:45" x14ac:dyDescent="0.25">
      <c r="A226" s="433" t="str">
        <f>[4]INDICECLIMAORGANIZACIONAL!A218</f>
        <v>PARCIAL</v>
      </c>
      <c r="B226" s="434"/>
      <c r="C226" s="701"/>
      <c r="D226" s="435">
        <f>[4]INDICECLIMAORGANIZACIONAL!D218</f>
        <v>55</v>
      </c>
      <c r="E226" s="440">
        <f>[4]INDICECLIMAORGANIZACIONAL!E218</f>
        <v>0.28645833333333331</v>
      </c>
      <c r="F226" s="431" t="str">
        <f>[4]INDICECLIMAORGANIZACIONAL!F218</f>
        <v>SATISFATÓRIO</v>
      </c>
      <c r="G226" s="704"/>
      <c r="H226" s="432"/>
      <c r="I226" s="703"/>
      <c r="J226" s="429" t="str">
        <f>[4]INDICECLIMAORGANIZACIONAL!J218</f>
        <v>*</v>
      </c>
      <c r="K226" s="430" t="str">
        <f>[4]INDICECLIMAORGANIZACIONAL!K218</f>
        <v>*</v>
      </c>
      <c r="L226" s="440" t="str">
        <f>[4]INDICECLIMAORGANIZACIONAL!L218</f>
        <v>*</v>
      </c>
      <c r="M226" s="705"/>
      <c r="N226" s="425"/>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row>
    <row r="227" spans="1:45" x14ac:dyDescent="0.25">
      <c r="A227" s="433" t="str">
        <f>[4]INDICECLIMAORGANIZACIONAL!A219</f>
        <v>NÃO</v>
      </c>
      <c r="B227" s="434"/>
      <c r="C227" s="701"/>
      <c r="D227" s="435">
        <f>[4]INDICECLIMAORGANIZACIONAL!D219</f>
        <v>15</v>
      </c>
      <c r="E227" s="440">
        <f>[4]INDICECLIMAORGANIZACIONAL!E219</f>
        <v>7.8125E-2</v>
      </c>
      <c r="F227" s="431" t="str">
        <f>[4]INDICECLIMAORGANIZACIONAL!F219</f>
        <v>SATISFATÓRIO</v>
      </c>
      <c r="G227" s="704"/>
      <c r="H227" s="432"/>
      <c r="I227" s="703"/>
      <c r="J227" s="429" t="str">
        <f>[4]INDICECLIMAORGANIZACIONAL!J219</f>
        <v>*</v>
      </c>
      <c r="K227" s="430" t="str">
        <f>[4]INDICECLIMAORGANIZACIONAL!K219</f>
        <v>*</v>
      </c>
      <c r="L227" s="440" t="str">
        <f>[4]INDICECLIMAORGANIZACIONAL!L219</f>
        <v>*</v>
      </c>
      <c r="M227" s="705"/>
      <c r="N227" s="425"/>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row>
    <row r="228" spans="1:45" x14ac:dyDescent="0.25">
      <c r="A228" s="82" t="str">
        <f>[4]INDICECLIMAORGANIZACIONAL!A220</f>
        <v>TOTAL</v>
      </c>
      <c r="B228" s="156"/>
      <c r="C228" s="701"/>
      <c r="D228" s="421">
        <f>[4]INDICECLIMAORGANIZACIONAL!D220</f>
        <v>192</v>
      </c>
      <c r="E228" s="436">
        <f>[4]INDICECLIMAORGANIZACIONAL!E220</f>
        <v>1</v>
      </c>
      <c r="F228" s="437"/>
      <c r="G228" s="438"/>
      <c r="H228" s="169"/>
      <c r="I228" s="703"/>
      <c r="J228" s="421" t="str">
        <f>[4]INDICECLIMAORGANIZACIONAL!J220</f>
        <v>*</v>
      </c>
      <c r="K228" s="436" t="str">
        <f>[4]INDICECLIMAORGANIZACIONAL!K220</f>
        <v>*</v>
      </c>
      <c r="L228" s="439"/>
      <c r="M228" s="438"/>
      <c r="N228" s="425"/>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row>
    <row r="229" spans="1:45" x14ac:dyDescent="0.25">
      <c r="B229" s="225"/>
      <c r="H229" s="225"/>
      <c r="I229" s="425"/>
      <c r="N229" s="425"/>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row>
    <row r="230" spans="1:45" x14ac:dyDescent="0.25">
      <c r="A230" s="700" t="str">
        <f>[4]INDICECLIMAORGANIZACIONAL!A222</f>
        <v>CONSIDERO ADEQUADO OS EQUIPAMENTOS DE INFORMÁTICA?</v>
      </c>
      <c r="B230" s="424"/>
      <c r="C230" s="701" t="str">
        <f>[4]INDICECLIMAORGANIZACIONAL!C222</f>
        <v>ITEM 29</v>
      </c>
      <c r="D230" s="702">
        <f>[4]INDICECLIMAORGANIZACIONAL!D222</f>
        <v>2020</v>
      </c>
      <c r="E230" s="702"/>
      <c r="F230" s="702"/>
      <c r="G230" s="702"/>
      <c r="H230" s="423"/>
      <c r="I230" s="703" t="str">
        <f>[4]INDICECLIMAORGANIZACIONAL!I222</f>
        <v>ITEM 30</v>
      </c>
      <c r="J230" s="702">
        <f>[4]INDICECLIMAORGANIZACIONAL!J222</f>
        <v>2017</v>
      </c>
      <c r="K230" s="702"/>
      <c r="L230" s="702"/>
      <c r="M230" s="702"/>
      <c r="N230" s="425"/>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row>
    <row r="231" spans="1:45" ht="38.25" x14ac:dyDescent="0.25">
      <c r="A231" s="700"/>
      <c r="B231" s="424"/>
      <c r="C231" s="701"/>
      <c r="D231" s="426" t="str">
        <f>[4]INDICECLIMAORGANIZACIONAL!D223</f>
        <v>TOTAL</v>
      </c>
      <c r="E231" s="426" t="str">
        <f>[4]INDICECLIMAORGANIZACIONAL!E223</f>
        <v>%</v>
      </c>
      <c r="F231" s="426" t="str">
        <f>[4]INDICECLIMAORGANIZACIONAL!F223</f>
        <v>RESULTADO</v>
      </c>
      <c r="G231" s="427" t="str">
        <f>[4]INDICECLIMAORGANIZACIONAL!G223</f>
        <v>ITEM AVALIADO POSITIVAMENTE?             (1 - SIM / 0 - NÃO)</v>
      </c>
      <c r="H231" s="158"/>
      <c r="I231" s="703"/>
      <c r="J231" s="426" t="str">
        <f>[4]INDICECLIMAORGANIZACIONAL!J223</f>
        <v>TOTAL</v>
      </c>
      <c r="K231" s="426" t="str">
        <f>[4]INDICECLIMAORGANIZACIONAL!K223</f>
        <v>%</v>
      </c>
      <c r="L231" s="426" t="str">
        <f>[4]INDICECLIMAORGANIZACIONAL!L223</f>
        <v>RESULTADO</v>
      </c>
      <c r="M231" s="427" t="str">
        <f>[4]INDICECLIMAORGANIZACIONAL!M223</f>
        <v>ITEM AVALIADO POSITIVAMENTE?             (1 - SIM / 0 - NÃO)</v>
      </c>
      <c r="N231" s="425"/>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row>
    <row r="232" spans="1:45" x14ac:dyDescent="0.25">
      <c r="A232" s="428" t="str">
        <f>[4]INDICECLIMAORGANIZACIONAL!A224</f>
        <v>SIM</v>
      </c>
      <c r="B232" s="225"/>
      <c r="C232" s="701"/>
      <c r="D232" s="435">
        <f>[4]INDICECLIMAORGANIZACIONAL!D224</f>
        <v>152</v>
      </c>
      <c r="E232" s="440">
        <f>[4]INDICECLIMAORGANIZACIONAL!E224</f>
        <v>0.79166666666666663</v>
      </c>
      <c r="F232" s="431" t="str">
        <f>[4]INDICECLIMAORGANIZACIONAL!F224</f>
        <v>SATISFATÓRIO</v>
      </c>
      <c r="G232" s="704">
        <f>[4]INDICECLIMAORGANIZACIONAL!G224</f>
        <v>1</v>
      </c>
      <c r="H232" s="432"/>
      <c r="I232" s="703"/>
      <c r="J232" s="429">
        <f>[4]INDICECLIMAORGANIZACIONAL!J224</f>
        <v>153</v>
      </c>
      <c r="K232" s="430">
        <f>[4]INDICECLIMAORGANIZACIONAL!K224</f>
        <v>0.85474860335195535</v>
      </c>
      <c r="L232" s="430" t="str">
        <f>[4]INDICECLIMAORGANIZACIONAL!L224</f>
        <v>DESEJÁVEL</v>
      </c>
      <c r="M232" s="704">
        <f>[4]INDICECLIMAORGANIZACIONAL!M224</f>
        <v>1</v>
      </c>
      <c r="N232" s="425"/>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row>
    <row r="233" spans="1:45" x14ac:dyDescent="0.25">
      <c r="A233" s="433" t="str">
        <f>[4]INDICECLIMAORGANIZACIONAL!A225</f>
        <v>PARCIAL</v>
      </c>
      <c r="B233" s="434"/>
      <c r="C233" s="701"/>
      <c r="D233" s="435">
        <f>[4]INDICECLIMAORGANIZACIONAL!D225</f>
        <v>38</v>
      </c>
      <c r="E233" s="440">
        <f>[4]INDICECLIMAORGANIZACIONAL!E225</f>
        <v>0.19791666666666666</v>
      </c>
      <c r="F233" s="431" t="str">
        <f>[4]INDICECLIMAORGANIZACIONAL!F225</f>
        <v>SATISFATÓRIO</v>
      </c>
      <c r="G233" s="704"/>
      <c r="H233" s="432"/>
      <c r="I233" s="703"/>
      <c r="J233" s="429">
        <f>[4]INDICECLIMAORGANIZACIONAL!J225</f>
        <v>22</v>
      </c>
      <c r="K233" s="430">
        <f>[4]INDICECLIMAORGANIZACIONAL!K225</f>
        <v>0.12290502793296089</v>
      </c>
      <c r="L233" s="430" t="str">
        <f>[4]INDICECLIMAORGANIZACIONAL!L225</f>
        <v>SATISFATÓRIO</v>
      </c>
      <c r="M233" s="704"/>
      <c r="N233" s="425"/>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row>
    <row r="234" spans="1:45" x14ac:dyDescent="0.25">
      <c r="A234" s="433" t="str">
        <f>[4]INDICECLIMAORGANIZACIONAL!A226</f>
        <v>NÃO</v>
      </c>
      <c r="B234" s="434"/>
      <c r="C234" s="701"/>
      <c r="D234" s="435">
        <f>[4]INDICECLIMAORGANIZACIONAL!D226</f>
        <v>2</v>
      </c>
      <c r="E234" s="440">
        <f>[4]INDICECLIMAORGANIZACIONAL!E226</f>
        <v>1.0416666666666666E-2</v>
      </c>
      <c r="F234" s="431" t="str">
        <f>[4]INDICECLIMAORGANIZACIONAL!F226</f>
        <v>DESEJÁVEL</v>
      </c>
      <c r="G234" s="704"/>
      <c r="H234" s="432"/>
      <c r="I234" s="703"/>
      <c r="J234" s="429">
        <f>[4]INDICECLIMAORGANIZACIONAL!J226</f>
        <v>4</v>
      </c>
      <c r="K234" s="430">
        <f>[4]INDICECLIMAORGANIZACIONAL!K226</f>
        <v>2.23463687150838E-2</v>
      </c>
      <c r="L234" s="430" t="str">
        <f>[4]INDICECLIMAORGANIZACIONAL!L226</f>
        <v>DESEJÁVEL</v>
      </c>
      <c r="M234" s="704"/>
      <c r="N234" s="425"/>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row>
    <row r="235" spans="1:45" x14ac:dyDescent="0.25">
      <c r="A235" s="82" t="str">
        <f>[4]INDICECLIMAORGANIZACIONAL!A227</f>
        <v>TOTAL</v>
      </c>
      <c r="B235" s="156"/>
      <c r="C235" s="701"/>
      <c r="D235" s="421">
        <f>[4]INDICECLIMAORGANIZACIONAL!D227</f>
        <v>192</v>
      </c>
      <c r="E235" s="436">
        <f>[4]INDICECLIMAORGANIZACIONAL!E227</f>
        <v>0.99999999999999989</v>
      </c>
      <c r="F235" s="437"/>
      <c r="G235" s="438"/>
      <c r="H235" s="169"/>
      <c r="I235" s="703"/>
      <c r="J235" s="421">
        <f>[4]INDICECLIMAORGANIZACIONAL!J227</f>
        <v>179</v>
      </c>
      <c r="K235" s="436">
        <f>[4]INDICECLIMAORGANIZACIONAL!K227</f>
        <v>1</v>
      </c>
      <c r="L235" s="439"/>
      <c r="M235" s="438"/>
      <c r="N235" s="425"/>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row>
    <row r="236" spans="1:45" x14ac:dyDescent="0.25">
      <c r="B236" s="225"/>
      <c r="H236" s="225"/>
      <c r="I236" s="425"/>
      <c r="N236" s="425"/>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row>
    <row r="237" spans="1:45" x14ac:dyDescent="0.25">
      <c r="A237" s="700" t="str">
        <f>[4]INDICECLIMAORGANIZACIONAL!A229</f>
        <v>CONSIDERO ADEQUADO OS MATERIAIS DE CONSUMO?</v>
      </c>
      <c r="B237" s="424"/>
      <c r="C237" s="701" t="str">
        <f>[4]INDICECLIMAORGANIZACIONAL!C229</f>
        <v>ITEM 30</v>
      </c>
      <c r="D237" s="702">
        <f>[4]INDICECLIMAORGANIZACIONAL!D229</f>
        <v>2020</v>
      </c>
      <c r="E237" s="702"/>
      <c r="F237" s="702"/>
      <c r="G237" s="702"/>
      <c r="H237" s="423"/>
      <c r="I237" s="703" t="str">
        <f>[4]INDICECLIMAORGANIZACIONAL!I229</f>
        <v>ITEM 31</v>
      </c>
      <c r="J237" s="702">
        <f>[4]INDICECLIMAORGANIZACIONAL!J229</f>
        <v>2017</v>
      </c>
      <c r="K237" s="702"/>
      <c r="L237" s="702"/>
      <c r="M237" s="702"/>
      <c r="N237" s="425"/>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row>
    <row r="238" spans="1:45" ht="38.25" x14ac:dyDescent="0.25">
      <c r="A238" s="700"/>
      <c r="B238" s="424"/>
      <c r="C238" s="701"/>
      <c r="D238" s="426" t="str">
        <f>[4]INDICECLIMAORGANIZACIONAL!D230</f>
        <v>TOTAL</v>
      </c>
      <c r="E238" s="426" t="str">
        <f>[4]INDICECLIMAORGANIZACIONAL!E230</f>
        <v>%</v>
      </c>
      <c r="F238" s="426" t="str">
        <f>[4]INDICECLIMAORGANIZACIONAL!F230</f>
        <v>RESULTADO</v>
      </c>
      <c r="G238" s="427" t="str">
        <f>[4]INDICECLIMAORGANIZACIONAL!G230</f>
        <v>ITEM AVALIADO POSITIVAMENTE?             (1 - SIM / 0 - NÃO)</v>
      </c>
      <c r="H238" s="158"/>
      <c r="I238" s="703"/>
      <c r="J238" s="426" t="str">
        <f>[4]INDICECLIMAORGANIZACIONAL!J230</f>
        <v>TOTAL</v>
      </c>
      <c r="K238" s="426" t="str">
        <f>[4]INDICECLIMAORGANIZACIONAL!K230</f>
        <v>%</v>
      </c>
      <c r="L238" s="426" t="str">
        <f>[4]INDICECLIMAORGANIZACIONAL!L230</f>
        <v>RESULTADO</v>
      </c>
      <c r="M238" s="427" t="str">
        <f>[4]INDICECLIMAORGANIZACIONAL!M230</f>
        <v>ITEM AVALIADO POSITIVAMENTE?             (1 - SIM / 0 - NÃO)</v>
      </c>
      <c r="N238" s="425"/>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row>
    <row r="239" spans="1:45" x14ac:dyDescent="0.25">
      <c r="A239" s="428" t="str">
        <f>[4]INDICECLIMAORGANIZACIONAL!A231</f>
        <v>SIM</v>
      </c>
      <c r="B239" s="225"/>
      <c r="C239" s="701"/>
      <c r="D239" s="435">
        <f>[4]INDICECLIMAORGANIZACIONAL!D231</f>
        <v>140</v>
      </c>
      <c r="E239" s="440">
        <f>[4]INDICECLIMAORGANIZACIONAL!E231</f>
        <v>0.72916666666666663</v>
      </c>
      <c r="F239" s="431" t="str">
        <f>[4]INDICECLIMAORGANIZACIONAL!F231</f>
        <v>SATISFATÓRIO</v>
      </c>
      <c r="G239" s="704">
        <f>[4]INDICECLIMAORGANIZACIONAL!G231</f>
        <v>1</v>
      </c>
      <c r="H239" s="432"/>
      <c r="I239" s="703"/>
      <c r="J239" s="429">
        <f>[4]INDICECLIMAORGANIZACIONAL!J231</f>
        <v>124</v>
      </c>
      <c r="K239" s="430">
        <f>[4]INDICECLIMAORGANIZACIONAL!K231</f>
        <v>0.69273743016759781</v>
      </c>
      <c r="L239" s="430" t="str">
        <f>[4]INDICECLIMAORGANIZACIONAL!L231</f>
        <v>SATISFATÓRIO</v>
      </c>
      <c r="M239" s="704">
        <f>[4]INDICECLIMAORGANIZACIONAL!M231</f>
        <v>1</v>
      </c>
      <c r="N239" s="425"/>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row>
    <row r="240" spans="1:45" x14ac:dyDescent="0.25">
      <c r="A240" s="433" t="str">
        <f>[4]INDICECLIMAORGANIZACIONAL!A232</f>
        <v>PARCIAL</v>
      </c>
      <c r="B240" s="434"/>
      <c r="C240" s="701"/>
      <c r="D240" s="435">
        <f>[4]INDICECLIMAORGANIZACIONAL!D232</f>
        <v>49</v>
      </c>
      <c r="E240" s="440">
        <f>[4]INDICECLIMAORGANIZACIONAL!E232</f>
        <v>0.25520833333333331</v>
      </c>
      <c r="F240" s="431" t="str">
        <f>[4]INDICECLIMAORGANIZACIONAL!F232</f>
        <v>SATISFATÓRIO</v>
      </c>
      <c r="G240" s="704"/>
      <c r="H240" s="432"/>
      <c r="I240" s="703"/>
      <c r="J240" s="429">
        <f>[4]INDICECLIMAORGANIZACIONAL!J232</f>
        <v>49</v>
      </c>
      <c r="K240" s="430">
        <f>[4]INDICECLIMAORGANIZACIONAL!K232</f>
        <v>0.27374301675977653</v>
      </c>
      <c r="L240" s="430" t="str">
        <f>[4]INDICECLIMAORGANIZACIONAL!L232</f>
        <v>SATISFATÓRIO</v>
      </c>
      <c r="M240" s="704"/>
      <c r="N240" s="425"/>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row>
    <row r="241" spans="1:45" x14ac:dyDescent="0.25">
      <c r="A241" s="433" t="str">
        <f>[4]INDICECLIMAORGANIZACIONAL!A233</f>
        <v>NÃO</v>
      </c>
      <c r="B241" s="434"/>
      <c r="C241" s="701"/>
      <c r="D241" s="435">
        <f>[4]INDICECLIMAORGANIZACIONAL!D233</f>
        <v>3</v>
      </c>
      <c r="E241" s="440">
        <f>[4]INDICECLIMAORGANIZACIONAL!E233</f>
        <v>1.5625E-2</v>
      </c>
      <c r="F241" s="431" t="str">
        <f>[4]INDICECLIMAORGANIZACIONAL!F233</f>
        <v>DESEJÁVEL</v>
      </c>
      <c r="G241" s="704"/>
      <c r="H241" s="432"/>
      <c r="I241" s="703"/>
      <c r="J241" s="429">
        <f>[4]INDICECLIMAORGANIZACIONAL!J233</f>
        <v>6</v>
      </c>
      <c r="K241" s="430">
        <f>[4]INDICECLIMAORGANIZACIONAL!K233</f>
        <v>3.3519553072625698E-2</v>
      </c>
      <c r="L241" s="430" t="str">
        <f>[4]INDICECLIMAORGANIZACIONAL!L233</f>
        <v>DESEJÁVEL</v>
      </c>
      <c r="M241" s="704"/>
      <c r="N241" s="425"/>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row>
    <row r="242" spans="1:45" x14ac:dyDescent="0.25">
      <c r="A242" s="82" t="str">
        <f>[4]INDICECLIMAORGANIZACIONAL!A234</f>
        <v>TOTAL</v>
      </c>
      <c r="B242" s="156"/>
      <c r="C242" s="701"/>
      <c r="D242" s="421">
        <f>[4]INDICECLIMAORGANIZACIONAL!D234</f>
        <v>192</v>
      </c>
      <c r="E242" s="436">
        <f>[4]INDICECLIMAORGANIZACIONAL!E234</f>
        <v>1</v>
      </c>
      <c r="F242" s="437"/>
      <c r="G242" s="438"/>
      <c r="H242" s="169"/>
      <c r="I242" s="703"/>
      <c r="J242" s="421">
        <f>[4]INDICECLIMAORGANIZACIONAL!J234</f>
        <v>179</v>
      </c>
      <c r="K242" s="436">
        <f>[4]INDICECLIMAORGANIZACIONAL!K234</f>
        <v>1</v>
      </c>
      <c r="L242" s="439"/>
      <c r="M242" s="438"/>
      <c r="N242" s="425"/>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row>
    <row r="243" spans="1:45" x14ac:dyDescent="0.25">
      <c r="B243" s="225"/>
      <c r="H243" s="225"/>
      <c r="I243" s="425"/>
      <c r="N243" s="425"/>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row>
    <row r="244" spans="1:45" x14ac:dyDescent="0.25">
      <c r="A244" s="700" t="str">
        <f>[4]INDICECLIMAORGANIZACIONAL!A236</f>
        <v>CONSIDERO ADEQUADA A LOCALIZAÇÃO DO MEU TRABALHO?</v>
      </c>
      <c r="B244" s="424"/>
      <c r="C244" s="701" t="str">
        <f>[4]INDICECLIMAORGANIZACIONAL!C236</f>
        <v>ITEM 31</v>
      </c>
      <c r="D244" s="702">
        <f>[4]INDICECLIMAORGANIZACIONAL!D236</f>
        <v>2020</v>
      </c>
      <c r="E244" s="702"/>
      <c r="F244" s="702"/>
      <c r="G244" s="702"/>
      <c r="H244" s="423"/>
      <c r="I244" s="703" t="str">
        <f>[4]INDICECLIMAORGANIZACIONAL!I236</f>
        <v>ITEM **</v>
      </c>
      <c r="J244" s="702">
        <f>[4]INDICECLIMAORGANIZACIONAL!J236</f>
        <v>2017</v>
      </c>
      <c r="K244" s="702"/>
      <c r="L244" s="702"/>
      <c r="M244" s="702"/>
      <c r="N244" s="425"/>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row>
    <row r="245" spans="1:45" ht="38.25" x14ac:dyDescent="0.25">
      <c r="A245" s="700"/>
      <c r="B245" s="424"/>
      <c r="C245" s="701"/>
      <c r="D245" s="426" t="str">
        <f>[4]INDICECLIMAORGANIZACIONAL!D237</f>
        <v>TOTAL</v>
      </c>
      <c r="E245" s="426" t="str">
        <f>[4]INDICECLIMAORGANIZACIONAL!E237</f>
        <v>%</v>
      </c>
      <c r="F245" s="426" t="str">
        <f>[4]INDICECLIMAORGANIZACIONAL!F237</f>
        <v>RESULTADO</v>
      </c>
      <c r="G245" s="427" t="str">
        <f>[4]INDICECLIMAORGANIZACIONAL!G237</f>
        <v>ITEM AVALIADO POSITIVAMENTE?             (1 - SIM / 0 - NÃO)</v>
      </c>
      <c r="H245" s="158"/>
      <c r="I245" s="703"/>
      <c r="J245" s="426" t="str">
        <f>[4]INDICECLIMAORGANIZACIONAL!J237</f>
        <v>TOTAL</v>
      </c>
      <c r="K245" s="426" t="str">
        <f>[4]INDICECLIMAORGANIZACIONAL!K237</f>
        <v>%</v>
      </c>
      <c r="L245" s="426" t="str">
        <f>[4]INDICECLIMAORGANIZACIONAL!L237</f>
        <v>RESULTADO</v>
      </c>
      <c r="M245" s="427" t="str">
        <f>[4]INDICECLIMAORGANIZACIONAL!M237</f>
        <v>ITEM AVALIADO POSITIVAMENTE?             (1 - SIM / 0 - NÃO)</v>
      </c>
      <c r="N245" s="425"/>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row>
    <row r="246" spans="1:45" x14ac:dyDescent="0.25">
      <c r="A246" s="428" t="str">
        <f>[4]INDICECLIMAORGANIZACIONAL!A238</f>
        <v>SIM</v>
      </c>
      <c r="B246" s="225"/>
      <c r="C246" s="701"/>
      <c r="D246" s="435">
        <f>[4]INDICECLIMAORGANIZACIONAL!D238</f>
        <v>172</v>
      </c>
      <c r="E246" s="440">
        <f>[4]INDICECLIMAORGANIZACIONAL!E238</f>
        <v>0.89583333333333337</v>
      </c>
      <c r="F246" s="431" t="str">
        <f>[4]INDICECLIMAORGANIZACIONAL!F238</f>
        <v>DESEJÁVEL</v>
      </c>
      <c r="G246" s="704">
        <f>[4]INDICECLIMAORGANIZACIONAL!G238</f>
        <v>1</v>
      </c>
      <c r="H246" s="432"/>
      <c r="I246" s="703"/>
      <c r="J246" s="429" t="str">
        <f>[4]INDICECLIMAORGANIZACIONAL!J238</f>
        <v>*</v>
      </c>
      <c r="K246" s="430" t="str">
        <f>[4]INDICECLIMAORGANIZACIONAL!K238</f>
        <v>*</v>
      </c>
      <c r="L246" s="440" t="str">
        <f>[4]INDICECLIMAORGANIZACIONAL!L238</f>
        <v>*</v>
      </c>
      <c r="M246" s="705" t="str">
        <f>[4]INDICECLIMAORGANIZACIONAL!M238</f>
        <v>**</v>
      </c>
      <c r="N246" s="425"/>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row>
    <row r="247" spans="1:45" x14ac:dyDescent="0.25">
      <c r="A247" s="433" t="str">
        <f>[4]INDICECLIMAORGANIZACIONAL!A239</f>
        <v>PARCIAL</v>
      </c>
      <c r="B247" s="434"/>
      <c r="C247" s="701"/>
      <c r="D247" s="435">
        <f>[4]INDICECLIMAORGANIZACIONAL!D239</f>
        <v>18</v>
      </c>
      <c r="E247" s="440">
        <f>[4]INDICECLIMAORGANIZACIONAL!E239</f>
        <v>9.375E-2</v>
      </c>
      <c r="F247" s="431" t="str">
        <f>[4]INDICECLIMAORGANIZACIONAL!F239</f>
        <v>SATISFATÓRIO</v>
      </c>
      <c r="G247" s="704"/>
      <c r="H247" s="432"/>
      <c r="I247" s="703"/>
      <c r="J247" s="429" t="str">
        <f>[4]INDICECLIMAORGANIZACIONAL!J239</f>
        <v>*</v>
      </c>
      <c r="K247" s="430" t="str">
        <f>[4]INDICECLIMAORGANIZACIONAL!K239</f>
        <v>*</v>
      </c>
      <c r="L247" s="440" t="str">
        <f>[4]INDICECLIMAORGANIZACIONAL!L239</f>
        <v>*</v>
      </c>
      <c r="M247" s="705"/>
      <c r="N247" s="425"/>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row>
    <row r="248" spans="1:45" x14ac:dyDescent="0.25">
      <c r="A248" s="433" t="str">
        <f>[4]INDICECLIMAORGANIZACIONAL!A240</f>
        <v>NÃO</v>
      </c>
      <c r="B248" s="434"/>
      <c r="C248" s="701"/>
      <c r="D248" s="435">
        <f>[4]INDICECLIMAORGANIZACIONAL!D240</f>
        <v>2</v>
      </c>
      <c r="E248" s="440">
        <f>[4]INDICECLIMAORGANIZACIONAL!E240</f>
        <v>1.0416666666666666E-2</v>
      </c>
      <c r="F248" s="431" t="str">
        <f>[4]INDICECLIMAORGANIZACIONAL!F240</f>
        <v>DESEJÁVEL</v>
      </c>
      <c r="G248" s="704"/>
      <c r="H248" s="432"/>
      <c r="I248" s="703"/>
      <c r="J248" s="429" t="str">
        <f>[4]INDICECLIMAORGANIZACIONAL!J240</f>
        <v>*</v>
      </c>
      <c r="K248" s="430" t="str">
        <f>[4]INDICECLIMAORGANIZACIONAL!K240</f>
        <v>*</v>
      </c>
      <c r="L248" s="440" t="str">
        <f>[4]INDICECLIMAORGANIZACIONAL!L240</f>
        <v>*</v>
      </c>
      <c r="M248" s="705"/>
      <c r="N248" s="425"/>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row>
    <row r="249" spans="1:45" x14ac:dyDescent="0.25">
      <c r="A249" s="82" t="str">
        <f>[4]INDICECLIMAORGANIZACIONAL!A241</f>
        <v>TOTAL</v>
      </c>
      <c r="B249" s="156"/>
      <c r="C249" s="701"/>
      <c r="D249" s="421">
        <f>[4]INDICECLIMAORGANIZACIONAL!D241</f>
        <v>192</v>
      </c>
      <c r="E249" s="436">
        <f>[4]INDICECLIMAORGANIZACIONAL!E241</f>
        <v>1</v>
      </c>
      <c r="F249" s="437"/>
      <c r="G249" s="438"/>
      <c r="H249" s="169"/>
      <c r="I249" s="703"/>
      <c r="J249" s="421" t="str">
        <f>[4]INDICECLIMAORGANIZACIONAL!J241</f>
        <v>*</v>
      </c>
      <c r="K249" s="436" t="str">
        <f>[4]INDICECLIMAORGANIZACIONAL!K241</f>
        <v>*</v>
      </c>
      <c r="L249" s="439"/>
      <c r="M249" s="438"/>
      <c r="N249" s="425"/>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row>
    <row r="250" spans="1:45" x14ac:dyDescent="0.25">
      <c r="B250" s="225"/>
      <c r="H250" s="225"/>
      <c r="I250" s="425"/>
      <c r="N250" s="425"/>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row>
    <row r="251" spans="1:45" x14ac:dyDescent="0.25">
      <c r="A251" s="700" t="str">
        <f>[4]INDICECLIMAORGANIZACIONAL!A243</f>
        <v>CONSIDERO ADEQUADA A ACESSIBILIDADE NO MME?</v>
      </c>
      <c r="B251" s="424"/>
      <c r="C251" s="701" t="str">
        <f>[4]INDICECLIMAORGANIZACIONAL!C243</f>
        <v>ITEM 32</v>
      </c>
      <c r="D251" s="702">
        <f>[4]INDICECLIMAORGANIZACIONAL!D243</f>
        <v>2020</v>
      </c>
      <c r="E251" s="702"/>
      <c r="F251" s="702"/>
      <c r="G251" s="702"/>
      <c r="H251" s="423"/>
      <c r="I251" s="703" t="str">
        <f>[4]INDICECLIMAORGANIZACIONAL!I243</f>
        <v>ITEM 32</v>
      </c>
      <c r="J251" s="702">
        <f>[4]INDICECLIMAORGANIZACIONAL!J243</f>
        <v>2017</v>
      </c>
      <c r="K251" s="702"/>
      <c r="L251" s="702"/>
      <c r="M251" s="702"/>
      <c r="N251" s="425"/>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row>
    <row r="252" spans="1:45" ht="38.25" x14ac:dyDescent="0.25">
      <c r="A252" s="700"/>
      <c r="B252" s="424"/>
      <c r="C252" s="701"/>
      <c r="D252" s="426" t="str">
        <f>[4]INDICECLIMAORGANIZACIONAL!D244</f>
        <v>TOTAL</v>
      </c>
      <c r="E252" s="426" t="str">
        <f>[4]INDICECLIMAORGANIZACIONAL!E244</f>
        <v>%</v>
      </c>
      <c r="F252" s="426" t="str">
        <f>[4]INDICECLIMAORGANIZACIONAL!F244</f>
        <v>RESULTADO</v>
      </c>
      <c r="G252" s="427" t="str">
        <f>[4]INDICECLIMAORGANIZACIONAL!G244</f>
        <v>ITEM AVALIADO POSITIVAMENTE?             (1 - SIM / 0 - NÃO)</v>
      </c>
      <c r="H252" s="158"/>
      <c r="I252" s="703"/>
      <c r="J252" s="426" t="str">
        <f>[4]INDICECLIMAORGANIZACIONAL!J244</f>
        <v>TOTAL</v>
      </c>
      <c r="K252" s="426" t="str">
        <f>[4]INDICECLIMAORGANIZACIONAL!K244</f>
        <v>%</v>
      </c>
      <c r="L252" s="426" t="str">
        <f>[4]INDICECLIMAORGANIZACIONAL!L244</f>
        <v>RESULTADO</v>
      </c>
      <c r="M252" s="427" t="str">
        <f>[4]INDICECLIMAORGANIZACIONAL!M244</f>
        <v>ITEM AVALIADO POSITIVAMENTE?             (1 - SIM / 0 - NÃO)</v>
      </c>
      <c r="N252" s="425"/>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row>
    <row r="253" spans="1:45" x14ac:dyDescent="0.25">
      <c r="A253" s="428" t="str">
        <f>[4]INDICECLIMAORGANIZACIONAL!A245</f>
        <v>SIM</v>
      </c>
      <c r="B253" s="225"/>
      <c r="C253" s="701"/>
      <c r="D253" s="435">
        <f>[4]INDICECLIMAORGANIZACIONAL!D245</f>
        <v>177</v>
      </c>
      <c r="E253" s="440">
        <f>[4]INDICECLIMAORGANIZACIONAL!E245</f>
        <v>0.921875</v>
      </c>
      <c r="F253" s="431" t="str">
        <f>[4]INDICECLIMAORGANIZACIONAL!F245</f>
        <v>DESEJÁVEL</v>
      </c>
      <c r="G253" s="704">
        <f>[4]INDICECLIMAORGANIZACIONAL!G245</f>
        <v>1</v>
      </c>
      <c r="H253" s="432"/>
      <c r="I253" s="703"/>
      <c r="J253" s="429">
        <f>[4]INDICECLIMAORGANIZACIONAL!J245</f>
        <v>138</v>
      </c>
      <c r="K253" s="430">
        <f>[4]INDICECLIMAORGANIZACIONAL!K245</f>
        <v>0.77094972067039103</v>
      </c>
      <c r="L253" s="430" t="str">
        <f>[4]INDICECLIMAORGANIZACIONAL!L245</f>
        <v>SATISFATÓRIO</v>
      </c>
      <c r="M253" s="704">
        <f>[4]INDICECLIMAORGANIZACIONAL!M245</f>
        <v>1</v>
      </c>
      <c r="N253" s="425"/>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row>
    <row r="254" spans="1:45" x14ac:dyDescent="0.25">
      <c r="A254" s="433" t="str">
        <f>[4]INDICECLIMAORGANIZACIONAL!A246</f>
        <v>PARCIAL</v>
      </c>
      <c r="B254" s="434"/>
      <c r="C254" s="701"/>
      <c r="D254" s="435">
        <f>[4]INDICECLIMAORGANIZACIONAL!D246</f>
        <v>15</v>
      </c>
      <c r="E254" s="440">
        <f>[4]INDICECLIMAORGANIZACIONAL!E246</f>
        <v>7.8125E-2</v>
      </c>
      <c r="F254" s="431" t="str">
        <f>[4]INDICECLIMAORGANIZACIONAL!F246</f>
        <v>SATISFATÓRIO</v>
      </c>
      <c r="G254" s="704"/>
      <c r="H254" s="432"/>
      <c r="I254" s="703"/>
      <c r="J254" s="429">
        <f>[4]INDICECLIMAORGANIZACIONAL!J246</f>
        <v>35</v>
      </c>
      <c r="K254" s="430">
        <f>[4]INDICECLIMAORGANIZACIONAL!K246</f>
        <v>0.19553072625698323</v>
      </c>
      <c r="L254" s="430" t="str">
        <f>[4]INDICECLIMAORGANIZACIONAL!L246</f>
        <v>SATISFATÓRIO</v>
      </c>
      <c r="M254" s="704"/>
      <c r="N254" s="425"/>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row>
    <row r="255" spans="1:45" x14ac:dyDescent="0.25">
      <c r="A255" s="433" t="str">
        <f>[4]INDICECLIMAORGANIZACIONAL!A247</f>
        <v>NÃO</v>
      </c>
      <c r="B255" s="434"/>
      <c r="C255" s="701"/>
      <c r="D255" s="435">
        <f>[4]INDICECLIMAORGANIZACIONAL!D247</f>
        <v>0</v>
      </c>
      <c r="E255" s="440">
        <f>[4]INDICECLIMAORGANIZACIONAL!E247</f>
        <v>0</v>
      </c>
      <c r="F255" s="431" t="str">
        <f>[4]INDICECLIMAORGANIZACIONAL!F247</f>
        <v>DESEJÁVEL</v>
      </c>
      <c r="G255" s="704"/>
      <c r="H255" s="432"/>
      <c r="I255" s="703"/>
      <c r="J255" s="429">
        <f>[4]INDICECLIMAORGANIZACIONAL!J247</f>
        <v>6</v>
      </c>
      <c r="K255" s="430">
        <f>[4]INDICECLIMAORGANIZACIONAL!K247</f>
        <v>3.3519553072625698E-2</v>
      </c>
      <c r="L255" s="430" t="str">
        <f>[4]INDICECLIMAORGANIZACIONAL!L247</f>
        <v>DESEJÁVEL</v>
      </c>
      <c r="M255" s="704"/>
      <c r="N255" s="425"/>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row>
    <row r="256" spans="1:45" x14ac:dyDescent="0.25">
      <c r="A256" s="82" t="str">
        <f>[4]INDICECLIMAORGANIZACIONAL!A248</f>
        <v>TOTAL</v>
      </c>
      <c r="B256" s="156"/>
      <c r="C256" s="701"/>
      <c r="D256" s="421">
        <f>[4]INDICECLIMAORGANIZACIONAL!D248</f>
        <v>192</v>
      </c>
      <c r="E256" s="436">
        <f>[4]INDICECLIMAORGANIZACIONAL!E248</f>
        <v>1</v>
      </c>
      <c r="F256" s="437"/>
      <c r="G256" s="438"/>
      <c r="H256" s="169"/>
      <c r="I256" s="703"/>
      <c r="J256" s="421">
        <f>[4]INDICECLIMAORGANIZACIONAL!J248</f>
        <v>179</v>
      </c>
      <c r="K256" s="436">
        <f>[4]INDICECLIMAORGANIZACIONAL!K248</f>
        <v>0.99999999999999989</v>
      </c>
      <c r="L256" s="439"/>
      <c r="M256" s="438"/>
      <c r="N256" s="425"/>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row>
    <row r="257" spans="1:45" x14ac:dyDescent="0.25">
      <c r="B257" s="225"/>
      <c r="H257" s="225"/>
      <c r="I257" s="425"/>
      <c r="N257" s="425"/>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row>
    <row r="258" spans="1:45" x14ac:dyDescent="0.25">
      <c r="A258" s="700" t="str">
        <f>[4]INDICECLIMAORGANIZACIONAL!A250</f>
        <v>DURANTE O PERÍODO DA PANDEMIA, NO TELETRABALHO, OS SISTEMAS REMOTOS DISPONIBILIZADOS FUNCIONARAM A CONTENTO?</v>
      </c>
      <c r="B258" s="424"/>
      <c r="C258" s="701" t="str">
        <f>[4]INDICECLIMAORGANIZACIONAL!C250</f>
        <v>ITEM 33</v>
      </c>
      <c r="D258" s="702">
        <f>[4]INDICECLIMAORGANIZACIONAL!D250</f>
        <v>2020</v>
      </c>
      <c r="E258" s="702"/>
      <c r="F258" s="702"/>
      <c r="G258" s="702"/>
      <c r="H258" s="423"/>
      <c r="I258" s="703" t="str">
        <f>[4]INDICECLIMAORGANIZACIONAL!I250</f>
        <v>ITEM **</v>
      </c>
      <c r="J258" s="702">
        <f>[4]INDICECLIMAORGANIZACIONAL!J250</f>
        <v>2017</v>
      </c>
      <c r="K258" s="702"/>
      <c r="L258" s="702"/>
      <c r="M258" s="702"/>
      <c r="N258" s="425"/>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row>
    <row r="259" spans="1:45" ht="38.25" x14ac:dyDescent="0.25">
      <c r="A259" s="700"/>
      <c r="B259" s="424"/>
      <c r="C259" s="701"/>
      <c r="D259" s="426" t="str">
        <f>[4]INDICECLIMAORGANIZACIONAL!D251</f>
        <v>TOTAL</v>
      </c>
      <c r="E259" s="426" t="str">
        <f>[4]INDICECLIMAORGANIZACIONAL!E251</f>
        <v>%</v>
      </c>
      <c r="F259" s="426" t="str">
        <f>[4]INDICECLIMAORGANIZACIONAL!F251</f>
        <v>RESULTADO</v>
      </c>
      <c r="G259" s="427" t="str">
        <f>[4]INDICECLIMAORGANIZACIONAL!G251</f>
        <v>ITEM AVALIADO POSITIVAMENTE?             (1 - SIM / 0 - NÃO)</v>
      </c>
      <c r="H259" s="158"/>
      <c r="I259" s="703"/>
      <c r="J259" s="426" t="str">
        <f>[4]INDICECLIMAORGANIZACIONAL!J251</f>
        <v>TOTAL</v>
      </c>
      <c r="K259" s="426" t="str">
        <f>[4]INDICECLIMAORGANIZACIONAL!K251</f>
        <v>%</v>
      </c>
      <c r="L259" s="426" t="str">
        <f>[4]INDICECLIMAORGANIZACIONAL!L251</f>
        <v>RESULTADO</v>
      </c>
      <c r="M259" s="427" t="str">
        <f>[4]INDICECLIMAORGANIZACIONAL!M251</f>
        <v>ITEM AVALIADO POSITIVAMENTE?             (1 - SIM / 0 - NÃO)</v>
      </c>
      <c r="N259" s="425"/>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row>
    <row r="260" spans="1:45" x14ac:dyDescent="0.25">
      <c r="A260" s="428" t="str">
        <f>[4]INDICECLIMAORGANIZACIONAL!A252</f>
        <v>SIM</v>
      </c>
      <c r="B260" s="225"/>
      <c r="C260" s="701"/>
      <c r="D260" s="435">
        <f>[4]INDICECLIMAORGANIZACIONAL!D252</f>
        <v>126</v>
      </c>
      <c r="E260" s="440">
        <f>[4]INDICECLIMAORGANIZACIONAL!E252</f>
        <v>0.65625</v>
      </c>
      <c r="F260" s="431" t="str">
        <f>[4]INDICECLIMAORGANIZACIONAL!F252</f>
        <v>SATISFATÓRIO</v>
      </c>
      <c r="G260" s="704">
        <f>[4]INDICECLIMAORGANIZACIONAL!G252</f>
        <v>1</v>
      </c>
      <c r="H260" s="432"/>
      <c r="I260" s="703"/>
      <c r="J260" s="429" t="str">
        <f>[4]INDICECLIMAORGANIZACIONAL!J252</f>
        <v>*</v>
      </c>
      <c r="K260" s="430" t="str">
        <f>[4]INDICECLIMAORGANIZACIONAL!K252</f>
        <v>*</v>
      </c>
      <c r="L260" s="440" t="str">
        <f>[4]INDICECLIMAORGANIZACIONAL!L252</f>
        <v>*</v>
      </c>
      <c r="M260" s="705" t="str">
        <f>[4]INDICECLIMAORGANIZACIONAL!M252</f>
        <v>**</v>
      </c>
      <c r="N260" s="425"/>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row>
    <row r="261" spans="1:45" x14ac:dyDescent="0.25">
      <c r="A261" s="433" t="str">
        <f>[4]INDICECLIMAORGANIZACIONAL!A253</f>
        <v>PARCIAL</v>
      </c>
      <c r="B261" s="434"/>
      <c r="C261" s="701"/>
      <c r="D261" s="435">
        <f>[4]INDICECLIMAORGANIZACIONAL!D253</f>
        <v>62</v>
      </c>
      <c r="E261" s="440">
        <f>[4]INDICECLIMAORGANIZACIONAL!E253</f>
        <v>0.32291666666666669</v>
      </c>
      <c r="F261" s="431" t="str">
        <f>[4]INDICECLIMAORGANIZACIONAL!F253</f>
        <v>SATISFATÓRIO</v>
      </c>
      <c r="G261" s="704"/>
      <c r="H261" s="432"/>
      <c r="I261" s="703"/>
      <c r="J261" s="429" t="str">
        <f>[4]INDICECLIMAORGANIZACIONAL!J253</f>
        <v>*</v>
      </c>
      <c r="K261" s="430" t="str">
        <f>[4]INDICECLIMAORGANIZACIONAL!K253</f>
        <v>*</v>
      </c>
      <c r="L261" s="440" t="str">
        <f>[4]INDICECLIMAORGANIZACIONAL!L253</f>
        <v>*</v>
      </c>
      <c r="M261" s="705"/>
      <c r="N261" s="425"/>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row>
    <row r="262" spans="1:45" x14ac:dyDescent="0.25">
      <c r="A262" s="433" t="str">
        <f>[4]INDICECLIMAORGANIZACIONAL!A254</f>
        <v>NÃO</v>
      </c>
      <c r="B262" s="434"/>
      <c r="C262" s="701"/>
      <c r="D262" s="435">
        <f>[4]INDICECLIMAORGANIZACIONAL!D254</f>
        <v>4</v>
      </c>
      <c r="E262" s="440">
        <f>[4]INDICECLIMAORGANIZACIONAL!E254</f>
        <v>2.0833333333333332E-2</v>
      </c>
      <c r="F262" s="431" t="str">
        <f>[4]INDICECLIMAORGANIZACIONAL!F254</f>
        <v>DESEJÁVEL</v>
      </c>
      <c r="G262" s="704"/>
      <c r="H262" s="432"/>
      <c r="I262" s="703"/>
      <c r="J262" s="429" t="str">
        <f>[4]INDICECLIMAORGANIZACIONAL!J254</f>
        <v>*</v>
      </c>
      <c r="K262" s="430" t="str">
        <f>[4]INDICECLIMAORGANIZACIONAL!K254</f>
        <v>*</v>
      </c>
      <c r="L262" s="440" t="str">
        <f>[4]INDICECLIMAORGANIZACIONAL!L254</f>
        <v>*</v>
      </c>
      <c r="M262" s="705"/>
      <c r="N262" s="425"/>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row>
    <row r="263" spans="1:45" x14ac:dyDescent="0.25">
      <c r="A263" s="82" t="str">
        <f>[4]INDICECLIMAORGANIZACIONAL!A255</f>
        <v>TOTAL</v>
      </c>
      <c r="B263" s="156"/>
      <c r="C263" s="701"/>
      <c r="D263" s="421">
        <f>[4]INDICECLIMAORGANIZACIONAL!D255</f>
        <v>192</v>
      </c>
      <c r="E263" s="436">
        <f>[4]INDICECLIMAORGANIZACIONAL!E255</f>
        <v>1</v>
      </c>
      <c r="F263" s="437"/>
      <c r="G263" s="438"/>
      <c r="H263" s="169"/>
      <c r="I263" s="703"/>
      <c r="J263" s="421" t="str">
        <f>[4]INDICECLIMAORGANIZACIONAL!J255</f>
        <v>*</v>
      </c>
      <c r="K263" s="436" t="str">
        <f>[4]INDICECLIMAORGANIZACIONAL!K255</f>
        <v>*</v>
      </c>
      <c r="L263" s="439"/>
      <c r="M263" s="438"/>
      <c r="N263" s="425"/>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row>
    <row r="264" spans="1:45" x14ac:dyDescent="0.25">
      <c r="B264" s="225"/>
      <c r="H264" s="225"/>
      <c r="I264" s="425"/>
      <c r="N264" s="425"/>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row>
    <row r="265" spans="1:45" x14ac:dyDescent="0.25">
      <c r="A265" s="700" t="str">
        <f>[4]INDICECLIMAORGANIZACIONAL!A257</f>
        <v>DURANTE O PERÍODO DE PANDEMIA, NO TRABALHO PRESENCIAL, AS INSTALAÇÕES DO MME ENCONTRARAM -SE APTAS AO EXERCÍCIO SEGURO DAS ATIVIDADES?</v>
      </c>
      <c r="B265" s="424"/>
      <c r="C265" s="701" t="str">
        <f>[4]INDICECLIMAORGANIZACIONAL!C257</f>
        <v>ITEM 34</v>
      </c>
      <c r="D265" s="702">
        <f>[4]INDICECLIMAORGANIZACIONAL!D257</f>
        <v>2020</v>
      </c>
      <c r="E265" s="702"/>
      <c r="F265" s="702"/>
      <c r="G265" s="702"/>
      <c r="H265" s="423"/>
      <c r="I265" s="703" t="str">
        <f>[4]INDICECLIMAORGANIZACIONAL!I257</f>
        <v>ITEM **</v>
      </c>
      <c r="J265" s="702">
        <f>[4]INDICECLIMAORGANIZACIONAL!J257</f>
        <v>2017</v>
      </c>
      <c r="K265" s="702"/>
      <c r="L265" s="702"/>
      <c r="M265" s="702"/>
      <c r="N265" s="425"/>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row>
    <row r="266" spans="1:45" ht="38.25" x14ac:dyDescent="0.25">
      <c r="A266" s="700"/>
      <c r="B266" s="424"/>
      <c r="C266" s="701"/>
      <c r="D266" s="426" t="str">
        <f>[4]INDICECLIMAORGANIZACIONAL!D258</f>
        <v>TOTAL</v>
      </c>
      <c r="E266" s="426" t="str">
        <f>[4]INDICECLIMAORGANIZACIONAL!E258</f>
        <v>%</v>
      </c>
      <c r="F266" s="426" t="str">
        <f>[4]INDICECLIMAORGANIZACIONAL!F258</f>
        <v>RESULTADO</v>
      </c>
      <c r="G266" s="427" t="str">
        <f>[4]INDICECLIMAORGANIZACIONAL!G258</f>
        <v>ITEM AVALIADO POSITIVAMENTE?             (1 - SIM / 0 - NÃO)</v>
      </c>
      <c r="H266" s="158"/>
      <c r="I266" s="703"/>
      <c r="J266" s="426" t="str">
        <f>[4]INDICECLIMAORGANIZACIONAL!J258</f>
        <v>TOTAL</v>
      </c>
      <c r="K266" s="426" t="str">
        <f>[4]INDICECLIMAORGANIZACIONAL!K258</f>
        <v>%</v>
      </c>
      <c r="L266" s="426" t="str">
        <f>[4]INDICECLIMAORGANIZACIONAL!L258</f>
        <v>RESULTADO</v>
      </c>
      <c r="M266" s="427" t="str">
        <f>[4]INDICECLIMAORGANIZACIONAL!M258</f>
        <v>ITEM AVALIADO POSITIVAMENTE?             (1 - SIM / 0 - NÃO)</v>
      </c>
      <c r="N266" s="425"/>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row>
    <row r="267" spans="1:45" x14ac:dyDescent="0.25">
      <c r="A267" s="428" t="str">
        <f>[4]INDICECLIMAORGANIZACIONAL!A259</f>
        <v>SIM</v>
      </c>
      <c r="B267" s="225"/>
      <c r="C267" s="701"/>
      <c r="D267" s="435">
        <f>[4]INDICECLIMAORGANIZACIONAL!D259</f>
        <v>140</v>
      </c>
      <c r="E267" s="440">
        <f>[4]INDICECLIMAORGANIZACIONAL!E259</f>
        <v>0.72916666666666663</v>
      </c>
      <c r="F267" s="431" t="str">
        <f>[4]INDICECLIMAORGANIZACIONAL!F259</f>
        <v>SATISFATÓRIO</v>
      </c>
      <c r="G267" s="704">
        <f>[4]INDICECLIMAORGANIZACIONAL!G259</f>
        <v>1</v>
      </c>
      <c r="H267" s="432"/>
      <c r="I267" s="703"/>
      <c r="J267" s="429" t="str">
        <f>[4]INDICECLIMAORGANIZACIONAL!J259</f>
        <v>*</v>
      </c>
      <c r="K267" s="430" t="str">
        <f>[4]INDICECLIMAORGANIZACIONAL!K259</f>
        <v>*</v>
      </c>
      <c r="L267" s="440" t="str">
        <f>[4]INDICECLIMAORGANIZACIONAL!L259</f>
        <v>*</v>
      </c>
      <c r="M267" s="705" t="str">
        <f>[4]INDICECLIMAORGANIZACIONAL!M259</f>
        <v>**</v>
      </c>
      <c r="N267" s="425"/>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row>
    <row r="268" spans="1:45" x14ac:dyDescent="0.25">
      <c r="A268" s="433" t="str">
        <f>[4]INDICECLIMAORGANIZACIONAL!A260</f>
        <v>PARCIAL</v>
      </c>
      <c r="B268" s="434"/>
      <c r="C268" s="701"/>
      <c r="D268" s="435">
        <f>[4]INDICECLIMAORGANIZACIONAL!D260</f>
        <v>40</v>
      </c>
      <c r="E268" s="440">
        <f>[4]INDICECLIMAORGANIZACIONAL!E260</f>
        <v>0.20833333333333334</v>
      </c>
      <c r="F268" s="431" t="str">
        <f>[4]INDICECLIMAORGANIZACIONAL!F260</f>
        <v>SATISFATÓRIO</v>
      </c>
      <c r="G268" s="704"/>
      <c r="H268" s="432"/>
      <c r="I268" s="703"/>
      <c r="J268" s="429" t="str">
        <f>[4]INDICECLIMAORGANIZACIONAL!J260</f>
        <v>*</v>
      </c>
      <c r="K268" s="430" t="str">
        <f>[4]INDICECLIMAORGANIZACIONAL!K260</f>
        <v>*</v>
      </c>
      <c r="L268" s="440" t="str">
        <f>[4]INDICECLIMAORGANIZACIONAL!L260</f>
        <v>*</v>
      </c>
      <c r="M268" s="705"/>
      <c r="N268" s="425"/>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row>
    <row r="269" spans="1:45" x14ac:dyDescent="0.25">
      <c r="A269" s="433" t="str">
        <f>[4]INDICECLIMAORGANIZACIONAL!A261</f>
        <v>NÃO</v>
      </c>
      <c r="B269" s="434"/>
      <c r="C269" s="701"/>
      <c r="D269" s="435">
        <f>[4]INDICECLIMAORGANIZACIONAL!D261</f>
        <v>12</v>
      </c>
      <c r="E269" s="440">
        <f>[4]INDICECLIMAORGANIZACIONAL!E261</f>
        <v>6.25E-2</v>
      </c>
      <c r="F269" s="431" t="str">
        <f>[4]INDICECLIMAORGANIZACIONAL!F261</f>
        <v>SATISFATÓRIO</v>
      </c>
      <c r="G269" s="704"/>
      <c r="H269" s="432"/>
      <c r="I269" s="703"/>
      <c r="J269" s="429" t="str">
        <f>[4]INDICECLIMAORGANIZACIONAL!J261</f>
        <v>*</v>
      </c>
      <c r="K269" s="430" t="str">
        <f>[4]INDICECLIMAORGANIZACIONAL!K261</f>
        <v>*</v>
      </c>
      <c r="L269" s="440" t="str">
        <f>[4]INDICECLIMAORGANIZACIONAL!L261</f>
        <v>*</v>
      </c>
      <c r="M269" s="705"/>
      <c r="N269" s="425"/>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row>
    <row r="270" spans="1:45" x14ac:dyDescent="0.25">
      <c r="A270" s="82" t="str">
        <f>[4]INDICECLIMAORGANIZACIONAL!A262</f>
        <v>TOTAL</v>
      </c>
      <c r="B270" s="156"/>
      <c r="C270" s="701"/>
      <c r="D270" s="421">
        <f>[4]INDICECLIMAORGANIZACIONAL!D262</f>
        <v>192</v>
      </c>
      <c r="E270" s="436">
        <f>[4]INDICECLIMAORGANIZACIONAL!E262</f>
        <v>1</v>
      </c>
      <c r="F270" s="437"/>
      <c r="G270" s="438"/>
      <c r="H270" s="169"/>
      <c r="I270" s="703"/>
      <c r="J270" s="421" t="str">
        <f>[4]INDICECLIMAORGANIZACIONAL!J262</f>
        <v>*</v>
      </c>
      <c r="K270" s="436" t="str">
        <f>[4]INDICECLIMAORGANIZACIONAL!K262</f>
        <v>*</v>
      </c>
      <c r="L270" s="439"/>
      <c r="M270" s="438"/>
      <c r="N270" s="425"/>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row>
    <row r="271" spans="1:45" x14ac:dyDescent="0.25">
      <c r="B271" s="225"/>
      <c r="H271" s="225"/>
      <c r="I271" s="425"/>
      <c r="N271" s="425"/>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row>
    <row r="272" spans="1:45" x14ac:dyDescent="0.25">
      <c r="A272" s="700" t="str">
        <f>[4]INDICECLIMAORGANIZACIONAL!A264</f>
        <v>DURANTE O PERÍODO DE PANDEMIA, NO TELETRABALHO, CONTRIBUÍ PARA O DESENVOLVIMENTO DAS ATIVIDADES NECESSÁRIAS?</v>
      </c>
      <c r="B272" s="424"/>
      <c r="C272" s="701" t="str">
        <f>[4]INDICECLIMAORGANIZACIONAL!C264</f>
        <v>ITEM 35</v>
      </c>
      <c r="D272" s="702">
        <f>[4]INDICECLIMAORGANIZACIONAL!D264</f>
        <v>2020</v>
      </c>
      <c r="E272" s="702"/>
      <c r="F272" s="702"/>
      <c r="G272" s="702"/>
      <c r="H272" s="423"/>
      <c r="I272" s="703" t="str">
        <f>[4]INDICECLIMAORGANIZACIONAL!I264</f>
        <v>ITEM **</v>
      </c>
      <c r="J272" s="702">
        <f>[4]INDICECLIMAORGANIZACIONAL!J264</f>
        <v>2017</v>
      </c>
      <c r="K272" s="702"/>
      <c r="L272" s="702"/>
      <c r="M272" s="702"/>
      <c r="N272" s="425"/>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row>
    <row r="273" spans="1:45" ht="38.25" x14ac:dyDescent="0.25">
      <c r="A273" s="700"/>
      <c r="B273" s="424"/>
      <c r="C273" s="701"/>
      <c r="D273" s="426" t="str">
        <f>[4]INDICECLIMAORGANIZACIONAL!D265</f>
        <v>TOTAL</v>
      </c>
      <c r="E273" s="426" t="str">
        <f>[4]INDICECLIMAORGANIZACIONAL!E265</f>
        <v>%</v>
      </c>
      <c r="F273" s="426" t="str">
        <f>[4]INDICECLIMAORGANIZACIONAL!F265</f>
        <v>RESULTADO</v>
      </c>
      <c r="G273" s="427" t="str">
        <f>[4]INDICECLIMAORGANIZACIONAL!G265</f>
        <v>ITEM AVALIADO POSITIVAMENTE?             (1 - SIM / 0 - NÃO)</v>
      </c>
      <c r="H273" s="158"/>
      <c r="I273" s="703"/>
      <c r="J273" s="426" t="str">
        <f>[4]INDICECLIMAORGANIZACIONAL!J265</f>
        <v>TOTAL</v>
      </c>
      <c r="K273" s="426" t="str">
        <f>[4]INDICECLIMAORGANIZACIONAL!K265</f>
        <v>%</v>
      </c>
      <c r="L273" s="426" t="str">
        <f>[4]INDICECLIMAORGANIZACIONAL!L265</f>
        <v>RESULTADO</v>
      </c>
      <c r="M273" s="427" t="str">
        <f>[4]INDICECLIMAORGANIZACIONAL!M265</f>
        <v>ITEM AVALIADO POSITIVAMENTE?             (1 - SIM / 0 - NÃO)</v>
      </c>
      <c r="N273" s="425"/>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row>
    <row r="274" spans="1:45" x14ac:dyDescent="0.25">
      <c r="A274" s="428" t="str">
        <f>[4]INDICECLIMAORGANIZACIONAL!A266</f>
        <v>SIM</v>
      </c>
      <c r="B274" s="225"/>
      <c r="C274" s="701"/>
      <c r="D274" s="435">
        <f>[4]INDICECLIMAORGANIZACIONAL!D266</f>
        <v>173</v>
      </c>
      <c r="E274" s="440">
        <f>[4]INDICECLIMAORGANIZACIONAL!E266</f>
        <v>0.90104166666666663</v>
      </c>
      <c r="F274" s="431" t="str">
        <f>[4]INDICECLIMAORGANIZACIONAL!F266</f>
        <v>DESEJÁVEL</v>
      </c>
      <c r="G274" s="704">
        <f>[4]INDICECLIMAORGANIZACIONAL!G266</f>
        <v>1</v>
      </c>
      <c r="H274" s="432"/>
      <c r="I274" s="703"/>
      <c r="J274" s="429" t="str">
        <f>[4]INDICECLIMAORGANIZACIONAL!J266</f>
        <v>*</v>
      </c>
      <c r="K274" s="430" t="str">
        <f>[4]INDICECLIMAORGANIZACIONAL!K266</f>
        <v>*</v>
      </c>
      <c r="L274" s="440" t="str">
        <f>[4]INDICECLIMAORGANIZACIONAL!L266</f>
        <v>*</v>
      </c>
      <c r="M274" s="705" t="str">
        <f>[4]INDICECLIMAORGANIZACIONAL!M266</f>
        <v>**</v>
      </c>
      <c r="N274" s="425"/>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row>
    <row r="275" spans="1:45" x14ac:dyDescent="0.25">
      <c r="A275" s="433" t="str">
        <f>[4]INDICECLIMAORGANIZACIONAL!A267</f>
        <v>PARCIAL</v>
      </c>
      <c r="B275" s="434"/>
      <c r="C275" s="701"/>
      <c r="D275" s="435">
        <f>[4]INDICECLIMAORGANIZACIONAL!D267</f>
        <v>17</v>
      </c>
      <c r="E275" s="440">
        <f>[4]INDICECLIMAORGANIZACIONAL!E267</f>
        <v>8.8541666666666671E-2</v>
      </c>
      <c r="F275" s="431" t="str">
        <f>[4]INDICECLIMAORGANIZACIONAL!F267</f>
        <v>SATISFATÓRIO</v>
      </c>
      <c r="G275" s="704"/>
      <c r="H275" s="432"/>
      <c r="I275" s="703"/>
      <c r="J275" s="429" t="str">
        <f>[4]INDICECLIMAORGANIZACIONAL!J267</f>
        <v>*</v>
      </c>
      <c r="K275" s="430" t="str">
        <f>[4]INDICECLIMAORGANIZACIONAL!K267</f>
        <v>*</v>
      </c>
      <c r="L275" s="440" t="str">
        <f>[4]INDICECLIMAORGANIZACIONAL!L267</f>
        <v>*</v>
      </c>
      <c r="M275" s="705"/>
      <c r="N275" s="425"/>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row>
    <row r="276" spans="1:45" x14ac:dyDescent="0.25">
      <c r="A276" s="433" t="str">
        <f>[4]INDICECLIMAORGANIZACIONAL!A268</f>
        <v>NÃO</v>
      </c>
      <c r="B276" s="434"/>
      <c r="C276" s="701"/>
      <c r="D276" s="435">
        <f>[4]INDICECLIMAORGANIZACIONAL!D268</f>
        <v>2</v>
      </c>
      <c r="E276" s="440">
        <f>[4]INDICECLIMAORGANIZACIONAL!E268</f>
        <v>1.0416666666666666E-2</v>
      </c>
      <c r="F276" s="431" t="str">
        <f>[4]INDICECLIMAORGANIZACIONAL!F268</f>
        <v>DESEJÁVEL</v>
      </c>
      <c r="G276" s="704"/>
      <c r="H276" s="432"/>
      <c r="I276" s="703"/>
      <c r="J276" s="429" t="str">
        <f>[4]INDICECLIMAORGANIZACIONAL!J268</f>
        <v>*</v>
      </c>
      <c r="K276" s="430" t="str">
        <f>[4]INDICECLIMAORGANIZACIONAL!K268</f>
        <v>*</v>
      </c>
      <c r="L276" s="440" t="str">
        <f>[4]INDICECLIMAORGANIZACIONAL!L268</f>
        <v>*</v>
      </c>
      <c r="M276" s="705"/>
      <c r="N276" s="425"/>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row>
    <row r="277" spans="1:45" x14ac:dyDescent="0.25">
      <c r="A277" s="82" t="str">
        <f>[4]INDICECLIMAORGANIZACIONAL!A269</f>
        <v>TOTAL</v>
      </c>
      <c r="B277" s="156"/>
      <c r="C277" s="701"/>
      <c r="D277" s="421">
        <f>[4]INDICECLIMAORGANIZACIONAL!D269</f>
        <v>192</v>
      </c>
      <c r="E277" s="436">
        <f>[4]INDICECLIMAORGANIZACIONAL!E269</f>
        <v>0.99999999999999989</v>
      </c>
      <c r="F277" s="437"/>
      <c r="G277" s="438"/>
      <c r="H277" s="169"/>
      <c r="I277" s="703"/>
      <c r="J277" s="421" t="str">
        <f>[4]INDICECLIMAORGANIZACIONAL!J269</f>
        <v>*</v>
      </c>
      <c r="K277" s="436" t="str">
        <f>[4]INDICECLIMAORGANIZACIONAL!K269</f>
        <v>*</v>
      </c>
      <c r="L277" s="439"/>
      <c r="M277" s="438"/>
      <c r="N277" s="425"/>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row>
    <row r="278" spans="1:45" x14ac:dyDescent="0.25">
      <c r="B278" s="225"/>
      <c r="H278" s="225"/>
      <c r="I278" s="425"/>
      <c r="N278" s="425"/>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row>
    <row r="279" spans="1:45" x14ac:dyDescent="0.25">
      <c r="A279" s="700" t="str">
        <f>[4]INDICECLIMAORGANIZACIONAL!A271</f>
        <v>DURANTE O PERÍODO DA PANDEMIA, NO TRABALHO PRESENCIAL, CONTRIBUÍ PARA O DESENVOLVIMENTO DAS NECESSÁRIAS?</v>
      </c>
      <c r="B279" s="424"/>
      <c r="C279" s="701" t="str">
        <f>[4]INDICECLIMAORGANIZACIONAL!C271</f>
        <v>ITEM 36</v>
      </c>
      <c r="D279" s="702">
        <f>[4]INDICECLIMAORGANIZACIONAL!D271</f>
        <v>2020</v>
      </c>
      <c r="E279" s="702"/>
      <c r="F279" s="702"/>
      <c r="G279" s="702"/>
      <c r="H279" s="423"/>
      <c r="I279" s="703" t="str">
        <f>[4]INDICECLIMAORGANIZACIONAL!I271</f>
        <v>ITEM **</v>
      </c>
      <c r="J279" s="702">
        <f>[4]INDICECLIMAORGANIZACIONAL!J271</f>
        <v>2017</v>
      </c>
      <c r="K279" s="702"/>
      <c r="L279" s="702"/>
      <c r="M279" s="702"/>
      <c r="N279" s="425"/>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row>
    <row r="280" spans="1:45" ht="38.25" x14ac:dyDescent="0.25">
      <c r="A280" s="700"/>
      <c r="B280" s="424"/>
      <c r="C280" s="701"/>
      <c r="D280" s="426" t="str">
        <f>[4]INDICECLIMAORGANIZACIONAL!D272</f>
        <v>TOTAL</v>
      </c>
      <c r="E280" s="426" t="str">
        <f>[4]INDICECLIMAORGANIZACIONAL!E272</f>
        <v>%</v>
      </c>
      <c r="F280" s="426" t="str">
        <f>[4]INDICECLIMAORGANIZACIONAL!F272</f>
        <v>RESULTADO</v>
      </c>
      <c r="G280" s="427" t="str">
        <f>[4]INDICECLIMAORGANIZACIONAL!G272</f>
        <v>ITEM AVALIADO POSITIVAMENTE?             (1 - SIM / 0 - NÃO)</v>
      </c>
      <c r="H280" s="158"/>
      <c r="I280" s="703"/>
      <c r="J280" s="426" t="str">
        <f>[4]INDICECLIMAORGANIZACIONAL!J272</f>
        <v>TOTAL</v>
      </c>
      <c r="K280" s="426" t="str">
        <f>[4]INDICECLIMAORGANIZACIONAL!K272</f>
        <v>%</v>
      </c>
      <c r="L280" s="426" t="str">
        <f>[4]INDICECLIMAORGANIZACIONAL!L272</f>
        <v>RESULTADO</v>
      </c>
      <c r="M280" s="427" t="str">
        <f>[4]INDICECLIMAORGANIZACIONAL!M272</f>
        <v>ITEM AVALIADO POSITIVAMENTE?             (1 - SIM / 0 - NÃO)</v>
      </c>
      <c r="N280" s="425"/>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row>
    <row r="281" spans="1:45" x14ac:dyDescent="0.25">
      <c r="A281" s="428" t="str">
        <f>[4]INDICECLIMAORGANIZACIONAL!A273</f>
        <v>SIM</v>
      </c>
      <c r="B281" s="225"/>
      <c r="C281" s="701"/>
      <c r="D281" s="435">
        <f>[4]INDICECLIMAORGANIZACIONAL!D273</f>
        <v>151</v>
      </c>
      <c r="E281" s="440">
        <f>[4]INDICECLIMAORGANIZACIONAL!E273</f>
        <v>0.78645833333333337</v>
      </c>
      <c r="F281" s="431" t="str">
        <f>[4]INDICECLIMAORGANIZACIONAL!F273</f>
        <v>SATISFATÓRIO</v>
      </c>
      <c r="G281" s="704">
        <f>[4]INDICECLIMAORGANIZACIONAL!G273</f>
        <v>1</v>
      </c>
      <c r="H281" s="432"/>
      <c r="I281" s="703"/>
      <c r="J281" s="429" t="str">
        <f>[4]INDICECLIMAORGANIZACIONAL!J273</f>
        <v>*</v>
      </c>
      <c r="K281" s="430" t="str">
        <f>[4]INDICECLIMAORGANIZACIONAL!K273</f>
        <v>*</v>
      </c>
      <c r="L281" s="440" t="str">
        <f>[4]INDICECLIMAORGANIZACIONAL!L273</f>
        <v>*</v>
      </c>
      <c r="M281" s="705" t="str">
        <f>[4]INDICECLIMAORGANIZACIONAL!M273</f>
        <v>**</v>
      </c>
      <c r="N281" s="425"/>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row>
    <row r="282" spans="1:45" x14ac:dyDescent="0.25">
      <c r="A282" s="433" t="str">
        <f>[4]INDICECLIMAORGANIZACIONAL!A274</f>
        <v>PARCIAL</v>
      </c>
      <c r="B282" s="434"/>
      <c r="C282" s="701"/>
      <c r="D282" s="435">
        <f>[4]INDICECLIMAORGANIZACIONAL!D274</f>
        <v>27</v>
      </c>
      <c r="E282" s="440">
        <f>[4]INDICECLIMAORGANIZACIONAL!E274</f>
        <v>0.140625</v>
      </c>
      <c r="F282" s="431" t="str">
        <f>[4]INDICECLIMAORGANIZACIONAL!F274</f>
        <v>SATISFATÓRIO</v>
      </c>
      <c r="G282" s="704"/>
      <c r="H282" s="432"/>
      <c r="I282" s="703"/>
      <c r="J282" s="429" t="str">
        <f>[4]INDICECLIMAORGANIZACIONAL!J274</f>
        <v>*</v>
      </c>
      <c r="K282" s="430" t="str">
        <f>[4]INDICECLIMAORGANIZACIONAL!K274</f>
        <v>*</v>
      </c>
      <c r="L282" s="440" t="str">
        <f>[4]INDICECLIMAORGANIZACIONAL!L274</f>
        <v>*</v>
      </c>
      <c r="M282" s="705"/>
      <c r="N282" s="425"/>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row>
    <row r="283" spans="1:45" x14ac:dyDescent="0.25">
      <c r="A283" s="433" t="str">
        <f>[4]INDICECLIMAORGANIZACIONAL!A275</f>
        <v>NÃO</v>
      </c>
      <c r="B283" s="434"/>
      <c r="C283" s="701"/>
      <c r="D283" s="435">
        <f>[4]INDICECLIMAORGANIZACIONAL!D275</f>
        <v>14</v>
      </c>
      <c r="E283" s="440">
        <f>[4]INDICECLIMAORGANIZACIONAL!E275</f>
        <v>7.2916666666666671E-2</v>
      </c>
      <c r="F283" s="431" t="str">
        <f>[4]INDICECLIMAORGANIZACIONAL!F275</f>
        <v>SATISFATÓRIO</v>
      </c>
      <c r="G283" s="704"/>
      <c r="H283" s="432"/>
      <c r="I283" s="703"/>
      <c r="J283" s="429" t="str">
        <f>[4]INDICECLIMAORGANIZACIONAL!J275</f>
        <v>*</v>
      </c>
      <c r="K283" s="430" t="str">
        <f>[4]INDICECLIMAORGANIZACIONAL!K275</f>
        <v>*</v>
      </c>
      <c r="L283" s="440" t="str">
        <f>[4]INDICECLIMAORGANIZACIONAL!L275</f>
        <v>*</v>
      </c>
      <c r="M283" s="705"/>
      <c r="N283" s="425"/>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row>
    <row r="284" spans="1:45" x14ac:dyDescent="0.25">
      <c r="A284" s="82" t="str">
        <f>[4]INDICECLIMAORGANIZACIONAL!A276</f>
        <v>TOTAL</v>
      </c>
      <c r="B284" s="156"/>
      <c r="C284" s="701"/>
      <c r="D284" s="421">
        <f>[4]INDICECLIMAORGANIZACIONAL!D276</f>
        <v>192</v>
      </c>
      <c r="E284" s="436">
        <f>[4]INDICECLIMAORGANIZACIONAL!E276</f>
        <v>1</v>
      </c>
      <c r="F284" s="437"/>
      <c r="G284" s="438"/>
      <c r="H284" s="169"/>
      <c r="I284" s="703"/>
      <c r="J284" s="421" t="str">
        <f>[4]INDICECLIMAORGANIZACIONAL!J276</f>
        <v>*</v>
      </c>
      <c r="K284" s="436" t="str">
        <f>[4]INDICECLIMAORGANIZACIONAL!K276</f>
        <v>*</v>
      </c>
      <c r="L284" s="439"/>
      <c r="M284" s="438"/>
      <c r="N284" s="425"/>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row>
    <row r="285" spans="1:45" x14ac:dyDescent="0.25">
      <c r="B285" s="225"/>
      <c r="H285" s="225"/>
      <c r="I285" s="225"/>
      <c r="N285" s="425"/>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row>
    <row r="286" spans="1:4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row>
    <row r="287" spans="1:4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row>
    <row r="288" spans="1:4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row>
    <row r="289" spans="1:4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row>
    <row r="290" spans="1:4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row>
    <row r="291" spans="1:4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row>
    <row r="292" spans="1:4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row>
    <row r="293" spans="1:4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row>
    <row r="294" spans="1:4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row>
    <row r="295" spans="1:4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row>
    <row r="296" spans="1:4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row>
    <row r="297" spans="1:4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row>
    <row r="298" spans="1:4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row>
    <row r="299" spans="1:4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row>
    <row r="300" spans="1:4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row>
    <row r="301" spans="1:4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row>
    <row r="302" spans="1:4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row>
    <row r="303" spans="1:4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row>
    <row r="304" spans="1:4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row>
    <row r="305" spans="1:4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row>
    <row r="306" spans="1:4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row>
    <row r="307" spans="1:4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row>
    <row r="308" spans="1:4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row>
    <row r="309" spans="1:4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row>
    <row r="310" spans="1:4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row>
    <row r="311" spans="1:4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row>
    <row r="312" spans="1:4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row>
  </sheetData>
  <mergeCells count="277">
    <mergeCell ref="A279:A280"/>
    <mergeCell ref="C279:C284"/>
    <mergeCell ref="D279:G279"/>
    <mergeCell ref="I279:I284"/>
    <mergeCell ref="J279:M279"/>
    <mergeCell ref="G281:G283"/>
    <mergeCell ref="M281:M283"/>
    <mergeCell ref="A272:A273"/>
    <mergeCell ref="C272:C277"/>
    <mergeCell ref="D272:G272"/>
    <mergeCell ref="I272:I277"/>
    <mergeCell ref="J272:M272"/>
    <mergeCell ref="G274:G276"/>
    <mergeCell ref="M274:M276"/>
    <mergeCell ref="A265:A266"/>
    <mergeCell ref="C265:C270"/>
    <mergeCell ref="D265:G265"/>
    <mergeCell ref="I265:I270"/>
    <mergeCell ref="J265:M265"/>
    <mergeCell ref="G267:G269"/>
    <mergeCell ref="M267:M269"/>
    <mergeCell ref="A258:A259"/>
    <mergeCell ref="C258:C263"/>
    <mergeCell ref="D258:G258"/>
    <mergeCell ref="I258:I263"/>
    <mergeCell ref="J258:M258"/>
    <mergeCell ref="G260:G262"/>
    <mergeCell ref="M260:M262"/>
    <mergeCell ref="A251:A252"/>
    <mergeCell ref="C251:C256"/>
    <mergeCell ref="D251:G251"/>
    <mergeCell ref="I251:I256"/>
    <mergeCell ref="J251:M251"/>
    <mergeCell ref="G253:G255"/>
    <mergeCell ref="M253:M255"/>
    <mergeCell ref="A244:A245"/>
    <mergeCell ref="C244:C249"/>
    <mergeCell ref="D244:G244"/>
    <mergeCell ref="I244:I249"/>
    <mergeCell ref="J244:M244"/>
    <mergeCell ref="G246:G248"/>
    <mergeCell ref="M246:M248"/>
    <mergeCell ref="A237:A238"/>
    <mergeCell ref="C237:C242"/>
    <mergeCell ref="D237:G237"/>
    <mergeCell ref="I237:I242"/>
    <mergeCell ref="J237:M237"/>
    <mergeCell ref="G239:G241"/>
    <mergeCell ref="M239:M241"/>
    <mergeCell ref="A230:A231"/>
    <mergeCell ref="C230:C235"/>
    <mergeCell ref="D230:G230"/>
    <mergeCell ref="I230:I235"/>
    <mergeCell ref="J230:M230"/>
    <mergeCell ref="G232:G234"/>
    <mergeCell ref="M232:M234"/>
    <mergeCell ref="A223:A224"/>
    <mergeCell ref="C223:C228"/>
    <mergeCell ref="D223:G223"/>
    <mergeCell ref="I223:I228"/>
    <mergeCell ref="J223:M223"/>
    <mergeCell ref="G225:G227"/>
    <mergeCell ref="M225:M227"/>
    <mergeCell ref="A216:A217"/>
    <mergeCell ref="C216:C221"/>
    <mergeCell ref="D216:G216"/>
    <mergeCell ref="I216:I221"/>
    <mergeCell ref="J216:M216"/>
    <mergeCell ref="G218:G220"/>
    <mergeCell ref="M218:M220"/>
    <mergeCell ref="A209:A210"/>
    <mergeCell ref="C209:C214"/>
    <mergeCell ref="D209:G209"/>
    <mergeCell ref="I209:I214"/>
    <mergeCell ref="J209:M209"/>
    <mergeCell ref="G211:G213"/>
    <mergeCell ref="M211:M213"/>
    <mergeCell ref="A202:A203"/>
    <mergeCell ref="C202:C207"/>
    <mergeCell ref="D202:G202"/>
    <mergeCell ref="I202:I207"/>
    <mergeCell ref="J202:M202"/>
    <mergeCell ref="G204:G206"/>
    <mergeCell ref="M204:M206"/>
    <mergeCell ref="A195:A196"/>
    <mergeCell ref="C195:C200"/>
    <mergeCell ref="D195:G195"/>
    <mergeCell ref="I195:I200"/>
    <mergeCell ref="J195:M195"/>
    <mergeCell ref="G197:G199"/>
    <mergeCell ref="M197:M199"/>
    <mergeCell ref="A188:A189"/>
    <mergeCell ref="C188:C193"/>
    <mergeCell ref="D188:G188"/>
    <mergeCell ref="I188:I193"/>
    <mergeCell ref="J188:M188"/>
    <mergeCell ref="G190:G192"/>
    <mergeCell ref="M190:M192"/>
    <mergeCell ref="A181:A182"/>
    <mergeCell ref="C181:C186"/>
    <mergeCell ref="D181:G181"/>
    <mergeCell ref="I181:I186"/>
    <mergeCell ref="J181:M181"/>
    <mergeCell ref="G183:G185"/>
    <mergeCell ref="M183:M185"/>
    <mergeCell ref="A174:A175"/>
    <mergeCell ref="C174:C179"/>
    <mergeCell ref="D174:G174"/>
    <mergeCell ref="I174:I179"/>
    <mergeCell ref="J174:M174"/>
    <mergeCell ref="G176:G178"/>
    <mergeCell ref="M176:M178"/>
    <mergeCell ref="A167:A168"/>
    <mergeCell ref="C167:C172"/>
    <mergeCell ref="D167:G167"/>
    <mergeCell ref="I167:I172"/>
    <mergeCell ref="J167:M167"/>
    <mergeCell ref="G169:G171"/>
    <mergeCell ref="M169:M171"/>
    <mergeCell ref="A160:A161"/>
    <mergeCell ref="C160:C165"/>
    <mergeCell ref="D160:G160"/>
    <mergeCell ref="I160:I165"/>
    <mergeCell ref="J160:M160"/>
    <mergeCell ref="G162:G164"/>
    <mergeCell ref="M162:M164"/>
    <mergeCell ref="A153:A154"/>
    <mergeCell ref="C153:C158"/>
    <mergeCell ref="D153:G153"/>
    <mergeCell ref="I153:I158"/>
    <mergeCell ref="J153:M153"/>
    <mergeCell ref="G155:G157"/>
    <mergeCell ref="M155:M157"/>
    <mergeCell ref="A146:A147"/>
    <mergeCell ref="C146:C151"/>
    <mergeCell ref="D146:G146"/>
    <mergeCell ref="I146:I151"/>
    <mergeCell ref="J146:M146"/>
    <mergeCell ref="G148:G150"/>
    <mergeCell ref="M148:M150"/>
    <mergeCell ref="A139:A140"/>
    <mergeCell ref="C139:C144"/>
    <mergeCell ref="D139:G139"/>
    <mergeCell ref="I139:I144"/>
    <mergeCell ref="J139:M139"/>
    <mergeCell ref="G141:G143"/>
    <mergeCell ref="M141:M143"/>
    <mergeCell ref="A132:A133"/>
    <mergeCell ref="C132:C137"/>
    <mergeCell ref="D132:G132"/>
    <mergeCell ref="I132:I137"/>
    <mergeCell ref="J132:M132"/>
    <mergeCell ref="G134:G136"/>
    <mergeCell ref="M134:M136"/>
    <mergeCell ref="A125:A126"/>
    <mergeCell ref="C125:C130"/>
    <mergeCell ref="D125:G125"/>
    <mergeCell ref="I125:I130"/>
    <mergeCell ref="J125:M125"/>
    <mergeCell ref="G127:G129"/>
    <mergeCell ref="M127:M129"/>
    <mergeCell ref="A118:A119"/>
    <mergeCell ref="C118:C123"/>
    <mergeCell ref="D118:G118"/>
    <mergeCell ref="I118:I123"/>
    <mergeCell ref="J118:M118"/>
    <mergeCell ref="G120:G122"/>
    <mergeCell ref="M120:M122"/>
    <mergeCell ref="A111:A112"/>
    <mergeCell ref="C111:C116"/>
    <mergeCell ref="D111:G111"/>
    <mergeCell ref="I111:I116"/>
    <mergeCell ref="J111:M111"/>
    <mergeCell ref="G113:G115"/>
    <mergeCell ref="M113:M115"/>
    <mergeCell ref="A104:A105"/>
    <mergeCell ref="C104:C109"/>
    <mergeCell ref="D104:G104"/>
    <mergeCell ref="I104:I109"/>
    <mergeCell ref="J104:M104"/>
    <mergeCell ref="G106:G108"/>
    <mergeCell ref="M106:M108"/>
    <mergeCell ref="A97:A98"/>
    <mergeCell ref="C97:C102"/>
    <mergeCell ref="D97:G97"/>
    <mergeCell ref="I97:I102"/>
    <mergeCell ref="J97:M97"/>
    <mergeCell ref="G99:G101"/>
    <mergeCell ref="M99:M101"/>
    <mergeCell ref="A90:A91"/>
    <mergeCell ref="C90:C95"/>
    <mergeCell ref="D90:G90"/>
    <mergeCell ref="I90:I95"/>
    <mergeCell ref="J90:M90"/>
    <mergeCell ref="G92:G94"/>
    <mergeCell ref="M92:M94"/>
    <mergeCell ref="A83:A84"/>
    <mergeCell ref="C83:C88"/>
    <mergeCell ref="D83:G83"/>
    <mergeCell ref="I83:I88"/>
    <mergeCell ref="J83:M83"/>
    <mergeCell ref="G85:G87"/>
    <mergeCell ref="M85:M87"/>
    <mergeCell ref="A76:A77"/>
    <mergeCell ref="C76:C81"/>
    <mergeCell ref="D76:G76"/>
    <mergeCell ref="I76:I81"/>
    <mergeCell ref="J76:M76"/>
    <mergeCell ref="G78:G80"/>
    <mergeCell ref="M78:M80"/>
    <mergeCell ref="A69:A70"/>
    <mergeCell ref="C69:C74"/>
    <mergeCell ref="D69:G69"/>
    <mergeCell ref="I69:I74"/>
    <mergeCell ref="J69:M69"/>
    <mergeCell ref="G71:G73"/>
    <mergeCell ref="M71:M73"/>
    <mergeCell ref="A62:A63"/>
    <mergeCell ref="C62:C67"/>
    <mergeCell ref="D62:G62"/>
    <mergeCell ref="I62:I67"/>
    <mergeCell ref="J62:M62"/>
    <mergeCell ref="G64:G66"/>
    <mergeCell ref="M64:M66"/>
    <mergeCell ref="A55:A56"/>
    <mergeCell ref="C55:C60"/>
    <mergeCell ref="D55:G55"/>
    <mergeCell ref="I55:I60"/>
    <mergeCell ref="J55:M55"/>
    <mergeCell ref="G57:G59"/>
    <mergeCell ref="M57:M59"/>
    <mergeCell ref="A48:A49"/>
    <mergeCell ref="C48:C53"/>
    <mergeCell ref="D48:G48"/>
    <mergeCell ref="I48:I53"/>
    <mergeCell ref="J48:M48"/>
    <mergeCell ref="G50:G52"/>
    <mergeCell ref="M50:M52"/>
    <mergeCell ref="A41:A42"/>
    <mergeCell ref="C41:C46"/>
    <mergeCell ref="D41:G41"/>
    <mergeCell ref="I41:I46"/>
    <mergeCell ref="J41:M41"/>
    <mergeCell ref="G43:G45"/>
    <mergeCell ref="M43:M45"/>
    <mergeCell ref="A34:A35"/>
    <mergeCell ref="C34:C39"/>
    <mergeCell ref="D34:G34"/>
    <mergeCell ref="I34:I39"/>
    <mergeCell ref="J34:M34"/>
    <mergeCell ref="G36:G38"/>
    <mergeCell ref="M36:M38"/>
    <mergeCell ref="A27:A28"/>
    <mergeCell ref="C27:C32"/>
    <mergeCell ref="D27:G27"/>
    <mergeCell ref="I27:I32"/>
    <mergeCell ref="J27:M27"/>
    <mergeCell ref="G29:G31"/>
    <mergeCell ref="M29:M31"/>
    <mergeCell ref="M15:M17"/>
    <mergeCell ref="A20:A21"/>
    <mergeCell ref="C20:C25"/>
    <mergeCell ref="D20:G20"/>
    <mergeCell ref="I20:I25"/>
    <mergeCell ref="J20:M20"/>
    <mergeCell ref="G22:G24"/>
    <mergeCell ref="M22:M24"/>
    <mergeCell ref="C9:F11"/>
    <mergeCell ref="G9:G11"/>
    <mergeCell ref="I9:L11"/>
    <mergeCell ref="M9:M11"/>
    <mergeCell ref="A13:A14"/>
    <mergeCell ref="C13:C18"/>
    <mergeCell ref="D13:G13"/>
    <mergeCell ref="I13:I18"/>
    <mergeCell ref="J13:M13"/>
    <mergeCell ref="G15:G17"/>
  </mergeCells>
  <conditionalFormatting sqref="F15:H15">
    <cfRule type="containsText" dxfId="603" priority="329" operator="containsText" text="CRÍTICO">
      <formula>NOT(ISERROR(SEARCH("CRÍTICO",F15)))</formula>
    </cfRule>
    <cfRule type="containsText" dxfId="602" priority="330" operator="containsText" text="INSATISFATÓRIO">
      <formula>NOT(ISERROR(SEARCH("INSATISFATÓRIO",F15)))</formula>
    </cfRule>
    <cfRule type="containsText" dxfId="601" priority="331" operator="containsText" text="DESEJÁVEL">
      <formula>NOT(ISERROR(SEARCH("DESEJÁVEL",F15)))</formula>
    </cfRule>
    <cfRule type="containsText" dxfId="600" priority="332" operator="containsText" text="SATISFATÓRIO">
      <formula>NOT(ISERROR(SEARCH("SATISFATÓRIO",F15)))</formula>
    </cfRule>
  </conditionalFormatting>
  <conditionalFormatting sqref="F16:F17 H16:H17">
    <cfRule type="containsText" dxfId="599" priority="325" operator="containsText" text="CRÍTICO">
      <formula>NOT(ISERROR(SEARCH("CRÍTICO",F16)))</formula>
    </cfRule>
    <cfRule type="containsText" dxfId="598" priority="326" operator="containsText" text="INSATISFATÓRIO">
      <formula>NOT(ISERROR(SEARCH("INSATISFATÓRIO",F16)))</formula>
    </cfRule>
    <cfRule type="containsText" dxfId="597" priority="327" operator="containsText" text="DESEJÁVEL">
      <formula>NOT(ISERROR(SEARCH("DESEJÁVEL",F16)))</formula>
    </cfRule>
    <cfRule type="containsText" dxfId="596" priority="328" operator="containsText" text="SATISFATÓRIO">
      <formula>NOT(ISERROR(SEARCH("SATISFATÓRIO",F16)))</formula>
    </cfRule>
  </conditionalFormatting>
  <conditionalFormatting sqref="L15:L17">
    <cfRule type="containsText" dxfId="595" priority="321" operator="containsText" text="CRÍTICO">
      <formula>NOT(ISERROR(SEARCH("CRÍTICO",L15)))</formula>
    </cfRule>
    <cfRule type="containsText" dxfId="594" priority="322" operator="containsText" text="INSATISFATÓRIO">
      <formula>NOT(ISERROR(SEARCH("INSATISFATÓRIO",L15)))</formula>
    </cfRule>
    <cfRule type="containsText" dxfId="593" priority="323" operator="containsText" text="DESEJÁVEL">
      <formula>NOT(ISERROR(SEARCH("DESEJÁVEL",L15)))</formula>
    </cfRule>
    <cfRule type="containsText" dxfId="592" priority="324" operator="containsText" text="SATISFATÓRIO">
      <formula>NOT(ISERROR(SEARCH("SATISFATÓRIO",L15)))</formula>
    </cfRule>
  </conditionalFormatting>
  <conditionalFormatting sqref="F22:F24 H22:H24">
    <cfRule type="containsText" dxfId="591" priority="317" operator="containsText" text="CRÍTICO">
      <formula>NOT(ISERROR(SEARCH("CRÍTICO",F22)))</formula>
    </cfRule>
    <cfRule type="containsText" dxfId="590" priority="318" operator="containsText" text="INSATISFATÓRIO">
      <formula>NOT(ISERROR(SEARCH("INSATISFATÓRIO",F22)))</formula>
    </cfRule>
    <cfRule type="containsText" dxfId="589" priority="319" operator="containsText" text="DESEJÁVEL">
      <formula>NOT(ISERROR(SEARCH("DESEJÁVEL",F22)))</formula>
    </cfRule>
    <cfRule type="containsText" dxfId="588" priority="320" operator="containsText" text="SATISFATÓRIO">
      <formula>NOT(ISERROR(SEARCH("SATISFATÓRIO",F22)))</formula>
    </cfRule>
  </conditionalFormatting>
  <conditionalFormatting sqref="L22:L24">
    <cfRule type="containsText" dxfId="587" priority="313" operator="containsText" text="CRÍTICO">
      <formula>NOT(ISERROR(SEARCH("CRÍTICO",L22)))</formula>
    </cfRule>
    <cfRule type="containsText" dxfId="586" priority="314" operator="containsText" text="INSATISFATÓRIO">
      <formula>NOT(ISERROR(SEARCH("INSATISFATÓRIO",L22)))</formula>
    </cfRule>
    <cfRule type="containsText" dxfId="585" priority="315" operator="containsText" text="DESEJÁVEL">
      <formula>NOT(ISERROR(SEARCH("DESEJÁVEL",L22)))</formula>
    </cfRule>
    <cfRule type="containsText" dxfId="584" priority="316" operator="containsText" text="SATISFATÓRIO">
      <formula>NOT(ISERROR(SEARCH("SATISFATÓRIO",L22)))</formula>
    </cfRule>
  </conditionalFormatting>
  <conditionalFormatting sqref="F29:F31 H29:H31">
    <cfRule type="containsText" dxfId="583" priority="309" operator="containsText" text="CRÍTICO">
      <formula>NOT(ISERROR(SEARCH("CRÍTICO",F29)))</formula>
    </cfRule>
    <cfRule type="containsText" dxfId="582" priority="310" operator="containsText" text="INSATISFATÓRIO">
      <formula>NOT(ISERROR(SEARCH("INSATISFATÓRIO",F29)))</formula>
    </cfRule>
    <cfRule type="containsText" dxfId="581" priority="311" operator="containsText" text="DESEJÁVEL">
      <formula>NOT(ISERROR(SEARCH("DESEJÁVEL",F29)))</formula>
    </cfRule>
    <cfRule type="containsText" dxfId="580" priority="312" operator="containsText" text="SATISFATÓRIO">
      <formula>NOT(ISERROR(SEARCH("SATISFATÓRIO",F29)))</formula>
    </cfRule>
  </conditionalFormatting>
  <conditionalFormatting sqref="L29:L31">
    <cfRule type="containsText" dxfId="579" priority="305" operator="containsText" text="CRÍTICO">
      <formula>NOT(ISERROR(SEARCH("CRÍTICO",L29)))</formula>
    </cfRule>
    <cfRule type="containsText" dxfId="578" priority="306" operator="containsText" text="INSATISFATÓRIO">
      <formula>NOT(ISERROR(SEARCH("INSATISFATÓRIO",L29)))</formula>
    </cfRule>
    <cfRule type="containsText" dxfId="577" priority="307" operator="containsText" text="DESEJÁVEL">
      <formula>NOT(ISERROR(SEARCH("DESEJÁVEL",L29)))</formula>
    </cfRule>
    <cfRule type="containsText" dxfId="576" priority="308" operator="containsText" text="SATISFATÓRIO">
      <formula>NOT(ISERROR(SEARCH("SATISFATÓRIO",L29)))</formula>
    </cfRule>
  </conditionalFormatting>
  <conditionalFormatting sqref="F43:F45 H43:H45">
    <cfRule type="containsText" dxfId="575" priority="301" operator="containsText" text="CRÍTICO">
      <formula>NOT(ISERROR(SEARCH("CRÍTICO",F43)))</formula>
    </cfRule>
    <cfRule type="containsText" dxfId="574" priority="302" operator="containsText" text="INSATISFATÓRIO">
      <formula>NOT(ISERROR(SEARCH("INSATISFATÓRIO",F43)))</formula>
    </cfRule>
    <cfRule type="containsText" dxfId="573" priority="303" operator="containsText" text="DESEJÁVEL">
      <formula>NOT(ISERROR(SEARCH("DESEJÁVEL",F43)))</formula>
    </cfRule>
    <cfRule type="containsText" dxfId="572" priority="304" operator="containsText" text="SATISFATÓRIO">
      <formula>NOT(ISERROR(SEARCH("SATISFATÓRIO",F43)))</formula>
    </cfRule>
  </conditionalFormatting>
  <conditionalFormatting sqref="L43:L45">
    <cfRule type="containsText" dxfId="571" priority="297" operator="containsText" text="CRÍTICO">
      <formula>NOT(ISERROR(SEARCH("CRÍTICO",L43)))</formula>
    </cfRule>
    <cfRule type="containsText" dxfId="570" priority="298" operator="containsText" text="INSATISFATÓRIO">
      <formula>NOT(ISERROR(SEARCH("INSATISFATÓRIO",L43)))</formula>
    </cfRule>
    <cfRule type="containsText" dxfId="569" priority="299" operator="containsText" text="DESEJÁVEL">
      <formula>NOT(ISERROR(SEARCH("DESEJÁVEL",L43)))</formula>
    </cfRule>
    <cfRule type="containsText" dxfId="568" priority="300" operator="containsText" text="SATISFATÓRIO">
      <formula>NOT(ISERROR(SEARCH("SATISFATÓRIO",L43)))</formula>
    </cfRule>
  </conditionalFormatting>
  <conditionalFormatting sqref="F50:F52 H50:H52">
    <cfRule type="containsText" dxfId="567" priority="293" operator="containsText" text="CRÍTICO">
      <formula>NOT(ISERROR(SEARCH("CRÍTICO",F50)))</formula>
    </cfRule>
    <cfRule type="containsText" dxfId="566" priority="294" operator="containsText" text="INSATISFATÓRIO">
      <formula>NOT(ISERROR(SEARCH("INSATISFATÓRIO",F50)))</formula>
    </cfRule>
    <cfRule type="containsText" dxfId="565" priority="295" operator="containsText" text="DESEJÁVEL">
      <formula>NOT(ISERROR(SEARCH("DESEJÁVEL",F50)))</formula>
    </cfRule>
    <cfRule type="containsText" dxfId="564" priority="296" operator="containsText" text="SATISFATÓRIO">
      <formula>NOT(ISERROR(SEARCH("SATISFATÓRIO",F50)))</formula>
    </cfRule>
  </conditionalFormatting>
  <conditionalFormatting sqref="L50:L52">
    <cfRule type="containsText" dxfId="563" priority="289" operator="containsText" text="CRÍTICO">
      <formula>NOT(ISERROR(SEARCH("CRÍTICO",L50)))</formula>
    </cfRule>
    <cfRule type="containsText" dxfId="562" priority="290" operator="containsText" text="INSATISFATÓRIO">
      <formula>NOT(ISERROR(SEARCH("INSATISFATÓRIO",L50)))</formula>
    </cfRule>
    <cfRule type="containsText" dxfId="561" priority="291" operator="containsText" text="DESEJÁVEL">
      <formula>NOT(ISERROR(SEARCH("DESEJÁVEL",L50)))</formula>
    </cfRule>
    <cfRule type="containsText" dxfId="560" priority="292" operator="containsText" text="SATISFATÓRIO">
      <formula>NOT(ISERROR(SEARCH("SATISFATÓRIO",L50)))</formula>
    </cfRule>
  </conditionalFormatting>
  <conditionalFormatting sqref="F57:F59 H57:H59">
    <cfRule type="containsText" dxfId="559" priority="285" operator="containsText" text="CRÍTICO">
      <formula>NOT(ISERROR(SEARCH("CRÍTICO",F57)))</formula>
    </cfRule>
    <cfRule type="containsText" dxfId="558" priority="286" operator="containsText" text="INSATISFATÓRIO">
      <formula>NOT(ISERROR(SEARCH("INSATISFATÓRIO",F57)))</formula>
    </cfRule>
    <cfRule type="containsText" dxfId="557" priority="287" operator="containsText" text="DESEJÁVEL">
      <formula>NOT(ISERROR(SEARCH("DESEJÁVEL",F57)))</formula>
    </cfRule>
    <cfRule type="containsText" dxfId="556" priority="288" operator="containsText" text="SATISFATÓRIO">
      <formula>NOT(ISERROR(SEARCH("SATISFATÓRIO",F57)))</formula>
    </cfRule>
  </conditionalFormatting>
  <conditionalFormatting sqref="L57:L59">
    <cfRule type="containsText" dxfId="555" priority="281" operator="containsText" text="CRÍTICO">
      <formula>NOT(ISERROR(SEARCH("CRÍTICO",L57)))</formula>
    </cfRule>
    <cfRule type="containsText" dxfId="554" priority="282" operator="containsText" text="INSATISFATÓRIO">
      <formula>NOT(ISERROR(SEARCH("INSATISFATÓRIO",L57)))</formula>
    </cfRule>
    <cfRule type="containsText" dxfId="553" priority="283" operator="containsText" text="DESEJÁVEL">
      <formula>NOT(ISERROR(SEARCH("DESEJÁVEL",L57)))</formula>
    </cfRule>
    <cfRule type="containsText" dxfId="552" priority="284" operator="containsText" text="SATISFATÓRIO">
      <formula>NOT(ISERROR(SEARCH("SATISFATÓRIO",L57)))</formula>
    </cfRule>
  </conditionalFormatting>
  <conditionalFormatting sqref="F71:F73 H71:H73">
    <cfRule type="containsText" dxfId="551" priority="277" operator="containsText" text="CRÍTICO">
      <formula>NOT(ISERROR(SEARCH("CRÍTICO",F71)))</formula>
    </cfRule>
    <cfRule type="containsText" dxfId="550" priority="278" operator="containsText" text="INSATISFATÓRIO">
      <formula>NOT(ISERROR(SEARCH("INSATISFATÓRIO",F71)))</formula>
    </cfRule>
    <cfRule type="containsText" dxfId="549" priority="279" operator="containsText" text="DESEJÁVEL">
      <formula>NOT(ISERROR(SEARCH("DESEJÁVEL",F71)))</formula>
    </cfRule>
    <cfRule type="containsText" dxfId="548" priority="280" operator="containsText" text="SATISFATÓRIO">
      <formula>NOT(ISERROR(SEARCH("SATISFATÓRIO",F71)))</formula>
    </cfRule>
  </conditionalFormatting>
  <conditionalFormatting sqref="L71:L73">
    <cfRule type="containsText" dxfId="547" priority="273" operator="containsText" text="CRÍTICO">
      <formula>NOT(ISERROR(SEARCH("CRÍTICO",L71)))</formula>
    </cfRule>
    <cfRule type="containsText" dxfId="546" priority="274" operator="containsText" text="INSATISFATÓRIO">
      <formula>NOT(ISERROR(SEARCH("INSATISFATÓRIO",L71)))</formula>
    </cfRule>
    <cfRule type="containsText" dxfId="545" priority="275" operator="containsText" text="DESEJÁVEL">
      <formula>NOT(ISERROR(SEARCH("DESEJÁVEL",L71)))</formula>
    </cfRule>
    <cfRule type="containsText" dxfId="544" priority="276" operator="containsText" text="SATISFATÓRIO">
      <formula>NOT(ISERROR(SEARCH("SATISFATÓRIO",L71)))</formula>
    </cfRule>
  </conditionalFormatting>
  <conditionalFormatting sqref="F78:F80 H78:H80">
    <cfRule type="containsText" dxfId="543" priority="269" operator="containsText" text="CRÍTICO">
      <formula>NOT(ISERROR(SEARCH("CRÍTICO",F78)))</formula>
    </cfRule>
    <cfRule type="containsText" dxfId="542" priority="270" operator="containsText" text="INSATISFATÓRIO">
      <formula>NOT(ISERROR(SEARCH("INSATISFATÓRIO",F78)))</formula>
    </cfRule>
    <cfRule type="containsText" dxfId="541" priority="271" operator="containsText" text="DESEJÁVEL">
      <formula>NOT(ISERROR(SEARCH("DESEJÁVEL",F78)))</formula>
    </cfRule>
    <cfRule type="containsText" dxfId="540" priority="272" operator="containsText" text="SATISFATÓRIO">
      <formula>NOT(ISERROR(SEARCH("SATISFATÓRIO",F78)))</formula>
    </cfRule>
  </conditionalFormatting>
  <conditionalFormatting sqref="L78:L80">
    <cfRule type="containsText" dxfId="539" priority="265" operator="containsText" text="CRÍTICO">
      <formula>NOT(ISERROR(SEARCH("CRÍTICO",L78)))</formula>
    </cfRule>
    <cfRule type="containsText" dxfId="538" priority="266" operator="containsText" text="INSATISFATÓRIO">
      <formula>NOT(ISERROR(SEARCH("INSATISFATÓRIO",L78)))</formula>
    </cfRule>
    <cfRule type="containsText" dxfId="537" priority="267" operator="containsText" text="DESEJÁVEL">
      <formula>NOT(ISERROR(SEARCH("DESEJÁVEL",L78)))</formula>
    </cfRule>
    <cfRule type="containsText" dxfId="536" priority="268" operator="containsText" text="SATISFATÓRIO">
      <formula>NOT(ISERROR(SEARCH("SATISFATÓRIO",L78)))</formula>
    </cfRule>
  </conditionalFormatting>
  <conditionalFormatting sqref="F85:F87 H85:H87">
    <cfRule type="containsText" dxfId="535" priority="261" operator="containsText" text="CRÍTICO">
      <formula>NOT(ISERROR(SEARCH("CRÍTICO",F85)))</formula>
    </cfRule>
    <cfRule type="containsText" dxfId="534" priority="262" operator="containsText" text="INSATISFATÓRIO">
      <formula>NOT(ISERROR(SEARCH("INSATISFATÓRIO",F85)))</formula>
    </cfRule>
    <cfRule type="containsText" dxfId="533" priority="263" operator="containsText" text="DESEJÁVEL">
      <formula>NOT(ISERROR(SEARCH("DESEJÁVEL",F85)))</formula>
    </cfRule>
    <cfRule type="containsText" dxfId="532" priority="264" operator="containsText" text="SATISFATÓRIO">
      <formula>NOT(ISERROR(SEARCH("SATISFATÓRIO",F85)))</formula>
    </cfRule>
  </conditionalFormatting>
  <conditionalFormatting sqref="L85:L87">
    <cfRule type="containsText" dxfId="531" priority="257" operator="containsText" text="CRÍTICO">
      <formula>NOT(ISERROR(SEARCH("CRÍTICO",L85)))</formula>
    </cfRule>
    <cfRule type="containsText" dxfId="530" priority="258" operator="containsText" text="INSATISFATÓRIO">
      <formula>NOT(ISERROR(SEARCH("INSATISFATÓRIO",L85)))</formula>
    </cfRule>
    <cfRule type="containsText" dxfId="529" priority="259" operator="containsText" text="DESEJÁVEL">
      <formula>NOT(ISERROR(SEARCH("DESEJÁVEL",L85)))</formula>
    </cfRule>
    <cfRule type="containsText" dxfId="528" priority="260" operator="containsText" text="SATISFATÓRIO">
      <formula>NOT(ISERROR(SEARCH("SATISFATÓRIO",L85)))</formula>
    </cfRule>
  </conditionalFormatting>
  <conditionalFormatting sqref="F92:F94 H92:H94">
    <cfRule type="containsText" dxfId="527" priority="253" operator="containsText" text="CRÍTICO">
      <formula>NOT(ISERROR(SEARCH("CRÍTICO",F92)))</formula>
    </cfRule>
    <cfRule type="containsText" dxfId="526" priority="254" operator="containsText" text="INSATISFATÓRIO">
      <formula>NOT(ISERROR(SEARCH("INSATISFATÓRIO",F92)))</formula>
    </cfRule>
    <cfRule type="containsText" dxfId="525" priority="255" operator="containsText" text="DESEJÁVEL">
      <formula>NOT(ISERROR(SEARCH("DESEJÁVEL",F92)))</formula>
    </cfRule>
    <cfRule type="containsText" dxfId="524" priority="256" operator="containsText" text="SATISFATÓRIO">
      <formula>NOT(ISERROR(SEARCH("SATISFATÓRIO",F92)))</formula>
    </cfRule>
  </conditionalFormatting>
  <conditionalFormatting sqref="L92:L94">
    <cfRule type="containsText" dxfId="523" priority="249" operator="containsText" text="CRÍTICO">
      <formula>NOT(ISERROR(SEARCH("CRÍTICO",L92)))</formula>
    </cfRule>
    <cfRule type="containsText" dxfId="522" priority="250" operator="containsText" text="INSATISFATÓRIO">
      <formula>NOT(ISERROR(SEARCH("INSATISFATÓRIO",L92)))</formula>
    </cfRule>
    <cfRule type="containsText" dxfId="521" priority="251" operator="containsText" text="DESEJÁVEL">
      <formula>NOT(ISERROR(SEARCH("DESEJÁVEL",L92)))</formula>
    </cfRule>
    <cfRule type="containsText" dxfId="520" priority="252" operator="containsText" text="SATISFATÓRIO">
      <formula>NOT(ISERROR(SEARCH("SATISFATÓRIO",L92)))</formula>
    </cfRule>
  </conditionalFormatting>
  <conditionalFormatting sqref="F99:F101 H99:H101">
    <cfRule type="containsText" dxfId="519" priority="245" operator="containsText" text="CRÍTICO">
      <formula>NOT(ISERROR(SEARCH("CRÍTICO",F99)))</formula>
    </cfRule>
    <cfRule type="containsText" dxfId="518" priority="246" operator="containsText" text="INSATISFATÓRIO">
      <formula>NOT(ISERROR(SEARCH("INSATISFATÓRIO",F99)))</formula>
    </cfRule>
    <cfRule type="containsText" dxfId="517" priority="247" operator="containsText" text="DESEJÁVEL">
      <formula>NOT(ISERROR(SEARCH("DESEJÁVEL",F99)))</formula>
    </cfRule>
    <cfRule type="containsText" dxfId="516" priority="248" operator="containsText" text="SATISFATÓRIO">
      <formula>NOT(ISERROR(SEARCH("SATISFATÓRIO",F99)))</formula>
    </cfRule>
  </conditionalFormatting>
  <conditionalFormatting sqref="L99:L101">
    <cfRule type="containsText" dxfId="515" priority="241" operator="containsText" text="CRÍTICO">
      <formula>NOT(ISERROR(SEARCH("CRÍTICO",L99)))</formula>
    </cfRule>
    <cfRule type="containsText" dxfId="514" priority="242" operator="containsText" text="INSATISFATÓRIO">
      <formula>NOT(ISERROR(SEARCH("INSATISFATÓRIO",L99)))</formula>
    </cfRule>
    <cfRule type="containsText" dxfId="513" priority="243" operator="containsText" text="DESEJÁVEL">
      <formula>NOT(ISERROR(SEARCH("DESEJÁVEL",L99)))</formula>
    </cfRule>
    <cfRule type="containsText" dxfId="512" priority="244" operator="containsText" text="SATISFATÓRIO">
      <formula>NOT(ISERROR(SEARCH("SATISFATÓRIO",L99)))</formula>
    </cfRule>
  </conditionalFormatting>
  <conditionalFormatting sqref="F106:F108 H106:H108">
    <cfRule type="containsText" dxfId="511" priority="237" operator="containsText" text="CRÍTICO">
      <formula>NOT(ISERROR(SEARCH("CRÍTICO",F106)))</formula>
    </cfRule>
    <cfRule type="containsText" dxfId="510" priority="238" operator="containsText" text="INSATISFATÓRIO">
      <formula>NOT(ISERROR(SEARCH("INSATISFATÓRIO",F106)))</formula>
    </cfRule>
    <cfRule type="containsText" dxfId="509" priority="239" operator="containsText" text="DESEJÁVEL">
      <formula>NOT(ISERROR(SEARCH("DESEJÁVEL",F106)))</formula>
    </cfRule>
    <cfRule type="containsText" dxfId="508" priority="240" operator="containsText" text="SATISFATÓRIO">
      <formula>NOT(ISERROR(SEARCH("SATISFATÓRIO",F106)))</formula>
    </cfRule>
  </conditionalFormatting>
  <conditionalFormatting sqref="F113:F115 H113:H115">
    <cfRule type="containsText" dxfId="507" priority="233" operator="containsText" text="CRÍTICO">
      <formula>NOT(ISERROR(SEARCH("CRÍTICO",F113)))</formula>
    </cfRule>
    <cfRule type="containsText" dxfId="506" priority="234" operator="containsText" text="INSATISFATÓRIO">
      <formula>NOT(ISERROR(SEARCH("INSATISFATÓRIO",F113)))</formula>
    </cfRule>
    <cfRule type="containsText" dxfId="505" priority="235" operator="containsText" text="DESEJÁVEL">
      <formula>NOT(ISERROR(SEARCH("DESEJÁVEL",F113)))</formula>
    </cfRule>
    <cfRule type="containsText" dxfId="504" priority="236" operator="containsText" text="SATISFATÓRIO">
      <formula>NOT(ISERROR(SEARCH("SATISFATÓRIO",F113)))</formula>
    </cfRule>
  </conditionalFormatting>
  <conditionalFormatting sqref="L113:L115">
    <cfRule type="containsText" dxfId="503" priority="229" operator="containsText" text="CRÍTICO">
      <formula>NOT(ISERROR(SEARCH("CRÍTICO",L113)))</formula>
    </cfRule>
    <cfRule type="containsText" dxfId="502" priority="230" operator="containsText" text="INSATISFATÓRIO">
      <formula>NOT(ISERROR(SEARCH("INSATISFATÓRIO",L113)))</formula>
    </cfRule>
    <cfRule type="containsText" dxfId="501" priority="231" operator="containsText" text="DESEJÁVEL">
      <formula>NOT(ISERROR(SEARCH("DESEJÁVEL",L113)))</formula>
    </cfRule>
    <cfRule type="containsText" dxfId="500" priority="232" operator="containsText" text="SATISFATÓRIO">
      <formula>NOT(ISERROR(SEARCH("SATISFATÓRIO",L113)))</formula>
    </cfRule>
  </conditionalFormatting>
  <conditionalFormatting sqref="F120:F122 H120:H122">
    <cfRule type="containsText" dxfId="499" priority="225" operator="containsText" text="CRÍTICO">
      <formula>NOT(ISERROR(SEARCH("CRÍTICO",F120)))</formula>
    </cfRule>
    <cfRule type="containsText" dxfId="498" priority="226" operator="containsText" text="INSATISFATÓRIO">
      <formula>NOT(ISERROR(SEARCH("INSATISFATÓRIO",F120)))</formula>
    </cfRule>
    <cfRule type="containsText" dxfId="497" priority="227" operator="containsText" text="DESEJÁVEL">
      <formula>NOT(ISERROR(SEARCH("DESEJÁVEL",F120)))</formula>
    </cfRule>
    <cfRule type="containsText" dxfId="496" priority="228" operator="containsText" text="SATISFATÓRIO">
      <formula>NOT(ISERROR(SEARCH("SATISFATÓRIO",F120)))</formula>
    </cfRule>
  </conditionalFormatting>
  <conditionalFormatting sqref="L120:L122">
    <cfRule type="containsText" dxfId="495" priority="221" operator="containsText" text="CRÍTICO">
      <formula>NOT(ISERROR(SEARCH("CRÍTICO",L120)))</formula>
    </cfRule>
    <cfRule type="containsText" dxfId="494" priority="222" operator="containsText" text="INSATISFATÓRIO">
      <formula>NOT(ISERROR(SEARCH("INSATISFATÓRIO",L120)))</formula>
    </cfRule>
    <cfRule type="containsText" dxfId="493" priority="223" operator="containsText" text="DESEJÁVEL">
      <formula>NOT(ISERROR(SEARCH("DESEJÁVEL",L120)))</formula>
    </cfRule>
    <cfRule type="containsText" dxfId="492" priority="224" operator="containsText" text="SATISFATÓRIO">
      <formula>NOT(ISERROR(SEARCH("SATISFATÓRIO",L120)))</formula>
    </cfRule>
  </conditionalFormatting>
  <conditionalFormatting sqref="F127:F129 H127:H129">
    <cfRule type="containsText" dxfId="491" priority="217" operator="containsText" text="CRÍTICO">
      <formula>NOT(ISERROR(SEARCH("CRÍTICO",F127)))</formula>
    </cfRule>
    <cfRule type="containsText" dxfId="490" priority="218" operator="containsText" text="INSATISFATÓRIO">
      <formula>NOT(ISERROR(SEARCH("INSATISFATÓRIO",F127)))</formula>
    </cfRule>
    <cfRule type="containsText" dxfId="489" priority="219" operator="containsText" text="DESEJÁVEL">
      <formula>NOT(ISERROR(SEARCH("DESEJÁVEL",F127)))</formula>
    </cfRule>
    <cfRule type="containsText" dxfId="488" priority="220" operator="containsText" text="SATISFATÓRIO">
      <formula>NOT(ISERROR(SEARCH("SATISFATÓRIO",F127)))</formula>
    </cfRule>
  </conditionalFormatting>
  <conditionalFormatting sqref="L127:L129">
    <cfRule type="containsText" dxfId="487" priority="213" operator="containsText" text="CRÍTICO">
      <formula>NOT(ISERROR(SEARCH("CRÍTICO",L127)))</formula>
    </cfRule>
    <cfRule type="containsText" dxfId="486" priority="214" operator="containsText" text="INSATISFATÓRIO">
      <formula>NOT(ISERROR(SEARCH("INSATISFATÓRIO",L127)))</formula>
    </cfRule>
    <cfRule type="containsText" dxfId="485" priority="215" operator="containsText" text="DESEJÁVEL">
      <formula>NOT(ISERROR(SEARCH("DESEJÁVEL",L127)))</formula>
    </cfRule>
    <cfRule type="containsText" dxfId="484" priority="216" operator="containsText" text="SATISFATÓRIO">
      <formula>NOT(ISERROR(SEARCH("SATISFATÓRIO",L127)))</formula>
    </cfRule>
  </conditionalFormatting>
  <conditionalFormatting sqref="F134:F136 H134:H136">
    <cfRule type="containsText" dxfId="483" priority="209" operator="containsText" text="CRÍTICO">
      <formula>NOT(ISERROR(SEARCH("CRÍTICO",F134)))</formula>
    </cfRule>
    <cfRule type="containsText" dxfId="482" priority="210" operator="containsText" text="INSATISFATÓRIO">
      <formula>NOT(ISERROR(SEARCH("INSATISFATÓRIO",F134)))</formula>
    </cfRule>
    <cfRule type="containsText" dxfId="481" priority="211" operator="containsText" text="DESEJÁVEL">
      <formula>NOT(ISERROR(SEARCH("DESEJÁVEL",F134)))</formula>
    </cfRule>
    <cfRule type="containsText" dxfId="480" priority="212" operator="containsText" text="SATISFATÓRIO">
      <formula>NOT(ISERROR(SEARCH("SATISFATÓRIO",F134)))</formula>
    </cfRule>
  </conditionalFormatting>
  <conditionalFormatting sqref="L134:L136">
    <cfRule type="containsText" dxfId="479" priority="205" operator="containsText" text="CRÍTICO">
      <formula>NOT(ISERROR(SEARCH("CRÍTICO",L134)))</formula>
    </cfRule>
    <cfRule type="containsText" dxfId="478" priority="206" operator="containsText" text="INSATISFATÓRIO">
      <formula>NOT(ISERROR(SEARCH("INSATISFATÓRIO",L134)))</formula>
    </cfRule>
    <cfRule type="containsText" dxfId="477" priority="207" operator="containsText" text="DESEJÁVEL">
      <formula>NOT(ISERROR(SEARCH("DESEJÁVEL",L134)))</formula>
    </cfRule>
    <cfRule type="containsText" dxfId="476" priority="208" operator="containsText" text="SATISFATÓRIO">
      <formula>NOT(ISERROR(SEARCH("SATISFATÓRIO",L134)))</formula>
    </cfRule>
  </conditionalFormatting>
  <conditionalFormatting sqref="F141:F143 H141:H143">
    <cfRule type="containsText" dxfId="475" priority="201" operator="containsText" text="CRÍTICO">
      <formula>NOT(ISERROR(SEARCH("CRÍTICO",F141)))</formula>
    </cfRule>
    <cfRule type="containsText" dxfId="474" priority="202" operator="containsText" text="INSATISFATÓRIO">
      <formula>NOT(ISERROR(SEARCH("INSATISFATÓRIO",F141)))</formula>
    </cfRule>
    <cfRule type="containsText" dxfId="473" priority="203" operator="containsText" text="DESEJÁVEL">
      <formula>NOT(ISERROR(SEARCH("DESEJÁVEL",F141)))</formula>
    </cfRule>
    <cfRule type="containsText" dxfId="472" priority="204" operator="containsText" text="SATISFATÓRIO">
      <formula>NOT(ISERROR(SEARCH("SATISFATÓRIO",F141)))</formula>
    </cfRule>
  </conditionalFormatting>
  <conditionalFormatting sqref="L141:L143">
    <cfRule type="containsText" dxfId="471" priority="197" operator="containsText" text="CRÍTICO">
      <formula>NOT(ISERROR(SEARCH("CRÍTICO",L141)))</formula>
    </cfRule>
    <cfRule type="containsText" dxfId="470" priority="198" operator="containsText" text="INSATISFATÓRIO">
      <formula>NOT(ISERROR(SEARCH("INSATISFATÓRIO",L141)))</formula>
    </cfRule>
    <cfRule type="containsText" dxfId="469" priority="199" operator="containsText" text="DESEJÁVEL">
      <formula>NOT(ISERROR(SEARCH("DESEJÁVEL",L141)))</formula>
    </cfRule>
    <cfRule type="containsText" dxfId="468" priority="200" operator="containsText" text="SATISFATÓRIO">
      <formula>NOT(ISERROR(SEARCH("SATISFATÓRIO",L141)))</formula>
    </cfRule>
  </conditionalFormatting>
  <conditionalFormatting sqref="F148:F150 H148:H150">
    <cfRule type="containsText" dxfId="467" priority="193" operator="containsText" text="CRÍTICO">
      <formula>NOT(ISERROR(SEARCH("CRÍTICO",F148)))</formula>
    </cfRule>
    <cfRule type="containsText" dxfId="466" priority="194" operator="containsText" text="INSATISFATÓRIO">
      <formula>NOT(ISERROR(SEARCH("INSATISFATÓRIO",F148)))</formula>
    </cfRule>
    <cfRule type="containsText" dxfId="465" priority="195" operator="containsText" text="DESEJÁVEL">
      <formula>NOT(ISERROR(SEARCH("DESEJÁVEL",F148)))</formula>
    </cfRule>
    <cfRule type="containsText" dxfId="464" priority="196" operator="containsText" text="SATISFATÓRIO">
      <formula>NOT(ISERROR(SEARCH("SATISFATÓRIO",F148)))</formula>
    </cfRule>
  </conditionalFormatting>
  <conditionalFormatting sqref="L148:L150">
    <cfRule type="containsText" dxfId="463" priority="189" operator="containsText" text="CRÍTICO">
      <formula>NOT(ISERROR(SEARCH("CRÍTICO",L148)))</formula>
    </cfRule>
    <cfRule type="containsText" dxfId="462" priority="190" operator="containsText" text="INSATISFATÓRIO">
      <formula>NOT(ISERROR(SEARCH("INSATISFATÓRIO",L148)))</formula>
    </cfRule>
    <cfRule type="containsText" dxfId="461" priority="191" operator="containsText" text="DESEJÁVEL">
      <formula>NOT(ISERROR(SEARCH("DESEJÁVEL",L148)))</formula>
    </cfRule>
    <cfRule type="containsText" dxfId="460" priority="192" operator="containsText" text="SATISFATÓRIO">
      <formula>NOT(ISERROR(SEARCH("SATISFATÓRIO",L148)))</formula>
    </cfRule>
  </conditionalFormatting>
  <conditionalFormatting sqref="F155:F157 H155:H157">
    <cfRule type="containsText" dxfId="459" priority="185" operator="containsText" text="CRÍTICO">
      <formula>NOT(ISERROR(SEARCH("CRÍTICO",F155)))</formula>
    </cfRule>
    <cfRule type="containsText" dxfId="458" priority="186" operator="containsText" text="INSATISFATÓRIO">
      <formula>NOT(ISERROR(SEARCH("INSATISFATÓRIO",F155)))</formula>
    </cfRule>
    <cfRule type="containsText" dxfId="457" priority="187" operator="containsText" text="DESEJÁVEL">
      <formula>NOT(ISERROR(SEARCH("DESEJÁVEL",F155)))</formula>
    </cfRule>
    <cfRule type="containsText" dxfId="456" priority="188" operator="containsText" text="SATISFATÓRIO">
      <formula>NOT(ISERROR(SEARCH("SATISFATÓRIO",F155)))</formula>
    </cfRule>
  </conditionalFormatting>
  <conditionalFormatting sqref="L155:L157">
    <cfRule type="containsText" dxfId="455" priority="181" operator="containsText" text="CRÍTICO">
      <formula>NOT(ISERROR(SEARCH("CRÍTICO",L155)))</formula>
    </cfRule>
    <cfRule type="containsText" dxfId="454" priority="182" operator="containsText" text="INSATISFATÓRIO">
      <formula>NOT(ISERROR(SEARCH("INSATISFATÓRIO",L155)))</formula>
    </cfRule>
    <cfRule type="containsText" dxfId="453" priority="183" operator="containsText" text="DESEJÁVEL">
      <formula>NOT(ISERROR(SEARCH("DESEJÁVEL",L155)))</formula>
    </cfRule>
    <cfRule type="containsText" dxfId="452" priority="184" operator="containsText" text="SATISFATÓRIO">
      <formula>NOT(ISERROR(SEARCH("SATISFATÓRIO",L155)))</formula>
    </cfRule>
  </conditionalFormatting>
  <conditionalFormatting sqref="F162:F164 H162:H164">
    <cfRule type="containsText" dxfId="451" priority="177" operator="containsText" text="CRÍTICO">
      <formula>NOT(ISERROR(SEARCH("CRÍTICO",F162)))</formula>
    </cfRule>
    <cfRule type="containsText" dxfId="450" priority="178" operator="containsText" text="INSATISFATÓRIO">
      <formula>NOT(ISERROR(SEARCH("INSATISFATÓRIO",F162)))</formula>
    </cfRule>
    <cfRule type="containsText" dxfId="449" priority="179" operator="containsText" text="DESEJÁVEL">
      <formula>NOT(ISERROR(SEARCH("DESEJÁVEL",F162)))</formula>
    </cfRule>
    <cfRule type="containsText" dxfId="448" priority="180" operator="containsText" text="SATISFATÓRIO">
      <formula>NOT(ISERROR(SEARCH("SATISFATÓRIO",F162)))</formula>
    </cfRule>
  </conditionalFormatting>
  <conditionalFormatting sqref="L162:L164">
    <cfRule type="containsText" dxfId="447" priority="173" operator="containsText" text="CRÍTICO">
      <formula>NOT(ISERROR(SEARCH("CRÍTICO",L162)))</formula>
    </cfRule>
    <cfRule type="containsText" dxfId="446" priority="174" operator="containsText" text="INSATISFATÓRIO">
      <formula>NOT(ISERROR(SEARCH("INSATISFATÓRIO",L162)))</formula>
    </cfRule>
    <cfRule type="containsText" dxfId="445" priority="175" operator="containsText" text="DESEJÁVEL">
      <formula>NOT(ISERROR(SEARCH("DESEJÁVEL",L162)))</formula>
    </cfRule>
    <cfRule type="containsText" dxfId="444" priority="176" operator="containsText" text="SATISFATÓRIO">
      <formula>NOT(ISERROR(SEARCH("SATISFATÓRIO",L162)))</formula>
    </cfRule>
  </conditionalFormatting>
  <conditionalFormatting sqref="F169:F171 H169:H171">
    <cfRule type="containsText" dxfId="443" priority="169" operator="containsText" text="CRÍTICO">
      <formula>NOT(ISERROR(SEARCH("CRÍTICO",F169)))</formula>
    </cfRule>
    <cfRule type="containsText" dxfId="442" priority="170" operator="containsText" text="INSATISFATÓRIO">
      <formula>NOT(ISERROR(SEARCH("INSATISFATÓRIO",F169)))</formula>
    </cfRule>
    <cfRule type="containsText" dxfId="441" priority="171" operator="containsText" text="DESEJÁVEL">
      <formula>NOT(ISERROR(SEARCH("DESEJÁVEL",F169)))</formula>
    </cfRule>
    <cfRule type="containsText" dxfId="440" priority="172" operator="containsText" text="SATISFATÓRIO">
      <formula>NOT(ISERROR(SEARCH("SATISFATÓRIO",F169)))</formula>
    </cfRule>
  </conditionalFormatting>
  <conditionalFormatting sqref="L169:L171">
    <cfRule type="containsText" dxfId="439" priority="165" operator="containsText" text="CRÍTICO">
      <formula>NOT(ISERROR(SEARCH("CRÍTICO",L169)))</formula>
    </cfRule>
    <cfRule type="containsText" dxfId="438" priority="166" operator="containsText" text="INSATISFATÓRIO">
      <formula>NOT(ISERROR(SEARCH("INSATISFATÓRIO",L169)))</formula>
    </cfRule>
    <cfRule type="containsText" dxfId="437" priority="167" operator="containsText" text="DESEJÁVEL">
      <formula>NOT(ISERROR(SEARCH("DESEJÁVEL",L169)))</formula>
    </cfRule>
    <cfRule type="containsText" dxfId="436" priority="168" operator="containsText" text="SATISFATÓRIO">
      <formula>NOT(ISERROR(SEARCH("SATISFATÓRIO",L169)))</formula>
    </cfRule>
  </conditionalFormatting>
  <conditionalFormatting sqref="F176:F178 H176:H178">
    <cfRule type="containsText" dxfId="435" priority="161" operator="containsText" text="CRÍTICO">
      <formula>NOT(ISERROR(SEARCH("CRÍTICO",F176)))</formula>
    </cfRule>
    <cfRule type="containsText" dxfId="434" priority="162" operator="containsText" text="INSATISFATÓRIO">
      <formula>NOT(ISERROR(SEARCH("INSATISFATÓRIO",F176)))</formula>
    </cfRule>
    <cfRule type="containsText" dxfId="433" priority="163" operator="containsText" text="DESEJÁVEL">
      <formula>NOT(ISERROR(SEARCH("DESEJÁVEL",F176)))</formula>
    </cfRule>
    <cfRule type="containsText" dxfId="432" priority="164" operator="containsText" text="SATISFATÓRIO">
      <formula>NOT(ISERROR(SEARCH("SATISFATÓRIO",F176)))</formula>
    </cfRule>
  </conditionalFormatting>
  <conditionalFormatting sqref="L176:L178">
    <cfRule type="containsText" dxfId="431" priority="157" operator="containsText" text="CRÍTICO">
      <formula>NOT(ISERROR(SEARCH("CRÍTICO",L176)))</formula>
    </cfRule>
    <cfRule type="containsText" dxfId="430" priority="158" operator="containsText" text="INSATISFATÓRIO">
      <formula>NOT(ISERROR(SEARCH("INSATISFATÓRIO",L176)))</formula>
    </cfRule>
    <cfRule type="containsText" dxfId="429" priority="159" operator="containsText" text="DESEJÁVEL">
      <formula>NOT(ISERROR(SEARCH("DESEJÁVEL",L176)))</formula>
    </cfRule>
    <cfRule type="containsText" dxfId="428" priority="160" operator="containsText" text="SATISFATÓRIO">
      <formula>NOT(ISERROR(SEARCH("SATISFATÓRIO",L176)))</formula>
    </cfRule>
  </conditionalFormatting>
  <conditionalFormatting sqref="F183:F185 H183:H185">
    <cfRule type="containsText" dxfId="427" priority="153" operator="containsText" text="CRÍTICO">
      <formula>NOT(ISERROR(SEARCH("CRÍTICO",F183)))</formula>
    </cfRule>
    <cfRule type="containsText" dxfId="426" priority="154" operator="containsText" text="INSATISFATÓRIO">
      <formula>NOT(ISERROR(SEARCH("INSATISFATÓRIO",F183)))</formula>
    </cfRule>
    <cfRule type="containsText" dxfId="425" priority="155" operator="containsText" text="DESEJÁVEL">
      <formula>NOT(ISERROR(SEARCH("DESEJÁVEL",F183)))</formula>
    </cfRule>
    <cfRule type="containsText" dxfId="424" priority="156" operator="containsText" text="SATISFATÓRIO">
      <formula>NOT(ISERROR(SEARCH("SATISFATÓRIO",F183)))</formula>
    </cfRule>
  </conditionalFormatting>
  <conditionalFormatting sqref="L183:L185">
    <cfRule type="containsText" dxfId="423" priority="149" operator="containsText" text="CRÍTICO">
      <formula>NOT(ISERROR(SEARCH("CRÍTICO",L183)))</formula>
    </cfRule>
    <cfRule type="containsText" dxfId="422" priority="150" operator="containsText" text="INSATISFATÓRIO">
      <formula>NOT(ISERROR(SEARCH("INSATISFATÓRIO",L183)))</formula>
    </cfRule>
    <cfRule type="containsText" dxfId="421" priority="151" operator="containsText" text="DESEJÁVEL">
      <formula>NOT(ISERROR(SEARCH("DESEJÁVEL",L183)))</formula>
    </cfRule>
    <cfRule type="containsText" dxfId="420" priority="152" operator="containsText" text="SATISFATÓRIO">
      <formula>NOT(ISERROR(SEARCH("SATISFATÓRIO",L183)))</formula>
    </cfRule>
  </conditionalFormatting>
  <conditionalFormatting sqref="F190:F192 H190:H192">
    <cfRule type="containsText" dxfId="419" priority="145" operator="containsText" text="CRÍTICO">
      <formula>NOT(ISERROR(SEARCH("CRÍTICO",F190)))</formula>
    </cfRule>
    <cfRule type="containsText" dxfId="418" priority="146" operator="containsText" text="INSATISFATÓRIO">
      <formula>NOT(ISERROR(SEARCH("INSATISFATÓRIO",F190)))</formula>
    </cfRule>
    <cfRule type="containsText" dxfId="417" priority="147" operator="containsText" text="DESEJÁVEL">
      <formula>NOT(ISERROR(SEARCH("DESEJÁVEL",F190)))</formula>
    </cfRule>
    <cfRule type="containsText" dxfId="416" priority="148" operator="containsText" text="SATISFATÓRIO">
      <formula>NOT(ISERROR(SEARCH("SATISFATÓRIO",F190)))</formula>
    </cfRule>
  </conditionalFormatting>
  <conditionalFormatting sqref="L190:L192">
    <cfRule type="containsText" dxfId="415" priority="141" operator="containsText" text="CRÍTICO">
      <formula>NOT(ISERROR(SEARCH("CRÍTICO",L190)))</formula>
    </cfRule>
    <cfRule type="containsText" dxfId="414" priority="142" operator="containsText" text="INSATISFATÓRIO">
      <formula>NOT(ISERROR(SEARCH("INSATISFATÓRIO",L190)))</formula>
    </cfRule>
    <cfRule type="containsText" dxfId="413" priority="143" operator="containsText" text="DESEJÁVEL">
      <formula>NOT(ISERROR(SEARCH("DESEJÁVEL",L190)))</formula>
    </cfRule>
    <cfRule type="containsText" dxfId="412" priority="144" operator="containsText" text="SATISFATÓRIO">
      <formula>NOT(ISERROR(SEARCH("SATISFATÓRIO",L190)))</formula>
    </cfRule>
  </conditionalFormatting>
  <conditionalFormatting sqref="F197:F199 H197:H199">
    <cfRule type="containsText" dxfId="411" priority="137" operator="containsText" text="CRÍTICO">
      <formula>NOT(ISERROR(SEARCH("CRÍTICO",F197)))</formula>
    </cfRule>
    <cfRule type="containsText" dxfId="410" priority="138" operator="containsText" text="INSATISFATÓRIO">
      <formula>NOT(ISERROR(SEARCH("INSATISFATÓRIO",F197)))</formula>
    </cfRule>
    <cfRule type="containsText" dxfId="409" priority="139" operator="containsText" text="DESEJÁVEL">
      <formula>NOT(ISERROR(SEARCH("DESEJÁVEL",F197)))</formula>
    </cfRule>
    <cfRule type="containsText" dxfId="408" priority="140" operator="containsText" text="SATISFATÓRIO">
      <formula>NOT(ISERROR(SEARCH("SATISFATÓRIO",F197)))</formula>
    </cfRule>
  </conditionalFormatting>
  <conditionalFormatting sqref="L197:L199">
    <cfRule type="containsText" dxfId="407" priority="133" operator="containsText" text="CRÍTICO">
      <formula>NOT(ISERROR(SEARCH("CRÍTICO",L197)))</formula>
    </cfRule>
    <cfRule type="containsText" dxfId="406" priority="134" operator="containsText" text="INSATISFATÓRIO">
      <formula>NOT(ISERROR(SEARCH("INSATISFATÓRIO",L197)))</formula>
    </cfRule>
    <cfRule type="containsText" dxfId="405" priority="135" operator="containsText" text="DESEJÁVEL">
      <formula>NOT(ISERROR(SEARCH("DESEJÁVEL",L197)))</formula>
    </cfRule>
    <cfRule type="containsText" dxfId="404" priority="136" operator="containsText" text="SATISFATÓRIO">
      <formula>NOT(ISERROR(SEARCH("SATISFATÓRIO",L197)))</formula>
    </cfRule>
  </conditionalFormatting>
  <conditionalFormatting sqref="F204:F206 H204:H206">
    <cfRule type="containsText" dxfId="403" priority="129" operator="containsText" text="CRÍTICO">
      <formula>NOT(ISERROR(SEARCH("CRÍTICO",F204)))</formula>
    </cfRule>
    <cfRule type="containsText" dxfId="402" priority="130" operator="containsText" text="INSATISFATÓRIO">
      <formula>NOT(ISERROR(SEARCH("INSATISFATÓRIO",F204)))</formula>
    </cfRule>
    <cfRule type="containsText" dxfId="401" priority="131" operator="containsText" text="DESEJÁVEL">
      <formula>NOT(ISERROR(SEARCH("DESEJÁVEL",F204)))</formula>
    </cfRule>
    <cfRule type="containsText" dxfId="400" priority="132" operator="containsText" text="SATISFATÓRIO">
      <formula>NOT(ISERROR(SEARCH("SATISFATÓRIO",F204)))</formula>
    </cfRule>
  </conditionalFormatting>
  <conditionalFormatting sqref="L204:L206">
    <cfRule type="containsText" dxfId="399" priority="125" operator="containsText" text="CRÍTICO">
      <formula>NOT(ISERROR(SEARCH("CRÍTICO",L204)))</formula>
    </cfRule>
    <cfRule type="containsText" dxfId="398" priority="126" operator="containsText" text="INSATISFATÓRIO">
      <formula>NOT(ISERROR(SEARCH("INSATISFATÓRIO",L204)))</formula>
    </cfRule>
    <cfRule type="containsText" dxfId="397" priority="127" operator="containsText" text="DESEJÁVEL">
      <formula>NOT(ISERROR(SEARCH("DESEJÁVEL",L204)))</formula>
    </cfRule>
    <cfRule type="containsText" dxfId="396" priority="128" operator="containsText" text="SATISFATÓRIO">
      <formula>NOT(ISERROR(SEARCH("SATISFATÓRIO",L204)))</formula>
    </cfRule>
  </conditionalFormatting>
  <conditionalFormatting sqref="F211:F213 H211:H213">
    <cfRule type="containsText" dxfId="395" priority="121" operator="containsText" text="CRÍTICO">
      <formula>NOT(ISERROR(SEARCH("CRÍTICO",F211)))</formula>
    </cfRule>
    <cfRule type="containsText" dxfId="394" priority="122" operator="containsText" text="INSATISFATÓRIO">
      <formula>NOT(ISERROR(SEARCH("INSATISFATÓRIO",F211)))</formula>
    </cfRule>
    <cfRule type="containsText" dxfId="393" priority="123" operator="containsText" text="DESEJÁVEL">
      <formula>NOT(ISERROR(SEARCH("DESEJÁVEL",F211)))</formula>
    </cfRule>
    <cfRule type="containsText" dxfId="392" priority="124" operator="containsText" text="SATISFATÓRIO">
      <formula>NOT(ISERROR(SEARCH("SATISFATÓRIO",F211)))</formula>
    </cfRule>
  </conditionalFormatting>
  <conditionalFormatting sqref="L211:L213">
    <cfRule type="containsText" dxfId="391" priority="117" operator="containsText" text="CRÍTICO">
      <formula>NOT(ISERROR(SEARCH("CRÍTICO",L211)))</formula>
    </cfRule>
    <cfRule type="containsText" dxfId="390" priority="118" operator="containsText" text="INSATISFATÓRIO">
      <formula>NOT(ISERROR(SEARCH("INSATISFATÓRIO",L211)))</formula>
    </cfRule>
    <cfRule type="containsText" dxfId="389" priority="119" operator="containsText" text="DESEJÁVEL">
      <formula>NOT(ISERROR(SEARCH("DESEJÁVEL",L211)))</formula>
    </cfRule>
    <cfRule type="containsText" dxfId="388" priority="120" operator="containsText" text="SATISFATÓRIO">
      <formula>NOT(ISERROR(SEARCH("SATISFATÓRIO",L211)))</formula>
    </cfRule>
  </conditionalFormatting>
  <conditionalFormatting sqref="F218:F220 H218:H220">
    <cfRule type="containsText" dxfId="387" priority="113" operator="containsText" text="CRÍTICO">
      <formula>NOT(ISERROR(SEARCH("CRÍTICO",F218)))</formula>
    </cfRule>
    <cfRule type="containsText" dxfId="386" priority="114" operator="containsText" text="INSATISFATÓRIO">
      <formula>NOT(ISERROR(SEARCH("INSATISFATÓRIO",F218)))</formula>
    </cfRule>
    <cfRule type="containsText" dxfId="385" priority="115" operator="containsText" text="DESEJÁVEL">
      <formula>NOT(ISERROR(SEARCH("DESEJÁVEL",F218)))</formula>
    </cfRule>
    <cfRule type="containsText" dxfId="384" priority="116" operator="containsText" text="SATISFATÓRIO">
      <formula>NOT(ISERROR(SEARCH("SATISFATÓRIO",F218)))</formula>
    </cfRule>
  </conditionalFormatting>
  <conditionalFormatting sqref="L218:L220">
    <cfRule type="containsText" dxfId="383" priority="109" operator="containsText" text="CRÍTICO">
      <formula>NOT(ISERROR(SEARCH("CRÍTICO",L218)))</formula>
    </cfRule>
    <cfRule type="containsText" dxfId="382" priority="110" operator="containsText" text="INSATISFATÓRIO">
      <formula>NOT(ISERROR(SEARCH("INSATISFATÓRIO",L218)))</formula>
    </cfRule>
    <cfRule type="containsText" dxfId="381" priority="111" operator="containsText" text="DESEJÁVEL">
      <formula>NOT(ISERROR(SEARCH("DESEJÁVEL",L218)))</formula>
    </cfRule>
    <cfRule type="containsText" dxfId="380" priority="112" operator="containsText" text="SATISFATÓRIO">
      <formula>NOT(ISERROR(SEARCH("SATISFATÓRIO",L218)))</formula>
    </cfRule>
  </conditionalFormatting>
  <conditionalFormatting sqref="F225:F227 H225:H227">
    <cfRule type="containsText" dxfId="379" priority="105" operator="containsText" text="CRÍTICO">
      <formula>NOT(ISERROR(SEARCH("CRÍTICO",F225)))</formula>
    </cfRule>
    <cfRule type="containsText" dxfId="378" priority="106" operator="containsText" text="INSATISFATÓRIO">
      <formula>NOT(ISERROR(SEARCH("INSATISFATÓRIO",F225)))</formula>
    </cfRule>
    <cfRule type="containsText" dxfId="377" priority="107" operator="containsText" text="DESEJÁVEL">
      <formula>NOT(ISERROR(SEARCH("DESEJÁVEL",F225)))</formula>
    </cfRule>
    <cfRule type="containsText" dxfId="376" priority="108" operator="containsText" text="SATISFATÓRIO">
      <formula>NOT(ISERROR(SEARCH("SATISFATÓRIO",F225)))</formula>
    </cfRule>
  </conditionalFormatting>
  <conditionalFormatting sqref="F232:F234 H232:H234">
    <cfRule type="containsText" dxfId="375" priority="101" operator="containsText" text="CRÍTICO">
      <formula>NOT(ISERROR(SEARCH("CRÍTICO",F232)))</formula>
    </cfRule>
    <cfRule type="containsText" dxfId="374" priority="102" operator="containsText" text="INSATISFATÓRIO">
      <formula>NOT(ISERROR(SEARCH("INSATISFATÓRIO",F232)))</formula>
    </cfRule>
    <cfRule type="containsText" dxfId="373" priority="103" operator="containsText" text="DESEJÁVEL">
      <formula>NOT(ISERROR(SEARCH("DESEJÁVEL",F232)))</formula>
    </cfRule>
    <cfRule type="containsText" dxfId="372" priority="104" operator="containsText" text="SATISFATÓRIO">
      <formula>NOT(ISERROR(SEARCH("SATISFATÓRIO",F232)))</formula>
    </cfRule>
  </conditionalFormatting>
  <conditionalFormatting sqref="L232:L234">
    <cfRule type="containsText" dxfId="371" priority="97" operator="containsText" text="CRÍTICO">
      <formula>NOT(ISERROR(SEARCH("CRÍTICO",L232)))</formula>
    </cfRule>
    <cfRule type="containsText" dxfId="370" priority="98" operator="containsText" text="INSATISFATÓRIO">
      <formula>NOT(ISERROR(SEARCH("INSATISFATÓRIO",L232)))</formula>
    </cfRule>
    <cfRule type="containsText" dxfId="369" priority="99" operator="containsText" text="DESEJÁVEL">
      <formula>NOT(ISERROR(SEARCH("DESEJÁVEL",L232)))</formula>
    </cfRule>
    <cfRule type="containsText" dxfId="368" priority="100" operator="containsText" text="SATISFATÓRIO">
      <formula>NOT(ISERROR(SEARCH("SATISFATÓRIO",L232)))</formula>
    </cfRule>
  </conditionalFormatting>
  <conditionalFormatting sqref="F239:F241 H239:H241">
    <cfRule type="containsText" dxfId="367" priority="93" operator="containsText" text="CRÍTICO">
      <formula>NOT(ISERROR(SEARCH("CRÍTICO",F239)))</formula>
    </cfRule>
    <cfRule type="containsText" dxfId="366" priority="94" operator="containsText" text="INSATISFATÓRIO">
      <formula>NOT(ISERROR(SEARCH("INSATISFATÓRIO",F239)))</formula>
    </cfRule>
    <cfRule type="containsText" dxfId="365" priority="95" operator="containsText" text="DESEJÁVEL">
      <formula>NOT(ISERROR(SEARCH("DESEJÁVEL",F239)))</formula>
    </cfRule>
    <cfRule type="containsText" dxfId="364" priority="96" operator="containsText" text="SATISFATÓRIO">
      <formula>NOT(ISERROR(SEARCH("SATISFATÓRIO",F239)))</formula>
    </cfRule>
  </conditionalFormatting>
  <conditionalFormatting sqref="L239:L241">
    <cfRule type="containsText" dxfId="363" priority="89" operator="containsText" text="CRÍTICO">
      <formula>NOT(ISERROR(SEARCH("CRÍTICO",L239)))</formula>
    </cfRule>
    <cfRule type="containsText" dxfId="362" priority="90" operator="containsText" text="INSATISFATÓRIO">
      <formula>NOT(ISERROR(SEARCH("INSATISFATÓRIO",L239)))</formula>
    </cfRule>
    <cfRule type="containsText" dxfId="361" priority="91" operator="containsText" text="DESEJÁVEL">
      <formula>NOT(ISERROR(SEARCH("DESEJÁVEL",L239)))</formula>
    </cfRule>
    <cfRule type="containsText" dxfId="360" priority="92" operator="containsText" text="SATISFATÓRIO">
      <formula>NOT(ISERROR(SEARCH("SATISFATÓRIO",L239)))</formula>
    </cfRule>
  </conditionalFormatting>
  <conditionalFormatting sqref="F246:F248 H246:H248">
    <cfRule type="containsText" dxfId="359" priority="85" operator="containsText" text="CRÍTICO">
      <formula>NOT(ISERROR(SEARCH("CRÍTICO",F246)))</formula>
    </cfRule>
    <cfRule type="containsText" dxfId="358" priority="86" operator="containsText" text="INSATISFATÓRIO">
      <formula>NOT(ISERROR(SEARCH("INSATISFATÓRIO",F246)))</formula>
    </cfRule>
    <cfRule type="containsText" dxfId="357" priority="87" operator="containsText" text="DESEJÁVEL">
      <formula>NOT(ISERROR(SEARCH("DESEJÁVEL",F246)))</formula>
    </cfRule>
    <cfRule type="containsText" dxfId="356" priority="88" operator="containsText" text="SATISFATÓRIO">
      <formula>NOT(ISERROR(SEARCH("SATISFATÓRIO",F246)))</formula>
    </cfRule>
  </conditionalFormatting>
  <conditionalFormatting sqref="F253:F255 H253:H255">
    <cfRule type="containsText" dxfId="355" priority="81" operator="containsText" text="CRÍTICO">
      <formula>NOT(ISERROR(SEARCH("CRÍTICO",F253)))</formula>
    </cfRule>
    <cfRule type="containsText" dxfId="354" priority="82" operator="containsText" text="INSATISFATÓRIO">
      <formula>NOT(ISERROR(SEARCH("INSATISFATÓRIO",F253)))</formula>
    </cfRule>
    <cfRule type="containsText" dxfId="353" priority="83" operator="containsText" text="DESEJÁVEL">
      <formula>NOT(ISERROR(SEARCH("DESEJÁVEL",F253)))</formula>
    </cfRule>
    <cfRule type="containsText" dxfId="352" priority="84" operator="containsText" text="SATISFATÓRIO">
      <formula>NOT(ISERROR(SEARCH("SATISFATÓRIO",F253)))</formula>
    </cfRule>
  </conditionalFormatting>
  <conditionalFormatting sqref="L253:L255">
    <cfRule type="containsText" dxfId="351" priority="77" operator="containsText" text="CRÍTICO">
      <formula>NOT(ISERROR(SEARCH("CRÍTICO",L253)))</formula>
    </cfRule>
    <cfRule type="containsText" dxfId="350" priority="78" operator="containsText" text="INSATISFATÓRIO">
      <formula>NOT(ISERROR(SEARCH("INSATISFATÓRIO",L253)))</formula>
    </cfRule>
    <cfRule type="containsText" dxfId="349" priority="79" operator="containsText" text="DESEJÁVEL">
      <formula>NOT(ISERROR(SEARCH("DESEJÁVEL",L253)))</formula>
    </cfRule>
    <cfRule type="containsText" dxfId="348" priority="80" operator="containsText" text="SATISFATÓRIO">
      <formula>NOT(ISERROR(SEARCH("SATISFATÓRIO",L253)))</formula>
    </cfRule>
  </conditionalFormatting>
  <conditionalFormatting sqref="F260:F262 H260:H262">
    <cfRule type="containsText" dxfId="347" priority="73" operator="containsText" text="CRÍTICO">
      <formula>NOT(ISERROR(SEARCH("CRÍTICO",F260)))</formula>
    </cfRule>
    <cfRule type="containsText" dxfId="346" priority="74" operator="containsText" text="INSATISFATÓRIO">
      <formula>NOT(ISERROR(SEARCH("INSATISFATÓRIO",F260)))</formula>
    </cfRule>
    <cfRule type="containsText" dxfId="345" priority="75" operator="containsText" text="DESEJÁVEL">
      <formula>NOT(ISERROR(SEARCH("DESEJÁVEL",F260)))</formula>
    </cfRule>
    <cfRule type="containsText" dxfId="344" priority="76" operator="containsText" text="SATISFATÓRIO">
      <formula>NOT(ISERROR(SEARCH("SATISFATÓRIO",F260)))</formula>
    </cfRule>
  </conditionalFormatting>
  <conditionalFormatting sqref="F267:F269 H267:H269">
    <cfRule type="containsText" dxfId="343" priority="69" operator="containsText" text="CRÍTICO">
      <formula>NOT(ISERROR(SEARCH("CRÍTICO",F267)))</formula>
    </cfRule>
    <cfRule type="containsText" dxfId="342" priority="70" operator="containsText" text="INSATISFATÓRIO">
      <formula>NOT(ISERROR(SEARCH("INSATISFATÓRIO",F267)))</formula>
    </cfRule>
    <cfRule type="containsText" dxfId="341" priority="71" operator="containsText" text="DESEJÁVEL">
      <formula>NOT(ISERROR(SEARCH("DESEJÁVEL",F267)))</formula>
    </cfRule>
    <cfRule type="containsText" dxfId="340" priority="72" operator="containsText" text="SATISFATÓRIO">
      <formula>NOT(ISERROR(SEARCH("SATISFATÓRIO",F267)))</formula>
    </cfRule>
  </conditionalFormatting>
  <conditionalFormatting sqref="F274:F276 H274:H276">
    <cfRule type="containsText" dxfId="339" priority="65" operator="containsText" text="CRÍTICO">
      <formula>NOT(ISERROR(SEARCH("CRÍTICO",F274)))</formula>
    </cfRule>
    <cfRule type="containsText" dxfId="338" priority="66" operator="containsText" text="INSATISFATÓRIO">
      <formula>NOT(ISERROR(SEARCH("INSATISFATÓRIO",F274)))</formula>
    </cfRule>
    <cfRule type="containsText" dxfId="337" priority="67" operator="containsText" text="DESEJÁVEL">
      <formula>NOT(ISERROR(SEARCH("DESEJÁVEL",F274)))</formula>
    </cfRule>
    <cfRule type="containsText" dxfId="336" priority="68" operator="containsText" text="SATISFATÓRIO">
      <formula>NOT(ISERROR(SEARCH("SATISFATÓRIO",F274)))</formula>
    </cfRule>
  </conditionalFormatting>
  <conditionalFormatting sqref="F281:F283 H281:H283">
    <cfRule type="containsText" dxfId="335" priority="61" operator="containsText" text="CRÍTICO">
      <formula>NOT(ISERROR(SEARCH("CRÍTICO",F281)))</formula>
    </cfRule>
    <cfRule type="containsText" dxfId="334" priority="62" operator="containsText" text="INSATISFATÓRIO">
      <formula>NOT(ISERROR(SEARCH("INSATISFATÓRIO",F281)))</formula>
    </cfRule>
    <cfRule type="containsText" dxfId="333" priority="63" operator="containsText" text="DESEJÁVEL">
      <formula>NOT(ISERROR(SEARCH("DESEJÁVEL",F281)))</formula>
    </cfRule>
    <cfRule type="containsText" dxfId="332" priority="64" operator="containsText" text="SATISFATÓRIO">
      <formula>NOT(ISERROR(SEARCH("SATISFATÓRIO",F281)))</formula>
    </cfRule>
  </conditionalFormatting>
  <conditionalFormatting sqref="F64:F66 H64:H66">
    <cfRule type="containsText" dxfId="331" priority="57" operator="containsText" text="CRÍTICO">
      <formula>NOT(ISERROR(SEARCH("CRÍTICO",F64)))</formula>
    </cfRule>
    <cfRule type="containsText" dxfId="330" priority="58" operator="containsText" text="INSATISFATÓRIO">
      <formula>NOT(ISERROR(SEARCH("INSATISFATÓRIO",F64)))</formula>
    </cfRule>
    <cfRule type="containsText" dxfId="329" priority="59" operator="containsText" text="DESEJÁVEL">
      <formula>NOT(ISERROR(SEARCH("DESEJÁVEL",F64)))</formula>
    </cfRule>
    <cfRule type="containsText" dxfId="328" priority="60" operator="containsText" text="SATISFATÓRIO">
      <formula>NOT(ISERROR(SEARCH("SATISFATÓRIO",F64)))</formula>
    </cfRule>
  </conditionalFormatting>
  <conditionalFormatting sqref="L64:L66">
    <cfRule type="containsText" dxfId="327" priority="53" operator="containsText" text="CRÍTICO">
      <formula>NOT(ISERROR(SEARCH("CRÍTICO",L64)))</formula>
    </cfRule>
    <cfRule type="containsText" dxfId="326" priority="54" operator="containsText" text="INSATISFATÓRIO">
      <formula>NOT(ISERROR(SEARCH("INSATISFATÓRIO",L64)))</formula>
    </cfRule>
    <cfRule type="containsText" dxfId="325" priority="55" operator="containsText" text="DESEJÁVEL">
      <formula>NOT(ISERROR(SEARCH("DESEJÁVEL",L64)))</formula>
    </cfRule>
    <cfRule type="containsText" dxfId="324" priority="56" operator="containsText" text="SATISFATÓRIO">
      <formula>NOT(ISERROR(SEARCH("SATISFATÓRIO",L64)))</formula>
    </cfRule>
  </conditionalFormatting>
  <conditionalFormatting sqref="F36:F38 H36:H38">
    <cfRule type="containsText" dxfId="323" priority="49" operator="containsText" text="CRÍTICO">
      <formula>NOT(ISERROR(SEARCH("CRÍTICO",F36)))</formula>
    </cfRule>
    <cfRule type="containsText" dxfId="322" priority="50" operator="containsText" text="INSATISFATÓRIO">
      <formula>NOT(ISERROR(SEARCH("INSATISFATÓRIO",F36)))</formula>
    </cfRule>
    <cfRule type="containsText" dxfId="321" priority="51" operator="containsText" text="DESEJÁVEL">
      <formula>NOT(ISERROR(SEARCH("DESEJÁVEL",F36)))</formula>
    </cfRule>
    <cfRule type="containsText" dxfId="320" priority="52" operator="containsText" text="SATISFATÓRIO">
      <formula>NOT(ISERROR(SEARCH("SATISFATÓRIO",F36)))</formula>
    </cfRule>
  </conditionalFormatting>
  <conditionalFormatting sqref="L36:L38">
    <cfRule type="containsText" dxfId="319" priority="45" operator="containsText" text="CRÍTICO">
      <formula>NOT(ISERROR(SEARCH("CRÍTICO",L36)))</formula>
    </cfRule>
    <cfRule type="containsText" dxfId="318" priority="46" operator="containsText" text="INSATISFATÓRIO">
      <formula>NOT(ISERROR(SEARCH("INSATISFATÓRIO",L36)))</formula>
    </cfRule>
    <cfRule type="containsText" dxfId="317" priority="47" operator="containsText" text="DESEJÁVEL">
      <formula>NOT(ISERROR(SEARCH("DESEJÁVEL",L36)))</formula>
    </cfRule>
    <cfRule type="containsText" dxfId="316" priority="48" operator="containsText" text="SATISFATÓRIO">
      <formula>NOT(ISERROR(SEARCH("SATISFATÓRIO",L36)))</formula>
    </cfRule>
  </conditionalFormatting>
  <conditionalFormatting sqref="G36">
    <cfRule type="containsText" dxfId="315" priority="41" operator="containsText" text="CRÍTICO">
      <formula>NOT(ISERROR(SEARCH("CRÍTICO",G36)))</formula>
    </cfRule>
    <cfRule type="containsText" dxfId="314" priority="42" operator="containsText" text="INSATISFATÓRIO">
      <formula>NOT(ISERROR(SEARCH("INSATISFATÓRIO",G36)))</formula>
    </cfRule>
    <cfRule type="containsText" dxfId="313" priority="43" operator="containsText" text="DESEJÁVEL">
      <formula>NOT(ISERROR(SEARCH("DESEJÁVEL",G36)))</formula>
    </cfRule>
    <cfRule type="containsText" dxfId="312" priority="44" operator="containsText" text="SATISFATÓRIO">
      <formula>NOT(ISERROR(SEARCH("SATISFATÓRIO",G36)))</formula>
    </cfRule>
  </conditionalFormatting>
  <conditionalFormatting sqref="G64">
    <cfRule type="containsText" dxfId="311" priority="37" operator="containsText" text="CRÍTICO">
      <formula>NOT(ISERROR(SEARCH("CRÍTICO",G64)))</formula>
    </cfRule>
    <cfRule type="containsText" dxfId="310" priority="38" operator="containsText" text="INSATISFATÓRIO">
      <formula>NOT(ISERROR(SEARCH("INSATISFATÓRIO",G64)))</formula>
    </cfRule>
    <cfRule type="containsText" dxfId="309" priority="39" operator="containsText" text="DESEJÁVEL">
      <formula>NOT(ISERROR(SEARCH("DESEJÁVEL",G64)))</formula>
    </cfRule>
    <cfRule type="containsText" dxfId="308" priority="40" operator="containsText" text="SATISFATÓRIO">
      <formula>NOT(ISERROR(SEARCH("SATISFATÓRIO",G64)))</formula>
    </cfRule>
  </conditionalFormatting>
  <conditionalFormatting sqref="M106">
    <cfRule type="containsText" dxfId="307" priority="33" operator="containsText" text="CRÍTICO">
      <formula>NOT(ISERROR(SEARCH("CRÍTICO",M106)))</formula>
    </cfRule>
    <cfRule type="containsText" dxfId="306" priority="34" operator="containsText" text="INSATISFATÓRIO">
      <formula>NOT(ISERROR(SEARCH("INSATISFATÓRIO",M106)))</formula>
    </cfRule>
    <cfRule type="containsText" dxfId="305" priority="35" operator="containsText" text="DESEJÁVEL">
      <formula>NOT(ISERROR(SEARCH("DESEJÁVEL",M106)))</formula>
    </cfRule>
    <cfRule type="containsText" dxfId="304" priority="36" operator="containsText" text="SATISFATÓRIO">
      <formula>NOT(ISERROR(SEARCH("SATISFATÓRIO",M106)))</formula>
    </cfRule>
  </conditionalFormatting>
  <conditionalFormatting sqref="M225">
    <cfRule type="containsText" dxfId="303" priority="29" operator="containsText" text="CRÍTICO">
      <formula>NOT(ISERROR(SEARCH("CRÍTICO",M225)))</formula>
    </cfRule>
    <cfRule type="containsText" dxfId="302" priority="30" operator="containsText" text="INSATISFATÓRIO">
      <formula>NOT(ISERROR(SEARCH("INSATISFATÓRIO",M225)))</formula>
    </cfRule>
    <cfRule type="containsText" dxfId="301" priority="31" operator="containsText" text="DESEJÁVEL">
      <formula>NOT(ISERROR(SEARCH("DESEJÁVEL",M225)))</formula>
    </cfRule>
    <cfRule type="containsText" dxfId="300" priority="32" operator="containsText" text="SATISFATÓRIO">
      <formula>NOT(ISERROR(SEARCH("SATISFATÓRIO",M225)))</formula>
    </cfRule>
  </conditionalFormatting>
  <conditionalFormatting sqref="M246">
    <cfRule type="containsText" dxfId="299" priority="25" operator="containsText" text="CRÍTICO">
      <formula>NOT(ISERROR(SEARCH("CRÍTICO",M246)))</formula>
    </cfRule>
    <cfRule type="containsText" dxfId="298" priority="26" operator="containsText" text="INSATISFATÓRIO">
      <formula>NOT(ISERROR(SEARCH("INSATISFATÓRIO",M246)))</formula>
    </cfRule>
    <cfRule type="containsText" dxfId="297" priority="27" operator="containsText" text="DESEJÁVEL">
      <formula>NOT(ISERROR(SEARCH("DESEJÁVEL",M246)))</formula>
    </cfRule>
    <cfRule type="containsText" dxfId="296" priority="28" operator="containsText" text="SATISFATÓRIO">
      <formula>NOT(ISERROR(SEARCH("SATISFATÓRIO",M246)))</formula>
    </cfRule>
  </conditionalFormatting>
  <conditionalFormatting sqref="M260">
    <cfRule type="containsText" dxfId="295" priority="21" operator="containsText" text="CRÍTICO">
      <formula>NOT(ISERROR(SEARCH("CRÍTICO",M260)))</formula>
    </cfRule>
    <cfRule type="containsText" dxfId="294" priority="22" operator="containsText" text="INSATISFATÓRIO">
      <formula>NOT(ISERROR(SEARCH("INSATISFATÓRIO",M260)))</formula>
    </cfRule>
    <cfRule type="containsText" dxfId="293" priority="23" operator="containsText" text="DESEJÁVEL">
      <formula>NOT(ISERROR(SEARCH("DESEJÁVEL",M260)))</formula>
    </cfRule>
    <cfRule type="containsText" dxfId="292" priority="24" operator="containsText" text="SATISFATÓRIO">
      <formula>NOT(ISERROR(SEARCH("SATISFATÓRIO",M260)))</formula>
    </cfRule>
  </conditionalFormatting>
  <conditionalFormatting sqref="M267">
    <cfRule type="containsText" dxfId="291" priority="17" operator="containsText" text="CRÍTICO">
      <formula>NOT(ISERROR(SEARCH("CRÍTICO",M267)))</formula>
    </cfRule>
    <cfRule type="containsText" dxfId="290" priority="18" operator="containsText" text="INSATISFATÓRIO">
      <formula>NOT(ISERROR(SEARCH("INSATISFATÓRIO",M267)))</formula>
    </cfRule>
    <cfRule type="containsText" dxfId="289" priority="19" operator="containsText" text="DESEJÁVEL">
      <formula>NOT(ISERROR(SEARCH("DESEJÁVEL",M267)))</formula>
    </cfRule>
    <cfRule type="containsText" dxfId="288" priority="20" operator="containsText" text="SATISFATÓRIO">
      <formula>NOT(ISERROR(SEARCH("SATISFATÓRIO",M267)))</formula>
    </cfRule>
  </conditionalFormatting>
  <conditionalFormatting sqref="M274">
    <cfRule type="containsText" dxfId="287" priority="13" operator="containsText" text="CRÍTICO">
      <formula>NOT(ISERROR(SEARCH("CRÍTICO",M274)))</formula>
    </cfRule>
    <cfRule type="containsText" dxfId="286" priority="14" operator="containsText" text="INSATISFATÓRIO">
      <formula>NOT(ISERROR(SEARCH("INSATISFATÓRIO",M274)))</formula>
    </cfRule>
    <cfRule type="containsText" dxfId="285" priority="15" operator="containsText" text="DESEJÁVEL">
      <formula>NOT(ISERROR(SEARCH("DESEJÁVEL",M274)))</formula>
    </cfRule>
    <cfRule type="containsText" dxfId="284" priority="16" operator="containsText" text="SATISFATÓRIO">
      <formula>NOT(ISERROR(SEARCH("SATISFATÓRIO",M274)))</formula>
    </cfRule>
  </conditionalFormatting>
  <conditionalFormatting sqref="M281">
    <cfRule type="containsText" dxfId="283" priority="9" operator="containsText" text="CRÍTICO">
      <formula>NOT(ISERROR(SEARCH("CRÍTICO",M281)))</formula>
    </cfRule>
    <cfRule type="containsText" dxfId="282" priority="10" operator="containsText" text="INSATISFATÓRIO">
      <formula>NOT(ISERROR(SEARCH("INSATISFATÓRIO",M281)))</formula>
    </cfRule>
    <cfRule type="containsText" dxfId="281" priority="11" operator="containsText" text="DESEJÁVEL">
      <formula>NOT(ISERROR(SEARCH("DESEJÁVEL",M281)))</formula>
    </cfRule>
    <cfRule type="containsText" dxfId="280" priority="12" operator="containsText" text="SATISFATÓRIO">
      <formula>NOT(ISERROR(SEARCH("SATISFATÓRIO",M281)))</formula>
    </cfRule>
  </conditionalFormatting>
  <conditionalFormatting sqref="G274 M253 G267 G260 G253 M239 M232 G246 G239 G232 G225 M218 G218 M211 G211 M204 G204 M197 G197 M190 M183 M176 M169 G190 G183 G176 G169 M141 M148 M155 M162 G162 G155 G148 G141 M134 G134 M127 G127 M120 G120 M113 G113 M85 M92 M99 G106 G99 G92 G85 M78 G78 M71 G71 M64 M57 G57 M50 G50 M43 G43 M36 M29 M22 M15 G29 G22">
    <cfRule type="containsText" dxfId="279" priority="5" operator="containsText" text="CRÍTICO">
      <formula>NOT(ISERROR(SEARCH("CRÍTICO",G15)))</formula>
    </cfRule>
    <cfRule type="containsText" dxfId="278" priority="6" operator="containsText" text="INSATISFATÓRIO">
      <formula>NOT(ISERROR(SEARCH("INSATISFATÓRIO",G15)))</formula>
    </cfRule>
    <cfRule type="containsText" dxfId="277" priority="7" operator="containsText" text="DESEJÁVEL">
      <formula>NOT(ISERROR(SEARCH("DESEJÁVEL",G15)))</formula>
    </cfRule>
    <cfRule type="containsText" dxfId="276" priority="8" operator="containsText" text="SATISFATÓRIO">
      <formula>NOT(ISERROR(SEARCH("SATISFATÓRIO",G15)))</formula>
    </cfRule>
  </conditionalFormatting>
  <conditionalFormatting sqref="G281">
    <cfRule type="containsText" dxfId="275" priority="1" operator="containsText" text="CRÍTICO">
      <formula>NOT(ISERROR(SEARCH("CRÍTICO",G281)))</formula>
    </cfRule>
    <cfRule type="containsText" dxfId="274" priority="2" operator="containsText" text="INSATISFATÓRIO">
      <formula>NOT(ISERROR(SEARCH("INSATISFATÓRIO",G281)))</formula>
    </cfRule>
    <cfRule type="containsText" dxfId="273" priority="3" operator="containsText" text="DESEJÁVEL">
      <formula>NOT(ISERROR(SEARCH("DESEJÁVEL",G281)))</formula>
    </cfRule>
    <cfRule type="containsText" dxfId="272" priority="4" operator="containsText" text="SATISFATÓRIO">
      <formula>NOT(ISERROR(SEARCH("SATISFATÓRIO",G281)))</formula>
    </cfRule>
  </conditionalFormatting>
  <pageMargins left="0.511811024" right="0.511811024" top="0.78740157499999996" bottom="0.78740157499999996" header="0.31496062000000002" footer="0.31496062000000002"/>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2"/>
  <dimension ref="A1:AS308"/>
  <sheetViews>
    <sheetView workbookViewId="0"/>
  </sheetViews>
  <sheetFormatPr defaultColWidth="0" defaultRowHeight="15" x14ac:dyDescent="0.25"/>
  <cols>
    <col min="1" max="29" width="9.140625" customWidth="1"/>
    <col min="30" max="45" width="0" hidden="1" customWidth="1"/>
    <col min="46" max="16384" width="9.140625" hidden="1"/>
  </cols>
  <sheetData>
    <row r="1" spans="1:45"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row>
    <row r="2" spans="1:45"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row>
    <row r="3" spans="1:45"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row>
    <row r="4" spans="1:45"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row>
    <row r="5" spans="1:45"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row>
    <row r="6" spans="1:45"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row>
    <row r="7" spans="1:45"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row>
    <row r="8" spans="1:45" x14ac:dyDescent="0.2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row>
    <row r="9" spans="1:45" x14ac:dyDescent="0.2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row>
    <row r="10" spans="1:4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row>
    <row r="11" spans="1:45" s="425" customFormat="1"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row>
    <row r="12" spans="1:45" s="425" customFormat="1"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row>
    <row r="13" spans="1:45" s="425" customFormat="1" x14ac:dyDescent="0.2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row>
    <row r="14" spans="1:45" s="425" customFormat="1"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row>
    <row r="15" spans="1:45" s="425" customFormat="1"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row>
    <row r="16" spans="1:45" s="425" customFormat="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row>
    <row r="17" spans="1:45" s="425" customFormat="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row>
    <row r="18" spans="1:45" s="425" customFormat="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row>
    <row r="19" spans="1:45" s="425" customForma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row>
    <row r="20" spans="1:45" s="425" customForma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row>
    <row r="21" spans="1:45" s="425" customForma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row>
    <row r="22" spans="1:45" s="425" customForma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row>
    <row r="23" spans="1:45" s="425" customForma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row>
    <row r="24" spans="1:45" s="425" customForma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row>
    <row r="25" spans="1:45" s="425" customForma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row>
    <row r="26" spans="1:45" s="425" customForma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row>
    <row r="27" spans="1:45" s="425" customForma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row>
    <row r="28" spans="1:45" s="425" customForma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row>
    <row r="29" spans="1:45" s="425" customForma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row>
    <row r="30" spans="1:4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row>
    <row r="31" spans="1:4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row>
    <row r="32" spans="1:4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row>
    <row r="33" spans="1:4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row>
    <row r="34" spans="1:4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row>
    <row r="35" spans="1:4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row>
    <row r="36" spans="1:4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row>
    <row r="37" spans="1:4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row>
    <row r="38" spans="1:4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row>
    <row r="39" spans="1:4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row>
    <row r="40" spans="1:4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row>
    <row r="41" spans="1:4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row>
    <row r="42" spans="1:4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row>
    <row r="43" spans="1:4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row>
    <row r="44" spans="1:4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row>
    <row r="45" spans="1:4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row>
    <row r="46" spans="1:4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row>
    <row r="47" spans="1:4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row>
    <row r="48" spans="1:4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row>
    <row r="49" spans="1:4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row>
    <row r="50" spans="1:4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row>
    <row r="51" spans="1:4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row>
    <row r="52" spans="1:4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row>
    <row r="53" spans="1:4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row>
    <row r="54" spans="1:4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row>
    <row r="55" spans="1:4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row>
    <row r="56" spans="1:4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row>
    <row r="57" spans="1:4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row>
    <row r="58" spans="1:4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row>
    <row r="59" spans="1:4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row>
    <row r="60" spans="1:4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row>
    <row r="61" spans="1:4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row>
    <row r="62" spans="1:4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row>
    <row r="63" spans="1:4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row>
    <row r="64" spans="1:4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row>
    <row r="65" spans="1:4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row>
    <row r="66" spans="1:4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row>
    <row r="67" spans="1:4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row>
    <row r="68" spans="1:4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row>
    <row r="69" spans="1:4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row>
    <row r="70" spans="1:4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row>
    <row r="71" spans="1:4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row>
    <row r="72" spans="1:4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row>
    <row r="73" spans="1:4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row>
    <row r="74" spans="1:4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row>
    <row r="75" spans="1:4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row>
    <row r="76" spans="1:4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row>
    <row r="77" spans="1:4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row>
    <row r="78" spans="1:4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row>
    <row r="79" spans="1:4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row>
    <row r="80" spans="1:4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row>
    <row r="81" spans="1:4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row>
    <row r="82" spans="1:4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row>
    <row r="83" spans="1:4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row>
    <row r="84" spans="1:4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row>
    <row r="85" spans="1:4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row>
    <row r="86" spans="1:4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row>
    <row r="87" spans="1:4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row>
    <row r="88" spans="1:4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row>
    <row r="89" spans="1:4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row>
    <row r="90" spans="1:4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row>
    <row r="91" spans="1:4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row>
    <row r="92" spans="1:4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row>
    <row r="93" spans="1:4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row>
    <row r="94" spans="1:4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row>
    <row r="95" spans="1:4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row>
    <row r="96" spans="1:4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row>
    <row r="97" spans="1:4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row>
    <row r="98" spans="1:4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row>
    <row r="99" spans="1:4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row>
    <row r="100" spans="1:4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row>
    <row r="101" spans="1:4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row>
    <row r="102" spans="1:4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row>
    <row r="103" spans="1:4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row>
    <row r="104" spans="1:4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row>
    <row r="105" spans="1:4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row>
    <row r="106" spans="1:4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row>
    <row r="107" spans="1:4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row>
    <row r="108" spans="1:4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row>
    <row r="109" spans="1:4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row>
    <row r="110" spans="1:4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row>
    <row r="111" spans="1:4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row>
    <row r="112" spans="1:4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row>
    <row r="113" spans="1:4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row>
    <row r="114" spans="1:4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row>
    <row r="115" spans="1:4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row>
    <row r="116" spans="1:4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row>
    <row r="117" spans="1:4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row>
    <row r="118" spans="1:4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row>
    <row r="119" spans="1:4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row>
    <row r="120" spans="1:4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row>
    <row r="121" spans="1:4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row>
    <row r="122" spans="1:4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row>
    <row r="123" spans="1:4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row>
    <row r="124" spans="1:4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row>
    <row r="125" spans="1:4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row>
    <row r="126" spans="1:4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row>
    <row r="127" spans="1:4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row>
    <row r="128" spans="1:4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row>
    <row r="129" spans="1:4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row>
    <row r="130" spans="1:4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row>
    <row r="131" spans="1:4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row>
    <row r="132" spans="1:4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row>
    <row r="133" spans="1:4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row>
    <row r="134" spans="1:4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row>
    <row r="135" spans="1:4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row>
    <row r="136" spans="1:4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row>
    <row r="137" spans="1:4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row>
    <row r="138" spans="1:4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row>
    <row r="139" spans="1:4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row>
    <row r="140" spans="1:4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row>
    <row r="141" spans="1:4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row>
    <row r="142" spans="1:4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row>
    <row r="143" spans="1:4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row>
    <row r="144" spans="1:4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row>
    <row r="145" spans="1:4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row>
    <row r="146" spans="1:4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row>
    <row r="147" spans="1:4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row>
    <row r="148" spans="1:4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row>
    <row r="149" spans="1:4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row>
    <row r="150" spans="1:4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row>
    <row r="151" spans="1:4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row>
    <row r="152" spans="1:4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row>
    <row r="153" spans="1:4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row>
    <row r="154" spans="1:4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row>
    <row r="155" spans="1:4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row>
    <row r="156" spans="1:4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row>
    <row r="157" spans="1:4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row>
    <row r="158" spans="1:4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row>
    <row r="159" spans="1:4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row>
    <row r="160" spans="1:4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row>
    <row r="161" spans="1:4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row>
    <row r="162" spans="1:4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row>
    <row r="163" spans="1:4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row>
    <row r="164" spans="1:4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row>
    <row r="165" spans="1:4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row>
    <row r="166" spans="1:4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row>
    <row r="167" spans="1:4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row>
    <row r="168" spans="1:4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row>
    <row r="169" spans="1:4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row>
    <row r="170" spans="1:4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row>
    <row r="171" spans="1:4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row>
    <row r="172" spans="1:4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row>
    <row r="173" spans="1:4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row>
    <row r="174" spans="1:4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row>
    <row r="175" spans="1:4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row>
    <row r="176" spans="1:4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row>
    <row r="177" spans="1:4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row>
    <row r="178" spans="1:4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row>
    <row r="179" spans="1:4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row>
    <row r="180" spans="1:4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row>
    <row r="181" spans="1:4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row>
    <row r="182" spans="1:4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row>
    <row r="183" spans="1:4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row>
    <row r="184" spans="1:4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row>
    <row r="185" spans="1:4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row>
    <row r="186" spans="1:4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row>
    <row r="187" spans="1:4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row>
    <row r="188" spans="1:4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row>
    <row r="189" spans="1:4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row>
    <row r="190" spans="1:4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row>
    <row r="191" spans="1:4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row>
    <row r="192" spans="1:4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row>
    <row r="193" spans="1:4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row>
    <row r="194" spans="1:4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row>
    <row r="195" spans="1:4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row>
    <row r="196" spans="1:4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row>
    <row r="197" spans="1:4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row>
    <row r="198" spans="1:4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row>
    <row r="199" spans="1:4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row>
    <row r="200" spans="1:4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row>
    <row r="201" spans="1:4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row>
    <row r="202" spans="1:4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row>
    <row r="203" spans="1:4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row>
    <row r="204" spans="1:4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row>
    <row r="205" spans="1:4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row>
    <row r="206" spans="1:4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row>
    <row r="207" spans="1:4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row>
    <row r="208" spans="1:4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row>
    <row r="209" spans="1:4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row>
    <row r="210" spans="1:4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row>
    <row r="211" spans="1:4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row>
    <row r="212" spans="1:4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row>
    <row r="213" spans="1:4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row>
    <row r="214" spans="1:4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row>
    <row r="215" spans="1:4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row>
    <row r="216" spans="1:4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row>
    <row r="217" spans="1:4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row>
    <row r="218" spans="1:4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row>
    <row r="219" spans="1:4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row>
    <row r="220" spans="1:4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row>
    <row r="221" spans="1:4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row>
    <row r="222" spans="1:4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row>
    <row r="223" spans="1:4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row>
    <row r="224" spans="1:4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row>
    <row r="225" spans="1:4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row>
    <row r="226" spans="1:4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row>
    <row r="227" spans="1:4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row>
    <row r="228" spans="1:4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row>
    <row r="229" spans="1:4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row>
    <row r="230" spans="1:4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row>
    <row r="231" spans="1:4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row>
    <row r="232" spans="1:4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row>
    <row r="233" spans="1:4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row>
    <row r="234" spans="1:4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row>
    <row r="235" spans="1:4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row>
    <row r="236" spans="1:4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row>
    <row r="237" spans="1:4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row>
    <row r="238" spans="1:4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row>
    <row r="239" spans="1:4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row>
    <row r="240" spans="1:4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row>
    <row r="241" spans="1:4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row>
    <row r="242" spans="1:4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row>
    <row r="243" spans="1:4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row>
    <row r="244" spans="1:4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row>
    <row r="245" spans="1:4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row>
    <row r="246" spans="1:4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row>
    <row r="247" spans="1:4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row>
    <row r="248" spans="1:4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row>
    <row r="249" spans="1:4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row>
    <row r="250" spans="1:4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row>
    <row r="251" spans="1:4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row>
    <row r="252" spans="1:4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row>
    <row r="253" spans="1:4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row>
    <row r="254" spans="1:4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row>
    <row r="255" spans="1:4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row>
    <row r="256" spans="1:4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row>
    <row r="257" spans="1:4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row>
    <row r="258" spans="1:4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row>
    <row r="259" spans="1:4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row>
    <row r="260" spans="1:4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row>
    <row r="261" spans="1:4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row>
    <row r="262" spans="1:4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row>
    <row r="263" spans="1:4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row>
    <row r="264" spans="1:4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row>
    <row r="265" spans="1:4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row>
    <row r="266" spans="1:4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row>
    <row r="267" spans="1:4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row>
    <row r="268" spans="1:4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row>
    <row r="269" spans="1:4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row>
    <row r="270" spans="1:4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row>
    <row r="271" spans="1:4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row>
    <row r="272" spans="1:4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row>
    <row r="273" spans="1:4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row>
    <row r="274" spans="1:4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row>
    <row r="275" spans="1:4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row>
    <row r="276" spans="1:4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row>
    <row r="277" spans="1:4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row>
    <row r="278" spans="1:4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row>
    <row r="279" spans="1:4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row>
    <row r="280" spans="1:4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row>
    <row r="281" spans="1:4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row>
    <row r="282" spans="1:4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row>
    <row r="283" spans="1:4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row>
    <row r="284" spans="1:4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row>
    <row r="285" spans="1:4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row>
    <row r="286" spans="1:4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row>
    <row r="287" spans="1:4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row>
    <row r="288" spans="1:4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row>
    <row r="289" spans="1:4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row>
    <row r="290" spans="1:4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row>
    <row r="291" spans="1:4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row>
    <row r="292" spans="1:4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row>
    <row r="293" spans="1:4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row>
    <row r="294" spans="1:4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row>
    <row r="295" spans="1:4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row>
    <row r="296" spans="1:4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row>
    <row r="297" spans="1:4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row>
    <row r="298" spans="1:4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row>
    <row r="299" spans="1:4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row>
    <row r="300" spans="1:4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row>
    <row r="301" spans="1:4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row>
    <row r="302" spans="1:4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row>
    <row r="303" spans="1:4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row>
    <row r="304" spans="1:4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row>
    <row r="305" spans="1:4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row>
    <row r="306" spans="1:4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row>
    <row r="307" spans="1:4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row>
    <row r="308" spans="1:4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row>
  </sheetData>
  <pageMargins left="0.511811024" right="0.511811024" top="0.78740157499999996" bottom="0.78740157499999996" header="0.31496062000000002" footer="0.31496062000000002"/>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3"/>
  <dimension ref="A1:AS308"/>
  <sheetViews>
    <sheetView workbookViewId="0"/>
  </sheetViews>
  <sheetFormatPr defaultColWidth="0" defaultRowHeight="15" x14ac:dyDescent="0.25"/>
  <cols>
    <col min="1" max="29" width="9.140625" customWidth="1"/>
    <col min="30" max="45" width="0" hidden="1" customWidth="1"/>
    <col min="46" max="16384" width="9.140625" hidden="1"/>
  </cols>
  <sheetData>
    <row r="1" spans="1:45"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row>
    <row r="2" spans="1:45"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row>
    <row r="3" spans="1:45"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row>
    <row r="4" spans="1:45"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row>
    <row r="5" spans="1:45"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row>
    <row r="6" spans="1:45"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row>
    <row r="7" spans="1:45"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row>
    <row r="8" spans="1:45" x14ac:dyDescent="0.2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row>
    <row r="9" spans="1:45" x14ac:dyDescent="0.2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row>
    <row r="10" spans="1:4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row>
    <row r="11" spans="1:45" s="425" customFormat="1"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row>
    <row r="12" spans="1:45" s="425" customFormat="1"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row>
    <row r="13" spans="1:45" s="425" customFormat="1" x14ac:dyDescent="0.2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row>
    <row r="14" spans="1:45" s="425" customFormat="1"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row>
    <row r="15" spans="1:45" s="425" customFormat="1"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row>
    <row r="16" spans="1:45" s="425" customFormat="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row>
    <row r="17" spans="1:45" s="425" customFormat="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row>
    <row r="18" spans="1:45" s="425" customFormat="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row>
    <row r="19" spans="1:45" s="425" customForma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row>
    <row r="20" spans="1:45" s="425" customForma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row>
    <row r="21" spans="1:45" s="425" customForma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row>
    <row r="22" spans="1:45" s="425" customForma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row>
    <row r="23" spans="1:45" s="425" customForma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row>
    <row r="24" spans="1:45" s="425" customForma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row>
    <row r="25" spans="1:45" s="425" customForma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row>
    <row r="26" spans="1:45" s="425" customForma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row>
    <row r="27" spans="1:45" s="425" customForma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row>
    <row r="28" spans="1:45" s="425" customForma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row>
    <row r="29" spans="1:45" s="425" customForma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row>
    <row r="30" spans="1:4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row>
    <row r="31" spans="1:4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row>
    <row r="32" spans="1:4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row>
    <row r="33" spans="1:4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row>
    <row r="34" spans="1:4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row>
    <row r="35" spans="1:4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row>
    <row r="36" spans="1:4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row>
    <row r="37" spans="1:4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row>
    <row r="38" spans="1:4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row>
    <row r="39" spans="1:4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row>
    <row r="40" spans="1:4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row>
    <row r="41" spans="1:4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row>
    <row r="42" spans="1:4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row>
    <row r="43" spans="1:4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row>
    <row r="44" spans="1:4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row>
    <row r="45" spans="1:4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row>
    <row r="46" spans="1:4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row>
    <row r="47" spans="1:4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row>
    <row r="48" spans="1:4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row>
    <row r="49" spans="1:4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row>
    <row r="50" spans="1:4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row>
    <row r="51" spans="1:4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row>
    <row r="52" spans="1:4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row>
    <row r="53" spans="1:4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row>
    <row r="54" spans="1:4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row>
    <row r="55" spans="1:4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row>
    <row r="56" spans="1:4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row>
    <row r="57" spans="1:4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row>
    <row r="58" spans="1:4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row>
    <row r="59" spans="1:4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row>
    <row r="60" spans="1:4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row>
    <row r="61" spans="1:4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row>
    <row r="62" spans="1:4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row>
    <row r="63" spans="1:4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row>
    <row r="64" spans="1:4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row>
    <row r="65" spans="1:4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row>
    <row r="66" spans="1:4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row>
    <row r="67" spans="1:4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row>
    <row r="68" spans="1:4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row>
    <row r="69" spans="1:4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row>
    <row r="70" spans="1:4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row>
    <row r="71" spans="1:4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row>
    <row r="72" spans="1:4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row>
    <row r="73" spans="1:4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row>
    <row r="74" spans="1:4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row>
    <row r="75" spans="1:4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row>
    <row r="76" spans="1:4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row>
    <row r="77" spans="1:4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row>
    <row r="78" spans="1:4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row>
    <row r="79" spans="1:4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row>
    <row r="80" spans="1:4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row>
    <row r="81" spans="1:4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row>
    <row r="82" spans="1:4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row>
    <row r="83" spans="1:4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row>
    <row r="84" spans="1:4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row>
    <row r="85" spans="1:4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row>
    <row r="86" spans="1:4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row>
    <row r="87" spans="1:4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row>
    <row r="88" spans="1:4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row>
    <row r="89" spans="1:4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row>
    <row r="90" spans="1:4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row>
    <row r="91" spans="1:4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row>
    <row r="92" spans="1:4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row>
    <row r="93" spans="1:4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row>
    <row r="94" spans="1:4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row>
    <row r="95" spans="1:4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row>
    <row r="96" spans="1:4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row>
    <row r="97" spans="1:4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row>
    <row r="98" spans="1:4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row>
    <row r="99" spans="1:4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row>
    <row r="100" spans="1:4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row>
    <row r="101" spans="1:4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row>
    <row r="102" spans="1:4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row>
    <row r="103" spans="1:4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row>
    <row r="104" spans="1:4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row>
    <row r="105" spans="1:4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row>
    <row r="106" spans="1:4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row>
    <row r="107" spans="1:4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row>
    <row r="108" spans="1:4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row>
    <row r="109" spans="1:4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row>
    <row r="110" spans="1:4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row>
    <row r="111" spans="1:4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row>
    <row r="112" spans="1:4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row>
    <row r="113" spans="1:4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row>
    <row r="114" spans="1:4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row>
    <row r="115" spans="1:4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row>
    <row r="116" spans="1:4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row>
    <row r="117" spans="1:4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row>
    <row r="118" spans="1:4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row>
    <row r="119" spans="1:4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row>
    <row r="120" spans="1:4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row>
    <row r="121" spans="1:4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row>
    <row r="122" spans="1:4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row>
    <row r="123" spans="1:4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row>
    <row r="124" spans="1:4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row>
    <row r="125" spans="1:4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row>
    <row r="126" spans="1:4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row>
    <row r="127" spans="1:4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row>
    <row r="128" spans="1:4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row>
    <row r="129" spans="1:4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row>
    <row r="130" spans="1:4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row>
    <row r="131" spans="1:4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row>
    <row r="132" spans="1:4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row>
    <row r="133" spans="1:4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row>
    <row r="134" spans="1:4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row>
    <row r="135" spans="1:4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row>
    <row r="136" spans="1:4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row>
    <row r="137" spans="1:4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row>
    <row r="138" spans="1:4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row>
    <row r="139" spans="1:4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row>
    <row r="140" spans="1:4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row>
    <row r="141" spans="1:4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row>
    <row r="142" spans="1:4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row>
    <row r="143" spans="1:4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row>
    <row r="144" spans="1:4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row>
    <row r="145" spans="1:4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row>
    <row r="146" spans="1:4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row>
    <row r="147" spans="1:4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row>
    <row r="148" spans="1:4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row>
    <row r="149" spans="1:4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row>
    <row r="150" spans="1:4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row>
    <row r="151" spans="1:4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row>
    <row r="152" spans="1:4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row>
    <row r="153" spans="1:4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row>
    <row r="154" spans="1:4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row>
    <row r="155" spans="1:4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row>
    <row r="156" spans="1:4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row>
    <row r="157" spans="1:4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row>
    <row r="158" spans="1:4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row>
    <row r="159" spans="1:4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row>
    <row r="160" spans="1:4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row>
    <row r="161" spans="1:4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row>
    <row r="162" spans="1:4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row>
    <row r="163" spans="1:4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row>
    <row r="164" spans="1:4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row>
    <row r="165" spans="1:4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row>
    <row r="166" spans="1:4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row>
    <row r="167" spans="1:4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row>
    <row r="168" spans="1:4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row>
    <row r="169" spans="1:4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row>
    <row r="170" spans="1:4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row>
    <row r="171" spans="1:4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row>
    <row r="172" spans="1:4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row>
    <row r="173" spans="1:4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row>
    <row r="174" spans="1:4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row>
    <row r="175" spans="1:4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row>
    <row r="176" spans="1:4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row>
    <row r="177" spans="1:4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row>
    <row r="178" spans="1:4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row>
    <row r="179" spans="1:4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row>
    <row r="180" spans="1:4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row>
    <row r="181" spans="1:4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row>
    <row r="182" spans="1:4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row>
    <row r="183" spans="1:4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row>
    <row r="184" spans="1:4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row>
    <row r="185" spans="1:4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row>
    <row r="186" spans="1:4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row>
    <row r="187" spans="1:4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row>
    <row r="188" spans="1:4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row>
    <row r="189" spans="1:4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row>
    <row r="190" spans="1:4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row>
    <row r="191" spans="1:4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row>
    <row r="192" spans="1:4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row>
    <row r="193" spans="1:4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row>
    <row r="194" spans="1:4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row>
    <row r="195" spans="1:4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row>
    <row r="196" spans="1:4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row>
    <row r="197" spans="1:4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row>
    <row r="198" spans="1:4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row>
    <row r="199" spans="1:4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row>
    <row r="200" spans="1:4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row>
    <row r="201" spans="1:4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row>
    <row r="202" spans="1:4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row>
    <row r="203" spans="1:4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row>
    <row r="204" spans="1:4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row>
    <row r="205" spans="1:4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row>
    <row r="206" spans="1:4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row>
    <row r="207" spans="1:4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row>
    <row r="208" spans="1:4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row>
    <row r="209" spans="1:4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row>
    <row r="210" spans="1:4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row>
    <row r="211" spans="1:4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row>
    <row r="212" spans="1:4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row>
    <row r="213" spans="1:4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row>
    <row r="214" spans="1:4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row>
    <row r="215" spans="1:4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row>
    <row r="216" spans="1:4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row>
    <row r="217" spans="1:4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row>
    <row r="218" spans="1:4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row>
    <row r="219" spans="1:4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row>
    <row r="220" spans="1:4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row>
    <row r="221" spans="1:4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row>
    <row r="222" spans="1:4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row>
    <row r="223" spans="1:4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row>
    <row r="224" spans="1:4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row>
    <row r="225" spans="1:4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row>
    <row r="226" spans="1:4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row>
    <row r="227" spans="1:4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row>
    <row r="228" spans="1:4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row>
    <row r="229" spans="1:4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row>
    <row r="230" spans="1:4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row>
    <row r="231" spans="1:4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row>
    <row r="232" spans="1:4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row>
    <row r="233" spans="1:4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row>
    <row r="234" spans="1:4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row>
    <row r="235" spans="1:4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row>
    <row r="236" spans="1:4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row>
    <row r="237" spans="1:4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row>
    <row r="238" spans="1:4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row>
    <row r="239" spans="1:4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row>
    <row r="240" spans="1:4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row>
    <row r="241" spans="1:4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row>
    <row r="242" spans="1:4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row>
    <row r="243" spans="1:4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row>
    <row r="244" spans="1:4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row>
    <row r="245" spans="1:4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row>
    <row r="246" spans="1:4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row>
    <row r="247" spans="1:4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row>
    <row r="248" spans="1:4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row>
    <row r="249" spans="1:4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row>
    <row r="250" spans="1:4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row>
    <row r="251" spans="1:4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row>
    <row r="252" spans="1:4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row>
    <row r="253" spans="1:4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row>
    <row r="254" spans="1:4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row>
    <row r="255" spans="1:4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row>
    <row r="256" spans="1:4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row>
    <row r="257" spans="1:4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row>
    <row r="258" spans="1:4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row>
    <row r="259" spans="1:4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row>
    <row r="260" spans="1:4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row>
    <row r="261" spans="1:4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row>
    <row r="262" spans="1:4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row>
    <row r="263" spans="1:4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row>
    <row r="264" spans="1:4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row>
    <row r="265" spans="1:4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row>
    <row r="266" spans="1:4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row>
    <row r="267" spans="1:4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row>
    <row r="268" spans="1:4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row>
    <row r="269" spans="1:4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row>
    <row r="270" spans="1:4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row>
    <row r="271" spans="1:4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row>
    <row r="272" spans="1:4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row>
    <row r="273" spans="1:4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row>
    <row r="274" spans="1:4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row>
    <row r="275" spans="1:4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row>
    <row r="276" spans="1:4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row>
    <row r="277" spans="1:4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row>
    <row r="278" spans="1:4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row>
    <row r="279" spans="1:4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row>
    <row r="280" spans="1:4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row>
    <row r="281" spans="1:4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row>
    <row r="282" spans="1:4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row>
    <row r="283" spans="1:4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row>
    <row r="284" spans="1:4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row>
    <row r="285" spans="1:4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row>
    <row r="286" spans="1:4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row>
    <row r="287" spans="1:4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row>
    <row r="288" spans="1:4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row>
    <row r="289" spans="1:4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row>
    <row r="290" spans="1:4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row>
    <row r="291" spans="1:4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row>
    <row r="292" spans="1:4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row>
    <row r="293" spans="1:4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row>
    <row r="294" spans="1:4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row>
    <row r="295" spans="1:4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row>
    <row r="296" spans="1:4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row>
    <row r="297" spans="1:4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row>
    <row r="298" spans="1:4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row>
    <row r="299" spans="1:4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row>
    <row r="300" spans="1:4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row>
    <row r="301" spans="1:4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row>
    <row r="302" spans="1:4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row>
    <row r="303" spans="1:4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row>
    <row r="304" spans="1:4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row>
    <row r="305" spans="1:4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row>
    <row r="306" spans="1:4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row>
    <row r="307" spans="1:4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row>
    <row r="308" spans="1:4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row>
  </sheetData>
  <pageMargins left="0.511811024" right="0.511811024" top="0.78740157499999996" bottom="0.78740157499999996" header="0.31496062000000002" footer="0.31496062000000002"/>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4"/>
  <dimension ref="A10:F54"/>
  <sheetViews>
    <sheetView showGridLines="0" workbookViewId="0"/>
  </sheetViews>
  <sheetFormatPr defaultRowHeight="15" x14ac:dyDescent="0.25"/>
  <cols>
    <col min="1" max="1" width="62.42578125" style="1" customWidth="1"/>
    <col min="2" max="5" width="13.7109375" style="1" customWidth="1"/>
    <col min="6" max="6" width="7" style="1" customWidth="1"/>
    <col min="7" max="16384" width="9.140625" style="1"/>
  </cols>
  <sheetData>
    <row r="10" spans="1:6" x14ac:dyDescent="0.25">
      <c r="A10"/>
      <c r="B10"/>
      <c r="C10"/>
      <c r="D10"/>
      <c r="E10"/>
      <c r="F10"/>
    </row>
    <row r="11" spans="1:6" x14ac:dyDescent="0.25">
      <c r="A11"/>
      <c r="B11"/>
      <c r="C11"/>
      <c r="D11"/>
      <c r="E11"/>
      <c r="F11"/>
    </row>
    <row r="12" spans="1:6" x14ac:dyDescent="0.25">
      <c r="A12" s="710" t="str">
        <f>'[4]VD-CATEGORIAFUNCIONAL'!A3</f>
        <v>CATEGORIA FUNCIONAL</v>
      </c>
      <c r="B12" s="702">
        <f>'[4]VD-CATEGORIAFUNCIONAL'!B3</f>
        <v>2020</v>
      </c>
      <c r="C12" s="702"/>
      <c r="D12" s="702">
        <f>'[4]VD-CATEGORIAFUNCIONAL'!D3</f>
        <v>2017</v>
      </c>
      <c r="E12" s="702"/>
      <c r="F12"/>
    </row>
    <row r="13" spans="1:6" ht="24" customHeight="1" x14ac:dyDescent="0.25">
      <c r="A13" s="710"/>
      <c r="B13" s="426" t="str">
        <f>'[4]VD-CATEGORIAFUNCIONAL'!B4</f>
        <v>TOTAL</v>
      </c>
      <c r="C13" s="426" t="str">
        <f>'[4]VD-CATEGORIAFUNCIONAL'!C4</f>
        <v>%</v>
      </c>
      <c r="D13" s="426" t="str">
        <f>'[4]VD-CATEGORIAFUNCIONAL'!D4</f>
        <v>TOTAL</v>
      </c>
      <c r="E13" s="426" t="str">
        <f>'[4]VD-CATEGORIAFUNCIONAL'!E4</f>
        <v>%</v>
      </c>
      <c r="F13"/>
    </row>
    <row r="14" spans="1:6" x14ac:dyDescent="0.25">
      <c r="A14" s="428" t="str">
        <f>'[4]VD-CATEGORIAFUNCIONAL'!A5</f>
        <v>PGPE</v>
      </c>
      <c r="B14" s="59">
        <f>'[4]VD-CATEGORIAFUNCIONAL'!B5</f>
        <v>43</v>
      </c>
      <c r="C14" s="440">
        <f>'[4]VD-CATEGORIAFUNCIONAL'!C5</f>
        <v>0.22395833333333334</v>
      </c>
      <c r="D14" s="441">
        <f>'[4]VD-CATEGORIAFUNCIONAL'!D5</f>
        <v>52</v>
      </c>
      <c r="E14" s="440">
        <f>'[4]VD-CATEGORIAFUNCIONAL'!E5</f>
        <v>0.27225130890052357</v>
      </c>
      <c r="F14"/>
    </row>
    <row r="15" spans="1:6" x14ac:dyDescent="0.25">
      <c r="A15" s="428" t="str">
        <f>'[4]VD-CATEGORIAFUNCIONAL'!A6</f>
        <v>EXERCÍCIO DESCENTRALIZADO</v>
      </c>
      <c r="B15" s="59">
        <f>'[4]VD-CATEGORIAFUNCIONAL'!B6</f>
        <v>42</v>
      </c>
      <c r="C15" s="440">
        <f>'[4]VD-CATEGORIAFUNCIONAL'!C6</f>
        <v>0.21875</v>
      </c>
      <c r="D15" s="441">
        <f>'[4]VD-CATEGORIAFUNCIONAL'!D6</f>
        <v>46</v>
      </c>
      <c r="E15" s="440">
        <f>'[4]VD-CATEGORIAFUNCIONAL'!E6</f>
        <v>0.24083769633507854</v>
      </c>
      <c r="F15"/>
    </row>
    <row r="16" spans="1:6" x14ac:dyDescent="0.25">
      <c r="A16" s="428" t="str">
        <f>'[4]VD-CATEGORIAFUNCIONAL'!A7</f>
        <v>ANISTIADO</v>
      </c>
      <c r="B16" s="59">
        <f>'[4]VD-CATEGORIAFUNCIONAL'!B7</f>
        <v>25</v>
      </c>
      <c r="C16" s="440">
        <f>'[4]VD-CATEGORIAFUNCIONAL'!C7</f>
        <v>0.13020833333333334</v>
      </c>
      <c r="D16" s="441">
        <f>'[4]VD-CATEGORIAFUNCIONAL'!D7</f>
        <v>24</v>
      </c>
      <c r="E16" s="440">
        <f>'[4]VD-CATEGORIAFUNCIONAL'!E7</f>
        <v>0.1256544502617801</v>
      </c>
      <c r="F16"/>
    </row>
    <row r="17" spans="1:6" x14ac:dyDescent="0.25">
      <c r="A17" s="428" t="str">
        <f>'[4]VD-CATEGORIAFUNCIONAL'!A8</f>
        <v>REQUISITADO OUTROS ÓRGÃOS</v>
      </c>
      <c r="B17" s="59">
        <f>'[4]VD-CATEGORIAFUNCIONAL'!B8</f>
        <v>26</v>
      </c>
      <c r="C17" s="440">
        <f>'[4]VD-CATEGORIAFUNCIONAL'!C8</f>
        <v>0.13541666666666666</v>
      </c>
      <c r="D17" s="441">
        <f>'[4]VD-CATEGORIAFUNCIONAL'!D8</f>
        <v>25</v>
      </c>
      <c r="E17" s="440">
        <f>'[4]VD-CATEGORIAFUNCIONAL'!E8</f>
        <v>0.13089005235602094</v>
      </c>
      <c r="F17"/>
    </row>
    <row r="18" spans="1:6" x14ac:dyDescent="0.25">
      <c r="A18" s="428" t="str">
        <f>'[4]VD-CATEGORIAFUNCIONAL'!A9</f>
        <v>SEM VÍNCULO</v>
      </c>
      <c r="B18" s="59">
        <f>'[4]VD-CATEGORIAFUNCIONAL'!B9</f>
        <v>56</v>
      </c>
      <c r="C18" s="440">
        <f>'[4]VD-CATEGORIAFUNCIONAL'!C9</f>
        <v>0.29166666666666669</v>
      </c>
      <c r="D18" s="441">
        <f>'[4]VD-CATEGORIAFUNCIONAL'!D9</f>
        <v>44</v>
      </c>
      <c r="E18" s="440">
        <f>'[4]VD-CATEGORIAFUNCIONAL'!E9</f>
        <v>0.23036649214659685</v>
      </c>
      <c r="F18"/>
    </row>
    <row r="19" spans="1:6" x14ac:dyDescent="0.25">
      <c r="A19" s="82" t="str">
        <f>'[4]VD-CATEGORIAFUNCIONAL'!A10</f>
        <v>TOTAL</v>
      </c>
      <c r="B19" s="422">
        <f>'[4]VD-CATEGORIAFUNCIONAL'!B10</f>
        <v>192</v>
      </c>
      <c r="C19" s="436">
        <f>'[4]VD-CATEGORIAFUNCIONAL'!C10</f>
        <v>1</v>
      </c>
      <c r="D19" s="422">
        <f>'[4]VD-CATEGORIAFUNCIONAL'!D10</f>
        <v>191</v>
      </c>
      <c r="E19" s="436">
        <f>'[4]VD-CATEGORIAFUNCIONAL'!E10</f>
        <v>1</v>
      </c>
      <c r="F19"/>
    </row>
    <row r="20" spans="1:6" ht="5.25" customHeight="1" x14ac:dyDescent="0.25">
      <c r="A20"/>
      <c r="B20"/>
      <c r="C20"/>
      <c r="D20"/>
      <c r="E20"/>
      <c r="F20"/>
    </row>
    <row r="21" spans="1:6" ht="23.25" customHeight="1" x14ac:dyDescent="0.25">
      <c r="A21" s="442" t="str">
        <f>'[4]VD-CATEGORIAFUNCIONAL'!A12</f>
        <v>TOTAL DE SERVIDORES/EMPREGADOS EM EXERCÍCIO NO MME</v>
      </c>
      <c r="B21" s="701">
        <f>'[4]VD-CATEGORIAFUNCIONAL'!B12</f>
        <v>517</v>
      </c>
      <c r="C21" s="701"/>
      <c r="D21" s="701">
        <f>'[4]VD-CATEGORIAFUNCIONAL'!D12</f>
        <v>546</v>
      </c>
      <c r="E21" s="701"/>
      <c r="F21"/>
    </row>
    <row r="22" spans="1:6" ht="28.5" customHeight="1" x14ac:dyDescent="0.25">
      <c r="A22" s="442" t="str">
        <f>'[4]VD-CATEGORIAFUNCIONAL'!A13</f>
        <v>% DE PARTICIPAÇÃO DOS SERVIDORES/EMPREGADOS</v>
      </c>
      <c r="B22" s="709">
        <f>'[4]VD-CATEGORIAFUNCIONAL'!B13</f>
        <v>0.37137330754352033</v>
      </c>
      <c r="C22" s="709"/>
      <c r="D22" s="709">
        <f>'[4]VD-CATEGORIAFUNCIONAL'!D13</f>
        <v>0.3498168498168498</v>
      </c>
      <c r="E22" s="709"/>
      <c r="F22"/>
    </row>
    <row r="23" spans="1:6" x14ac:dyDescent="0.25">
      <c r="A23"/>
      <c r="B23"/>
      <c r="C23"/>
      <c r="D23"/>
      <c r="E23"/>
      <c r="F23"/>
    </row>
    <row r="24" spans="1:6" x14ac:dyDescent="0.25">
      <c r="A24"/>
      <c r="B24"/>
      <c r="C24"/>
      <c r="D24"/>
      <c r="E24"/>
      <c r="F24"/>
    </row>
    <row r="25" spans="1:6" x14ac:dyDescent="0.25">
      <c r="A25"/>
      <c r="B25"/>
      <c r="C25"/>
      <c r="D25"/>
      <c r="E25"/>
      <c r="F25"/>
    </row>
    <row r="26" spans="1:6" x14ac:dyDescent="0.25">
      <c r="A26"/>
      <c r="B26"/>
      <c r="C26"/>
      <c r="D26"/>
      <c r="E26"/>
      <c r="F26"/>
    </row>
    <row r="27" spans="1:6" x14ac:dyDescent="0.25">
      <c r="A27"/>
      <c r="B27"/>
      <c r="C27"/>
      <c r="D27"/>
      <c r="E27"/>
      <c r="F27"/>
    </row>
    <row r="28" spans="1:6" x14ac:dyDescent="0.25">
      <c r="A28"/>
      <c r="B28"/>
      <c r="C28"/>
      <c r="D28"/>
      <c r="E28"/>
      <c r="F28"/>
    </row>
    <row r="29" spans="1:6" x14ac:dyDescent="0.25">
      <c r="A29"/>
      <c r="B29"/>
      <c r="C29"/>
      <c r="D29"/>
      <c r="E29"/>
      <c r="F29"/>
    </row>
    <row r="30" spans="1:6" x14ac:dyDescent="0.25">
      <c r="A30"/>
      <c r="B30"/>
      <c r="C30"/>
      <c r="D30"/>
      <c r="E30"/>
      <c r="F30"/>
    </row>
    <row r="31" spans="1:6" x14ac:dyDescent="0.25">
      <c r="A31"/>
      <c r="B31"/>
      <c r="C31"/>
      <c r="D31"/>
      <c r="E31"/>
      <c r="F31"/>
    </row>
    <row r="32" spans="1:6" x14ac:dyDescent="0.25">
      <c r="A32"/>
      <c r="B32"/>
      <c r="C32"/>
      <c r="D32"/>
      <c r="E32"/>
      <c r="F32"/>
    </row>
    <row r="33" spans="1:6" x14ac:dyDescent="0.25">
      <c r="A33"/>
      <c r="B33"/>
      <c r="C33"/>
      <c r="D33"/>
      <c r="E33"/>
      <c r="F33"/>
    </row>
    <row r="34" spans="1:6" x14ac:dyDescent="0.25">
      <c r="A34"/>
      <c r="B34"/>
      <c r="C34"/>
      <c r="D34"/>
      <c r="E34"/>
      <c r="F34"/>
    </row>
    <row r="35" spans="1:6" x14ac:dyDescent="0.25">
      <c r="A35"/>
      <c r="B35"/>
      <c r="C35"/>
      <c r="D35"/>
      <c r="E35"/>
      <c r="F35"/>
    </row>
    <row r="36" spans="1:6" x14ac:dyDescent="0.25">
      <c r="A36"/>
      <c r="B36"/>
      <c r="C36"/>
      <c r="D36"/>
      <c r="E36"/>
      <c r="F36"/>
    </row>
    <row r="37" spans="1:6" x14ac:dyDescent="0.25">
      <c r="A37"/>
      <c r="B37"/>
      <c r="C37"/>
      <c r="D37"/>
      <c r="E37"/>
      <c r="F37"/>
    </row>
    <row r="38" spans="1:6" x14ac:dyDescent="0.25">
      <c r="A38"/>
      <c r="B38"/>
      <c r="C38"/>
      <c r="D38"/>
      <c r="E38"/>
      <c r="F38"/>
    </row>
    <row r="39" spans="1:6" x14ac:dyDescent="0.25">
      <c r="A39"/>
      <c r="B39"/>
      <c r="C39"/>
      <c r="D39"/>
      <c r="E39"/>
      <c r="F39"/>
    </row>
    <row r="40" spans="1:6" x14ac:dyDescent="0.25">
      <c r="A40"/>
      <c r="B40"/>
      <c r="C40"/>
      <c r="D40"/>
      <c r="E40"/>
      <c r="F40"/>
    </row>
    <row r="41" spans="1:6" x14ac:dyDescent="0.25">
      <c r="A41"/>
      <c r="B41"/>
      <c r="C41"/>
      <c r="D41"/>
      <c r="E41"/>
      <c r="F41"/>
    </row>
    <row r="42" spans="1:6" x14ac:dyDescent="0.25">
      <c r="A42"/>
      <c r="B42"/>
      <c r="C42"/>
      <c r="D42"/>
      <c r="E42"/>
      <c r="F42"/>
    </row>
    <row r="43" spans="1:6" x14ac:dyDescent="0.25">
      <c r="A43"/>
      <c r="B43"/>
      <c r="C43"/>
      <c r="D43"/>
      <c r="E43"/>
      <c r="F43"/>
    </row>
    <row r="44" spans="1:6" x14ac:dyDescent="0.25">
      <c r="A44"/>
      <c r="B44"/>
      <c r="C44"/>
      <c r="D44"/>
      <c r="E44"/>
      <c r="F44"/>
    </row>
    <row r="45" spans="1:6" x14ac:dyDescent="0.25">
      <c r="A45"/>
      <c r="B45"/>
      <c r="C45"/>
      <c r="D45"/>
      <c r="E45"/>
      <c r="F45"/>
    </row>
    <row r="46" spans="1:6" x14ac:dyDescent="0.25">
      <c r="A46"/>
      <c r="B46"/>
      <c r="C46"/>
      <c r="D46"/>
      <c r="E46"/>
      <c r="F46"/>
    </row>
    <row r="47" spans="1:6" x14ac:dyDescent="0.25">
      <c r="A47"/>
      <c r="B47"/>
      <c r="C47"/>
      <c r="D47"/>
      <c r="E47"/>
      <c r="F47"/>
    </row>
    <row r="48" spans="1:6" x14ac:dyDescent="0.25">
      <c r="A48"/>
      <c r="B48"/>
      <c r="C48"/>
      <c r="D48"/>
      <c r="E48"/>
      <c r="F48"/>
    </row>
    <row r="49" spans="1:6" x14ac:dyDescent="0.25">
      <c r="A49"/>
      <c r="B49"/>
      <c r="C49"/>
      <c r="D49"/>
      <c r="E49"/>
      <c r="F49"/>
    </row>
    <row r="50" spans="1:6" x14ac:dyDescent="0.25">
      <c r="A50"/>
      <c r="B50"/>
      <c r="C50"/>
      <c r="D50"/>
      <c r="E50"/>
      <c r="F50"/>
    </row>
    <row r="51" spans="1:6" x14ac:dyDescent="0.25">
      <c r="A51"/>
      <c r="B51"/>
      <c r="C51"/>
      <c r="D51"/>
      <c r="E51"/>
      <c r="F51"/>
    </row>
    <row r="52" spans="1:6" x14ac:dyDescent="0.25">
      <c r="A52"/>
      <c r="B52"/>
      <c r="C52"/>
      <c r="D52"/>
      <c r="E52"/>
      <c r="F52"/>
    </row>
    <row r="53" spans="1:6" x14ac:dyDescent="0.25">
      <c r="A53"/>
      <c r="B53"/>
      <c r="C53"/>
      <c r="D53"/>
      <c r="E53"/>
      <c r="F53"/>
    </row>
    <row r="54" spans="1:6" x14ac:dyDescent="0.25">
      <c r="A54"/>
      <c r="B54"/>
      <c r="C54"/>
      <c r="D54"/>
      <c r="E54"/>
      <c r="F54"/>
    </row>
  </sheetData>
  <mergeCells count="7">
    <mergeCell ref="B22:C22"/>
    <mergeCell ref="D22:E22"/>
    <mergeCell ref="A12:A13"/>
    <mergeCell ref="B12:C12"/>
    <mergeCell ref="D12:E12"/>
    <mergeCell ref="B21:C21"/>
    <mergeCell ref="D21:E21"/>
  </mergeCells>
  <pageMargins left="0.511811024" right="0.511811024" top="0.78740157499999996" bottom="0.78740157499999996" header="0.31496062000000002" footer="0.31496062000000002"/>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5"/>
  <dimension ref="A10:F51"/>
  <sheetViews>
    <sheetView showGridLines="0" workbookViewId="0">
      <selection activeCell="A7" sqref="A7"/>
    </sheetView>
  </sheetViews>
  <sheetFormatPr defaultRowHeight="15" x14ac:dyDescent="0.25"/>
  <cols>
    <col min="1" max="1" width="62.42578125" style="1" customWidth="1"/>
    <col min="2" max="5" width="13.7109375" style="1" customWidth="1"/>
    <col min="6" max="16384" width="9.140625" style="1"/>
  </cols>
  <sheetData>
    <row r="10" spans="1:6" x14ac:dyDescent="0.25">
      <c r="A10" s="425"/>
      <c r="B10" s="425"/>
      <c r="C10" s="425"/>
      <c r="D10" s="425"/>
      <c r="E10" s="425"/>
      <c r="F10" s="425"/>
    </row>
    <row r="11" spans="1:6" x14ac:dyDescent="0.25">
      <c r="A11" s="425"/>
      <c r="B11" s="425"/>
      <c r="C11" s="425"/>
      <c r="D11" s="425"/>
      <c r="E11" s="425"/>
      <c r="F11" s="425"/>
    </row>
    <row r="12" spans="1:6" x14ac:dyDescent="0.25">
      <c r="A12" s="710" t="str">
        <f>'[4]VD-TEMPODESERVIÇO'!A3</f>
        <v>TEMPO DE SERVIÇO</v>
      </c>
      <c r="B12" s="711">
        <f>'[4]VD-TEMPODESERVIÇO'!B3</f>
        <v>2020</v>
      </c>
      <c r="C12" s="712"/>
      <c r="D12" s="711">
        <f>'[4]VD-TEMPODESERVIÇO'!D3</f>
        <v>2017</v>
      </c>
      <c r="E12" s="712"/>
      <c r="F12" s="425"/>
    </row>
    <row r="13" spans="1:6" ht="27.75" customHeight="1" x14ac:dyDescent="0.25">
      <c r="A13" s="710"/>
      <c r="B13" s="426" t="str">
        <f>'[4]VD-TEMPODESERVIÇO'!B4</f>
        <v>TOTAL</v>
      </c>
      <c r="C13" s="426" t="str">
        <f>'[4]VD-TEMPODESERVIÇO'!C4</f>
        <v>%</v>
      </c>
      <c r="D13" s="426" t="str">
        <f>'[4]VD-TEMPODESERVIÇO'!D4</f>
        <v>TOTAL</v>
      </c>
      <c r="E13" s="426" t="str">
        <f>'[4]VD-TEMPODESERVIÇO'!E4</f>
        <v>%</v>
      </c>
      <c r="F13" s="425"/>
    </row>
    <row r="14" spans="1:6" x14ac:dyDescent="0.25">
      <c r="A14" s="447" t="str">
        <f>'[4]VD-TEMPODESERVIÇO'!A5</f>
        <v>menos de 1 ano</v>
      </c>
      <c r="B14" s="149">
        <f>'[4]VD-TEMPODESERVIÇO'!B5</f>
        <v>8</v>
      </c>
      <c r="C14" s="448">
        <f>'[4]VD-TEMPODESERVIÇO'!C5</f>
        <v>4.1666666666666664E-2</v>
      </c>
      <c r="D14" s="449">
        <f>'[4]VD-TEMPODESERVIÇO'!D5</f>
        <v>11</v>
      </c>
      <c r="E14" s="448">
        <f>'[4]VD-TEMPODESERVIÇO'!E5</f>
        <v>5.8201058201058198E-2</v>
      </c>
      <c r="F14" s="425"/>
    </row>
    <row r="15" spans="1:6" x14ac:dyDescent="0.25">
      <c r="A15" s="443" t="str">
        <f>'[4]VD-TEMPODESERVIÇO'!A6</f>
        <v>de 1 a 3 anos</v>
      </c>
      <c r="B15" s="149">
        <f>'[4]VD-TEMPODESERVIÇO'!B6</f>
        <v>26</v>
      </c>
      <c r="C15" s="448">
        <f>'[4]VD-TEMPODESERVIÇO'!C6</f>
        <v>0.13541666666666666</v>
      </c>
      <c r="D15" s="449">
        <f>'[4]VD-TEMPODESERVIÇO'!D6</f>
        <v>16</v>
      </c>
      <c r="E15" s="448">
        <f>'[4]VD-TEMPODESERVIÇO'!E6</f>
        <v>8.4656084656084651E-2</v>
      </c>
      <c r="F15" s="425"/>
    </row>
    <row r="16" spans="1:6" x14ac:dyDescent="0.25">
      <c r="A16" s="443" t="str">
        <f>'[4]VD-TEMPODESERVIÇO'!A7</f>
        <v>de 4 a 9 anos</v>
      </c>
      <c r="B16" s="149">
        <f>'[4]VD-TEMPODESERVIÇO'!B7</f>
        <v>27</v>
      </c>
      <c r="C16" s="448">
        <f>'[4]VD-TEMPODESERVIÇO'!C7</f>
        <v>0.140625</v>
      </c>
      <c r="D16" s="449">
        <f>'[4]VD-TEMPODESERVIÇO'!D7</f>
        <v>64</v>
      </c>
      <c r="E16" s="448">
        <f>'[4]VD-TEMPODESERVIÇO'!E7</f>
        <v>0.33862433862433861</v>
      </c>
      <c r="F16" s="425"/>
    </row>
    <row r="17" spans="1:6" x14ac:dyDescent="0.25">
      <c r="A17" s="443" t="str">
        <f>'[4]VD-TEMPODESERVIÇO'!A8</f>
        <v>de 10 a 19 anos</v>
      </c>
      <c r="B17" s="149">
        <f>'[4]VD-TEMPODESERVIÇO'!B8</f>
        <v>75</v>
      </c>
      <c r="C17" s="448">
        <f>'[4]VD-TEMPODESERVIÇO'!C8</f>
        <v>0.390625</v>
      </c>
      <c r="D17" s="449">
        <f>'[4]VD-TEMPODESERVIÇO'!D8</f>
        <v>39</v>
      </c>
      <c r="E17" s="448">
        <f>'[4]VD-TEMPODESERVIÇO'!E8</f>
        <v>0.20634920634920634</v>
      </c>
      <c r="F17" s="425"/>
    </row>
    <row r="18" spans="1:6" x14ac:dyDescent="0.25">
      <c r="A18" s="443" t="str">
        <f>'[4]VD-TEMPODESERVIÇO'!A9</f>
        <v>acima de 20 anos</v>
      </c>
      <c r="B18" s="149">
        <f>'[4]VD-TEMPODESERVIÇO'!B9</f>
        <v>56</v>
      </c>
      <c r="C18" s="448">
        <f>'[4]VD-TEMPODESERVIÇO'!C9</f>
        <v>0.29166666666666669</v>
      </c>
      <c r="D18" s="449">
        <f>'[4]VD-TEMPODESERVIÇO'!D9</f>
        <v>59</v>
      </c>
      <c r="E18" s="448">
        <f>'[4]VD-TEMPODESERVIÇO'!E9</f>
        <v>0.31216931216931215</v>
      </c>
      <c r="F18" s="425"/>
    </row>
    <row r="19" spans="1:6" x14ac:dyDescent="0.25">
      <c r="A19" s="444" t="str">
        <f>'[4]VD-TEMPODESERVIÇO'!A10</f>
        <v>TOTAL</v>
      </c>
      <c r="B19" s="445">
        <f>'[4]VD-TEMPODESERVIÇO'!B10</f>
        <v>192</v>
      </c>
      <c r="C19" s="446">
        <f>'[4]VD-TEMPODESERVIÇO'!C10</f>
        <v>1</v>
      </c>
      <c r="D19" s="445">
        <f>'[4]VD-TEMPODESERVIÇO'!D10</f>
        <v>189</v>
      </c>
      <c r="E19" s="446">
        <f>'[4]VD-TEMPODESERVIÇO'!E10</f>
        <v>1</v>
      </c>
      <c r="F19" s="425"/>
    </row>
    <row r="20" spans="1:6" x14ac:dyDescent="0.25">
      <c r="A20" s="425"/>
      <c r="B20" s="425"/>
      <c r="C20" s="425"/>
      <c r="D20" s="425"/>
      <c r="E20" s="425"/>
      <c r="F20" s="425"/>
    </row>
    <row r="21" spans="1:6" x14ac:dyDescent="0.25">
      <c r="F21" s="425"/>
    </row>
    <row r="22" spans="1:6" x14ac:dyDescent="0.25">
      <c r="F22" s="425"/>
    </row>
    <row r="23" spans="1:6" x14ac:dyDescent="0.25">
      <c r="F23" s="425"/>
    </row>
    <row r="24" spans="1:6" x14ac:dyDescent="0.25">
      <c r="F24" s="425"/>
    </row>
    <row r="25" spans="1:6" x14ac:dyDescent="0.25">
      <c r="F25" s="425"/>
    </row>
    <row r="26" spans="1:6" x14ac:dyDescent="0.25">
      <c r="F26" s="425"/>
    </row>
    <row r="27" spans="1:6" x14ac:dyDescent="0.25">
      <c r="F27" s="425"/>
    </row>
    <row r="28" spans="1:6" x14ac:dyDescent="0.25">
      <c r="F28" s="425"/>
    </row>
    <row r="29" spans="1:6" x14ac:dyDescent="0.25">
      <c r="F29" s="425"/>
    </row>
    <row r="30" spans="1:6" x14ac:dyDescent="0.25">
      <c r="F30" s="425"/>
    </row>
    <row r="31" spans="1:6" x14ac:dyDescent="0.25">
      <c r="F31" s="425"/>
    </row>
    <row r="32" spans="1:6" x14ac:dyDescent="0.25">
      <c r="F32" s="425"/>
    </row>
    <row r="33" spans="6:6" x14ac:dyDescent="0.25">
      <c r="F33" s="425"/>
    </row>
    <row r="34" spans="6:6" x14ac:dyDescent="0.25">
      <c r="F34" s="425"/>
    </row>
    <row r="35" spans="6:6" x14ac:dyDescent="0.25">
      <c r="F35" s="425"/>
    </row>
    <row r="36" spans="6:6" x14ac:dyDescent="0.25">
      <c r="F36" s="425"/>
    </row>
    <row r="37" spans="6:6" x14ac:dyDescent="0.25">
      <c r="F37" s="425"/>
    </row>
    <row r="38" spans="6:6" x14ac:dyDescent="0.25">
      <c r="F38" s="425"/>
    </row>
    <row r="39" spans="6:6" x14ac:dyDescent="0.25">
      <c r="F39" s="425"/>
    </row>
    <row r="40" spans="6:6" x14ac:dyDescent="0.25">
      <c r="F40" s="425"/>
    </row>
    <row r="41" spans="6:6" x14ac:dyDescent="0.25">
      <c r="F41" s="425"/>
    </row>
    <row r="42" spans="6:6" x14ac:dyDescent="0.25">
      <c r="F42" s="425"/>
    </row>
    <row r="43" spans="6:6" x14ac:dyDescent="0.25">
      <c r="F43" s="425"/>
    </row>
    <row r="44" spans="6:6" x14ac:dyDescent="0.25">
      <c r="F44" s="425"/>
    </row>
    <row r="45" spans="6:6" x14ac:dyDescent="0.25">
      <c r="F45" s="425"/>
    </row>
    <row r="46" spans="6:6" x14ac:dyDescent="0.25">
      <c r="F46" s="425"/>
    </row>
    <row r="47" spans="6:6" x14ac:dyDescent="0.25">
      <c r="F47" s="425"/>
    </row>
    <row r="48" spans="6:6" x14ac:dyDescent="0.25">
      <c r="F48" s="425"/>
    </row>
    <row r="49" spans="1:6" x14ac:dyDescent="0.25">
      <c r="F49" s="425"/>
    </row>
    <row r="50" spans="1:6" x14ac:dyDescent="0.25">
      <c r="A50" s="425"/>
      <c r="B50" s="425"/>
      <c r="C50" s="425"/>
      <c r="D50" s="425"/>
      <c r="E50" s="425"/>
      <c r="F50" s="425"/>
    </row>
    <row r="51" spans="1:6" x14ac:dyDescent="0.25">
      <c r="A51" s="425"/>
      <c r="B51" s="425"/>
      <c r="C51" s="425"/>
      <c r="D51" s="425"/>
      <c r="E51" s="425"/>
      <c r="F51" s="425"/>
    </row>
  </sheetData>
  <mergeCells count="3">
    <mergeCell ref="A12:A13"/>
    <mergeCell ref="B12:C12"/>
    <mergeCell ref="D12:E12"/>
  </mergeCells>
  <pageMargins left="0.511811024" right="0.511811024" top="0.78740157499999996" bottom="0.78740157499999996" header="0.31496062000000002" footer="0.31496062000000002"/>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6"/>
  <dimension ref="A1:F660"/>
  <sheetViews>
    <sheetView showGridLines="0" workbookViewId="0"/>
  </sheetViews>
  <sheetFormatPr defaultRowHeight="15" x14ac:dyDescent="0.25"/>
  <cols>
    <col min="1" max="1" width="62.42578125" customWidth="1"/>
    <col min="2" max="5" width="13.7109375" customWidth="1"/>
    <col min="6" max="6" width="9.140625" customWidth="1"/>
    <col min="7" max="16384" width="9.140625" style="1"/>
  </cols>
  <sheetData>
    <row r="1" spans="1:6" x14ac:dyDescent="0.25">
      <c r="A1" s="1"/>
      <c r="B1" s="1"/>
      <c r="C1" s="1"/>
      <c r="D1" s="1"/>
      <c r="E1" s="1"/>
      <c r="F1" s="1"/>
    </row>
    <row r="2" spans="1:6" x14ac:dyDescent="0.25">
      <c r="A2" s="1"/>
      <c r="B2" s="1"/>
      <c r="C2" s="1"/>
      <c r="D2" s="1"/>
      <c r="E2" s="1"/>
      <c r="F2" s="1"/>
    </row>
    <row r="3" spans="1:6" x14ac:dyDescent="0.25">
      <c r="A3" s="1"/>
      <c r="B3" s="1"/>
      <c r="C3" s="1"/>
      <c r="D3" s="1"/>
      <c r="E3" s="1"/>
      <c r="F3" s="1"/>
    </row>
    <row r="4" spans="1:6" x14ac:dyDescent="0.25">
      <c r="A4" s="1"/>
      <c r="B4" s="1"/>
      <c r="C4" s="1"/>
      <c r="D4" s="1"/>
      <c r="E4" s="1"/>
      <c r="F4" s="1"/>
    </row>
    <row r="5" spans="1:6" x14ac:dyDescent="0.25">
      <c r="A5" s="1"/>
      <c r="B5" s="1"/>
      <c r="C5" s="1"/>
      <c r="D5" s="1"/>
      <c r="E5" s="1"/>
      <c r="F5" s="1"/>
    </row>
    <row r="6" spans="1:6" x14ac:dyDescent="0.25">
      <c r="A6" s="1"/>
      <c r="B6" s="1"/>
      <c r="C6" s="1"/>
      <c r="D6" s="1"/>
      <c r="E6" s="1"/>
      <c r="F6" s="1"/>
    </row>
    <row r="7" spans="1:6" x14ac:dyDescent="0.25">
      <c r="A7" s="1"/>
      <c r="B7" s="1"/>
      <c r="C7" s="1"/>
      <c r="D7" s="1"/>
      <c r="E7" s="1"/>
      <c r="F7" s="1"/>
    </row>
    <row r="8" spans="1:6" x14ac:dyDescent="0.25">
      <c r="A8" s="1"/>
      <c r="B8" s="1"/>
      <c r="C8" s="1"/>
      <c r="D8" s="1"/>
      <c r="E8" s="1"/>
      <c r="F8" s="1"/>
    </row>
    <row r="9" spans="1:6" x14ac:dyDescent="0.25">
      <c r="A9" s="1"/>
      <c r="B9" s="1"/>
      <c r="C9" s="1"/>
      <c r="D9" s="1"/>
      <c r="E9" s="1"/>
      <c r="F9" s="1"/>
    </row>
    <row r="12" spans="1:6" x14ac:dyDescent="0.25">
      <c r="A12" s="710" t="str">
        <f>'[4]VD-SEXO'!A3</f>
        <v>SEXO</v>
      </c>
      <c r="B12" s="702">
        <f>'[4]VD-SEXO'!B3</f>
        <v>2020</v>
      </c>
      <c r="C12" s="702"/>
      <c r="D12" s="702">
        <f>'[4]VD-SEXO'!D3</f>
        <v>2017</v>
      </c>
      <c r="E12" s="702"/>
    </row>
    <row r="13" spans="1:6" ht="23.25" customHeight="1" x14ac:dyDescent="0.25">
      <c r="A13" s="710"/>
      <c r="B13" s="426" t="str">
        <f>'[4]VD-SEXO'!B4</f>
        <v>TOTAL</v>
      </c>
      <c r="C13" s="426" t="str">
        <f>'[4]VD-SEXO'!C4</f>
        <v>%</v>
      </c>
      <c r="D13" s="426" t="str">
        <f>'[4]VD-SEXO'!D4</f>
        <v>TOTAL</v>
      </c>
      <c r="E13" s="426" t="str">
        <f>'[4]VD-SEXO'!E4</f>
        <v>%</v>
      </c>
    </row>
    <row r="14" spans="1:6" x14ac:dyDescent="0.25">
      <c r="A14" s="428" t="str">
        <f>'[4]VD-SEXO'!A5</f>
        <v>Masculino</v>
      </c>
      <c r="B14" s="59">
        <f>'[4]VD-SEXO'!B5</f>
        <v>97</v>
      </c>
      <c r="C14" s="440">
        <f>'[4]VD-SEXO'!C5</f>
        <v>0.50520833333333337</v>
      </c>
      <c r="D14" s="441">
        <f>'[4]VD-SEXO'!D5</f>
        <v>84</v>
      </c>
      <c r="E14" s="440">
        <f>'[4]VD-SEXO'!E5</f>
        <v>0.44444444444444442</v>
      </c>
    </row>
    <row r="15" spans="1:6" x14ac:dyDescent="0.25">
      <c r="A15" s="433" t="str">
        <f>'[4]VD-SEXO'!A6</f>
        <v>Feminino</v>
      </c>
      <c r="B15" s="59">
        <f>'[4]VD-SEXO'!B6</f>
        <v>95</v>
      </c>
      <c r="C15" s="440">
        <f>'[4]VD-SEXO'!C6</f>
        <v>0.49479166666666669</v>
      </c>
      <c r="D15" s="441">
        <f>'[4]VD-SEXO'!D6</f>
        <v>105</v>
      </c>
      <c r="E15" s="440">
        <f>'[4]VD-SEXO'!E6</f>
        <v>0.55555555555555558</v>
      </c>
    </row>
    <row r="16" spans="1:6" x14ac:dyDescent="0.25">
      <c r="A16" s="82" t="str">
        <f>'[4]VD-SEXO'!A7</f>
        <v>TOTAL</v>
      </c>
      <c r="B16" s="422">
        <f>'[4]VD-SEXO'!B7</f>
        <v>192</v>
      </c>
      <c r="C16" s="436">
        <f>'[4]VD-SEXO'!C7</f>
        <v>1</v>
      </c>
      <c r="D16" s="422">
        <f>'[4]VD-SEXO'!D7</f>
        <v>189</v>
      </c>
      <c r="E16" s="436">
        <f>'[4]VD-SEXO'!E7</f>
        <v>1</v>
      </c>
    </row>
    <row r="49" spans="1:6" x14ac:dyDescent="0.25">
      <c r="A49" s="1"/>
      <c r="B49" s="1"/>
      <c r="C49" s="1"/>
      <c r="D49" s="1"/>
      <c r="E49" s="1"/>
      <c r="F49" s="1"/>
    </row>
    <row r="50" spans="1:6" x14ac:dyDescent="0.25">
      <c r="A50" s="1"/>
      <c r="B50" s="1"/>
      <c r="C50" s="1"/>
      <c r="D50" s="1"/>
      <c r="E50" s="1"/>
      <c r="F50" s="1"/>
    </row>
    <row r="51" spans="1:6" x14ac:dyDescent="0.25">
      <c r="A51" s="1"/>
      <c r="B51" s="1"/>
      <c r="C51" s="1"/>
      <c r="D51" s="1"/>
      <c r="E51" s="1"/>
      <c r="F51" s="1"/>
    </row>
    <row r="52" spans="1:6" x14ac:dyDescent="0.25">
      <c r="A52" s="1"/>
      <c r="B52" s="1"/>
      <c r="C52" s="1"/>
      <c r="D52" s="1"/>
      <c r="E52" s="1"/>
      <c r="F52" s="1"/>
    </row>
    <row r="53" spans="1:6" x14ac:dyDescent="0.25">
      <c r="A53" s="1"/>
      <c r="B53" s="1"/>
      <c r="C53" s="1"/>
      <c r="D53" s="1"/>
      <c r="E53" s="1"/>
      <c r="F53" s="1"/>
    </row>
    <row r="54" spans="1:6" x14ac:dyDescent="0.25">
      <c r="A54" s="1"/>
      <c r="B54" s="1"/>
      <c r="C54" s="1"/>
      <c r="D54" s="1"/>
      <c r="E54" s="1"/>
      <c r="F54" s="1"/>
    </row>
    <row r="55" spans="1:6" x14ac:dyDescent="0.25">
      <c r="A55" s="1"/>
      <c r="B55" s="1"/>
      <c r="C55" s="1"/>
      <c r="D55" s="1"/>
      <c r="E55" s="1"/>
      <c r="F55" s="1"/>
    </row>
    <row r="56" spans="1:6" x14ac:dyDescent="0.25">
      <c r="A56" s="1"/>
      <c r="B56" s="1"/>
      <c r="C56" s="1"/>
      <c r="D56" s="1"/>
      <c r="E56" s="1"/>
      <c r="F56" s="1"/>
    </row>
    <row r="57" spans="1:6" x14ac:dyDescent="0.25">
      <c r="A57" s="1"/>
      <c r="B57" s="1"/>
      <c r="C57" s="1"/>
      <c r="D57" s="1"/>
      <c r="E57" s="1"/>
      <c r="F57" s="1"/>
    </row>
    <row r="58" spans="1:6" x14ac:dyDescent="0.25">
      <c r="A58" s="1"/>
      <c r="B58" s="1"/>
      <c r="C58" s="1"/>
      <c r="D58" s="1"/>
      <c r="E58" s="1"/>
      <c r="F58" s="1"/>
    </row>
    <row r="59" spans="1:6" x14ac:dyDescent="0.25">
      <c r="A59" s="1"/>
      <c r="B59" s="1"/>
      <c r="C59" s="1"/>
      <c r="D59" s="1"/>
      <c r="E59" s="1"/>
      <c r="F59" s="1"/>
    </row>
    <row r="60" spans="1:6" x14ac:dyDescent="0.25">
      <c r="A60" s="1"/>
      <c r="B60" s="1"/>
      <c r="C60" s="1"/>
      <c r="D60" s="1"/>
      <c r="E60" s="1"/>
      <c r="F60" s="1"/>
    </row>
    <row r="61" spans="1:6" x14ac:dyDescent="0.25">
      <c r="A61" s="1"/>
      <c r="B61" s="1"/>
      <c r="C61" s="1"/>
      <c r="D61" s="1"/>
      <c r="E61" s="1"/>
      <c r="F61" s="1"/>
    </row>
    <row r="62" spans="1:6" x14ac:dyDescent="0.25">
      <c r="A62" s="1"/>
      <c r="B62" s="1"/>
      <c r="C62" s="1"/>
      <c r="D62" s="1"/>
      <c r="E62" s="1"/>
      <c r="F62" s="1"/>
    </row>
    <row r="63" spans="1:6" x14ac:dyDescent="0.25">
      <c r="A63" s="1"/>
      <c r="B63" s="1"/>
      <c r="C63" s="1"/>
      <c r="D63" s="1"/>
      <c r="E63" s="1"/>
      <c r="F63" s="1"/>
    </row>
    <row r="64" spans="1:6" x14ac:dyDescent="0.25">
      <c r="A64" s="1"/>
      <c r="B64" s="1"/>
      <c r="C64" s="1"/>
      <c r="D64" s="1"/>
      <c r="E64" s="1"/>
      <c r="F64" s="1"/>
    </row>
    <row r="65" spans="1:6" x14ac:dyDescent="0.25">
      <c r="A65" s="1"/>
      <c r="B65" s="1"/>
      <c r="C65" s="1"/>
      <c r="D65" s="1"/>
      <c r="E65" s="1"/>
      <c r="F65" s="1"/>
    </row>
    <row r="66" spans="1:6" x14ac:dyDescent="0.25">
      <c r="A66" s="1"/>
      <c r="B66" s="1"/>
      <c r="C66" s="1"/>
      <c r="D66" s="1"/>
      <c r="E66" s="1"/>
      <c r="F66" s="1"/>
    </row>
    <row r="67" spans="1:6" x14ac:dyDescent="0.25">
      <c r="A67" s="1"/>
      <c r="B67" s="1"/>
      <c r="C67" s="1"/>
      <c r="D67" s="1"/>
      <c r="E67" s="1"/>
      <c r="F67" s="1"/>
    </row>
    <row r="68" spans="1:6" x14ac:dyDescent="0.25">
      <c r="A68" s="1"/>
      <c r="B68" s="1"/>
      <c r="C68" s="1"/>
      <c r="D68" s="1"/>
      <c r="E68" s="1"/>
      <c r="F68" s="1"/>
    </row>
    <row r="69" spans="1:6" x14ac:dyDescent="0.25">
      <c r="A69" s="1"/>
      <c r="B69" s="1"/>
      <c r="C69" s="1"/>
      <c r="D69" s="1"/>
      <c r="E69" s="1"/>
      <c r="F69" s="1"/>
    </row>
    <row r="70" spans="1:6" x14ac:dyDescent="0.25">
      <c r="A70" s="1"/>
      <c r="B70" s="1"/>
      <c r="C70" s="1"/>
      <c r="D70" s="1"/>
      <c r="E70" s="1"/>
      <c r="F70" s="1"/>
    </row>
    <row r="71" spans="1:6" x14ac:dyDescent="0.25">
      <c r="A71" s="1"/>
      <c r="B71" s="1"/>
      <c r="C71" s="1"/>
      <c r="D71" s="1"/>
      <c r="E71" s="1"/>
      <c r="F71" s="1"/>
    </row>
    <row r="72" spans="1:6" x14ac:dyDescent="0.25">
      <c r="A72" s="1"/>
      <c r="B72" s="1"/>
      <c r="C72" s="1"/>
      <c r="D72" s="1"/>
      <c r="E72" s="1"/>
      <c r="F72" s="1"/>
    </row>
    <row r="73" spans="1:6" x14ac:dyDescent="0.25">
      <c r="A73" s="1"/>
      <c r="B73" s="1"/>
      <c r="C73" s="1"/>
      <c r="D73" s="1"/>
      <c r="E73" s="1"/>
      <c r="F73" s="1"/>
    </row>
    <row r="74" spans="1:6" x14ac:dyDescent="0.25">
      <c r="A74" s="1"/>
      <c r="B74" s="1"/>
      <c r="C74" s="1"/>
      <c r="D74" s="1"/>
      <c r="E74" s="1"/>
      <c r="F74" s="1"/>
    </row>
    <row r="75" spans="1:6" x14ac:dyDescent="0.25">
      <c r="A75" s="1"/>
      <c r="B75" s="1"/>
      <c r="C75" s="1"/>
      <c r="D75" s="1"/>
      <c r="E75" s="1"/>
      <c r="F75" s="1"/>
    </row>
    <row r="76" spans="1:6" x14ac:dyDescent="0.25">
      <c r="A76" s="1"/>
      <c r="B76" s="1"/>
      <c r="C76" s="1"/>
      <c r="D76" s="1"/>
      <c r="E76" s="1"/>
      <c r="F76" s="1"/>
    </row>
    <row r="77" spans="1:6" x14ac:dyDescent="0.25">
      <c r="A77" s="1"/>
      <c r="B77" s="1"/>
      <c r="C77" s="1"/>
      <c r="D77" s="1"/>
      <c r="E77" s="1"/>
      <c r="F77" s="1"/>
    </row>
    <row r="78" spans="1:6" x14ac:dyDescent="0.25">
      <c r="A78" s="1"/>
      <c r="B78" s="1"/>
      <c r="C78" s="1"/>
      <c r="D78" s="1"/>
      <c r="E78" s="1"/>
      <c r="F78" s="1"/>
    </row>
    <row r="79" spans="1:6" x14ac:dyDescent="0.25">
      <c r="A79" s="1"/>
      <c r="B79" s="1"/>
      <c r="C79" s="1"/>
      <c r="D79" s="1"/>
      <c r="E79" s="1"/>
      <c r="F79" s="1"/>
    </row>
    <row r="80" spans="1:6" x14ac:dyDescent="0.25">
      <c r="A80" s="1"/>
      <c r="B80" s="1"/>
      <c r="C80" s="1"/>
      <c r="D80" s="1"/>
      <c r="E80" s="1"/>
      <c r="F80" s="1"/>
    </row>
    <row r="81" spans="1:6" x14ac:dyDescent="0.25">
      <c r="A81" s="1"/>
      <c r="B81" s="1"/>
      <c r="C81" s="1"/>
      <c r="D81" s="1"/>
      <c r="E81" s="1"/>
      <c r="F81" s="1"/>
    </row>
    <row r="82" spans="1:6" x14ac:dyDescent="0.25">
      <c r="A82" s="1"/>
      <c r="B82" s="1"/>
      <c r="C82" s="1"/>
      <c r="D82" s="1"/>
      <c r="E82" s="1"/>
      <c r="F82" s="1"/>
    </row>
    <row r="83" spans="1:6" x14ac:dyDescent="0.25">
      <c r="A83" s="1"/>
      <c r="B83" s="1"/>
      <c r="C83" s="1"/>
      <c r="D83" s="1"/>
      <c r="E83" s="1"/>
      <c r="F83" s="1"/>
    </row>
    <row r="84" spans="1:6" x14ac:dyDescent="0.25">
      <c r="A84" s="1"/>
      <c r="B84" s="1"/>
      <c r="C84" s="1"/>
      <c r="D84" s="1"/>
      <c r="E84" s="1"/>
      <c r="F84" s="1"/>
    </row>
    <row r="85" spans="1:6" x14ac:dyDescent="0.25">
      <c r="A85" s="1"/>
      <c r="B85" s="1"/>
      <c r="C85" s="1"/>
      <c r="D85" s="1"/>
      <c r="E85" s="1"/>
      <c r="F85" s="1"/>
    </row>
    <row r="86" spans="1:6" x14ac:dyDescent="0.25">
      <c r="A86" s="1"/>
      <c r="B86" s="1"/>
      <c r="C86" s="1"/>
      <c r="D86" s="1"/>
      <c r="E86" s="1"/>
      <c r="F86" s="1"/>
    </row>
    <row r="87" spans="1:6" x14ac:dyDescent="0.25">
      <c r="A87" s="1"/>
      <c r="B87" s="1"/>
      <c r="C87" s="1"/>
      <c r="D87" s="1"/>
      <c r="E87" s="1"/>
      <c r="F87" s="1"/>
    </row>
    <row r="88" spans="1:6" x14ac:dyDescent="0.25">
      <c r="A88" s="1"/>
      <c r="B88" s="1"/>
      <c r="C88" s="1"/>
      <c r="D88" s="1"/>
      <c r="E88" s="1"/>
      <c r="F88" s="1"/>
    </row>
    <row r="89" spans="1:6" x14ac:dyDescent="0.25">
      <c r="A89" s="1"/>
      <c r="B89" s="1"/>
      <c r="C89" s="1"/>
      <c r="D89" s="1"/>
      <c r="E89" s="1"/>
      <c r="F89" s="1"/>
    </row>
    <row r="90" spans="1:6" x14ac:dyDescent="0.25">
      <c r="A90" s="1"/>
      <c r="B90" s="1"/>
      <c r="C90" s="1"/>
      <c r="D90" s="1"/>
      <c r="E90" s="1"/>
      <c r="F90" s="1"/>
    </row>
    <row r="91" spans="1:6" x14ac:dyDescent="0.25">
      <c r="A91" s="1"/>
      <c r="B91" s="1"/>
      <c r="C91" s="1"/>
      <c r="D91" s="1"/>
      <c r="E91" s="1"/>
      <c r="F91" s="1"/>
    </row>
    <row r="92" spans="1:6" x14ac:dyDescent="0.25">
      <c r="A92" s="1"/>
      <c r="B92" s="1"/>
      <c r="C92" s="1"/>
      <c r="D92" s="1"/>
      <c r="E92" s="1"/>
      <c r="F92" s="1"/>
    </row>
    <row r="93" spans="1:6" x14ac:dyDescent="0.25">
      <c r="A93" s="1"/>
      <c r="B93" s="1"/>
      <c r="C93" s="1"/>
      <c r="D93" s="1"/>
      <c r="E93" s="1"/>
      <c r="F93" s="1"/>
    </row>
    <row r="94" spans="1:6" x14ac:dyDescent="0.25">
      <c r="A94" s="1"/>
      <c r="B94" s="1"/>
      <c r="C94" s="1"/>
      <c r="D94" s="1"/>
      <c r="E94" s="1"/>
      <c r="F94" s="1"/>
    </row>
    <row r="95" spans="1:6" x14ac:dyDescent="0.25">
      <c r="A95" s="1"/>
      <c r="B95" s="1"/>
      <c r="C95" s="1"/>
      <c r="D95" s="1"/>
      <c r="E95" s="1"/>
      <c r="F95" s="1"/>
    </row>
    <row r="96" spans="1:6" x14ac:dyDescent="0.25">
      <c r="A96" s="1"/>
      <c r="B96" s="1"/>
      <c r="C96" s="1"/>
      <c r="D96" s="1"/>
      <c r="E96" s="1"/>
      <c r="F96" s="1"/>
    </row>
    <row r="97" spans="1:6" x14ac:dyDescent="0.25">
      <c r="A97" s="1"/>
      <c r="B97" s="1"/>
      <c r="C97" s="1"/>
      <c r="D97" s="1"/>
      <c r="E97" s="1"/>
      <c r="F97" s="1"/>
    </row>
    <row r="98" spans="1:6" x14ac:dyDescent="0.25">
      <c r="A98" s="1"/>
      <c r="B98" s="1"/>
      <c r="C98" s="1"/>
      <c r="D98" s="1"/>
      <c r="E98" s="1"/>
      <c r="F98" s="1"/>
    </row>
    <row r="99" spans="1:6" x14ac:dyDescent="0.25">
      <c r="A99" s="1"/>
      <c r="B99" s="1"/>
      <c r="C99" s="1"/>
      <c r="D99" s="1"/>
      <c r="E99" s="1"/>
      <c r="F99" s="1"/>
    </row>
    <row r="100" spans="1:6" x14ac:dyDescent="0.25">
      <c r="A100" s="1"/>
      <c r="B100" s="1"/>
      <c r="C100" s="1"/>
      <c r="D100" s="1"/>
      <c r="E100" s="1"/>
      <c r="F100" s="1"/>
    </row>
    <row r="101" spans="1:6" x14ac:dyDescent="0.25">
      <c r="A101" s="1"/>
      <c r="B101" s="1"/>
      <c r="C101" s="1"/>
      <c r="D101" s="1"/>
      <c r="E101" s="1"/>
      <c r="F101" s="1"/>
    </row>
    <row r="102" spans="1:6" x14ac:dyDescent="0.25">
      <c r="A102" s="1"/>
      <c r="B102" s="1"/>
      <c r="C102" s="1"/>
      <c r="D102" s="1"/>
      <c r="E102" s="1"/>
      <c r="F102" s="1"/>
    </row>
    <row r="103" spans="1:6" x14ac:dyDescent="0.25">
      <c r="A103" s="1"/>
      <c r="B103" s="1"/>
      <c r="C103" s="1"/>
      <c r="D103" s="1"/>
      <c r="E103" s="1"/>
      <c r="F103" s="1"/>
    </row>
    <row r="104" spans="1:6" x14ac:dyDescent="0.25">
      <c r="A104" s="1"/>
      <c r="B104" s="1"/>
      <c r="C104" s="1"/>
      <c r="D104" s="1"/>
      <c r="E104" s="1"/>
      <c r="F104" s="1"/>
    </row>
    <row r="105" spans="1:6" x14ac:dyDescent="0.25">
      <c r="A105" s="1"/>
      <c r="B105" s="1"/>
      <c r="C105" s="1"/>
      <c r="D105" s="1"/>
      <c r="E105" s="1"/>
      <c r="F105" s="1"/>
    </row>
    <row r="106" spans="1:6" x14ac:dyDescent="0.25">
      <c r="A106" s="1"/>
      <c r="B106" s="1"/>
      <c r="C106" s="1"/>
      <c r="D106" s="1"/>
      <c r="E106" s="1"/>
      <c r="F106" s="1"/>
    </row>
    <row r="107" spans="1:6" x14ac:dyDescent="0.25">
      <c r="A107" s="1"/>
      <c r="B107" s="1"/>
      <c r="C107" s="1"/>
      <c r="D107" s="1"/>
      <c r="E107" s="1"/>
      <c r="F107" s="1"/>
    </row>
    <row r="108" spans="1:6" x14ac:dyDescent="0.25">
      <c r="A108" s="1"/>
      <c r="B108" s="1"/>
      <c r="C108" s="1"/>
      <c r="D108" s="1"/>
      <c r="E108" s="1"/>
      <c r="F108" s="1"/>
    </row>
    <row r="109" spans="1:6" x14ac:dyDescent="0.25">
      <c r="A109" s="1"/>
      <c r="B109" s="1"/>
      <c r="C109" s="1"/>
      <c r="D109" s="1"/>
      <c r="E109" s="1"/>
      <c r="F109" s="1"/>
    </row>
    <row r="110" spans="1:6" x14ac:dyDescent="0.25">
      <c r="A110" s="1"/>
      <c r="B110" s="1"/>
      <c r="C110" s="1"/>
      <c r="D110" s="1"/>
      <c r="E110" s="1"/>
      <c r="F110" s="1"/>
    </row>
    <row r="111" spans="1:6" x14ac:dyDescent="0.25">
      <c r="A111" s="1"/>
      <c r="B111" s="1"/>
      <c r="C111" s="1"/>
      <c r="D111" s="1"/>
      <c r="E111" s="1"/>
      <c r="F111" s="1"/>
    </row>
    <row r="112" spans="1:6" x14ac:dyDescent="0.25">
      <c r="A112" s="1"/>
      <c r="B112" s="1"/>
      <c r="C112" s="1"/>
      <c r="D112" s="1"/>
      <c r="E112" s="1"/>
      <c r="F112" s="1"/>
    </row>
    <row r="113" spans="1:6" x14ac:dyDescent="0.25">
      <c r="A113" s="1"/>
      <c r="B113" s="1"/>
      <c r="C113" s="1"/>
      <c r="D113" s="1"/>
      <c r="E113" s="1"/>
      <c r="F113" s="1"/>
    </row>
    <row r="114" spans="1:6" x14ac:dyDescent="0.25">
      <c r="A114" s="1"/>
      <c r="B114" s="1"/>
      <c r="C114" s="1"/>
      <c r="D114" s="1"/>
      <c r="E114" s="1"/>
      <c r="F114" s="1"/>
    </row>
    <row r="115" spans="1:6" x14ac:dyDescent="0.25">
      <c r="A115" s="1"/>
      <c r="B115" s="1"/>
      <c r="C115" s="1"/>
      <c r="D115" s="1"/>
      <c r="E115" s="1"/>
      <c r="F115" s="1"/>
    </row>
    <row r="116" spans="1:6" x14ac:dyDescent="0.25">
      <c r="A116" s="1"/>
      <c r="B116" s="1"/>
      <c r="C116" s="1"/>
      <c r="D116" s="1"/>
      <c r="E116" s="1"/>
      <c r="F116" s="1"/>
    </row>
    <row r="117" spans="1:6" x14ac:dyDescent="0.25">
      <c r="A117" s="1"/>
      <c r="B117" s="1"/>
      <c r="C117" s="1"/>
      <c r="D117" s="1"/>
      <c r="E117" s="1"/>
      <c r="F117" s="1"/>
    </row>
    <row r="118" spans="1:6" x14ac:dyDescent="0.25">
      <c r="A118" s="1"/>
      <c r="B118" s="1"/>
      <c r="C118" s="1"/>
      <c r="D118" s="1"/>
      <c r="E118" s="1"/>
      <c r="F118" s="1"/>
    </row>
    <row r="119" spans="1:6" x14ac:dyDescent="0.25">
      <c r="A119" s="1"/>
      <c r="B119" s="1"/>
      <c r="C119" s="1"/>
      <c r="D119" s="1"/>
      <c r="E119" s="1"/>
      <c r="F119" s="1"/>
    </row>
    <row r="120" spans="1:6" x14ac:dyDescent="0.25">
      <c r="A120" s="1"/>
      <c r="B120" s="1"/>
      <c r="C120" s="1"/>
      <c r="D120" s="1"/>
      <c r="E120" s="1"/>
      <c r="F120" s="1"/>
    </row>
    <row r="121" spans="1:6" x14ac:dyDescent="0.25">
      <c r="A121" s="1"/>
      <c r="B121" s="1"/>
      <c r="C121" s="1"/>
      <c r="D121" s="1"/>
      <c r="E121" s="1"/>
      <c r="F121" s="1"/>
    </row>
    <row r="122" spans="1:6" x14ac:dyDescent="0.25">
      <c r="A122" s="1"/>
      <c r="B122" s="1"/>
      <c r="C122" s="1"/>
      <c r="D122" s="1"/>
      <c r="E122" s="1"/>
      <c r="F122" s="1"/>
    </row>
    <row r="123" spans="1:6" x14ac:dyDescent="0.25">
      <c r="A123" s="1"/>
      <c r="B123" s="1"/>
      <c r="C123" s="1"/>
      <c r="D123" s="1"/>
      <c r="E123" s="1"/>
      <c r="F123" s="1"/>
    </row>
    <row r="124" spans="1:6" x14ac:dyDescent="0.25">
      <c r="A124" s="1"/>
      <c r="B124" s="1"/>
      <c r="C124" s="1"/>
      <c r="D124" s="1"/>
      <c r="E124" s="1"/>
      <c r="F124" s="1"/>
    </row>
    <row r="125" spans="1:6" x14ac:dyDescent="0.25">
      <c r="A125" s="1"/>
      <c r="B125" s="1"/>
      <c r="C125" s="1"/>
      <c r="D125" s="1"/>
      <c r="E125" s="1"/>
      <c r="F125" s="1"/>
    </row>
    <row r="126" spans="1:6" x14ac:dyDescent="0.25">
      <c r="A126" s="1"/>
      <c r="B126" s="1"/>
      <c r="C126" s="1"/>
      <c r="D126" s="1"/>
      <c r="E126" s="1"/>
      <c r="F126" s="1"/>
    </row>
    <row r="127" spans="1:6" x14ac:dyDescent="0.25">
      <c r="A127" s="1"/>
      <c r="B127" s="1"/>
      <c r="C127" s="1"/>
      <c r="D127" s="1"/>
      <c r="E127" s="1"/>
      <c r="F127" s="1"/>
    </row>
    <row r="128" spans="1:6" x14ac:dyDescent="0.25">
      <c r="A128" s="1"/>
      <c r="B128" s="1"/>
      <c r="C128" s="1"/>
      <c r="D128" s="1"/>
      <c r="E128" s="1"/>
      <c r="F128" s="1"/>
    </row>
    <row r="129" spans="1:6" x14ac:dyDescent="0.25">
      <c r="A129" s="1"/>
      <c r="B129" s="1"/>
      <c r="C129" s="1"/>
      <c r="D129" s="1"/>
      <c r="E129" s="1"/>
      <c r="F129" s="1"/>
    </row>
    <row r="130" spans="1:6" x14ac:dyDescent="0.25">
      <c r="A130" s="1"/>
      <c r="B130" s="1"/>
      <c r="C130" s="1"/>
      <c r="D130" s="1"/>
      <c r="E130" s="1"/>
      <c r="F130" s="1"/>
    </row>
    <row r="131" spans="1:6" x14ac:dyDescent="0.25">
      <c r="A131" s="1"/>
      <c r="B131" s="1"/>
      <c r="C131" s="1"/>
      <c r="D131" s="1"/>
      <c r="E131" s="1"/>
      <c r="F131" s="1"/>
    </row>
    <row r="132" spans="1:6" x14ac:dyDescent="0.25">
      <c r="A132" s="1"/>
      <c r="B132" s="1"/>
      <c r="C132" s="1"/>
      <c r="D132" s="1"/>
      <c r="E132" s="1"/>
      <c r="F132" s="1"/>
    </row>
    <row r="133" spans="1:6" x14ac:dyDescent="0.25">
      <c r="A133" s="1"/>
      <c r="B133" s="1"/>
      <c r="C133" s="1"/>
      <c r="D133" s="1"/>
      <c r="E133" s="1"/>
      <c r="F133" s="1"/>
    </row>
    <row r="134" spans="1:6" x14ac:dyDescent="0.25">
      <c r="A134" s="1"/>
      <c r="B134" s="1"/>
      <c r="C134" s="1"/>
      <c r="D134" s="1"/>
      <c r="E134" s="1"/>
      <c r="F134" s="1"/>
    </row>
    <row r="135" spans="1:6" x14ac:dyDescent="0.25">
      <c r="A135" s="1"/>
      <c r="B135" s="1"/>
      <c r="C135" s="1"/>
      <c r="D135" s="1"/>
      <c r="E135" s="1"/>
      <c r="F135" s="1"/>
    </row>
    <row r="136" spans="1:6" x14ac:dyDescent="0.25">
      <c r="A136" s="1"/>
      <c r="B136" s="1"/>
      <c r="C136" s="1"/>
      <c r="D136" s="1"/>
      <c r="E136" s="1"/>
      <c r="F136" s="1"/>
    </row>
    <row r="137" spans="1:6" x14ac:dyDescent="0.25">
      <c r="A137" s="1"/>
      <c r="B137" s="1"/>
      <c r="C137" s="1"/>
      <c r="D137" s="1"/>
      <c r="E137" s="1"/>
      <c r="F137" s="1"/>
    </row>
    <row r="138" spans="1:6" x14ac:dyDescent="0.25">
      <c r="A138" s="1"/>
      <c r="B138" s="1"/>
      <c r="C138" s="1"/>
      <c r="D138" s="1"/>
      <c r="E138" s="1"/>
      <c r="F138" s="1"/>
    </row>
    <row r="139" spans="1:6" x14ac:dyDescent="0.25">
      <c r="A139" s="1"/>
      <c r="B139" s="1"/>
      <c r="C139" s="1"/>
      <c r="D139" s="1"/>
      <c r="E139" s="1"/>
      <c r="F139" s="1"/>
    </row>
    <row r="140" spans="1:6" x14ac:dyDescent="0.25">
      <c r="A140" s="1"/>
      <c r="B140" s="1"/>
      <c r="C140" s="1"/>
      <c r="D140" s="1"/>
      <c r="E140" s="1"/>
      <c r="F140" s="1"/>
    </row>
    <row r="141" spans="1:6" x14ac:dyDescent="0.25">
      <c r="A141" s="1"/>
      <c r="B141" s="1"/>
      <c r="C141" s="1"/>
      <c r="D141" s="1"/>
      <c r="E141" s="1"/>
      <c r="F141" s="1"/>
    </row>
    <row r="142" spans="1:6" x14ac:dyDescent="0.25">
      <c r="A142" s="1"/>
      <c r="B142" s="1"/>
      <c r="C142" s="1"/>
      <c r="D142" s="1"/>
      <c r="E142" s="1"/>
      <c r="F142" s="1"/>
    </row>
    <row r="143" spans="1:6" x14ac:dyDescent="0.25">
      <c r="A143" s="1"/>
      <c r="B143" s="1"/>
      <c r="C143" s="1"/>
      <c r="D143" s="1"/>
      <c r="E143" s="1"/>
      <c r="F143" s="1"/>
    </row>
    <row r="144" spans="1:6" x14ac:dyDescent="0.25">
      <c r="A144" s="1"/>
      <c r="B144" s="1"/>
      <c r="C144" s="1"/>
      <c r="D144" s="1"/>
      <c r="E144" s="1"/>
      <c r="F144" s="1"/>
    </row>
    <row r="145" spans="1:6" x14ac:dyDescent="0.25">
      <c r="A145" s="1"/>
      <c r="B145" s="1"/>
      <c r="C145" s="1"/>
      <c r="D145" s="1"/>
      <c r="E145" s="1"/>
      <c r="F145" s="1"/>
    </row>
    <row r="146" spans="1:6" x14ac:dyDescent="0.25">
      <c r="A146" s="1"/>
      <c r="B146" s="1"/>
      <c r="C146" s="1"/>
      <c r="D146" s="1"/>
      <c r="E146" s="1"/>
      <c r="F146" s="1"/>
    </row>
    <row r="147" spans="1:6" x14ac:dyDescent="0.25">
      <c r="A147" s="1"/>
      <c r="B147" s="1"/>
      <c r="C147" s="1"/>
      <c r="D147" s="1"/>
      <c r="E147" s="1"/>
      <c r="F147" s="1"/>
    </row>
    <row r="148" spans="1:6" x14ac:dyDescent="0.25">
      <c r="A148" s="1"/>
      <c r="B148" s="1"/>
      <c r="C148" s="1"/>
      <c r="D148" s="1"/>
      <c r="E148" s="1"/>
      <c r="F148" s="1"/>
    </row>
    <row r="149" spans="1:6" x14ac:dyDescent="0.25">
      <c r="A149" s="1"/>
      <c r="B149" s="1"/>
      <c r="C149" s="1"/>
      <c r="D149" s="1"/>
      <c r="E149" s="1"/>
      <c r="F149" s="1"/>
    </row>
    <row r="150" spans="1:6" x14ac:dyDescent="0.25">
      <c r="A150" s="1"/>
      <c r="B150" s="1"/>
      <c r="C150" s="1"/>
      <c r="D150" s="1"/>
      <c r="E150" s="1"/>
      <c r="F150" s="1"/>
    </row>
    <row r="151" spans="1:6" x14ac:dyDescent="0.25">
      <c r="A151" s="1"/>
      <c r="B151" s="1"/>
      <c r="C151" s="1"/>
      <c r="D151" s="1"/>
      <c r="E151" s="1"/>
      <c r="F151" s="1"/>
    </row>
    <row r="152" spans="1:6" x14ac:dyDescent="0.25">
      <c r="A152" s="1"/>
      <c r="B152" s="1"/>
      <c r="C152" s="1"/>
      <c r="D152" s="1"/>
      <c r="E152" s="1"/>
      <c r="F152" s="1"/>
    </row>
    <row r="153" spans="1:6" x14ac:dyDescent="0.25">
      <c r="A153" s="1"/>
      <c r="B153" s="1"/>
      <c r="C153" s="1"/>
      <c r="D153" s="1"/>
      <c r="E153" s="1"/>
      <c r="F153" s="1"/>
    </row>
    <row r="154" spans="1:6" x14ac:dyDescent="0.25">
      <c r="A154" s="1"/>
      <c r="B154" s="1"/>
      <c r="C154" s="1"/>
      <c r="D154" s="1"/>
      <c r="E154" s="1"/>
      <c r="F154" s="1"/>
    </row>
    <row r="155" spans="1:6" x14ac:dyDescent="0.25">
      <c r="A155" s="1"/>
      <c r="B155" s="1"/>
      <c r="C155" s="1"/>
      <c r="D155" s="1"/>
      <c r="E155" s="1"/>
      <c r="F155" s="1"/>
    </row>
    <row r="156" spans="1:6" x14ac:dyDescent="0.25">
      <c r="A156" s="1"/>
      <c r="B156" s="1"/>
      <c r="C156" s="1"/>
      <c r="D156" s="1"/>
      <c r="E156" s="1"/>
      <c r="F156" s="1"/>
    </row>
    <row r="157" spans="1:6" x14ac:dyDescent="0.25">
      <c r="A157" s="1"/>
      <c r="B157" s="1"/>
      <c r="C157" s="1"/>
      <c r="D157" s="1"/>
      <c r="E157" s="1"/>
      <c r="F157" s="1"/>
    </row>
    <row r="158" spans="1:6" x14ac:dyDescent="0.25">
      <c r="A158" s="1"/>
      <c r="B158" s="1"/>
      <c r="C158" s="1"/>
      <c r="D158" s="1"/>
      <c r="E158" s="1"/>
      <c r="F158" s="1"/>
    </row>
    <row r="159" spans="1:6" x14ac:dyDescent="0.25">
      <c r="A159" s="1"/>
      <c r="B159" s="1"/>
      <c r="C159" s="1"/>
      <c r="D159" s="1"/>
      <c r="E159" s="1"/>
      <c r="F159" s="1"/>
    </row>
    <row r="160" spans="1:6" x14ac:dyDescent="0.25">
      <c r="A160" s="1"/>
      <c r="B160" s="1"/>
      <c r="C160" s="1"/>
      <c r="D160" s="1"/>
      <c r="E160" s="1"/>
      <c r="F160" s="1"/>
    </row>
    <row r="161" spans="1:6" x14ac:dyDescent="0.25">
      <c r="A161" s="1"/>
      <c r="B161" s="1"/>
      <c r="C161" s="1"/>
      <c r="D161" s="1"/>
      <c r="E161" s="1"/>
      <c r="F161" s="1"/>
    </row>
    <row r="162" spans="1:6" x14ac:dyDescent="0.25">
      <c r="A162" s="1"/>
      <c r="B162" s="1"/>
      <c r="C162" s="1"/>
      <c r="D162" s="1"/>
      <c r="E162" s="1"/>
      <c r="F162" s="1"/>
    </row>
    <row r="163" spans="1:6" x14ac:dyDescent="0.25">
      <c r="A163" s="1"/>
      <c r="B163" s="1"/>
      <c r="C163" s="1"/>
      <c r="D163" s="1"/>
      <c r="E163" s="1"/>
      <c r="F163" s="1"/>
    </row>
    <row r="164" spans="1:6" x14ac:dyDescent="0.25">
      <c r="A164" s="1"/>
      <c r="B164" s="1"/>
      <c r="C164" s="1"/>
      <c r="D164" s="1"/>
      <c r="E164" s="1"/>
      <c r="F164" s="1"/>
    </row>
    <row r="165" spans="1:6" x14ac:dyDescent="0.25">
      <c r="A165" s="1"/>
      <c r="B165" s="1"/>
      <c r="C165" s="1"/>
      <c r="D165" s="1"/>
      <c r="E165" s="1"/>
      <c r="F165" s="1"/>
    </row>
    <row r="166" spans="1:6" x14ac:dyDescent="0.25">
      <c r="A166" s="1"/>
      <c r="B166" s="1"/>
      <c r="C166" s="1"/>
      <c r="D166" s="1"/>
      <c r="E166" s="1"/>
      <c r="F166" s="1"/>
    </row>
    <row r="167" spans="1:6" x14ac:dyDescent="0.25">
      <c r="A167" s="1"/>
      <c r="B167" s="1"/>
      <c r="C167" s="1"/>
      <c r="D167" s="1"/>
      <c r="E167" s="1"/>
      <c r="F167" s="1"/>
    </row>
    <row r="168" spans="1:6" x14ac:dyDescent="0.25">
      <c r="A168" s="1"/>
      <c r="B168" s="1"/>
      <c r="C168" s="1"/>
      <c r="D168" s="1"/>
      <c r="E168" s="1"/>
      <c r="F168" s="1"/>
    </row>
    <row r="169" spans="1:6" x14ac:dyDescent="0.25">
      <c r="A169" s="1"/>
      <c r="B169" s="1"/>
      <c r="C169" s="1"/>
      <c r="D169" s="1"/>
      <c r="E169" s="1"/>
      <c r="F169" s="1"/>
    </row>
    <row r="170" spans="1:6" x14ac:dyDescent="0.25">
      <c r="A170" s="1"/>
      <c r="B170" s="1"/>
      <c r="C170" s="1"/>
      <c r="D170" s="1"/>
      <c r="E170" s="1"/>
      <c r="F170" s="1"/>
    </row>
    <row r="171" spans="1:6" x14ac:dyDescent="0.25">
      <c r="A171" s="1"/>
      <c r="B171" s="1"/>
      <c r="C171" s="1"/>
      <c r="D171" s="1"/>
      <c r="E171" s="1"/>
      <c r="F171" s="1"/>
    </row>
    <row r="172" spans="1:6" x14ac:dyDescent="0.25">
      <c r="A172" s="1"/>
      <c r="B172" s="1"/>
      <c r="C172" s="1"/>
      <c r="D172" s="1"/>
      <c r="E172" s="1"/>
      <c r="F172" s="1"/>
    </row>
    <row r="173" spans="1:6" x14ac:dyDescent="0.25">
      <c r="A173" s="1"/>
      <c r="B173" s="1"/>
      <c r="C173" s="1"/>
      <c r="D173" s="1"/>
      <c r="E173" s="1"/>
      <c r="F173" s="1"/>
    </row>
    <row r="174" spans="1:6" x14ac:dyDescent="0.25">
      <c r="A174" s="1"/>
      <c r="B174" s="1"/>
      <c r="C174" s="1"/>
      <c r="D174" s="1"/>
      <c r="E174" s="1"/>
      <c r="F174" s="1"/>
    </row>
    <row r="175" spans="1:6" x14ac:dyDescent="0.25">
      <c r="A175" s="1"/>
      <c r="B175" s="1"/>
      <c r="C175" s="1"/>
      <c r="D175" s="1"/>
      <c r="E175" s="1"/>
      <c r="F175" s="1"/>
    </row>
    <row r="176" spans="1:6" x14ac:dyDescent="0.25">
      <c r="A176" s="1"/>
      <c r="B176" s="1"/>
      <c r="C176" s="1"/>
      <c r="D176" s="1"/>
      <c r="E176" s="1"/>
      <c r="F176" s="1"/>
    </row>
    <row r="177" spans="1:6" x14ac:dyDescent="0.25">
      <c r="A177" s="1"/>
      <c r="B177" s="1"/>
      <c r="C177" s="1"/>
      <c r="D177" s="1"/>
      <c r="E177" s="1"/>
      <c r="F177" s="1"/>
    </row>
    <row r="178" spans="1:6" x14ac:dyDescent="0.25">
      <c r="A178" s="1"/>
      <c r="B178" s="1"/>
      <c r="C178" s="1"/>
      <c r="D178" s="1"/>
      <c r="E178" s="1"/>
      <c r="F178" s="1"/>
    </row>
    <row r="179" spans="1:6" x14ac:dyDescent="0.25">
      <c r="A179" s="1"/>
      <c r="B179" s="1"/>
      <c r="C179" s="1"/>
      <c r="D179" s="1"/>
      <c r="E179" s="1"/>
      <c r="F179" s="1"/>
    </row>
    <row r="180" spans="1:6" x14ac:dyDescent="0.25">
      <c r="A180" s="1"/>
      <c r="B180" s="1"/>
      <c r="C180" s="1"/>
      <c r="D180" s="1"/>
      <c r="E180" s="1"/>
      <c r="F180" s="1"/>
    </row>
    <row r="181" spans="1:6" x14ac:dyDescent="0.25">
      <c r="A181" s="1"/>
      <c r="B181" s="1"/>
      <c r="C181" s="1"/>
      <c r="D181" s="1"/>
      <c r="E181" s="1"/>
      <c r="F181" s="1"/>
    </row>
    <row r="182" spans="1:6" x14ac:dyDescent="0.25">
      <c r="A182" s="1"/>
      <c r="B182" s="1"/>
      <c r="C182" s="1"/>
      <c r="D182" s="1"/>
      <c r="E182" s="1"/>
      <c r="F182" s="1"/>
    </row>
    <row r="183" spans="1:6" x14ac:dyDescent="0.25">
      <c r="A183" s="1"/>
      <c r="B183" s="1"/>
      <c r="C183" s="1"/>
      <c r="D183" s="1"/>
      <c r="E183" s="1"/>
      <c r="F183" s="1"/>
    </row>
    <row r="184" spans="1:6" x14ac:dyDescent="0.25">
      <c r="A184" s="1"/>
      <c r="B184" s="1"/>
      <c r="C184" s="1"/>
      <c r="D184" s="1"/>
      <c r="E184" s="1"/>
      <c r="F184" s="1"/>
    </row>
    <row r="185" spans="1:6" x14ac:dyDescent="0.25">
      <c r="A185" s="1"/>
      <c r="B185" s="1"/>
      <c r="C185" s="1"/>
      <c r="D185" s="1"/>
      <c r="E185" s="1"/>
      <c r="F185" s="1"/>
    </row>
    <row r="186" spans="1:6" x14ac:dyDescent="0.25">
      <c r="A186" s="1"/>
      <c r="B186" s="1"/>
      <c r="C186" s="1"/>
      <c r="D186" s="1"/>
      <c r="E186" s="1"/>
      <c r="F186" s="1"/>
    </row>
    <row r="187" spans="1:6" x14ac:dyDescent="0.25">
      <c r="A187" s="1"/>
      <c r="B187" s="1"/>
      <c r="C187" s="1"/>
      <c r="D187" s="1"/>
      <c r="E187" s="1"/>
      <c r="F187" s="1"/>
    </row>
    <row r="188" spans="1:6" x14ac:dyDescent="0.25">
      <c r="A188" s="1"/>
      <c r="B188" s="1"/>
      <c r="C188" s="1"/>
      <c r="D188" s="1"/>
      <c r="E188" s="1"/>
      <c r="F188" s="1"/>
    </row>
    <row r="189" spans="1:6" x14ac:dyDescent="0.25">
      <c r="A189" s="1"/>
      <c r="B189" s="1"/>
      <c r="C189" s="1"/>
      <c r="D189" s="1"/>
      <c r="E189" s="1"/>
      <c r="F189" s="1"/>
    </row>
    <row r="190" spans="1:6" x14ac:dyDescent="0.25">
      <c r="A190" s="1"/>
      <c r="B190" s="1"/>
      <c r="C190" s="1"/>
      <c r="D190" s="1"/>
      <c r="E190" s="1"/>
      <c r="F190" s="1"/>
    </row>
    <row r="191" spans="1:6" x14ac:dyDescent="0.25">
      <c r="A191" s="1"/>
      <c r="B191" s="1"/>
      <c r="C191" s="1"/>
      <c r="D191" s="1"/>
      <c r="E191" s="1"/>
      <c r="F191" s="1"/>
    </row>
    <row r="192" spans="1:6" x14ac:dyDescent="0.25">
      <c r="A192" s="1"/>
      <c r="B192" s="1"/>
      <c r="C192" s="1"/>
      <c r="D192" s="1"/>
      <c r="E192" s="1"/>
      <c r="F192" s="1"/>
    </row>
    <row r="193" spans="1:6" x14ac:dyDescent="0.25">
      <c r="A193" s="1"/>
      <c r="B193" s="1"/>
      <c r="C193" s="1"/>
      <c r="D193" s="1"/>
      <c r="E193" s="1"/>
      <c r="F193" s="1"/>
    </row>
    <row r="194" spans="1:6" x14ac:dyDescent="0.25">
      <c r="A194" s="1"/>
      <c r="B194" s="1"/>
      <c r="C194" s="1"/>
      <c r="D194" s="1"/>
      <c r="E194" s="1"/>
      <c r="F194" s="1"/>
    </row>
    <row r="195" spans="1:6" x14ac:dyDescent="0.25">
      <c r="A195" s="1"/>
      <c r="B195" s="1"/>
      <c r="C195" s="1"/>
      <c r="D195" s="1"/>
      <c r="E195" s="1"/>
      <c r="F195" s="1"/>
    </row>
    <row r="196" spans="1:6" x14ac:dyDescent="0.25">
      <c r="A196" s="1"/>
      <c r="B196" s="1"/>
      <c r="C196" s="1"/>
      <c r="D196" s="1"/>
      <c r="E196" s="1"/>
      <c r="F196" s="1"/>
    </row>
    <row r="197" spans="1:6" x14ac:dyDescent="0.25">
      <c r="A197" s="1"/>
      <c r="B197" s="1"/>
      <c r="C197" s="1"/>
      <c r="D197" s="1"/>
      <c r="E197" s="1"/>
      <c r="F197" s="1"/>
    </row>
    <row r="198" spans="1:6" x14ac:dyDescent="0.25">
      <c r="A198" s="1"/>
      <c r="B198" s="1"/>
      <c r="C198" s="1"/>
      <c r="D198" s="1"/>
      <c r="E198" s="1"/>
      <c r="F198" s="1"/>
    </row>
    <row r="199" spans="1:6" x14ac:dyDescent="0.25">
      <c r="A199" s="1"/>
      <c r="B199" s="1"/>
      <c r="C199" s="1"/>
      <c r="D199" s="1"/>
      <c r="E199" s="1"/>
      <c r="F199" s="1"/>
    </row>
    <row r="200" spans="1:6" x14ac:dyDescent="0.25">
      <c r="A200" s="1"/>
      <c r="B200" s="1"/>
      <c r="C200" s="1"/>
      <c r="D200" s="1"/>
      <c r="E200" s="1"/>
      <c r="F200" s="1"/>
    </row>
    <row r="201" spans="1:6" x14ac:dyDescent="0.25">
      <c r="A201" s="1"/>
      <c r="B201" s="1"/>
      <c r="C201" s="1"/>
      <c r="D201" s="1"/>
      <c r="E201" s="1"/>
      <c r="F201" s="1"/>
    </row>
    <row r="202" spans="1:6" x14ac:dyDescent="0.25">
      <c r="A202" s="1"/>
      <c r="B202" s="1"/>
      <c r="C202" s="1"/>
      <c r="D202" s="1"/>
      <c r="E202" s="1"/>
      <c r="F202" s="1"/>
    </row>
    <row r="203" spans="1:6" x14ac:dyDescent="0.25">
      <c r="A203" s="1"/>
      <c r="B203" s="1"/>
      <c r="C203" s="1"/>
      <c r="D203" s="1"/>
      <c r="E203" s="1"/>
      <c r="F203" s="1"/>
    </row>
    <row r="204" spans="1:6" x14ac:dyDescent="0.25">
      <c r="A204" s="1"/>
      <c r="B204" s="1"/>
      <c r="C204" s="1"/>
      <c r="D204" s="1"/>
      <c r="E204" s="1"/>
      <c r="F204" s="1"/>
    </row>
    <row r="205" spans="1:6" x14ac:dyDescent="0.25">
      <c r="A205" s="1"/>
      <c r="B205" s="1"/>
      <c r="C205" s="1"/>
      <c r="D205" s="1"/>
      <c r="E205" s="1"/>
      <c r="F205" s="1"/>
    </row>
    <row r="206" spans="1:6" x14ac:dyDescent="0.25">
      <c r="A206" s="1"/>
      <c r="B206" s="1"/>
      <c r="C206" s="1"/>
      <c r="D206" s="1"/>
      <c r="E206" s="1"/>
      <c r="F206" s="1"/>
    </row>
    <row r="207" spans="1:6" x14ac:dyDescent="0.25">
      <c r="A207" s="1"/>
      <c r="B207" s="1"/>
      <c r="C207" s="1"/>
      <c r="D207" s="1"/>
      <c r="E207" s="1"/>
      <c r="F207" s="1"/>
    </row>
    <row r="208" spans="1:6" x14ac:dyDescent="0.25">
      <c r="A208" s="1"/>
      <c r="B208" s="1"/>
      <c r="C208" s="1"/>
      <c r="D208" s="1"/>
      <c r="E208" s="1"/>
      <c r="F208" s="1"/>
    </row>
    <row r="209" spans="1:6" x14ac:dyDescent="0.25">
      <c r="A209" s="1"/>
      <c r="B209" s="1"/>
      <c r="C209" s="1"/>
      <c r="D209" s="1"/>
      <c r="E209" s="1"/>
      <c r="F209" s="1"/>
    </row>
    <row r="210" spans="1:6" x14ac:dyDescent="0.25">
      <c r="A210" s="1"/>
      <c r="B210" s="1"/>
      <c r="C210" s="1"/>
      <c r="D210" s="1"/>
      <c r="E210" s="1"/>
      <c r="F210" s="1"/>
    </row>
    <row r="211" spans="1:6" x14ac:dyDescent="0.25">
      <c r="A211" s="1"/>
      <c r="B211" s="1"/>
      <c r="C211" s="1"/>
      <c r="D211" s="1"/>
      <c r="E211" s="1"/>
      <c r="F211" s="1"/>
    </row>
    <row r="212" spans="1:6" x14ac:dyDescent="0.25">
      <c r="A212" s="1"/>
      <c r="B212" s="1"/>
      <c r="C212" s="1"/>
      <c r="D212" s="1"/>
      <c r="E212" s="1"/>
      <c r="F212" s="1"/>
    </row>
    <row r="213" spans="1:6" x14ac:dyDescent="0.25">
      <c r="A213" s="1"/>
      <c r="B213" s="1"/>
      <c r="C213" s="1"/>
      <c r="D213" s="1"/>
      <c r="E213" s="1"/>
      <c r="F213" s="1"/>
    </row>
    <row r="214" spans="1:6" x14ac:dyDescent="0.25">
      <c r="A214" s="1"/>
      <c r="B214" s="1"/>
      <c r="C214" s="1"/>
      <c r="D214" s="1"/>
      <c r="E214" s="1"/>
      <c r="F214" s="1"/>
    </row>
    <row r="215" spans="1:6" x14ac:dyDescent="0.25">
      <c r="A215" s="1"/>
      <c r="B215" s="1"/>
      <c r="C215" s="1"/>
      <c r="D215" s="1"/>
      <c r="E215" s="1"/>
      <c r="F215" s="1"/>
    </row>
    <row r="216" spans="1:6" x14ac:dyDescent="0.25">
      <c r="A216" s="1"/>
      <c r="B216" s="1"/>
      <c r="C216" s="1"/>
      <c r="D216" s="1"/>
      <c r="E216" s="1"/>
      <c r="F216" s="1"/>
    </row>
    <row r="217" spans="1:6" x14ac:dyDescent="0.25">
      <c r="A217" s="1"/>
      <c r="B217" s="1"/>
      <c r="C217" s="1"/>
      <c r="D217" s="1"/>
      <c r="E217" s="1"/>
      <c r="F217" s="1"/>
    </row>
    <row r="218" spans="1:6" x14ac:dyDescent="0.25">
      <c r="A218" s="1"/>
      <c r="B218" s="1"/>
      <c r="C218" s="1"/>
      <c r="D218" s="1"/>
      <c r="E218" s="1"/>
      <c r="F218" s="1"/>
    </row>
    <row r="219" spans="1:6" x14ac:dyDescent="0.25">
      <c r="A219" s="1"/>
      <c r="B219" s="1"/>
      <c r="C219" s="1"/>
      <c r="D219" s="1"/>
      <c r="E219" s="1"/>
      <c r="F219" s="1"/>
    </row>
    <row r="220" spans="1:6" x14ac:dyDescent="0.25">
      <c r="A220" s="1"/>
      <c r="B220" s="1"/>
      <c r="C220" s="1"/>
      <c r="D220" s="1"/>
      <c r="E220" s="1"/>
      <c r="F220" s="1"/>
    </row>
    <row r="221" spans="1:6" x14ac:dyDescent="0.25">
      <c r="A221" s="1"/>
      <c r="B221" s="1"/>
      <c r="C221" s="1"/>
      <c r="D221" s="1"/>
      <c r="E221" s="1"/>
      <c r="F221" s="1"/>
    </row>
    <row r="222" spans="1:6" x14ac:dyDescent="0.25">
      <c r="A222" s="1"/>
      <c r="B222" s="1"/>
      <c r="C222" s="1"/>
      <c r="D222" s="1"/>
      <c r="E222" s="1"/>
      <c r="F222" s="1"/>
    </row>
    <row r="223" spans="1:6" x14ac:dyDescent="0.25">
      <c r="A223" s="1"/>
      <c r="B223" s="1"/>
      <c r="C223" s="1"/>
      <c r="D223" s="1"/>
      <c r="E223" s="1"/>
      <c r="F223" s="1"/>
    </row>
    <row r="224" spans="1:6" x14ac:dyDescent="0.25">
      <c r="A224" s="1"/>
      <c r="B224" s="1"/>
      <c r="C224" s="1"/>
      <c r="D224" s="1"/>
      <c r="E224" s="1"/>
      <c r="F224" s="1"/>
    </row>
    <row r="225" spans="1:6" x14ac:dyDescent="0.25">
      <c r="A225" s="1"/>
      <c r="B225" s="1"/>
      <c r="C225" s="1"/>
      <c r="D225" s="1"/>
      <c r="E225" s="1"/>
      <c r="F225" s="1"/>
    </row>
    <row r="226" spans="1:6" x14ac:dyDescent="0.25">
      <c r="A226" s="1"/>
      <c r="B226" s="1"/>
      <c r="C226" s="1"/>
      <c r="D226" s="1"/>
      <c r="E226" s="1"/>
      <c r="F226" s="1"/>
    </row>
    <row r="227" spans="1:6" x14ac:dyDescent="0.25">
      <c r="A227" s="1"/>
      <c r="B227" s="1"/>
      <c r="C227" s="1"/>
      <c r="D227" s="1"/>
      <c r="E227" s="1"/>
      <c r="F227" s="1"/>
    </row>
    <row r="228" spans="1:6" x14ac:dyDescent="0.25">
      <c r="A228" s="1"/>
      <c r="B228" s="1"/>
      <c r="C228" s="1"/>
      <c r="D228" s="1"/>
      <c r="E228" s="1"/>
      <c r="F228" s="1"/>
    </row>
    <row r="229" spans="1:6" x14ac:dyDescent="0.25">
      <c r="A229" s="1"/>
      <c r="B229" s="1"/>
      <c r="C229" s="1"/>
      <c r="D229" s="1"/>
      <c r="E229" s="1"/>
      <c r="F229" s="1"/>
    </row>
    <row r="230" spans="1:6" x14ac:dyDescent="0.25">
      <c r="A230" s="1"/>
      <c r="B230" s="1"/>
      <c r="C230" s="1"/>
      <c r="D230" s="1"/>
      <c r="E230" s="1"/>
      <c r="F230" s="1"/>
    </row>
    <row r="231" spans="1:6" x14ac:dyDescent="0.25">
      <c r="A231" s="1"/>
      <c r="B231" s="1"/>
      <c r="C231" s="1"/>
      <c r="D231" s="1"/>
      <c r="E231" s="1"/>
      <c r="F231" s="1"/>
    </row>
    <row r="232" spans="1:6" x14ac:dyDescent="0.25">
      <c r="A232" s="1"/>
      <c r="B232" s="1"/>
      <c r="C232" s="1"/>
      <c r="D232" s="1"/>
      <c r="E232" s="1"/>
      <c r="F232" s="1"/>
    </row>
    <row r="233" spans="1:6" x14ac:dyDescent="0.25">
      <c r="A233" s="1"/>
      <c r="B233" s="1"/>
      <c r="C233" s="1"/>
      <c r="D233" s="1"/>
      <c r="E233" s="1"/>
      <c r="F233" s="1"/>
    </row>
    <row r="234" spans="1:6" x14ac:dyDescent="0.25">
      <c r="A234" s="1"/>
      <c r="B234" s="1"/>
      <c r="C234" s="1"/>
      <c r="D234" s="1"/>
      <c r="E234" s="1"/>
      <c r="F234" s="1"/>
    </row>
    <row r="235" spans="1:6" x14ac:dyDescent="0.25">
      <c r="A235" s="1"/>
      <c r="B235" s="1"/>
      <c r="C235" s="1"/>
      <c r="D235" s="1"/>
      <c r="E235" s="1"/>
      <c r="F235" s="1"/>
    </row>
    <row r="236" spans="1:6" x14ac:dyDescent="0.25">
      <c r="A236" s="1"/>
      <c r="B236" s="1"/>
      <c r="C236" s="1"/>
      <c r="D236" s="1"/>
      <c r="E236" s="1"/>
      <c r="F236" s="1"/>
    </row>
    <row r="237" spans="1:6" x14ac:dyDescent="0.25">
      <c r="A237" s="1"/>
      <c r="B237" s="1"/>
      <c r="C237" s="1"/>
      <c r="D237" s="1"/>
      <c r="E237" s="1"/>
      <c r="F237" s="1"/>
    </row>
    <row r="238" spans="1:6" x14ac:dyDescent="0.25">
      <c r="A238" s="1"/>
      <c r="B238" s="1"/>
      <c r="C238" s="1"/>
      <c r="D238" s="1"/>
      <c r="E238" s="1"/>
      <c r="F238" s="1"/>
    </row>
    <row r="239" spans="1:6" x14ac:dyDescent="0.25">
      <c r="A239" s="1"/>
      <c r="B239" s="1"/>
      <c r="C239" s="1"/>
      <c r="D239" s="1"/>
      <c r="E239" s="1"/>
      <c r="F239" s="1"/>
    </row>
    <row r="240" spans="1:6" x14ac:dyDescent="0.25">
      <c r="A240" s="1"/>
      <c r="B240" s="1"/>
      <c r="C240" s="1"/>
      <c r="D240" s="1"/>
      <c r="E240" s="1"/>
      <c r="F240" s="1"/>
    </row>
    <row r="241" spans="1:6" x14ac:dyDescent="0.25">
      <c r="A241" s="1"/>
      <c r="B241" s="1"/>
      <c r="C241" s="1"/>
      <c r="D241" s="1"/>
      <c r="E241" s="1"/>
      <c r="F241" s="1"/>
    </row>
    <row r="242" spans="1:6" x14ac:dyDescent="0.25">
      <c r="A242" s="1"/>
      <c r="B242" s="1"/>
      <c r="C242" s="1"/>
      <c r="D242" s="1"/>
      <c r="E242" s="1"/>
      <c r="F242" s="1"/>
    </row>
    <row r="243" spans="1:6" x14ac:dyDescent="0.25">
      <c r="A243" s="1"/>
      <c r="B243" s="1"/>
      <c r="C243" s="1"/>
      <c r="D243" s="1"/>
      <c r="E243" s="1"/>
      <c r="F243" s="1"/>
    </row>
    <row r="244" spans="1:6" x14ac:dyDescent="0.25">
      <c r="A244" s="1"/>
      <c r="B244" s="1"/>
      <c r="C244" s="1"/>
      <c r="D244" s="1"/>
      <c r="E244" s="1"/>
      <c r="F244" s="1"/>
    </row>
    <row r="245" spans="1:6" x14ac:dyDescent="0.25">
      <c r="A245" s="1"/>
      <c r="B245" s="1"/>
      <c r="C245" s="1"/>
      <c r="D245" s="1"/>
      <c r="E245" s="1"/>
      <c r="F245" s="1"/>
    </row>
    <row r="246" spans="1:6" x14ac:dyDescent="0.25">
      <c r="A246" s="1"/>
      <c r="B246" s="1"/>
      <c r="C246" s="1"/>
      <c r="D246" s="1"/>
      <c r="E246" s="1"/>
      <c r="F246" s="1"/>
    </row>
    <row r="247" spans="1:6" x14ac:dyDescent="0.25">
      <c r="A247" s="1"/>
      <c r="B247" s="1"/>
      <c r="C247" s="1"/>
      <c r="D247" s="1"/>
      <c r="E247" s="1"/>
      <c r="F247" s="1"/>
    </row>
    <row r="248" spans="1:6" x14ac:dyDescent="0.25">
      <c r="A248" s="1"/>
      <c r="B248" s="1"/>
      <c r="C248" s="1"/>
      <c r="D248" s="1"/>
      <c r="E248" s="1"/>
      <c r="F248" s="1"/>
    </row>
    <row r="249" spans="1:6" x14ac:dyDescent="0.25">
      <c r="A249" s="1"/>
      <c r="B249" s="1"/>
      <c r="C249" s="1"/>
      <c r="D249" s="1"/>
      <c r="E249" s="1"/>
      <c r="F249" s="1"/>
    </row>
    <row r="250" spans="1:6" x14ac:dyDescent="0.25">
      <c r="A250" s="1"/>
      <c r="B250" s="1"/>
      <c r="C250" s="1"/>
      <c r="D250" s="1"/>
      <c r="E250" s="1"/>
      <c r="F250" s="1"/>
    </row>
    <row r="251" spans="1:6" x14ac:dyDescent="0.25">
      <c r="A251" s="1"/>
      <c r="B251" s="1"/>
      <c r="C251" s="1"/>
      <c r="D251" s="1"/>
      <c r="E251" s="1"/>
      <c r="F251" s="1"/>
    </row>
    <row r="252" spans="1:6" x14ac:dyDescent="0.25">
      <c r="A252" s="1"/>
      <c r="B252" s="1"/>
      <c r="C252" s="1"/>
      <c r="D252" s="1"/>
      <c r="E252" s="1"/>
      <c r="F252" s="1"/>
    </row>
    <row r="253" spans="1:6" x14ac:dyDescent="0.25">
      <c r="A253" s="1"/>
      <c r="B253" s="1"/>
      <c r="C253" s="1"/>
      <c r="D253" s="1"/>
      <c r="E253" s="1"/>
      <c r="F253" s="1"/>
    </row>
    <row r="254" spans="1:6" x14ac:dyDescent="0.25">
      <c r="A254" s="1"/>
      <c r="B254" s="1"/>
      <c r="C254" s="1"/>
      <c r="D254" s="1"/>
      <c r="E254" s="1"/>
      <c r="F254" s="1"/>
    </row>
    <row r="255" spans="1:6" x14ac:dyDescent="0.25">
      <c r="A255" s="1"/>
      <c r="B255" s="1"/>
      <c r="C255" s="1"/>
      <c r="D255" s="1"/>
      <c r="E255" s="1"/>
      <c r="F255" s="1"/>
    </row>
    <row r="256" spans="1:6" x14ac:dyDescent="0.25">
      <c r="A256" s="1"/>
      <c r="B256" s="1"/>
      <c r="C256" s="1"/>
      <c r="D256" s="1"/>
      <c r="E256" s="1"/>
      <c r="F256" s="1"/>
    </row>
    <row r="257" spans="1:6" x14ac:dyDescent="0.25">
      <c r="A257" s="1"/>
      <c r="B257" s="1"/>
      <c r="C257" s="1"/>
      <c r="D257" s="1"/>
      <c r="E257" s="1"/>
      <c r="F257" s="1"/>
    </row>
    <row r="258" spans="1:6" x14ac:dyDescent="0.25">
      <c r="A258" s="1"/>
      <c r="B258" s="1"/>
      <c r="C258" s="1"/>
      <c r="D258" s="1"/>
      <c r="E258" s="1"/>
      <c r="F258" s="1"/>
    </row>
    <row r="259" spans="1:6" x14ac:dyDescent="0.25">
      <c r="A259" s="1"/>
      <c r="B259" s="1"/>
      <c r="C259" s="1"/>
      <c r="D259" s="1"/>
      <c r="E259" s="1"/>
      <c r="F259" s="1"/>
    </row>
    <row r="260" spans="1:6" x14ac:dyDescent="0.25">
      <c r="A260" s="1"/>
      <c r="B260" s="1"/>
      <c r="C260" s="1"/>
      <c r="D260" s="1"/>
      <c r="E260" s="1"/>
      <c r="F260" s="1"/>
    </row>
    <row r="261" spans="1:6" x14ac:dyDescent="0.25">
      <c r="A261" s="1"/>
      <c r="B261" s="1"/>
      <c r="C261" s="1"/>
      <c r="D261" s="1"/>
      <c r="E261" s="1"/>
      <c r="F261" s="1"/>
    </row>
    <row r="262" spans="1:6" x14ac:dyDescent="0.25">
      <c r="A262" s="1"/>
      <c r="B262" s="1"/>
      <c r="C262" s="1"/>
      <c r="D262" s="1"/>
      <c r="E262" s="1"/>
      <c r="F262" s="1"/>
    </row>
    <row r="263" spans="1:6" x14ac:dyDescent="0.25">
      <c r="A263" s="1"/>
      <c r="B263" s="1"/>
      <c r="C263" s="1"/>
      <c r="D263" s="1"/>
      <c r="E263" s="1"/>
      <c r="F263" s="1"/>
    </row>
    <row r="264" spans="1:6" x14ac:dyDescent="0.25">
      <c r="A264" s="1"/>
      <c r="B264" s="1"/>
      <c r="C264" s="1"/>
      <c r="D264" s="1"/>
      <c r="E264" s="1"/>
      <c r="F264" s="1"/>
    </row>
    <row r="265" spans="1:6" x14ac:dyDescent="0.25">
      <c r="A265" s="1"/>
      <c r="B265" s="1"/>
      <c r="C265" s="1"/>
      <c r="D265" s="1"/>
      <c r="E265" s="1"/>
      <c r="F265" s="1"/>
    </row>
    <row r="266" spans="1:6" x14ac:dyDescent="0.25">
      <c r="A266" s="1"/>
      <c r="B266" s="1"/>
      <c r="C266" s="1"/>
      <c r="D266" s="1"/>
      <c r="E266" s="1"/>
      <c r="F266" s="1"/>
    </row>
    <row r="267" spans="1:6" x14ac:dyDescent="0.25">
      <c r="A267" s="1"/>
      <c r="B267" s="1"/>
      <c r="C267" s="1"/>
      <c r="D267" s="1"/>
      <c r="E267" s="1"/>
      <c r="F267" s="1"/>
    </row>
    <row r="268" spans="1:6" x14ac:dyDescent="0.25">
      <c r="A268" s="1"/>
      <c r="B268" s="1"/>
      <c r="C268" s="1"/>
      <c r="D268" s="1"/>
      <c r="E268" s="1"/>
      <c r="F268" s="1"/>
    </row>
    <row r="269" spans="1:6" x14ac:dyDescent="0.25">
      <c r="A269" s="1"/>
      <c r="B269" s="1"/>
      <c r="C269" s="1"/>
      <c r="D269" s="1"/>
      <c r="E269" s="1"/>
      <c r="F269" s="1"/>
    </row>
    <row r="270" spans="1:6" x14ac:dyDescent="0.25">
      <c r="A270" s="1"/>
      <c r="B270" s="1"/>
      <c r="C270" s="1"/>
      <c r="D270" s="1"/>
      <c r="E270" s="1"/>
      <c r="F270" s="1"/>
    </row>
    <row r="271" spans="1:6" x14ac:dyDescent="0.25">
      <c r="A271" s="1"/>
      <c r="B271" s="1"/>
      <c r="C271" s="1"/>
      <c r="D271" s="1"/>
      <c r="E271" s="1"/>
      <c r="F271" s="1"/>
    </row>
    <row r="272" spans="1:6" x14ac:dyDescent="0.25">
      <c r="A272" s="1"/>
      <c r="B272" s="1"/>
      <c r="C272" s="1"/>
      <c r="D272" s="1"/>
      <c r="E272" s="1"/>
      <c r="F272" s="1"/>
    </row>
    <row r="273" spans="1:6" x14ac:dyDescent="0.25">
      <c r="A273" s="1"/>
      <c r="B273" s="1"/>
      <c r="C273" s="1"/>
      <c r="D273" s="1"/>
      <c r="E273" s="1"/>
      <c r="F273" s="1"/>
    </row>
    <row r="274" spans="1:6" x14ac:dyDescent="0.25">
      <c r="A274" s="1"/>
      <c r="B274" s="1"/>
      <c r="C274" s="1"/>
      <c r="D274" s="1"/>
      <c r="E274" s="1"/>
      <c r="F274" s="1"/>
    </row>
    <row r="275" spans="1:6" x14ac:dyDescent="0.25">
      <c r="A275" s="1"/>
      <c r="B275" s="1"/>
      <c r="C275" s="1"/>
      <c r="D275" s="1"/>
      <c r="E275" s="1"/>
      <c r="F275" s="1"/>
    </row>
    <row r="276" spans="1:6" x14ac:dyDescent="0.25">
      <c r="A276" s="1"/>
      <c r="B276" s="1"/>
      <c r="C276" s="1"/>
      <c r="D276" s="1"/>
      <c r="E276" s="1"/>
      <c r="F276" s="1"/>
    </row>
    <row r="277" spans="1:6" x14ac:dyDescent="0.25">
      <c r="A277" s="1"/>
      <c r="B277" s="1"/>
      <c r="C277" s="1"/>
      <c r="D277" s="1"/>
      <c r="E277" s="1"/>
      <c r="F277" s="1"/>
    </row>
    <row r="278" spans="1:6" x14ac:dyDescent="0.25">
      <c r="A278" s="1"/>
      <c r="B278" s="1"/>
      <c r="C278" s="1"/>
      <c r="D278" s="1"/>
      <c r="E278" s="1"/>
      <c r="F278" s="1"/>
    </row>
    <row r="279" spans="1:6" x14ac:dyDescent="0.25">
      <c r="A279" s="1"/>
      <c r="B279" s="1"/>
      <c r="C279" s="1"/>
      <c r="D279" s="1"/>
      <c r="E279" s="1"/>
      <c r="F279" s="1"/>
    </row>
    <row r="280" spans="1:6" x14ac:dyDescent="0.25">
      <c r="A280" s="1"/>
      <c r="B280" s="1"/>
      <c r="C280" s="1"/>
      <c r="D280" s="1"/>
      <c r="E280" s="1"/>
      <c r="F280" s="1"/>
    </row>
    <row r="281" spans="1:6" x14ac:dyDescent="0.25">
      <c r="A281" s="1"/>
      <c r="B281" s="1"/>
      <c r="C281" s="1"/>
      <c r="D281" s="1"/>
      <c r="E281" s="1"/>
      <c r="F281" s="1"/>
    </row>
    <row r="282" spans="1:6" x14ac:dyDescent="0.25">
      <c r="A282" s="1"/>
      <c r="B282" s="1"/>
      <c r="C282" s="1"/>
      <c r="D282" s="1"/>
      <c r="E282" s="1"/>
      <c r="F282" s="1"/>
    </row>
    <row r="283" spans="1:6" x14ac:dyDescent="0.25">
      <c r="A283" s="1"/>
      <c r="B283" s="1"/>
      <c r="C283" s="1"/>
      <c r="D283" s="1"/>
      <c r="E283" s="1"/>
      <c r="F283" s="1"/>
    </row>
    <row r="284" spans="1:6" x14ac:dyDescent="0.25">
      <c r="A284" s="1"/>
      <c r="B284" s="1"/>
      <c r="C284" s="1"/>
      <c r="D284" s="1"/>
      <c r="E284" s="1"/>
      <c r="F284" s="1"/>
    </row>
    <row r="285" spans="1:6" x14ac:dyDescent="0.25">
      <c r="A285" s="1"/>
      <c r="B285" s="1"/>
      <c r="C285" s="1"/>
      <c r="D285" s="1"/>
      <c r="E285" s="1"/>
      <c r="F285" s="1"/>
    </row>
    <row r="286" spans="1:6" x14ac:dyDescent="0.25">
      <c r="A286" s="1"/>
      <c r="B286" s="1"/>
      <c r="C286" s="1"/>
      <c r="D286" s="1"/>
      <c r="E286" s="1"/>
      <c r="F286" s="1"/>
    </row>
    <row r="287" spans="1:6" x14ac:dyDescent="0.25">
      <c r="A287" s="1"/>
      <c r="B287" s="1"/>
      <c r="C287" s="1"/>
      <c r="D287" s="1"/>
      <c r="E287" s="1"/>
      <c r="F287" s="1"/>
    </row>
    <row r="288" spans="1:6" x14ac:dyDescent="0.25">
      <c r="A288" s="1"/>
      <c r="B288" s="1"/>
      <c r="C288" s="1"/>
      <c r="D288" s="1"/>
      <c r="E288" s="1"/>
      <c r="F288" s="1"/>
    </row>
    <row r="289" spans="1:6" x14ac:dyDescent="0.25">
      <c r="A289" s="1"/>
      <c r="B289" s="1"/>
      <c r="C289" s="1"/>
      <c r="D289" s="1"/>
      <c r="E289" s="1"/>
      <c r="F289" s="1"/>
    </row>
    <row r="290" spans="1:6" x14ac:dyDescent="0.25">
      <c r="A290" s="1"/>
      <c r="B290" s="1"/>
      <c r="C290" s="1"/>
      <c r="D290" s="1"/>
      <c r="E290" s="1"/>
      <c r="F290" s="1"/>
    </row>
    <row r="291" spans="1:6" x14ac:dyDescent="0.25">
      <c r="A291" s="1"/>
      <c r="B291" s="1"/>
      <c r="C291" s="1"/>
      <c r="D291" s="1"/>
      <c r="E291" s="1"/>
      <c r="F291" s="1"/>
    </row>
    <row r="292" spans="1:6" x14ac:dyDescent="0.25">
      <c r="A292" s="1"/>
      <c r="B292" s="1"/>
      <c r="C292" s="1"/>
      <c r="D292" s="1"/>
      <c r="E292" s="1"/>
      <c r="F292" s="1"/>
    </row>
    <row r="293" spans="1:6" x14ac:dyDescent="0.25">
      <c r="A293" s="1"/>
      <c r="B293" s="1"/>
      <c r="C293" s="1"/>
      <c r="D293" s="1"/>
      <c r="E293" s="1"/>
      <c r="F293" s="1"/>
    </row>
    <row r="294" spans="1:6" x14ac:dyDescent="0.25">
      <c r="A294" s="1"/>
      <c r="B294" s="1"/>
      <c r="C294" s="1"/>
      <c r="D294" s="1"/>
      <c r="E294" s="1"/>
      <c r="F294" s="1"/>
    </row>
    <row r="295" spans="1:6" x14ac:dyDescent="0.25">
      <c r="A295" s="1"/>
      <c r="B295" s="1"/>
      <c r="C295" s="1"/>
      <c r="D295" s="1"/>
      <c r="E295" s="1"/>
      <c r="F295" s="1"/>
    </row>
    <row r="296" spans="1:6" x14ac:dyDescent="0.25">
      <c r="A296" s="1"/>
      <c r="B296" s="1"/>
      <c r="C296" s="1"/>
      <c r="D296" s="1"/>
      <c r="E296" s="1"/>
      <c r="F296" s="1"/>
    </row>
    <row r="297" spans="1:6" x14ac:dyDescent="0.25">
      <c r="A297" s="1"/>
      <c r="B297" s="1"/>
      <c r="C297" s="1"/>
      <c r="D297" s="1"/>
      <c r="E297" s="1"/>
      <c r="F297" s="1"/>
    </row>
    <row r="298" spans="1:6" x14ac:dyDescent="0.25">
      <c r="A298" s="1"/>
      <c r="B298" s="1"/>
      <c r="C298" s="1"/>
      <c r="D298" s="1"/>
      <c r="E298" s="1"/>
      <c r="F298" s="1"/>
    </row>
    <row r="299" spans="1:6" x14ac:dyDescent="0.25">
      <c r="A299" s="1"/>
      <c r="B299" s="1"/>
      <c r="C299" s="1"/>
      <c r="D299" s="1"/>
      <c r="E299" s="1"/>
      <c r="F299" s="1"/>
    </row>
    <row r="300" spans="1:6" x14ac:dyDescent="0.25">
      <c r="A300" s="1"/>
      <c r="B300" s="1"/>
      <c r="C300" s="1"/>
      <c r="D300" s="1"/>
      <c r="E300" s="1"/>
      <c r="F300" s="1"/>
    </row>
    <row r="301" spans="1:6" x14ac:dyDescent="0.25">
      <c r="A301" s="1"/>
      <c r="B301" s="1"/>
      <c r="C301" s="1"/>
      <c r="D301" s="1"/>
      <c r="E301" s="1"/>
      <c r="F301" s="1"/>
    </row>
    <row r="302" spans="1:6" x14ac:dyDescent="0.25">
      <c r="A302" s="1"/>
      <c r="B302" s="1"/>
      <c r="C302" s="1"/>
      <c r="D302" s="1"/>
      <c r="E302" s="1"/>
      <c r="F302" s="1"/>
    </row>
    <row r="303" spans="1:6" x14ac:dyDescent="0.25">
      <c r="A303" s="1"/>
      <c r="B303" s="1"/>
      <c r="C303" s="1"/>
      <c r="D303" s="1"/>
      <c r="E303" s="1"/>
      <c r="F303" s="1"/>
    </row>
    <row r="304" spans="1:6" x14ac:dyDescent="0.25">
      <c r="A304" s="1"/>
      <c r="B304" s="1"/>
      <c r="C304" s="1"/>
      <c r="D304" s="1"/>
      <c r="E304" s="1"/>
      <c r="F304" s="1"/>
    </row>
    <row r="305" spans="1:6" x14ac:dyDescent="0.25">
      <c r="A305" s="1"/>
      <c r="B305" s="1"/>
      <c r="C305" s="1"/>
      <c r="D305" s="1"/>
      <c r="E305" s="1"/>
      <c r="F305" s="1"/>
    </row>
    <row r="306" spans="1:6" x14ac:dyDescent="0.25">
      <c r="A306" s="1"/>
      <c r="B306" s="1"/>
      <c r="C306" s="1"/>
      <c r="D306" s="1"/>
      <c r="E306" s="1"/>
      <c r="F306" s="1"/>
    </row>
    <row r="307" spans="1:6" x14ac:dyDescent="0.25">
      <c r="A307" s="1"/>
      <c r="B307" s="1"/>
      <c r="C307" s="1"/>
      <c r="D307" s="1"/>
      <c r="E307" s="1"/>
      <c r="F307" s="1"/>
    </row>
    <row r="308" spans="1:6" x14ac:dyDescent="0.25">
      <c r="A308" s="1"/>
      <c r="B308" s="1"/>
      <c r="C308" s="1"/>
      <c r="D308" s="1"/>
      <c r="E308" s="1"/>
      <c r="F308" s="1"/>
    </row>
    <row r="309" spans="1:6" x14ac:dyDescent="0.25">
      <c r="A309" s="1"/>
      <c r="B309" s="1"/>
      <c r="C309" s="1"/>
      <c r="D309" s="1"/>
      <c r="E309" s="1"/>
      <c r="F309" s="1"/>
    </row>
    <row r="310" spans="1:6" x14ac:dyDescent="0.25">
      <c r="A310" s="1"/>
      <c r="B310" s="1"/>
      <c r="C310" s="1"/>
      <c r="D310" s="1"/>
      <c r="E310" s="1"/>
      <c r="F310" s="1"/>
    </row>
    <row r="311" spans="1:6" x14ac:dyDescent="0.25">
      <c r="A311" s="1"/>
      <c r="B311" s="1"/>
      <c r="C311" s="1"/>
      <c r="D311" s="1"/>
      <c r="E311" s="1"/>
      <c r="F311" s="1"/>
    </row>
    <row r="312" spans="1:6" x14ac:dyDescent="0.25">
      <c r="A312" s="1"/>
      <c r="B312" s="1"/>
      <c r="C312" s="1"/>
      <c r="D312" s="1"/>
      <c r="E312" s="1"/>
      <c r="F312" s="1"/>
    </row>
    <row r="313" spans="1:6" x14ac:dyDescent="0.25">
      <c r="A313" s="1"/>
      <c r="B313" s="1"/>
      <c r="C313" s="1"/>
      <c r="D313" s="1"/>
      <c r="E313" s="1"/>
      <c r="F313" s="1"/>
    </row>
    <row r="314" spans="1:6" x14ac:dyDescent="0.25">
      <c r="A314" s="1"/>
      <c r="B314" s="1"/>
      <c r="C314" s="1"/>
      <c r="D314" s="1"/>
      <c r="E314" s="1"/>
      <c r="F314" s="1"/>
    </row>
    <row r="315" spans="1:6" x14ac:dyDescent="0.25">
      <c r="A315" s="1"/>
      <c r="B315" s="1"/>
      <c r="C315" s="1"/>
      <c r="D315" s="1"/>
      <c r="E315" s="1"/>
      <c r="F315" s="1"/>
    </row>
    <row r="316" spans="1:6" x14ac:dyDescent="0.25">
      <c r="A316" s="1"/>
      <c r="B316" s="1"/>
      <c r="C316" s="1"/>
      <c r="D316" s="1"/>
      <c r="E316" s="1"/>
      <c r="F316" s="1"/>
    </row>
    <row r="317" spans="1:6" x14ac:dyDescent="0.25">
      <c r="A317" s="1"/>
      <c r="B317" s="1"/>
      <c r="C317" s="1"/>
      <c r="D317" s="1"/>
      <c r="E317" s="1"/>
      <c r="F317" s="1"/>
    </row>
    <row r="318" spans="1:6" x14ac:dyDescent="0.25">
      <c r="A318" s="1"/>
      <c r="B318" s="1"/>
      <c r="C318" s="1"/>
      <c r="D318" s="1"/>
      <c r="E318" s="1"/>
      <c r="F318" s="1"/>
    </row>
    <row r="319" spans="1:6" x14ac:dyDescent="0.25">
      <c r="A319" s="1"/>
      <c r="B319" s="1"/>
      <c r="C319" s="1"/>
      <c r="D319" s="1"/>
      <c r="E319" s="1"/>
      <c r="F319" s="1"/>
    </row>
    <row r="320" spans="1:6" x14ac:dyDescent="0.25">
      <c r="A320" s="1"/>
      <c r="B320" s="1"/>
      <c r="C320" s="1"/>
      <c r="D320" s="1"/>
      <c r="E320" s="1"/>
      <c r="F320" s="1"/>
    </row>
    <row r="321" spans="1:6" x14ac:dyDescent="0.25">
      <c r="A321" s="1"/>
      <c r="B321" s="1"/>
      <c r="C321" s="1"/>
      <c r="D321" s="1"/>
      <c r="E321" s="1"/>
      <c r="F321" s="1"/>
    </row>
    <row r="322" spans="1:6" x14ac:dyDescent="0.25">
      <c r="A322" s="1"/>
      <c r="B322" s="1"/>
      <c r="C322" s="1"/>
      <c r="D322" s="1"/>
      <c r="E322" s="1"/>
      <c r="F322" s="1"/>
    </row>
    <row r="323" spans="1:6" x14ac:dyDescent="0.25">
      <c r="A323" s="1"/>
      <c r="B323" s="1"/>
      <c r="C323" s="1"/>
      <c r="D323" s="1"/>
      <c r="E323" s="1"/>
      <c r="F323" s="1"/>
    </row>
    <row r="324" spans="1:6" x14ac:dyDescent="0.25">
      <c r="A324" s="1"/>
      <c r="B324" s="1"/>
      <c r="C324" s="1"/>
      <c r="D324" s="1"/>
      <c r="E324" s="1"/>
      <c r="F324" s="1"/>
    </row>
    <row r="325" spans="1:6" x14ac:dyDescent="0.25">
      <c r="A325" s="1"/>
      <c r="B325" s="1"/>
      <c r="C325" s="1"/>
      <c r="D325" s="1"/>
      <c r="E325" s="1"/>
      <c r="F325" s="1"/>
    </row>
    <row r="326" spans="1:6" x14ac:dyDescent="0.25">
      <c r="A326" s="1"/>
      <c r="B326" s="1"/>
      <c r="C326" s="1"/>
      <c r="D326" s="1"/>
      <c r="E326" s="1"/>
      <c r="F326" s="1"/>
    </row>
    <row r="327" spans="1:6" x14ac:dyDescent="0.25">
      <c r="A327" s="1"/>
      <c r="B327" s="1"/>
      <c r="C327" s="1"/>
      <c r="D327" s="1"/>
      <c r="E327" s="1"/>
      <c r="F327" s="1"/>
    </row>
    <row r="328" spans="1:6" x14ac:dyDescent="0.25">
      <c r="A328" s="1"/>
      <c r="B328" s="1"/>
      <c r="C328" s="1"/>
      <c r="D328" s="1"/>
      <c r="E328" s="1"/>
      <c r="F328" s="1"/>
    </row>
    <row r="329" spans="1:6" x14ac:dyDescent="0.25">
      <c r="A329" s="1"/>
      <c r="B329" s="1"/>
      <c r="C329" s="1"/>
      <c r="D329" s="1"/>
      <c r="E329" s="1"/>
      <c r="F329" s="1"/>
    </row>
    <row r="330" spans="1:6" x14ac:dyDescent="0.25">
      <c r="A330" s="1"/>
      <c r="B330" s="1"/>
      <c r="C330" s="1"/>
      <c r="D330" s="1"/>
      <c r="E330" s="1"/>
      <c r="F330" s="1"/>
    </row>
    <row r="331" spans="1:6" x14ac:dyDescent="0.25">
      <c r="A331" s="1"/>
      <c r="B331" s="1"/>
      <c r="C331" s="1"/>
      <c r="D331" s="1"/>
      <c r="E331" s="1"/>
      <c r="F331" s="1"/>
    </row>
    <row r="332" spans="1:6" x14ac:dyDescent="0.25">
      <c r="A332" s="1"/>
      <c r="B332" s="1"/>
      <c r="C332" s="1"/>
      <c r="D332" s="1"/>
      <c r="E332" s="1"/>
      <c r="F332" s="1"/>
    </row>
    <row r="333" spans="1:6" x14ac:dyDescent="0.25">
      <c r="A333" s="1"/>
      <c r="B333" s="1"/>
      <c r="C333" s="1"/>
      <c r="D333" s="1"/>
      <c r="E333" s="1"/>
      <c r="F333" s="1"/>
    </row>
    <row r="334" spans="1:6" x14ac:dyDescent="0.25">
      <c r="A334" s="1"/>
      <c r="B334" s="1"/>
      <c r="C334" s="1"/>
      <c r="D334" s="1"/>
      <c r="E334" s="1"/>
      <c r="F334" s="1"/>
    </row>
    <row r="335" spans="1:6" x14ac:dyDescent="0.25">
      <c r="A335" s="1"/>
      <c r="B335" s="1"/>
      <c r="C335" s="1"/>
      <c r="D335" s="1"/>
      <c r="E335" s="1"/>
      <c r="F335" s="1"/>
    </row>
    <row r="336" spans="1:6" x14ac:dyDescent="0.25">
      <c r="A336" s="1"/>
      <c r="B336" s="1"/>
      <c r="C336" s="1"/>
      <c r="D336" s="1"/>
      <c r="E336" s="1"/>
      <c r="F336" s="1"/>
    </row>
    <row r="337" spans="1:6" x14ac:dyDescent="0.25">
      <c r="A337" s="1"/>
      <c r="B337" s="1"/>
      <c r="C337" s="1"/>
      <c r="D337" s="1"/>
      <c r="E337" s="1"/>
      <c r="F337" s="1"/>
    </row>
    <row r="338" spans="1:6" x14ac:dyDescent="0.25">
      <c r="A338" s="1"/>
      <c r="B338" s="1"/>
      <c r="C338" s="1"/>
      <c r="D338" s="1"/>
      <c r="E338" s="1"/>
      <c r="F338" s="1"/>
    </row>
    <row r="339" spans="1:6" x14ac:dyDescent="0.25">
      <c r="A339" s="1"/>
      <c r="B339" s="1"/>
      <c r="C339" s="1"/>
      <c r="D339" s="1"/>
      <c r="E339" s="1"/>
      <c r="F339" s="1"/>
    </row>
    <row r="340" spans="1:6" x14ac:dyDescent="0.25">
      <c r="A340" s="1"/>
      <c r="B340" s="1"/>
      <c r="C340" s="1"/>
      <c r="D340" s="1"/>
      <c r="E340" s="1"/>
      <c r="F340" s="1"/>
    </row>
    <row r="341" spans="1:6" x14ac:dyDescent="0.25">
      <c r="A341" s="1"/>
      <c r="B341" s="1"/>
      <c r="C341" s="1"/>
      <c r="D341" s="1"/>
      <c r="E341" s="1"/>
      <c r="F341" s="1"/>
    </row>
    <row r="342" spans="1:6" x14ac:dyDescent="0.25">
      <c r="A342" s="1"/>
      <c r="B342" s="1"/>
      <c r="C342" s="1"/>
      <c r="D342" s="1"/>
      <c r="E342" s="1"/>
      <c r="F342" s="1"/>
    </row>
    <row r="343" spans="1:6" x14ac:dyDescent="0.25">
      <c r="A343" s="1"/>
      <c r="B343" s="1"/>
      <c r="C343" s="1"/>
      <c r="D343" s="1"/>
      <c r="E343" s="1"/>
      <c r="F343" s="1"/>
    </row>
    <row r="344" spans="1:6" x14ac:dyDescent="0.25">
      <c r="A344" s="1"/>
      <c r="B344" s="1"/>
      <c r="C344" s="1"/>
      <c r="D344" s="1"/>
      <c r="E344" s="1"/>
      <c r="F344" s="1"/>
    </row>
    <row r="345" spans="1:6" x14ac:dyDescent="0.25">
      <c r="A345" s="1"/>
      <c r="B345" s="1"/>
      <c r="C345" s="1"/>
      <c r="D345" s="1"/>
      <c r="E345" s="1"/>
      <c r="F345" s="1"/>
    </row>
    <row r="346" spans="1:6" x14ac:dyDescent="0.25">
      <c r="A346" s="1"/>
      <c r="B346" s="1"/>
      <c r="C346" s="1"/>
      <c r="D346" s="1"/>
      <c r="E346" s="1"/>
      <c r="F346" s="1"/>
    </row>
    <row r="347" spans="1:6" x14ac:dyDescent="0.25">
      <c r="A347" s="1"/>
      <c r="B347" s="1"/>
      <c r="C347" s="1"/>
      <c r="D347" s="1"/>
      <c r="E347" s="1"/>
      <c r="F347" s="1"/>
    </row>
    <row r="348" spans="1:6" x14ac:dyDescent="0.25">
      <c r="A348" s="1"/>
      <c r="B348" s="1"/>
      <c r="C348" s="1"/>
      <c r="D348" s="1"/>
      <c r="E348" s="1"/>
      <c r="F348" s="1"/>
    </row>
    <row r="349" spans="1:6" x14ac:dyDescent="0.25">
      <c r="A349" s="1"/>
      <c r="B349" s="1"/>
      <c r="C349" s="1"/>
      <c r="D349" s="1"/>
      <c r="E349" s="1"/>
      <c r="F349" s="1"/>
    </row>
    <row r="350" spans="1:6" x14ac:dyDescent="0.25">
      <c r="A350" s="1"/>
      <c r="B350" s="1"/>
      <c r="C350" s="1"/>
      <c r="D350" s="1"/>
      <c r="E350" s="1"/>
      <c r="F350" s="1"/>
    </row>
    <row r="351" spans="1:6" x14ac:dyDescent="0.25">
      <c r="A351" s="1"/>
      <c r="B351" s="1"/>
      <c r="C351" s="1"/>
      <c r="D351" s="1"/>
      <c r="E351" s="1"/>
      <c r="F351" s="1"/>
    </row>
    <row r="352" spans="1:6" x14ac:dyDescent="0.25">
      <c r="A352" s="1"/>
      <c r="B352" s="1"/>
      <c r="C352" s="1"/>
      <c r="D352" s="1"/>
      <c r="E352" s="1"/>
      <c r="F352" s="1"/>
    </row>
    <row r="353" spans="1:6" x14ac:dyDescent="0.25">
      <c r="A353" s="1"/>
      <c r="B353" s="1"/>
      <c r="C353" s="1"/>
      <c r="D353" s="1"/>
      <c r="E353" s="1"/>
      <c r="F353" s="1"/>
    </row>
    <row r="354" spans="1:6" x14ac:dyDescent="0.25">
      <c r="A354" s="1"/>
      <c r="B354" s="1"/>
      <c r="C354" s="1"/>
      <c r="D354" s="1"/>
      <c r="E354" s="1"/>
      <c r="F354" s="1"/>
    </row>
    <row r="355" spans="1:6" x14ac:dyDescent="0.25">
      <c r="A355" s="1"/>
      <c r="B355" s="1"/>
      <c r="C355" s="1"/>
      <c r="D355" s="1"/>
      <c r="E355" s="1"/>
      <c r="F355" s="1"/>
    </row>
    <row r="356" spans="1:6" x14ac:dyDescent="0.25">
      <c r="A356" s="1"/>
      <c r="B356" s="1"/>
      <c r="C356" s="1"/>
      <c r="D356" s="1"/>
      <c r="E356" s="1"/>
      <c r="F356" s="1"/>
    </row>
    <row r="357" spans="1:6" x14ac:dyDescent="0.25">
      <c r="A357" s="1"/>
      <c r="B357" s="1"/>
      <c r="C357" s="1"/>
      <c r="D357" s="1"/>
      <c r="E357" s="1"/>
      <c r="F357" s="1"/>
    </row>
    <row r="358" spans="1:6" x14ac:dyDescent="0.25">
      <c r="A358" s="1"/>
      <c r="B358" s="1"/>
      <c r="C358" s="1"/>
      <c r="D358" s="1"/>
      <c r="E358" s="1"/>
      <c r="F358" s="1"/>
    </row>
    <row r="359" spans="1:6" x14ac:dyDescent="0.25">
      <c r="A359" s="1"/>
      <c r="B359" s="1"/>
      <c r="C359" s="1"/>
      <c r="D359" s="1"/>
      <c r="E359" s="1"/>
      <c r="F359" s="1"/>
    </row>
    <row r="360" spans="1:6" x14ac:dyDescent="0.25">
      <c r="A360" s="1"/>
      <c r="B360" s="1"/>
      <c r="C360" s="1"/>
      <c r="D360" s="1"/>
      <c r="E360" s="1"/>
      <c r="F360" s="1"/>
    </row>
    <row r="361" spans="1:6" x14ac:dyDescent="0.25">
      <c r="A361" s="1"/>
      <c r="B361" s="1"/>
      <c r="C361" s="1"/>
      <c r="D361" s="1"/>
      <c r="E361" s="1"/>
      <c r="F361" s="1"/>
    </row>
    <row r="362" spans="1:6" x14ac:dyDescent="0.25">
      <c r="A362" s="1"/>
      <c r="B362" s="1"/>
      <c r="C362" s="1"/>
      <c r="D362" s="1"/>
      <c r="E362" s="1"/>
      <c r="F362" s="1"/>
    </row>
    <row r="363" spans="1:6" x14ac:dyDescent="0.25">
      <c r="A363" s="1"/>
      <c r="B363" s="1"/>
      <c r="C363" s="1"/>
      <c r="D363" s="1"/>
      <c r="E363" s="1"/>
      <c r="F363" s="1"/>
    </row>
    <row r="364" spans="1:6" x14ac:dyDescent="0.25">
      <c r="A364" s="1"/>
      <c r="B364" s="1"/>
      <c r="C364" s="1"/>
      <c r="D364" s="1"/>
      <c r="E364" s="1"/>
      <c r="F364" s="1"/>
    </row>
    <row r="365" spans="1:6" x14ac:dyDescent="0.25">
      <c r="A365" s="1"/>
      <c r="B365" s="1"/>
      <c r="C365" s="1"/>
      <c r="D365" s="1"/>
      <c r="E365" s="1"/>
      <c r="F365" s="1"/>
    </row>
    <row r="366" spans="1:6" x14ac:dyDescent="0.25">
      <c r="A366" s="1"/>
      <c r="B366" s="1"/>
      <c r="C366" s="1"/>
      <c r="D366" s="1"/>
      <c r="E366" s="1"/>
      <c r="F366" s="1"/>
    </row>
    <row r="367" spans="1:6" x14ac:dyDescent="0.25">
      <c r="A367" s="1"/>
      <c r="B367" s="1"/>
      <c r="C367" s="1"/>
      <c r="D367" s="1"/>
      <c r="E367" s="1"/>
      <c r="F367" s="1"/>
    </row>
    <row r="368" spans="1:6" x14ac:dyDescent="0.25">
      <c r="A368" s="1"/>
      <c r="B368" s="1"/>
      <c r="C368" s="1"/>
      <c r="D368" s="1"/>
      <c r="E368" s="1"/>
      <c r="F368" s="1"/>
    </row>
    <row r="369" spans="1:6" x14ac:dyDescent="0.25">
      <c r="A369" s="1"/>
      <c r="B369" s="1"/>
      <c r="C369" s="1"/>
      <c r="D369" s="1"/>
      <c r="E369" s="1"/>
      <c r="F369" s="1"/>
    </row>
    <row r="370" spans="1:6" x14ac:dyDescent="0.25">
      <c r="A370" s="1"/>
      <c r="B370" s="1"/>
      <c r="C370" s="1"/>
      <c r="D370" s="1"/>
      <c r="E370" s="1"/>
      <c r="F370" s="1"/>
    </row>
    <row r="371" spans="1:6" x14ac:dyDescent="0.25">
      <c r="A371" s="1"/>
      <c r="B371" s="1"/>
      <c r="C371" s="1"/>
      <c r="D371" s="1"/>
      <c r="E371" s="1"/>
      <c r="F371" s="1"/>
    </row>
    <row r="372" spans="1:6" x14ac:dyDescent="0.25">
      <c r="A372" s="1"/>
      <c r="B372" s="1"/>
      <c r="C372" s="1"/>
      <c r="D372" s="1"/>
      <c r="E372" s="1"/>
      <c r="F372" s="1"/>
    </row>
    <row r="373" spans="1:6" x14ac:dyDescent="0.25">
      <c r="A373" s="1"/>
      <c r="B373" s="1"/>
      <c r="C373" s="1"/>
      <c r="D373" s="1"/>
      <c r="E373" s="1"/>
      <c r="F373" s="1"/>
    </row>
    <row r="374" spans="1:6" x14ac:dyDescent="0.25">
      <c r="A374" s="1"/>
      <c r="B374" s="1"/>
      <c r="C374" s="1"/>
      <c r="D374" s="1"/>
      <c r="E374" s="1"/>
      <c r="F374" s="1"/>
    </row>
    <row r="375" spans="1:6" x14ac:dyDescent="0.25">
      <c r="A375" s="1"/>
      <c r="B375" s="1"/>
      <c r="C375" s="1"/>
      <c r="D375" s="1"/>
      <c r="E375" s="1"/>
      <c r="F375" s="1"/>
    </row>
    <row r="376" spans="1:6" x14ac:dyDescent="0.25">
      <c r="A376" s="1"/>
      <c r="B376" s="1"/>
      <c r="C376" s="1"/>
      <c r="D376" s="1"/>
      <c r="E376" s="1"/>
      <c r="F376" s="1"/>
    </row>
    <row r="377" spans="1:6" x14ac:dyDescent="0.25">
      <c r="A377" s="1"/>
      <c r="B377" s="1"/>
      <c r="C377" s="1"/>
      <c r="D377" s="1"/>
      <c r="E377" s="1"/>
      <c r="F377" s="1"/>
    </row>
    <row r="378" spans="1:6" x14ac:dyDescent="0.25">
      <c r="A378" s="1"/>
      <c r="B378" s="1"/>
      <c r="C378" s="1"/>
      <c r="D378" s="1"/>
      <c r="E378" s="1"/>
      <c r="F378" s="1"/>
    </row>
    <row r="379" spans="1:6" x14ac:dyDescent="0.25">
      <c r="A379" s="1"/>
      <c r="B379" s="1"/>
      <c r="C379" s="1"/>
      <c r="D379" s="1"/>
      <c r="E379" s="1"/>
      <c r="F379" s="1"/>
    </row>
    <row r="380" spans="1:6" x14ac:dyDescent="0.25">
      <c r="A380" s="1"/>
      <c r="B380" s="1"/>
      <c r="C380" s="1"/>
      <c r="D380" s="1"/>
      <c r="E380" s="1"/>
      <c r="F380" s="1"/>
    </row>
    <row r="381" spans="1:6" x14ac:dyDescent="0.25">
      <c r="A381" s="1"/>
      <c r="B381" s="1"/>
      <c r="C381" s="1"/>
      <c r="D381" s="1"/>
      <c r="E381" s="1"/>
      <c r="F381" s="1"/>
    </row>
    <row r="382" spans="1:6" x14ac:dyDescent="0.25">
      <c r="A382" s="1"/>
      <c r="B382" s="1"/>
      <c r="C382" s="1"/>
      <c r="D382" s="1"/>
      <c r="E382" s="1"/>
      <c r="F382" s="1"/>
    </row>
    <row r="383" spans="1:6" x14ac:dyDescent="0.25">
      <c r="A383" s="1"/>
      <c r="B383" s="1"/>
      <c r="C383" s="1"/>
      <c r="D383" s="1"/>
      <c r="E383" s="1"/>
      <c r="F383" s="1"/>
    </row>
    <row r="384" spans="1:6" x14ac:dyDescent="0.25">
      <c r="A384" s="1"/>
      <c r="B384" s="1"/>
      <c r="C384" s="1"/>
      <c r="D384" s="1"/>
      <c r="E384" s="1"/>
      <c r="F384" s="1"/>
    </row>
    <row r="385" spans="1:6" x14ac:dyDescent="0.25">
      <c r="A385" s="1"/>
      <c r="B385" s="1"/>
      <c r="C385" s="1"/>
      <c r="D385" s="1"/>
      <c r="E385" s="1"/>
      <c r="F385" s="1"/>
    </row>
    <row r="386" spans="1:6" x14ac:dyDescent="0.25">
      <c r="A386" s="1"/>
      <c r="B386" s="1"/>
      <c r="C386" s="1"/>
      <c r="D386" s="1"/>
      <c r="E386" s="1"/>
      <c r="F386" s="1"/>
    </row>
    <row r="387" spans="1:6" x14ac:dyDescent="0.25">
      <c r="A387" s="1"/>
      <c r="B387" s="1"/>
      <c r="C387" s="1"/>
      <c r="D387" s="1"/>
      <c r="E387" s="1"/>
      <c r="F387" s="1"/>
    </row>
    <row r="388" spans="1:6" x14ac:dyDescent="0.25">
      <c r="A388" s="1"/>
      <c r="B388" s="1"/>
      <c r="C388" s="1"/>
      <c r="D388" s="1"/>
      <c r="E388" s="1"/>
      <c r="F388" s="1"/>
    </row>
    <row r="389" spans="1:6" x14ac:dyDescent="0.25">
      <c r="A389" s="1"/>
      <c r="B389" s="1"/>
      <c r="C389" s="1"/>
      <c r="D389" s="1"/>
      <c r="E389" s="1"/>
      <c r="F389" s="1"/>
    </row>
    <row r="390" spans="1:6" x14ac:dyDescent="0.25">
      <c r="A390" s="1"/>
      <c r="B390" s="1"/>
      <c r="C390" s="1"/>
      <c r="D390" s="1"/>
      <c r="E390" s="1"/>
      <c r="F390" s="1"/>
    </row>
    <row r="391" spans="1:6" x14ac:dyDescent="0.25">
      <c r="A391" s="1"/>
      <c r="B391" s="1"/>
      <c r="C391" s="1"/>
      <c r="D391" s="1"/>
      <c r="E391" s="1"/>
      <c r="F391" s="1"/>
    </row>
    <row r="392" spans="1:6" x14ac:dyDescent="0.25">
      <c r="A392" s="1"/>
      <c r="B392" s="1"/>
      <c r="C392" s="1"/>
      <c r="D392" s="1"/>
      <c r="E392" s="1"/>
      <c r="F392" s="1"/>
    </row>
    <row r="393" spans="1:6" x14ac:dyDescent="0.25">
      <c r="A393" s="1"/>
      <c r="B393" s="1"/>
      <c r="C393" s="1"/>
      <c r="D393" s="1"/>
      <c r="E393" s="1"/>
      <c r="F393" s="1"/>
    </row>
    <row r="394" spans="1:6" x14ac:dyDescent="0.25">
      <c r="A394" s="1"/>
      <c r="B394" s="1"/>
      <c r="C394" s="1"/>
      <c r="D394" s="1"/>
      <c r="E394" s="1"/>
      <c r="F394" s="1"/>
    </row>
    <row r="395" spans="1:6" x14ac:dyDescent="0.25">
      <c r="A395" s="1"/>
      <c r="B395" s="1"/>
      <c r="C395" s="1"/>
      <c r="D395" s="1"/>
      <c r="E395" s="1"/>
      <c r="F395" s="1"/>
    </row>
    <row r="396" spans="1:6" x14ac:dyDescent="0.25">
      <c r="A396" s="1"/>
      <c r="B396" s="1"/>
      <c r="C396" s="1"/>
      <c r="D396" s="1"/>
      <c r="E396" s="1"/>
      <c r="F396" s="1"/>
    </row>
    <row r="397" spans="1:6" x14ac:dyDescent="0.25">
      <c r="A397" s="1"/>
      <c r="B397" s="1"/>
      <c r="C397" s="1"/>
      <c r="D397" s="1"/>
      <c r="E397" s="1"/>
      <c r="F397" s="1"/>
    </row>
    <row r="398" spans="1:6" x14ac:dyDescent="0.25">
      <c r="A398" s="1"/>
      <c r="B398" s="1"/>
      <c r="C398" s="1"/>
      <c r="D398" s="1"/>
      <c r="E398" s="1"/>
      <c r="F398" s="1"/>
    </row>
    <row r="399" spans="1:6" x14ac:dyDescent="0.25">
      <c r="A399" s="1"/>
      <c r="B399" s="1"/>
      <c r="C399" s="1"/>
      <c r="D399" s="1"/>
      <c r="E399" s="1"/>
      <c r="F399" s="1"/>
    </row>
    <row r="400" spans="1:6" x14ac:dyDescent="0.25">
      <c r="A400" s="1"/>
      <c r="B400" s="1"/>
      <c r="C400" s="1"/>
      <c r="D400" s="1"/>
      <c r="E400" s="1"/>
      <c r="F400" s="1"/>
    </row>
    <row r="401" spans="1:6" x14ac:dyDescent="0.25">
      <c r="A401" s="1"/>
      <c r="B401" s="1"/>
      <c r="C401" s="1"/>
      <c r="D401" s="1"/>
      <c r="E401" s="1"/>
      <c r="F401" s="1"/>
    </row>
    <row r="402" spans="1:6" x14ac:dyDescent="0.25">
      <c r="A402" s="1"/>
      <c r="B402" s="1"/>
      <c r="C402" s="1"/>
      <c r="D402" s="1"/>
      <c r="E402" s="1"/>
      <c r="F402" s="1"/>
    </row>
    <row r="403" spans="1:6" x14ac:dyDescent="0.25">
      <c r="A403" s="1"/>
      <c r="B403" s="1"/>
      <c r="C403" s="1"/>
      <c r="D403" s="1"/>
      <c r="E403" s="1"/>
      <c r="F403" s="1"/>
    </row>
    <row r="404" spans="1:6" x14ac:dyDescent="0.25">
      <c r="A404" s="1"/>
      <c r="B404" s="1"/>
      <c r="C404" s="1"/>
      <c r="D404" s="1"/>
      <c r="E404" s="1"/>
      <c r="F404" s="1"/>
    </row>
    <row r="405" spans="1:6" x14ac:dyDescent="0.25">
      <c r="A405" s="1"/>
      <c r="B405" s="1"/>
      <c r="C405" s="1"/>
      <c r="D405" s="1"/>
      <c r="E405" s="1"/>
      <c r="F405" s="1"/>
    </row>
    <row r="406" spans="1:6" x14ac:dyDescent="0.25">
      <c r="A406" s="1"/>
      <c r="B406" s="1"/>
      <c r="C406" s="1"/>
      <c r="D406" s="1"/>
      <c r="E406" s="1"/>
      <c r="F406" s="1"/>
    </row>
    <row r="407" spans="1:6" x14ac:dyDescent="0.25">
      <c r="A407" s="1"/>
      <c r="B407" s="1"/>
      <c r="C407" s="1"/>
      <c r="D407" s="1"/>
      <c r="E407" s="1"/>
      <c r="F407" s="1"/>
    </row>
    <row r="408" spans="1:6" x14ac:dyDescent="0.25">
      <c r="A408" s="1"/>
      <c r="B408" s="1"/>
      <c r="C408" s="1"/>
      <c r="D408" s="1"/>
      <c r="E408" s="1"/>
      <c r="F408" s="1"/>
    </row>
    <row r="409" spans="1:6" x14ac:dyDescent="0.25">
      <c r="A409" s="1"/>
      <c r="B409" s="1"/>
      <c r="C409" s="1"/>
      <c r="D409" s="1"/>
      <c r="E409" s="1"/>
      <c r="F409" s="1"/>
    </row>
    <row r="410" spans="1:6" x14ac:dyDescent="0.25">
      <c r="A410" s="1"/>
      <c r="B410" s="1"/>
      <c r="C410" s="1"/>
      <c r="D410" s="1"/>
      <c r="E410" s="1"/>
      <c r="F410" s="1"/>
    </row>
    <row r="411" spans="1:6" x14ac:dyDescent="0.25">
      <c r="A411" s="1"/>
      <c r="B411" s="1"/>
      <c r="C411" s="1"/>
      <c r="D411" s="1"/>
      <c r="E411" s="1"/>
      <c r="F411" s="1"/>
    </row>
    <row r="412" spans="1:6" x14ac:dyDescent="0.25">
      <c r="A412" s="1"/>
      <c r="B412" s="1"/>
      <c r="C412" s="1"/>
      <c r="D412" s="1"/>
      <c r="E412" s="1"/>
      <c r="F412" s="1"/>
    </row>
    <row r="413" spans="1:6" x14ac:dyDescent="0.25">
      <c r="A413" s="1"/>
      <c r="B413" s="1"/>
      <c r="C413" s="1"/>
      <c r="D413" s="1"/>
      <c r="E413" s="1"/>
      <c r="F413" s="1"/>
    </row>
    <row r="414" spans="1:6" x14ac:dyDescent="0.25">
      <c r="A414" s="1"/>
      <c r="B414" s="1"/>
      <c r="C414" s="1"/>
      <c r="D414" s="1"/>
      <c r="E414" s="1"/>
      <c r="F414" s="1"/>
    </row>
    <row r="415" spans="1:6" x14ac:dyDescent="0.25">
      <c r="A415" s="1"/>
      <c r="B415" s="1"/>
      <c r="C415" s="1"/>
      <c r="D415" s="1"/>
      <c r="E415" s="1"/>
      <c r="F415" s="1"/>
    </row>
    <row r="416" spans="1:6" x14ac:dyDescent="0.25">
      <c r="A416" s="1"/>
      <c r="B416" s="1"/>
      <c r="C416" s="1"/>
      <c r="D416" s="1"/>
      <c r="E416" s="1"/>
      <c r="F416" s="1"/>
    </row>
    <row r="417" spans="1:6" x14ac:dyDescent="0.25">
      <c r="A417" s="1"/>
      <c r="B417" s="1"/>
      <c r="C417" s="1"/>
      <c r="D417" s="1"/>
      <c r="E417" s="1"/>
      <c r="F417" s="1"/>
    </row>
    <row r="418" spans="1:6" x14ac:dyDescent="0.25">
      <c r="A418" s="1"/>
      <c r="B418" s="1"/>
      <c r="C418" s="1"/>
      <c r="D418" s="1"/>
      <c r="E418" s="1"/>
      <c r="F418" s="1"/>
    </row>
    <row r="419" spans="1:6" x14ac:dyDescent="0.25">
      <c r="A419" s="1"/>
      <c r="B419" s="1"/>
      <c r="C419" s="1"/>
      <c r="D419" s="1"/>
      <c r="E419" s="1"/>
      <c r="F419" s="1"/>
    </row>
    <row r="420" spans="1:6" x14ac:dyDescent="0.25">
      <c r="A420" s="1"/>
      <c r="B420" s="1"/>
      <c r="C420" s="1"/>
      <c r="D420" s="1"/>
      <c r="E420" s="1"/>
      <c r="F420" s="1"/>
    </row>
    <row r="421" spans="1:6" x14ac:dyDescent="0.25">
      <c r="A421" s="1"/>
      <c r="B421" s="1"/>
      <c r="C421" s="1"/>
      <c r="D421" s="1"/>
      <c r="E421" s="1"/>
      <c r="F421" s="1"/>
    </row>
    <row r="422" spans="1:6" x14ac:dyDescent="0.25">
      <c r="A422" s="1"/>
      <c r="B422" s="1"/>
      <c r="C422" s="1"/>
      <c r="D422" s="1"/>
      <c r="E422" s="1"/>
      <c r="F422" s="1"/>
    </row>
    <row r="423" spans="1:6" x14ac:dyDescent="0.25">
      <c r="A423" s="1"/>
      <c r="B423" s="1"/>
      <c r="C423" s="1"/>
      <c r="D423" s="1"/>
      <c r="E423" s="1"/>
      <c r="F423" s="1"/>
    </row>
    <row r="424" spans="1:6" x14ac:dyDescent="0.25">
      <c r="A424" s="1"/>
      <c r="B424" s="1"/>
      <c r="C424" s="1"/>
      <c r="D424" s="1"/>
      <c r="E424" s="1"/>
      <c r="F424" s="1"/>
    </row>
    <row r="425" spans="1:6" x14ac:dyDescent="0.25">
      <c r="A425" s="1"/>
      <c r="B425" s="1"/>
      <c r="C425" s="1"/>
      <c r="D425" s="1"/>
      <c r="E425" s="1"/>
      <c r="F425" s="1"/>
    </row>
    <row r="426" spans="1:6" x14ac:dyDescent="0.25">
      <c r="A426" s="1"/>
      <c r="B426" s="1"/>
      <c r="C426" s="1"/>
      <c r="D426" s="1"/>
      <c r="E426" s="1"/>
      <c r="F426" s="1"/>
    </row>
    <row r="427" spans="1:6" x14ac:dyDescent="0.25">
      <c r="A427" s="1"/>
      <c r="B427" s="1"/>
      <c r="C427" s="1"/>
      <c r="D427" s="1"/>
      <c r="E427" s="1"/>
      <c r="F427" s="1"/>
    </row>
    <row r="428" spans="1:6" x14ac:dyDescent="0.25">
      <c r="A428" s="1"/>
      <c r="B428" s="1"/>
      <c r="C428" s="1"/>
      <c r="D428" s="1"/>
      <c r="E428" s="1"/>
      <c r="F428" s="1"/>
    </row>
    <row r="429" spans="1:6" x14ac:dyDescent="0.25">
      <c r="A429" s="1"/>
      <c r="B429" s="1"/>
      <c r="C429" s="1"/>
      <c r="D429" s="1"/>
      <c r="E429" s="1"/>
      <c r="F429" s="1"/>
    </row>
    <row r="430" spans="1:6" x14ac:dyDescent="0.25">
      <c r="A430" s="1"/>
      <c r="B430" s="1"/>
      <c r="C430" s="1"/>
      <c r="D430" s="1"/>
      <c r="E430" s="1"/>
      <c r="F430" s="1"/>
    </row>
    <row r="431" spans="1:6" x14ac:dyDescent="0.25">
      <c r="A431" s="1"/>
      <c r="B431" s="1"/>
      <c r="C431" s="1"/>
      <c r="D431" s="1"/>
      <c r="E431" s="1"/>
      <c r="F431" s="1"/>
    </row>
    <row r="432" spans="1:6" x14ac:dyDescent="0.25">
      <c r="A432" s="1"/>
      <c r="B432" s="1"/>
      <c r="C432" s="1"/>
      <c r="D432" s="1"/>
      <c r="E432" s="1"/>
      <c r="F432" s="1"/>
    </row>
    <row r="433" spans="1:6" x14ac:dyDescent="0.25">
      <c r="A433" s="1"/>
      <c r="B433" s="1"/>
      <c r="C433" s="1"/>
      <c r="D433" s="1"/>
      <c r="E433" s="1"/>
      <c r="F433" s="1"/>
    </row>
    <row r="434" spans="1:6" x14ac:dyDescent="0.25">
      <c r="A434" s="1"/>
      <c r="B434" s="1"/>
      <c r="C434" s="1"/>
      <c r="D434" s="1"/>
      <c r="E434" s="1"/>
      <c r="F434" s="1"/>
    </row>
    <row r="435" spans="1:6" x14ac:dyDescent="0.25">
      <c r="A435" s="1"/>
      <c r="B435" s="1"/>
      <c r="C435" s="1"/>
      <c r="D435" s="1"/>
      <c r="E435" s="1"/>
      <c r="F435" s="1"/>
    </row>
    <row r="436" spans="1:6" x14ac:dyDescent="0.25">
      <c r="A436" s="1"/>
      <c r="B436" s="1"/>
      <c r="C436" s="1"/>
      <c r="D436" s="1"/>
      <c r="E436" s="1"/>
      <c r="F436" s="1"/>
    </row>
    <row r="437" spans="1:6" x14ac:dyDescent="0.25">
      <c r="A437" s="1"/>
      <c r="B437" s="1"/>
      <c r="C437" s="1"/>
      <c r="D437" s="1"/>
      <c r="E437" s="1"/>
      <c r="F437" s="1"/>
    </row>
    <row r="438" spans="1:6" x14ac:dyDescent="0.25">
      <c r="A438" s="1"/>
      <c r="B438" s="1"/>
      <c r="C438" s="1"/>
      <c r="D438" s="1"/>
      <c r="E438" s="1"/>
      <c r="F438" s="1"/>
    </row>
    <row r="439" spans="1:6" x14ac:dyDescent="0.25">
      <c r="A439" s="1"/>
      <c r="B439" s="1"/>
      <c r="C439" s="1"/>
      <c r="D439" s="1"/>
      <c r="E439" s="1"/>
      <c r="F439" s="1"/>
    </row>
    <row r="440" spans="1:6" x14ac:dyDescent="0.25">
      <c r="A440" s="1"/>
      <c r="B440" s="1"/>
      <c r="C440" s="1"/>
      <c r="D440" s="1"/>
      <c r="E440" s="1"/>
      <c r="F440" s="1"/>
    </row>
    <row r="441" spans="1:6" x14ac:dyDescent="0.25">
      <c r="A441" s="1"/>
      <c r="B441" s="1"/>
      <c r="C441" s="1"/>
      <c r="D441" s="1"/>
      <c r="E441" s="1"/>
      <c r="F441" s="1"/>
    </row>
    <row r="442" spans="1:6" x14ac:dyDescent="0.25">
      <c r="A442" s="1"/>
      <c r="B442" s="1"/>
      <c r="C442" s="1"/>
      <c r="D442" s="1"/>
      <c r="E442" s="1"/>
      <c r="F442" s="1"/>
    </row>
    <row r="443" spans="1:6" x14ac:dyDescent="0.25">
      <c r="A443" s="1"/>
      <c r="B443" s="1"/>
      <c r="C443" s="1"/>
      <c r="D443" s="1"/>
      <c r="E443" s="1"/>
      <c r="F443" s="1"/>
    </row>
    <row r="444" spans="1:6" x14ac:dyDescent="0.25">
      <c r="A444" s="1"/>
      <c r="B444" s="1"/>
      <c r="C444" s="1"/>
      <c r="D444" s="1"/>
      <c r="E444" s="1"/>
      <c r="F444" s="1"/>
    </row>
    <row r="445" spans="1:6" x14ac:dyDescent="0.25">
      <c r="A445" s="1"/>
      <c r="B445" s="1"/>
      <c r="C445" s="1"/>
      <c r="D445" s="1"/>
      <c r="E445" s="1"/>
      <c r="F445" s="1"/>
    </row>
    <row r="446" spans="1:6" x14ac:dyDescent="0.25">
      <c r="A446" s="1"/>
      <c r="B446" s="1"/>
      <c r="C446" s="1"/>
      <c r="D446" s="1"/>
      <c r="E446" s="1"/>
      <c r="F446" s="1"/>
    </row>
    <row r="447" spans="1:6" x14ac:dyDescent="0.25">
      <c r="A447" s="1"/>
      <c r="B447" s="1"/>
      <c r="C447" s="1"/>
      <c r="D447" s="1"/>
      <c r="E447" s="1"/>
      <c r="F447" s="1"/>
    </row>
    <row r="448" spans="1:6" x14ac:dyDescent="0.25">
      <c r="A448" s="1"/>
      <c r="B448" s="1"/>
      <c r="C448" s="1"/>
      <c r="D448" s="1"/>
      <c r="E448" s="1"/>
      <c r="F448" s="1"/>
    </row>
    <row r="449" spans="1:6" x14ac:dyDescent="0.25">
      <c r="A449" s="1"/>
      <c r="B449" s="1"/>
      <c r="C449" s="1"/>
      <c r="D449" s="1"/>
      <c r="E449" s="1"/>
      <c r="F449" s="1"/>
    </row>
    <row r="450" spans="1:6" x14ac:dyDescent="0.25">
      <c r="A450" s="1"/>
      <c r="B450" s="1"/>
      <c r="C450" s="1"/>
      <c r="D450" s="1"/>
      <c r="E450" s="1"/>
      <c r="F450" s="1"/>
    </row>
    <row r="451" spans="1:6" x14ac:dyDescent="0.25">
      <c r="A451" s="1"/>
      <c r="B451" s="1"/>
      <c r="C451" s="1"/>
      <c r="D451" s="1"/>
      <c r="E451" s="1"/>
      <c r="F451" s="1"/>
    </row>
    <row r="452" spans="1:6" x14ac:dyDescent="0.25">
      <c r="A452" s="1"/>
      <c r="B452" s="1"/>
      <c r="C452" s="1"/>
      <c r="D452" s="1"/>
      <c r="E452" s="1"/>
      <c r="F452" s="1"/>
    </row>
    <row r="453" spans="1:6" x14ac:dyDescent="0.25">
      <c r="A453" s="1"/>
      <c r="B453" s="1"/>
      <c r="C453" s="1"/>
      <c r="D453" s="1"/>
      <c r="E453" s="1"/>
      <c r="F453" s="1"/>
    </row>
    <row r="454" spans="1:6" x14ac:dyDescent="0.25">
      <c r="A454" s="1"/>
      <c r="B454" s="1"/>
      <c r="C454" s="1"/>
      <c r="D454" s="1"/>
      <c r="E454" s="1"/>
      <c r="F454" s="1"/>
    </row>
    <row r="455" spans="1:6" x14ac:dyDescent="0.25">
      <c r="A455" s="1"/>
      <c r="B455" s="1"/>
      <c r="C455" s="1"/>
      <c r="D455" s="1"/>
      <c r="E455" s="1"/>
      <c r="F455" s="1"/>
    </row>
    <row r="456" spans="1:6" x14ac:dyDescent="0.25">
      <c r="A456" s="1"/>
      <c r="B456" s="1"/>
      <c r="C456" s="1"/>
      <c r="D456" s="1"/>
      <c r="E456" s="1"/>
      <c r="F456" s="1"/>
    </row>
    <row r="457" spans="1:6" x14ac:dyDescent="0.25">
      <c r="A457" s="1"/>
      <c r="B457" s="1"/>
      <c r="C457" s="1"/>
      <c r="D457" s="1"/>
      <c r="E457" s="1"/>
      <c r="F457" s="1"/>
    </row>
    <row r="458" spans="1:6" x14ac:dyDescent="0.25">
      <c r="A458" s="1"/>
      <c r="B458" s="1"/>
      <c r="C458" s="1"/>
      <c r="D458" s="1"/>
      <c r="E458" s="1"/>
      <c r="F458" s="1"/>
    </row>
    <row r="459" spans="1:6" x14ac:dyDescent="0.25">
      <c r="A459" s="1"/>
      <c r="B459" s="1"/>
      <c r="C459" s="1"/>
      <c r="D459" s="1"/>
      <c r="E459" s="1"/>
      <c r="F459" s="1"/>
    </row>
    <row r="460" spans="1:6" x14ac:dyDescent="0.25">
      <c r="A460" s="1"/>
      <c r="B460" s="1"/>
      <c r="C460" s="1"/>
      <c r="D460" s="1"/>
      <c r="E460" s="1"/>
      <c r="F460" s="1"/>
    </row>
    <row r="461" spans="1:6" x14ac:dyDescent="0.25">
      <c r="A461" s="1"/>
      <c r="B461" s="1"/>
      <c r="C461" s="1"/>
      <c r="D461" s="1"/>
      <c r="E461" s="1"/>
      <c r="F461" s="1"/>
    </row>
    <row r="462" spans="1:6" x14ac:dyDescent="0.25">
      <c r="A462" s="1"/>
      <c r="B462" s="1"/>
      <c r="C462" s="1"/>
      <c r="D462" s="1"/>
      <c r="E462" s="1"/>
      <c r="F462" s="1"/>
    </row>
    <row r="463" spans="1:6" x14ac:dyDescent="0.25">
      <c r="A463" s="1"/>
      <c r="B463" s="1"/>
      <c r="C463" s="1"/>
      <c r="D463" s="1"/>
      <c r="E463" s="1"/>
      <c r="F463" s="1"/>
    </row>
    <row r="464" spans="1:6" x14ac:dyDescent="0.25">
      <c r="A464" s="1"/>
      <c r="B464" s="1"/>
      <c r="C464" s="1"/>
      <c r="D464" s="1"/>
      <c r="E464" s="1"/>
      <c r="F464" s="1"/>
    </row>
    <row r="465" spans="1:6" x14ac:dyDescent="0.25">
      <c r="A465" s="1"/>
      <c r="B465" s="1"/>
      <c r="C465" s="1"/>
      <c r="D465" s="1"/>
      <c r="E465" s="1"/>
      <c r="F465" s="1"/>
    </row>
    <row r="466" spans="1:6" x14ac:dyDescent="0.25">
      <c r="A466" s="1"/>
      <c r="B466" s="1"/>
      <c r="C466" s="1"/>
      <c r="D466" s="1"/>
      <c r="E466" s="1"/>
      <c r="F466" s="1"/>
    </row>
    <row r="467" spans="1:6" x14ac:dyDescent="0.25">
      <c r="A467" s="1"/>
      <c r="B467" s="1"/>
      <c r="C467" s="1"/>
      <c r="D467" s="1"/>
      <c r="E467" s="1"/>
      <c r="F467" s="1"/>
    </row>
    <row r="468" spans="1:6" x14ac:dyDescent="0.25">
      <c r="A468" s="1"/>
      <c r="B468" s="1"/>
      <c r="C468" s="1"/>
      <c r="D468" s="1"/>
      <c r="E468" s="1"/>
      <c r="F468" s="1"/>
    </row>
    <row r="469" spans="1:6" x14ac:dyDescent="0.25">
      <c r="A469" s="1"/>
      <c r="B469" s="1"/>
      <c r="C469" s="1"/>
      <c r="D469" s="1"/>
      <c r="E469" s="1"/>
      <c r="F469" s="1"/>
    </row>
    <row r="470" spans="1:6" x14ac:dyDescent="0.25">
      <c r="A470" s="1"/>
      <c r="B470" s="1"/>
      <c r="C470" s="1"/>
      <c r="D470" s="1"/>
      <c r="E470" s="1"/>
      <c r="F470" s="1"/>
    </row>
    <row r="471" spans="1:6" x14ac:dyDescent="0.25">
      <c r="A471" s="1"/>
      <c r="B471" s="1"/>
      <c r="C471" s="1"/>
      <c r="D471" s="1"/>
      <c r="E471" s="1"/>
      <c r="F471" s="1"/>
    </row>
    <row r="472" spans="1:6" x14ac:dyDescent="0.25">
      <c r="A472" s="1"/>
      <c r="B472" s="1"/>
      <c r="C472" s="1"/>
      <c r="D472" s="1"/>
      <c r="E472" s="1"/>
      <c r="F472" s="1"/>
    </row>
    <row r="473" spans="1:6" x14ac:dyDescent="0.25">
      <c r="A473" s="1"/>
      <c r="B473" s="1"/>
      <c r="C473" s="1"/>
      <c r="D473" s="1"/>
      <c r="E473" s="1"/>
      <c r="F473" s="1"/>
    </row>
    <row r="474" spans="1:6" x14ac:dyDescent="0.25">
      <c r="A474" s="1"/>
      <c r="B474" s="1"/>
      <c r="C474" s="1"/>
      <c r="D474" s="1"/>
      <c r="E474" s="1"/>
      <c r="F474" s="1"/>
    </row>
    <row r="475" spans="1:6" x14ac:dyDescent="0.25">
      <c r="A475" s="1"/>
      <c r="B475" s="1"/>
      <c r="C475" s="1"/>
      <c r="D475" s="1"/>
      <c r="E475" s="1"/>
      <c r="F475" s="1"/>
    </row>
    <row r="476" spans="1:6" x14ac:dyDescent="0.25">
      <c r="A476" s="1"/>
      <c r="B476" s="1"/>
      <c r="C476" s="1"/>
      <c r="D476" s="1"/>
      <c r="E476" s="1"/>
      <c r="F476" s="1"/>
    </row>
    <row r="477" spans="1:6" x14ac:dyDescent="0.25">
      <c r="A477" s="1"/>
      <c r="B477" s="1"/>
      <c r="C477" s="1"/>
      <c r="D477" s="1"/>
      <c r="E477" s="1"/>
      <c r="F477" s="1"/>
    </row>
    <row r="478" spans="1:6" x14ac:dyDescent="0.25">
      <c r="A478" s="1"/>
      <c r="B478" s="1"/>
      <c r="C478" s="1"/>
      <c r="D478" s="1"/>
      <c r="E478" s="1"/>
      <c r="F478" s="1"/>
    </row>
    <row r="479" spans="1:6" x14ac:dyDescent="0.25">
      <c r="A479" s="1"/>
      <c r="B479" s="1"/>
      <c r="C479" s="1"/>
      <c r="D479" s="1"/>
      <c r="E479" s="1"/>
      <c r="F479" s="1"/>
    </row>
    <row r="480" spans="1:6" x14ac:dyDescent="0.25">
      <c r="A480" s="1"/>
      <c r="B480" s="1"/>
      <c r="C480" s="1"/>
      <c r="D480" s="1"/>
      <c r="E480" s="1"/>
      <c r="F480" s="1"/>
    </row>
    <row r="481" spans="1:6" x14ac:dyDescent="0.25">
      <c r="A481" s="1"/>
      <c r="B481" s="1"/>
      <c r="C481" s="1"/>
      <c r="D481" s="1"/>
      <c r="E481" s="1"/>
      <c r="F481" s="1"/>
    </row>
    <row r="482" spans="1:6" x14ac:dyDescent="0.25">
      <c r="A482" s="1"/>
      <c r="B482" s="1"/>
      <c r="C482" s="1"/>
      <c r="D482" s="1"/>
      <c r="E482" s="1"/>
      <c r="F482" s="1"/>
    </row>
    <row r="483" spans="1:6" x14ac:dyDescent="0.25">
      <c r="A483" s="1"/>
      <c r="B483" s="1"/>
      <c r="C483" s="1"/>
      <c r="D483" s="1"/>
      <c r="E483" s="1"/>
      <c r="F483" s="1"/>
    </row>
    <row r="484" spans="1:6" x14ac:dyDescent="0.25">
      <c r="A484" s="1"/>
      <c r="B484" s="1"/>
      <c r="C484" s="1"/>
      <c r="D484" s="1"/>
      <c r="E484" s="1"/>
      <c r="F484" s="1"/>
    </row>
    <row r="485" spans="1:6" x14ac:dyDescent="0.25">
      <c r="A485" s="1"/>
      <c r="B485" s="1"/>
      <c r="C485" s="1"/>
      <c r="D485" s="1"/>
      <c r="E485" s="1"/>
      <c r="F485" s="1"/>
    </row>
    <row r="486" spans="1:6" x14ac:dyDescent="0.25">
      <c r="A486" s="1"/>
      <c r="B486" s="1"/>
      <c r="C486" s="1"/>
      <c r="D486" s="1"/>
      <c r="E486" s="1"/>
      <c r="F486" s="1"/>
    </row>
    <row r="487" spans="1:6" x14ac:dyDescent="0.25">
      <c r="A487" s="1"/>
      <c r="B487" s="1"/>
      <c r="C487" s="1"/>
      <c r="D487" s="1"/>
      <c r="E487" s="1"/>
      <c r="F487" s="1"/>
    </row>
    <row r="488" spans="1:6" x14ac:dyDescent="0.25">
      <c r="A488" s="1"/>
      <c r="B488" s="1"/>
      <c r="C488" s="1"/>
      <c r="D488" s="1"/>
      <c r="E488" s="1"/>
      <c r="F488" s="1"/>
    </row>
    <row r="489" spans="1:6" x14ac:dyDescent="0.25">
      <c r="A489" s="1"/>
      <c r="B489" s="1"/>
      <c r="C489" s="1"/>
      <c r="D489" s="1"/>
      <c r="E489" s="1"/>
      <c r="F489" s="1"/>
    </row>
    <row r="490" spans="1:6" x14ac:dyDescent="0.25">
      <c r="A490" s="1"/>
      <c r="B490" s="1"/>
      <c r="C490" s="1"/>
      <c r="D490" s="1"/>
      <c r="E490" s="1"/>
      <c r="F490" s="1"/>
    </row>
    <row r="491" spans="1:6" x14ac:dyDescent="0.25">
      <c r="A491" s="1"/>
      <c r="B491" s="1"/>
      <c r="C491" s="1"/>
      <c r="D491" s="1"/>
      <c r="E491" s="1"/>
      <c r="F491" s="1"/>
    </row>
    <row r="492" spans="1:6" x14ac:dyDescent="0.25">
      <c r="A492" s="1"/>
      <c r="B492" s="1"/>
      <c r="C492" s="1"/>
      <c r="D492" s="1"/>
      <c r="E492" s="1"/>
      <c r="F492" s="1"/>
    </row>
    <row r="493" spans="1:6" x14ac:dyDescent="0.25">
      <c r="A493" s="1"/>
      <c r="B493" s="1"/>
      <c r="C493" s="1"/>
      <c r="D493" s="1"/>
      <c r="E493" s="1"/>
      <c r="F493" s="1"/>
    </row>
    <row r="494" spans="1:6" x14ac:dyDescent="0.25">
      <c r="A494" s="1"/>
      <c r="B494" s="1"/>
      <c r="C494" s="1"/>
      <c r="D494" s="1"/>
      <c r="E494" s="1"/>
      <c r="F494" s="1"/>
    </row>
    <row r="495" spans="1:6" x14ac:dyDescent="0.25">
      <c r="A495" s="1"/>
      <c r="B495" s="1"/>
      <c r="C495" s="1"/>
      <c r="D495" s="1"/>
      <c r="E495" s="1"/>
      <c r="F495" s="1"/>
    </row>
    <row r="496" spans="1:6" x14ac:dyDescent="0.25">
      <c r="A496" s="1"/>
      <c r="B496" s="1"/>
      <c r="C496" s="1"/>
      <c r="D496" s="1"/>
      <c r="E496" s="1"/>
      <c r="F496" s="1"/>
    </row>
    <row r="497" spans="1:6" x14ac:dyDescent="0.25">
      <c r="A497" s="1"/>
      <c r="B497" s="1"/>
      <c r="C497" s="1"/>
      <c r="D497" s="1"/>
      <c r="E497" s="1"/>
      <c r="F497" s="1"/>
    </row>
    <row r="498" spans="1:6" x14ac:dyDescent="0.25">
      <c r="A498" s="1"/>
      <c r="B498" s="1"/>
      <c r="C498" s="1"/>
      <c r="D498" s="1"/>
      <c r="E498" s="1"/>
      <c r="F498" s="1"/>
    </row>
    <row r="499" spans="1:6" x14ac:dyDescent="0.25">
      <c r="A499" s="1"/>
      <c r="B499" s="1"/>
      <c r="C499" s="1"/>
      <c r="D499" s="1"/>
      <c r="E499" s="1"/>
      <c r="F499" s="1"/>
    </row>
    <row r="500" spans="1:6" x14ac:dyDescent="0.25">
      <c r="A500" s="1"/>
      <c r="B500" s="1"/>
      <c r="C500" s="1"/>
      <c r="D500" s="1"/>
      <c r="E500" s="1"/>
      <c r="F500" s="1"/>
    </row>
    <row r="501" spans="1:6" x14ac:dyDescent="0.25">
      <c r="A501" s="1"/>
      <c r="B501" s="1"/>
      <c r="C501" s="1"/>
      <c r="D501" s="1"/>
      <c r="E501" s="1"/>
      <c r="F501" s="1"/>
    </row>
    <row r="502" spans="1:6" x14ac:dyDescent="0.25">
      <c r="A502" s="1"/>
      <c r="B502" s="1"/>
      <c r="C502" s="1"/>
      <c r="D502" s="1"/>
      <c r="E502" s="1"/>
      <c r="F502" s="1"/>
    </row>
    <row r="503" spans="1:6" x14ac:dyDescent="0.25">
      <c r="A503" s="1"/>
      <c r="B503" s="1"/>
      <c r="C503" s="1"/>
      <c r="D503" s="1"/>
      <c r="E503" s="1"/>
      <c r="F503" s="1"/>
    </row>
    <row r="504" spans="1:6" x14ac:dyDescent="0.25">
      <c r="A504" s="1"/>
      <c r="B504" s="1"/>
      <c r="C504" s="1"/>
      <c r="D504" s="1"/>
      <c r="E504" s="1"/>
      <c r="F504" s="1"/>
    </row>
    <row r="505" spans="1:6" x14ac:dyDescent="0.25">
      <c r="A505" s="1"/>
      <c r="B505" s="1"/>
      <c r="C505" s="1"/>
      <c r="D505" s="1"/>
      <c r="E505" s="1"/>
      <c r="F505" s="1"/>
    </row>
    <row r="506" spans="1:6" x14ac:dyDescent="0.25">
      <c r="A506" s="1"/>
      <c r="B506" s="1"/>
      <c r="C506" s="1"/>
      <c r="D506" s="1"/>
      <c r="E506" s="1"/>
      <c r="F506" s="1"/>
    </row>
    <row r="507" spans="1:6" x14ac:dyDescent="0.25">
      <c r="A507" s="1"/>
      <c r="B507" s="1"/>
      <c r="C507" s="1"/>
      <c r="D507" s="1"/>
      <c r="E507" s="1"/>
      <c r="F507" s="1"/>
    </row>
    <row r="508" spans="1:6" x14ac:dyDescent="0.25">
      <c r="A508" s="1"/>
      <c r="B508" s="1"/>
      <c r="C508" s="1"/>
      <c r="D508" s="1"/>
      <c r="E508" s="1"/>
      <c r="F508" s="1"/>
    </row>
    <row r="509" spans="1:6" x14ac:dyDescent="0.25">
      <c r="A509" s="1"/>
      <c r="B509" s="1"/>
      <c r="C509" s="1"/>
      <c r="D509" s="1"/>
      <c r="E509" s="1"/>
      <c r="F509" s="1"/>
    </row>
    <row r="510" spans="1:6" x14ac:dyDescent="0.25">
      <c r="A510" s="1"/>
      <c r="B510" s="1"/>
      <c r="C510" s="1"/>
      <c r="D510" s="1"/>
      <c r="E510" s="1"/>
      <c r="F510" s="1"/>
    </row>
    <row r="511" spans="1:6" x14ac:dyDescent="0.25">
      <c r="A511" s="1"/>
      <c r="B511" s="1"/>
      <c r="C511" s="1"/>
      <c r="D511" s="1"/>
      <c r="E511" s="1"/>
      <c r="F511" s="1"/>
    </row>
    <row r="512" spans="1:6" x14ac:dyDescent="0.25">
      <c r="A512" s="1"/>
      <c r="B512" s="1"/>
      <c r="C512" s="1"/>
      <c r="D512" s="1"/>
      <c r="E512" s="1"/>
      <c r="F512" s="1"/>
    </row>
    <row r="513" spans="1:6" x14ac:dyDescent="0.25">
      <c r="A513" s="1"/>
      <c r="B513" s="1"/>
      <c r="C513" s="1"/>
      <c r="D513" s="1"/>
      <c r="E513" s="1"/>
      <c r="F513" s="1"/>
    </row>
    <row r="514" spans="1:6" x14ac:dyDescent="0.25">
      <c r="A514" s="1"/>
      <c r="B514" s="1"/>
      <c r="C514" s="1"/>
      <c r="D514" s="1"/>
      <c r="E514" s="1"/>
      <c r="F514" s="1"/>
    </row>
    <row r="515" spans="1:6" x14ac:dyDescent="0.25">
      <c r="A515" s="1"/>
      <c r="B515" s="1"/>
      <c r="C515" s="1"/>
      <c r="D515" s="1"/>
      <c r="E515" s="1"/>
      <c r="F515" s="1"/>
    </row>
    <row r="516" spans="1:6" x14ac:dyDescent="0.25">
      <c r="A516" s="1"/>
      <c r="B516" s="1"/>
      <c r="C516" s="1"/>
      <c r="D516" s="1"/>
      <c r="E516" s="1"/>
      <c r="F516" s="1"/>
    </row>
    <row r="517" spans="1:6" x14ac:dyDescent="0.25">
      <c r="A517" s="1"/>
      <c r="B517" s="1"/>
      <c r="C517" s="1"/>
      <c r="D517" s="1"/>
      <c r="E517" s="1"/>
      <c r="F517" s="1"/>
    </row>
    <row r="518" spans="1:6" x14ac:dyDescent="0.25">
      <c r="A518" s="1"/>
      <c r="B518" s="1"/>
      <c r="C518" s="1"/>
      <c r="D518" s="1"/>
      <c r="E518" s="1"/>
      <c r="F518" s="1"/>
    </row>
    <row r="519" spans="1:6" x14ac:dyDescent="0.25">
      <c r="A519" s="1"/>
      <c r="B519" s="1"/>
      <c r="C519" s="1"/>
      <c r="D519" s="1"/>
      <c r="E519" s="1"/>
      <c r="F519" s="1"/>
    </row>
    <row r="520" spans="1:6" x14ac:dyDescent="0.25">
      <c r="A520" s="1"/>
      <c r="B520" s="1"/>
      <c r="C520" s="1"/>
      <c r="D520" s="1"/>
      <c r="E520" s="1"/>
      <c r="F520" s="1"/>
    </row>
    <row r="521" spans="1:6" x14ac:dyDescent="0.25">
      <c r="A521" s="1"/>
      <c r="B521" s="1"/>
      <c r="C521" s="1"/>
      <c r="D521" s="1"/>
      <c r="E521" s="1"/>
      <c r="F521" s="1"/>
    </row>
    <row r="522" spans="1:6" x14ac:dyDescent="0.25">
      <c r="A522" s="1"/>
      <c r="B522" s="1"/>
      <c r="C522" s="1"/>
      <c r="D522" s="1"/>
      <c r="E522" s="1"/>
      <c r="F522" s="1"/>
    </row>
    <row r="523" spans="1:6" x14ac:dyDescent="0.25">
      <c r="A523" s="1"/>
      <c r="B523" s="1"/>
      <c r="C523" s="1"/>
      <c r="D523" s="1"/>
      <c r="E523" s="1"/>
      <c r="F523" s="1"/>
    </row>
    <row r="524" spans="1:6" x14ac:dyDescent="0.25">
      <c r="A524" s="1"/>
      <c r="B524" s="1"/>
      <c r="C524" s="1"/>
      <c r="D524" s="1"/>
      <c r="E524" s="1"/>
      <c r="F524" s="1"/>
    </row>
    <row r="525" spans="1:6" x14ac:dyDescent="0.25">
      <c r="A525" s="1"/>
      <c r="B525" s="1"/>
      <c r="C525" s="1"/>
      <c r="D525" s="1"/>
      <c r="E525" s="1"/>
      <c r="F525" s="1"/>
    </row>
    <row r="526" spans="1:6" x14ac:dyDescent="0.25">
      <c r="A526" s="1"/>
      <c r="B526" s="1"/>
      <c r="C526" s="1"/>
      <c r="D526" s="1"/>
      <c r="E526" s="1"/>
      <c r="F526" s="1"/>
    </row>
    <row r="527" spans="1:6" x14ac:dyDescent="0.25">
      <c r="A527" s="1"/>
      <c r="B527" s="1"/>
      <c r="C527" s="1"/>
      <c r="D527" s="1"/>
      <c r="E527" s="1"/>
      <c r="F527" s="1"/>
    </row>
    <row r="528" spans="1:6" x14ac:dyDescent="0.25">
      <c r="A528" s="1"/>
      <c r="B528" s="1"/>
      <c r="C528" s="1"/>
      <c r="D528" s="1"/>
      <c r="E528" s="1"/>
      <c r="F528" s="1"/>
    </row>
    <row r="529" spans="1:6" x14ac:dyDescent="0.25">
      <c r="A529" s="1"/>
      <c r="B529" s="1"/>
      <c r="C529" s="1"/>
      <c r="D529" s="1"/>
      <c r="E529" s="1"/>
      <c r="F529" s="1"/>
    </row>
    <row r="530" spans="1:6" x14ac:dyDescent="0.25">
      <c r="A530" s="1"/>
      <c r="B530" s="1"/>
      <c r="C530" s="1"/>
      <c r="D530" s="1"/>
      <c r="E530" s="1"/>
      <c r="F530" s="1"/>
    </row>
    <row r="531" spans="1:6" x14ac:dyDescent="0.25">
      <c r="A531" s="1"/>
      <c r="B531" s="1"/>
      <c r="C531" s="1"/>
      <c r="D531" s="1"/>
      <c r="E531" s="1"/>
      <c r="F531" s="1"/>
    </row>
    <row r="532" spans="1:6" x14ac:dyDescent="0.25">
      <c r="A532" s="1"/>
      <c r="B532" s="1"/>
      <c r="C532" s="1"/>
      <c r="D532" s="1"/>
      <c r="E532" s="1"/>
      <c r="F532" s="1"/>
    </row>
    <row r="533" spans="1:6" x14ac:dyDescent="0.25">
      <c r="A533" s="1"/>
      <c r="B533" s="1"/>
      <c r="C533" s="1"/>
      <c r="D533" s="1"/>
      <c r="E533" s="1"/>
      <c r="F533" s="1"/>
    </row>
    <row r="534" spans="1:6" x14ac:dyDescent="0.25">
      <c r="A534" s="1"/>
      <c r="B534" s="1"/>
      <c r="C534" s="1"/>
      <c r="D534" s="1"/>
      <c r="E534" s="1"/>
      <c r="F534" s="1"/>
    </row>
    <row r="535" spans="1:6" x14ac:dyDescent="0.25">
      <c r="A535" s="1"/>
      <c r="B535" s="1"/>
      <c r="C535" s="1"/>
      <c r="D535" s="1"/>
      <c r="E535" s="1"/>
      <c r="F535" s="1"/>
    </row>
    <row r="536" spans="1:6" x14ac:dyDescent="0.25">
      <c r="A536" s="1"/>
      <c r="B536" s="1"/>
      <c r="C536" s="1"/>
      <c r="D536" s="1"/>
      <c r="E536" s="1"/>
      <c r="F536" s="1"/>
    </row>
    <row r="537" spans="1:6" x14ac:dyDescent="0.25">
      <c r="A537" s="1"/>
      <c r="B537" s="1"/>
      <c r="C537" s="1"/>
      <c r="D537" s="1"/>
      <c r="E537" s="1"/>
      <c r="F537" s="1"/>
    </row>
    <row r="538" spans="1:6" x14ac:dyDescent="0.25">
      <c r="A538" s="1"/>
      <c r="B538" s="1"/>
      <c r="C538" s="1"/>
      <c r="D538" s="1"/>
      <c r="E538" s="1"/>
      <c r="F538" s="1"/>
    </row>
    <row r="539" spans="1:6" x14ac:dyDescent="0.25">
      <c r="A539" s="1"/>
      <c r="B539" s="1"/>
      <c r="C539" s="1"/>
      <c r="D539" s="1"/>
      <c r="E539" s="1"/>
      <c r="F539" s="1"/>
    </row>
    <row r="540" spans="1:6" x14ac:dyDescent="0.25">
      <c r="A540" s="1"/>
      <c r="B540" s="1"/>
      <c r="C540" s="1"/>
      <c r="D540" s="1"/>
      <c r="E540" s="1"/>
      <c r="F540" s="1"/>
    </row>
    <row r="541" spans="1:6" x14ac:dyDescent="0.25">
      <c r="A541" s="1"/>
      <c r="B541" s="1"/>
      <c r="C541" s="1"/>
      <c r="D541" s="1"/>
      <c r="E541" s="1"/>
      <c r="F541" s="1"/>
    </row>
    <row r="542" spans="1:6" x14ac:dyDescent="0.25">
      <c r="A542" s="1"/>
      <c r="B542" s="1"/>
      <c r="C542" s="1"/>
      <c r="D542" s="1"/>
      <c r="E542" s="1"/>
      <c r="F542" s="1"/>
    </row>
    <row r="543" spans="1:6" x14ac:dyDescent="0.25">
      <c r="A543" s="1"/>
      <c r="B543" s="1"/>
      <c r="C543" s="1"/>
      <c r="D543" s="1"/>
      <c r="E543" s="1"/>
      <c r="F543" s="1"/>
    </row>
    <row r="544" spans="1:6" x14ac:dyDescent="0.25">
      <c r="A544" s="1"/>
      <c r="B544" s="1"/>
      <c r="C544" s="1"/>
      <c r="D544" s="1"/>
      <c r="E544" s="1"/>
      <c r="F544" s="1"/>
    </row>
    <row r="545" spans="1:6" x14ac:dyDescent="0.25">
      <c r="A545" s="1"/>
      <c r="B545" s="1"/>
      <c r="C545" s="1"/>
      <c r="D545" s="1"/>
      <c r="E545" s="1"/>
      <c r="F545" s="1"/>
    </row>
    <row r="546" spans="1:6" x14ac:dyDescent="0.25">
      <c r="A546" s="1"/>
      <c r="B546" s="1"/>
      <c r="C546" s="1"/>
      <c r="D546" s="1"/>
      <c r="E546" s="1"/>
      <c r="F546" s="1"/>
    </row>
    <row r="547" spans="1:6" x14ac:dyDescent="0.25">
      <c r="A547" s="1"/>
      <c r="B547" s="1"/>
      <c r="C547" s="1"/>
      <c r="D547" s="1"/>
      <c r="E547" s="1"/>
      <c r="F547" s="1"/>
    </row>
    <row r="548" spans="1:6" x14ac:dyDescent="0.25">
      <c r="A548" s="1"/>
      <c r="B548" s="1"/>
      <c r="C548" s="1"/>
      <c r="D548" s="1"/>
      <c r="E548" s="1"/>
      <c r="F548" s="1"/>
    </row>
    <row r="549" spans="1:6" x14ac:dyDescent="0.25">
      <c r="A549" s="1"/>
      <c r="B549" s="1"/>
      <c r="C549" s="1"/>
      <c r="D549" s="1"/>
      <c r="E549" s="1"/>
      <c r="F549" s="1"/>
    </row>
    <row r="550" spans="1:6" x14ac:dyDescent="0.25">
      <c r="A550" s="1"/>
      <c r="B550" s="1"/>
      <c r="C550" s="1"/>
      <c r="D550" s="1"/>
      <c r="E550" s="1"/>
      <c r="F550" s="1"/>
    </row>
    <row r="551" spans="1:6" x14ac:dyDescent="0.25">
      <c r="A551" s="1"/>
      <c r="B551" s="1"/>
      <c r="C551" s="1"/>
      <c r="D551" s="1"/>
      <c r="E551" s="1"/>
      <c r="F551" s="1"/>
    </row>
    <row r="552" spans="1:6" x14ac:dyDescent="0.25">
      <c r="A552" s="1"/>
      <c r="B552" s="1"/>
      <c r="C552" s="1"/>
      <c r="D552" s="1"/>
      <c r="E552" s="1"/>
      <c r="F552" s="1"/>
    </row>
    <row r="553" spans="1:6" x14ac:dyDescent="0.25">
      <c r="A553" s="1"/>
      <c r="B553" s="1"/>
      <c r="C553" s="1"/>
      <c r="D553" s="1"/>
      <c r="E553" s="1"/>
      <c r="F553" s="1"/>
    </row>
    <row r="554" spans="1:6" x14ac:dyDescent="0.25">
      <c r="A554" s="1"/>
      <c r="B554" s="1"/>
      <c r="C554" s="1"/>
      <c r="D554" s="1"/>
      <c r="E554" s="1"/>
      <c r="F554" s="1"/>
    </row>
    <row r="555" spans="1:6" x14ac:dyDescent="0.25">
      <c r="A555" s="1"/>
      <c r="B555" s="1"/>
      <c r="C555" s="1"/>
      <c r="D555" s="1"/>
      <c r="E555" s="1"/>
      <c r="F555" s="1"/>
    </row>
    <row r="556" spans="1:6" x14ac:dyDescent="0.25">
      <c r="A556" s="1"/>
      <c r="B556" s="1"/>
      <c r="C556" s="1"/>
      <c r="D556" s="1"/>
      <c r="E556" s="1"/>
      <c r="F556" s="1"/>
    </row>
    <row r="557" spans="1:6" x14ac:dyDescent="0.25">
      <c r="A557" s="1"/>
      <c r="B557" s="1"/>
      <c r="C557" s="1"/>
      <c r="D557" s="1"/>
      <c r="E557" s="1"/>
      <c r="F557" s="1"/>
    </row>
    <row r="558" spans="1:6" x14ac:dyDescent="0.25">
      <c r="A558" s="1"/>
      <c r="B558" s="1"/>
      <c r="C558" s="1"/>
      <c r="D558" s="1"/>
      <c r="E558" s="1"/>
      <c r="F558" s="1"/>
    </row>
    <row r="559" spans="1:6" x14ac:dyDescent="0.25">
      <c r="A559" s="1"/>
      <c r="B559" s="1"/>
      <c r="C559" s="1"/>
      <c r="D559" s="1"/>
      <c r="E559" s="1"/>
      <c r="F559" s="1"/>
    </row>
    <row r="560" spans="1:6" x14ac:dyDescent="0.25">
      <c r="A560" s="1"/>
      <c r="B560" s="1"/>
      <c r="C560" s="1"/>
      <c r="D560" s="1"/>
      <c r="E560" s="1"/>
      <c r="F560" s="1"/>
    </row>
    <row r="561" spans="1:6" x14ac:dyDescent="0.25">
      <c r="A561" s="1"/>
      <c r="B561" s="1"/>
      <c r="C561" s="1"/>
      <c r="D561" s="1"/>
      <c r="E561" s="1"/>
      <c r="F561" s="1"/>
    </row>
    <row r="562" spans="1:6" x14ac:dyDescent="0.25">
      <c r="A562" s="1"/>
      <c r="B562" s="1"/>
      <c r="C562" s="1"/>
      <c r="D562" s="1"/>
      <c r="E562" s="1"/>
      <c r="F562" s="1"/>
    </row>
    <row r="563" spans="1:6" x14ac:dyDescent="0.25">
      <c r="A563" s="1"/>
      <c r="B563" s="1"/>
      <c r="C563" s="1"/>
      <c r="D563" s="1"/>
      <c r="E563" s="1"/>
      <c r="F563" s="1"/>
    </row>
    <row r="564" spans="1:6" x14ac:dyDescent="0.25">
      <c r="A564" s="1"/>
      <c r="B564" s="1"/>
      <c r="C564" s="1"/>
      <c r="D564" s="1"/>
      <c r="E564" s="1"/>
      <c r="F564" s="1"/>
    </row>
    <row r="565" spans="1:6" x14ac:dyDescent="0.25">
      <c r="A565" s="1"/>
      <c r="B565" s="1"/>
      <c r="C565" s="1"/>
      <c r="D565" s="1"/>
      <c r="E565" s="1"/>
      <c r="F565" s="1"/>
    </row>
    <row r="566" spans="1:6" x14ac:dyDescent="0.25">
      <c r="A566" s="1"/>
      <c r="B566" s="1"/>
      <c r="C566" s="1"/>
      <c r="D566" s="1"/>
      <c r="E566" s="1"/>
      <c r="F566" s="1"/>
    </row>
    <row r="567" spans="1:6" x14ac:dyDescent="0.25">
      <c r="A567" s="1"/>
      <c r="B567" s="1"/>
      <c r="C567" s="1"/>
      <c r="D567" s="1"/>
      <c r="E567" s="1"/>
      <c r="F567" s="1"/>
    </row>
    <row r="568" spans="1:6" x14ac:dyDescent="0.25">
      <c r="A568" s="1"/>
      <c r="B568" s="1"/>
      <c r="C568" s="1"/>
      <c r="D568" s="1"/>
      <c r="E568" s="1"/>
      <c r="F568" s="1"/>
    </row>
    <row r="569" spans="1:6" x14ac:dyDescent="0.25">
      <c r="A569" s="1"/>
      <c r="B569" s="1"/>
      <c r="C569" s="1"/>
      <c r="D569" s="1"/>
      <c r="E569" s="1"/>
      <c r="F569" s="1"/>
    </row>
    <row r="570" spans="1:6" x14ac:dyDescent="0.25">
      <c r="A570" s="1"/>
      <c r="B570" s="1"/>
      <c r="C570" s="1"/>
      <c r="D570" s="1"/>
      <c r="E570" s="1"/>
      <c r="F570" s="1"/>
    </row>
    <row r="571" spans="1:6" x14ac:dyDescent="0.25">
      <c r="A571" s="1"/>
      <c r="B571" s="1"/>
      <c r="C571" s="1"/>
      <c r="D571" s="1"/>
      <c r="E571" s="1"/>
      <c r="F571" s="1"/>
    </row>
    <row r="572" spans="1:6" x14ac:dyDescent="0.25">
      <c r="A572" s="1"/>
      <c r="B572" s="1"/>
      <c r="C572" s="1"/>
      <c r="D572" s="1"/>
      <c r="E572" s="1"/>
      <c r="F572" s="1"/>
    </row>
    <row r="573" spans="1:6" x14ac:dyDescent="0.25">
      <c r="A573" s="1"/>
      <c r="B573" s="1"/>
      <c r="C573" s="1"/>
      <c r="D573" s="1"/>
      <c r="E573" s="1"/>
      <c r="F573" s="1"/>
    </row>
    <row r="574" spans="1:6" x14ac:dyDescent="0.25">
      <c r="A574" s="1"/>
      <c r="B574" s="1"/>
      <c r="C574" s="1"/>
      <c r="D574" s="1"/>
      <c r="E574" s="1"/>
      <c r="F574" s="1"/>
    </row>
    <row r="575" spans="1:6" x14ac:dyDescent="0.25">
      <c r="A575" s="1"/>
      <c r="B575" s="1"/>
      <c r="C575" s="1"/>
      <c r="D575" s="1"/>
      <c r="E575" s="1"/>
      <c r="F575" s="1"/>
    </row>
    <row r="576" spans="1:6" x14ac:dyDescent="0.25">
      <c r="A576" s="1"/>
      <c r="B576" s="1"/>
      <c r="C576" s="1"/>
      <c r="D576" s="1"/>
      <c r="E576" s="1"/>
      <c r="F576" s="1"/>
    </row>
    <row r="577" spans="1:6" x14ac:dyDescent="0.25">
      <c r="A577" s="1"/>
      <c r="B577" s="1"/>
      <c r="C577" s="1"/>
      <c r="D577" s="1"/>
      <c r="E577" s="1"/>
      <c r="F577" s="1"/>
    </row>
    <row r="578" spans="1:6" x14ac:dyDescent="0.25">
      <c r="A578" s="1"/>
      <c r="B578" s="1"/>
      <c r="C578" s="1"/>
      <c r="D578" s="1"/>
      <c r="E578" s="1"/>
      <c r="F578" s="1"/>
    </row>
    <row r="579" spans="1:6" x14ac:dyDescent="0.25">
      <c r="A579" s="1"/>
      <c r="B579" s="1"/>
      <c r="C579" s="1"/>
      <c r="D579" s="1"/>
      <c r="E579" s="1"/>
      <c r="F579" s="1"/>
    </row>
    <row r="580" spans="1:6" x14ac:dyDescent="0.25">
      <c r="A580" s="1"/>
      <c r="B580" s="1"/>
      <c r="C580" s="1"/>
      <c r="D580" s="1"/>
      <c r="E580" s="1"/>
      <c r="F580" s="1"/>
    </row>
    <row r="581" spans="1:6" x14ac:dyDescent="0.25">
      <c r="A581" s="1"/>
      <c r="B581" s="1"/>
      <c r="C581" s="1"/>
      <c r="D581" s="1"/>
      <c r="E581" s="1"/>
      <c r="F581" s="1"/>
    </row>
    <row r="582" spans="1:6" x14ac:dyDescent="0.25">
      <c r="A582" s="1"/>
      <c r="B582" s="1"/>
      <c r="C582" s="1"/>
      <c r="D582" s="1"/>
      <c r="E582" s="1"/>
      <c r="F582" s="1"/>
    </row>
    <row r="583" spans="1:6" x14ac:dyDescent="0.25">
      <c r="A583" s="1"/>
      <c r="B583" s="1"/>
      <c r="C583" s="1"/>
      <c r="D583" s="1"/>
      <c r="E583" s="1"/>
      <c r="F583" s="1"/>
    </row>
    <row r="584" spans="1:6" x14ac:dyDescent="0.25">
      <c r="A584" s="1"/>
      <c r="B584" s="1"/>
      <c r="C584" s="1"/>
      <c r="D584" s="1"/>
      <c r="E584" s="1"/>
      <c r="F584" s="1"/>
    </row>
    <row r="585" spans="1:6" x14ac:dyDescent="0.25">
      <c r="A585" s="1"/>
      <c r="B585" s="1"/>
      <c r="C585" s="1"/>
      <c r="D585" s="1"/>
      <c r="E585" s="1"/>
      <c r="F585" s="1"/>
    </row>
    <row r="586" spans="1:6" x14ac:dyDescent="0.25">
      <c r="A586" s="1"/>
      <c r="B586" s="1"/>
      <c r="C586" s="1"/>
      <c r="D586" s="1"/>
      <c r="E586" s="1"/>
      <c r="F586" s="1"/>
    </row>
    <row r="587" spans="1:6" x14ac:dyDescent="0.25">
      <c r="A587" s="1"/>
      <c r="B587" s="1"/>
      <c r="C587" s="1"/>
      <c r="D587" s="1"/>
      <c r="E587" s="1"/>
      <c r="F587" s="1"/>
    </row>
    <row r="588" spans="1:6" x14ac:dyDescent="0.25">
      <c r="A588" s="1"/>
      <c r="B588" s="1"/>
      <c r="C588" s="1"/>
      <c r="D588" s="1"/>
      <c r="E588" s="1"/>
      <c r="F588" s="1"/>
    </row>
    <row r="589" spans="1:6" x14ac:dyDescent="0.25">
      <c r="A589" s="1"/>
      <c r="B589" s="1"/>
      <c r="C589" s="1"/>
      <c r="D589" s="1"/>
      <c r="E589" s="1"/>
      <c r="F589" s="1"/>
    </row>
    <row r="590" spans="1:6" x14ac:dyDescent="0.25">
      <c r="A590" s="1"/>
      <c r="B590" s="1"/>
      <c r="C590" s="1"/>
      <c r="D590" s="1"/>
      <c r="E590" s="1"/>
      <c r="F590" s="1"/>
    </row>
    <row r="591" spans="1:6" x14ac:dyDescent="0.25">
      <c r="A591" s="1"/>
      <c r="B591" s="1"/>
      <c r="C591" s="1"/>
      <c r="D591" s="1"/>
      <c r="E591" s="1"/>
      <c r="F591" s="1"/>
    </row>
    <row r="592" spans="1:6" x14ac:dyDescent="0.25">
      <c r="A592" s="1"/>
      <c r="B592" s="1"/>
      <c r="C592" s="1"/>
      <c r="D592" s="1"/>
      <c r="E592" s="1"/>
      <c r="F592" s="1"/>
    </row>
    <row r="593" spans="1:6" x14ac:dyDescent="0.25">
      <c r="A593" s="1"/>
      <c r="B593" s="1"/>
      <c r="C593" s="1"/>
      <c r="D593" s="1"/>
      <c r="E593" s="1"/>
      <c r="F593" s="1"/>
    </row>
    <row r="594" spans="1:6" x14ac:dyDescent="0.25">
      <c r="A594" s="1"/>
      <c r="B594" s="1"/>
      <c r="C594" s="1"/>
      <c r="D594" s="1"/>
      <c r="E594" s="1"/>
      <c r="F594" s="1"/>
    </row>
    <row r="595" spans="1:6" x14ac:dyDescent="0.25">
      <c r="A595" s="1"/>
      <c r="B595" s="1"/>
      <c r="C595" s="1"/>
      <c r="D595" s="1"/>
      <c r="E595" s="1"/>
      <c r="F595" s="1"/>
    </row>
    <row r="596" spans="1:6" x14ac:dyDescent="0.25">
      <c r="A596" s="1"/>
      <c r="B596" s="1"/>
      <c r="C596" s="1"/>
      <c r="D596" s="1"/>
      <c r="E596" s="1"/>
      <c r="F596" s="1"/>
    </row>
    <row r="597" spans="1:6" x14ac:dyDescent="0.25">
      <c r="A597" s="1"/>
      <c r="B597" s="1"/>
      <c r="C597" s="1"/>
      <c r="D597" s="1"/>
      <c r="E597" s="1"/>
      <c r="F597" s="1"/>
    </row>
    <row r="598" spans="1:6" x14ac:dyDescent="0.25">
      <c r="A598" s="1"/>
      <c r="B598" s="1"/>
      <c r="C598" s="1"/>
      <c r="D598" s="1"/>
      <c r="E598" s="1"/>
      <c r="F598" s="1"/>
    </row>
    <row r="599" spans="1:6" x14ac:dyDescent="0.25">
      <c r="A599" s="1"/>
      <c r="B599" s="1"/>
      <c r="C599" s="1"/>
      <c r="D599" s="1"/>
      <c r="E599" s="1"/>
      <c r="F599" s="1"/>
    </row>
    <row r="600" spans="1:6" x14ac:dyDescent="0.25">
      <c r="A600" s="1"/>
      <c r="B600" s="1"/>
      <c r="C600" s="1"/>
      <c r="D600" s="1"/>
      <c r="E600" s="1"/>
      <c r="F600" s="1"/>
    </row>
    <row r="601" spans="1:6" x14ac:dyDescent="0.25">
      <c r="A601" s="1"/>
      <c r="B601" s="1"/>
      <c r="C601" s="1"/>
      <c r="D601" s="1"/>
      <c r="E601" s="1"/>
      <c r="F601" s="1"/>
    </row>
    <row r="602" spans="1:6" x14ac:dyDescent="0.25">
      <c r="A602" s="1"/>
      <c r="B602" s="1"/>
      <c r="C602" s="1"/>
      <c r="D602" s="1"/>
      <c r="E602" s="1"/>
      <c r="F602" s="1"/>
    </row>
    <row r="603" spans="1:6" x14ac:dyDescent="0.25">
      <c r="A603" s="1"/>
      <c r="B603" s="1"/>
      <c r="C603" s="1"/>
      <c r="D603" s="1"/>
      <c r="E603" s="1"/>
      <c r="F603" s="1"/>
    </row>
    <row r="604" spans="1:6" x14ac:dyDescent="0.25">
      <c r="A604" s="1"/>
      <c r="B604" s="1"/>
      <c r="C604" s="1"/>
      <c r="D604" s="1"/>
      <c r="E604" s="1"/>
      <c r="F604" s="1"/>
    </row>
    <row r="605" spans="1:6" x14ac:dyDescent="0.25">
      <c r="A605" s="1"/>
      <c r="B605" s="1"/>
      <c r="C605" s="1"/>
      <c r="D605" s="1"/>
      <c r="E605" s="1"/>
      <c r="F605" s="1"/>
    </row>
    <row r="606" spans="1:6" x14ac:dyDescent="0.25">
      <c r="A606" s="1"/>
      <c r="B606" s="1"/>
      <c r="C606" s="1"/>
      <c r="D606" s="1"/>
      <c r="E606" s="1"/>
      <c r="F606" s="1"/>
    </row>
    <row r="607" spans="1:6" x14ac:dyDescent="0.25">
      <c r="A607" s="1"/>
      <c r="B607" s="1"/>
      <c r="C607" s="1"/>
      <c r="D607" s="1"/>
      <c r="E607" s="1"/>
      <c r="F607" s="1"/>
    </row>
    <row r="608" spans="1:6" x14ac:dyDescent="0.25">
      <c r="A608" s="1"/>
      <c r="B608" s="1"/>
      <c r="C608" s="1"/>
      <c r="D608" s="1"/>
      <c r="E608" s="1"/>
      <c r="F608" s="1"/>
    </row>
    <row r="609" spans="1:6" x14ac:dyDescent="0.25">
      <c r="A609" s="1"/>
      <c r="B609" s="1"/>
      <c r="C609" s="1"/>
      <c r="D609" s="1"/>
      <c r="E609" s="1"/>
      <c r="F609" s="1"/>
    </row>
    <row r="610" spans="1:6" x14ac:dyDescent="0.25">
      <c r="A610" s="1"/>
      <c r="B610" s="1"/>
      <c r="C610" s="1"/>
      <c r="D610" s="1"/>
      <c r="E610" s="1"/>
      <c r="F610" s="1"/>
    </row>
    <row r="611" spans="1:6" x14ac:dyDescent="0.25">
      <c r="A611" s="1"/>
      <c r="B611" s="1"/>
      <c r="C611" s="1"/>
      <c r="D611" s="1"/>
      <c r="E611" s="1"/>
      <c r="F611" s="1"/>
    </row>
    <row r="612" spans="1:6" x14ac:dyDescent="0.25">
      <c r="A612" s="1"/>
      <c r="B612" s="1"/>
      <c r="C612" s="1"/>
      <c r="D612" s="1"/>
      <c r="E612" s="1"/>
      <c r="F612" s="1"/>
    </row>
    <row r="613" spans="1:6" x14ac:dyDescent="0.25">
      <c r="A613" s="1"/>
      <c r="B613" s="1"/>
      <c r="C613" s="1"/>
      <c r="D613" s="1"/>
      <c r="E613" s="1"/>
      <c r="F613" s="1"/>
    </row>
    <row r="614" spans="1:6" x14ac:dyDescent="0.25">
      <c r="A614" s="1"/>
      <c r="B614" s="1"/>
      <c r="C614" s="1"/>
      <c r="D614" s="1"/>
      <c r="E614" s="1"/>
      <c r="F614" s="1"/>
    </row>
    <row r="615" spans="1:6" x14ac:dyDescent="0.25">
      <c r="A615" s="1"/>
      <c r="B615" s="1"/>
      <c r="C615" s="1"/>
      <c r="D615" s="1"/>
      <c r="E615" s="1"/>
      <c r="F615" s="1"/>
    </row>
    <row r="616" spans="1:6" x14ac:dyDescent="0.25">
      <c r="A616" s="1"/>
      <c r="B616" s="1"/>
      <c r="C616" s="1"/>
      <c r="D616" s="1"/>
      <c r="E616" s="1"/>
      <c r="F616" s="1"/>
    </row>
    <row r="617" spans="1:6" x14ac:dyDescent="0.25">
      <c r="A617" s="1"/>
      <c r="B617" s="1"/>
      <c r="C617" s="1"/>
      <c r="D617" s="1"/>
      <c r="E617" s="1"/>
      <c r="F617" s="1"/>
    </row>
    <row r="618" spans="1:6" x14ac:dyDescent="0.25">
      <c r="A618" s="1"/>
      <c r="B618" s="1"/>
      <c r="C618" s="1"/>
      <c r="D618" s="1"/>
      <c r="E618" s="1"/>
      <c r="F618" s="1"/>
    </row>
    <row r="619" spans="1:6" x14ac:dyDescent="0.25">
      <c r="A619" s="1"/>
      <c r="B619" s="1"/>
      <c r="C619" s="1"/>
      <c r="D619" s="1"/>
      <c r="E619" s="1"/>
      <c r="F619" s="1"/>
    </row>
    <row r="620" spans="1:6" x14ac:dyDescent="0.25">
      <c r="A620" s="1"/>
      <c r="B620" s="1"/>
      <c r="C620" s="1"/>
      <c r="D620" s="1"/>
      <c r="E620" s="1"/>
      <c r="F620" s="1"/>
    </row>
    <row r="621" spans="1:6" x14ac:dyDescent="0.25">
      <c r="A621" s="1"/>
      <c r="B621" s="1"/>
      <c r="C621" s="1"/>
      <c r="D621" s="1"/>
      <c r="E621" s="1"/>
      <c r="F621" s="1"/>
    </row>
    <row r="622" spans="1:6" x14ac:dyDescent="0.25">
      <c r="A622" s="1"/>
      <c r="B622" s="1"/>
      <c r="C622" s="1"/>
      <c r="D622" s="1"/>
      <c r="E622" s="1"/>
      <c r="F622" s="1"/>
    </row>
    <row r="623" spans="1:6" x14ac:dyDescent="0.25">
      <c r="A623" s="1"/>
      <c r="B623" s="1"/>
      <c r="C623" s="1"/>
      <c r="D623" s="1"/>
      <c r="E623" s="1"/>
      <c r="F623" s="1"/>
    </row>
    <row r="624" spans="1:6" x14ac:dyDescent="0.25">
      <c r="A624" s="1"/>
      <c r="B624" s="1"/>
      <c r="C624" s="1"/>
      <c r="D624" s="1"/>
      <c r="E624" s="1"/>
      <c r="F624" s="1"/>
    </row>
    <row r="625" spans="1:6" x14ac:dyDescent="0.25">
      <c r="A625" s="1"/>
      <c r="B625" s="1"/>
      <c r="C625" s="1"/>
      <c r="D625" s="1"/>
      <c r="E625" s="1"/>
      <c r="F625" s="1"/>
    </row>
    <row r="626" spans="1:6" x14ac:dyDescent="0.25">
      <c r="A626" s="1"/>
      <c r="B626" s="1"/>
      <c r="C626" s="1"/>
      <c r="D626" s="1"/>
      <c r="E626" s="1"/>
      <c r="F626" s="1"/>
    </row>
    <row r="627" spans="1:6" x14ac:dyDescent="0.25">
      <c r="A627" s="1"/>
      <c r="B627" s="1"/>
      <c r="C627" s="1"/>
      <c r="D627" s="1"/>
      <c r="E627" s="1"/>
      <c r="F627" s="1"/>
    </row>
    <row r="628" spans="1:6" x14ac:dyDescent="0.25">
      <c r="A628" s="1"/>
      <c r="B628" s="1"/>
      <c r="C628" s="1"/>
      <c r="D628" s="1"/>
      <c r="E628" s="1"/>
      <c r="F628" s="1"/>
    </row>
    <row r="629" spans="1:6" x14ac:dyDescent="0.25">
      <c r="A629" s="1"/>
      <c r="B629" s="1"/>
      <c r="C629" s="1"/>
      <c r="D629" s="1"/>
      <c r="E629" s="1"/>
      <c r="F629" s="1"/>
    </row>
    <row r="630" spans="1:6" x14ac:dyDescent="0.25">
      <c r="A630" s="1"/>
      <c r="B630" s="1"/>
      <c r="C630" s="1"/>
      <c r="D630" s="1"/>
      <c r="E630" s="1"/>
      <c r="F630" s="1"/>
    </row>
    <row r="631" spans="1:6" x14ac:dyDescent="0.25">
      <c r="A631" s="1"/>
      <c r="B631" s="1"/>
      <c r="C631" s="1"/>
      <c r="D631" s="1"/>
      <c r="E631" s="1"/>
      <c r="F631" s="1"/>
    </row>
    <row r="632" spans="1:6" x14ac:dyDescent="0.25">
      <c r="A632" s="1"/>
      <c r="B632" s="1"/>
      <c r="C632" s="1"/>
      <c r="D632" s="1"/>
      <c r="E632" s="1"/>
      <c r="F632" s="1"/>
    </row>
    <row r="633" spans="1:6" x14ac:dyDescent="0.25">
      <c r="A633" s="1"/>
      <c r="B633" s="1"/>
      <c r="C633" s="1"/>
      <c r="D633" s="1"/>
      <c r="E633" s="1"/>
      <c r="F633" s="1"/>
    </row>
    <row r="634" spans="1:6" x14ac:dyDescent="0.25">
      <c r="A634" s="1"/>
      <c r="B634" s="1"/>
      <c r="C634" s="1"/>
      <c r="D634" s="1"/>
      <c r="E634" s="1"/>
      <c r="F634" s="1"/>
    </row>
    <row r="635" spans="1:6" x14ac:dyDescent="0.25">
      <c r="A635" s="1"/>
      <c r="B635" s="1"/>
      <c r="C635" s="1"/>
      <c r="D635" s="1"/>
      <c r="E635" s="1"/>
      <c r="F635" s="1"/>
    </row>
    <row r="636" spans="1:6" x14ac:dyDescent="0.25">
      <c r="A636" s="1"/>
      <c r="B636" s="1"/>
      <c r="C636" s="1"/>
      <c r="D636" s="1"/>
      <c r="E636" s="1"/>
      <c r="F636" s="1"/>
    </row>
    <row r="637" spans="1:6" x14ac:dyDescent="0.25">
      <c r="A637" s="1"/>
      <c r="B637" s="1"/>
      <c r="C637" s="1"/>
      <c r="D637" s="1"/>
      <c r="E637" s="1"/>
      <c r="F637" s="1"/>
    </row>
    <row r="638" spans="1:6" x14ac:dyDescent="0.25">
      <c r="A638" s="1"/>
      <c r="B638" s="1"/>
      <c r="C638" s="1"/>
      <c r="D638" s="1"/>
      <c r="E638" s="1"/>
      <c r="F638" s="1"/>
    </row>
    <row r="639" spans="1:6" x14ac:dyDescent="0.25">
      <c r="A639" s="1"/>
      <c r="B639" s="1"/>
      <c r="C639" s="1"/>
      <c r="D639" s="1"/>
      <c r="E639" s="1"/>
      <c r="F639" s="1"/>
    </row>
    <row r="640" spans="1:6" x14ac:dyDescent="0.25">
      <c r="A640" s="1"/>
      <c r="B640" s="1"/>
      <c r="C640" s="1"/>
      <c r="D640" s="1"/>
      <c r="E640" s="1"/>
      <c r="F640" s="1"/>
    </row>
    <row r="641" spans="1:6" x14ac:dyDescent="0.25">
      <c r="A641" s="1"/>
      <c r="B641" s="1"/>
      <c r="C641" s="1"/>
      <c r="D641" s="1"/>
      <c r="E641" s="1"/>
      <c r="F641" s="1"/>
    </row>
    <row r="642" spans="1:6" x14ac:dyDescent="0.25">
      <c r="A642" s="1"/>
      <c r="B642" s="1"/>
      <c r="C642" s="1"/>
      <c r="D642" s="1"/>
      <c r="E642" s="1"/>
      <c r="F642" s="1"/>
    </row>
    <row r="643" spans="1:6" x14ac:dyDescent="0.25">
      <c r="A643" s="1"/>
      <c r="B643" s="1"/>
      <c r="C643" s="1"/>
      <c r="D643" s="1"/>
      <c r="E643" s="1"/>
      <c r="F643" s="1"/>
    </row>
    <row r="644" spans="1:6" x14ac:dyDescent="0.25">
      <c r="A644" s="1"/>
      <c r="B644" s="1"/>
      <c r="C644" s="1"/>
      <c r="D644" s="1"/>
      <c r="E644" s="1"/>
      <c r="F644" s="1"/>
    </row>
    <row r="645" spans="1:6" x14ac:dyDescent="0.25">
      <c r="A645" s="1"/>
      <c r="B645" s="1"/>
      <c r="C645" s="1"/>
      <c r="D645" s="1"/>
      <c r="E645" s="1"/>
      <c r="F645" s="1"/>
    </row>
    <row r="646" spans="1:6" x14ac:dyDescent="0.25">
      <c r="A646" s="1"/>
      <c r="B646" s="1"/>
      <c r="C646" s="1"/>
      <c r="D646" s="1"/>
      <c r="E646" s="1"/>
      <c r="F646" s="1"/>
    </row>
    <row r="647" spans="1:6" x14ac:dyDescent="0.25">
      <c r="A647" s="1"/>
      <c r="B647" s="1"/>
      <c r="C647" s="1"/>
      <c r="D647" s="1"/>
      <c r="E647" s="1"/>
      <c r="F647" s="1"/>
    </row>
    <row r="648" spans="1:6" x14ac:dyDescent="0.25">
      <c r="A648" s="1"/>
      <c r="B648" s="1"/>
      <c r="C648" s="1"/>
      <c r="D648" s="1"/>
      <c r="E648" s="1"/>
      <c r="F648" s="1"/>
    </row>
    <row r="649" spans="1:6" x14ac:dyDescent="0.25">
      <c r="A649" s="1"/>
      <c r="B649" s="1"/>
      <c r="C649" s="1"/>
      <c r="D649" s="1"/>
      <c r="E649" s="1"/>
      <c r="F649" s="1"/>
    </row>
    <row r="650" spans="1:6" x14ac:dyDescent="0.25">
      <c r="A650" s="1"/>
      <c r="B650" s="1"/>
      <c r="C650" s="1"/>
      <c r="D650" s="1"/>
      <c r="E650" s="1"/>
      <c r="F650" s="1"/>
    </row>
    <row r="651" spans="1:6" x14ac:dyDescent="0.25">
      <c r="A651" s="1"/>
      <c r="B651" s="1"/>
      <c r="C651" s="1"/>
      <c r="D651" s="1"/>
      <c r="E651" s="1"/>
      <c r="F651" s="1"/>
    </row>
    <row r="652" spans="1:6" x14ac:dyDescent="0.25">
      <c r="A652" s="1"/>
      <c r="B652" s="1"/>
      <c r="C652" s="1"/>
      <c r="D652" s="1"/>
      <c r="E652" s="1"/>
      <c r="F652" s="1"/>
    </row>
    <row r="653" spans="1:6" x14ac:dyDescent="0.25">
      <c r="A653" s="1"/>
      <c r="B653" s="1"/>
      <c r="C653" s="1"/>
      <c r="D653" s="1"/>
      <c r="E653" s="1"/>
      <c r="F653" s="1"/>
    </row>
    <row r="654" spans="1:6" x14ac:dyDescent="0.25">
      <c r="A654" s="1"/>
      <c r="B654" s="1"/>
      <c r="C654" s="1"/>
      <c r="D654" s="1"/>
      <c r="E654" s="1"/>
      <c r="F654" s="1"/>
    </row>
    <row r="655" spans="1:6" x14ac:dyDescent="0.25">
      <c r="A655" s="1"/>
      <c r="B655" s="1"/>
      <c r="C655" s="1"/>
      <c r="D655" s="1"/>
      <c r="E655" s="1"/>
      <c r="F655" s="1"/>
    </row>
    <row r="656" spans="1:6" x14ac:dyDescent="0.25">
      <c r="A656" s="1"/>
      <c r="B656" s="1"/>
      <c r="C656" s="1"/>
      <c r="D656" s="1"/>
      <c r="E656" s="1"/>
      <c r="F656" s="1"/>
    </row>
    <row r="657" spans="1:6" x14ac:dyDescent="0.25">
      <c r="A657" s="1"/>
      <c r="B657" s="1"/>
      <c r="C657" s="1"/>
      <c r="D657" s="1"/>
      <c r="E657" s="1"/>
      <c r="F657" s="1"/>
    </row>
    <row r="658" spans="1:6" x14ac:dyDescent="0.25">
      <c r="A658" s="1"/>
      <c r="B658" s="1"/>
      <c r="C658" s="1"/>
      <c r="D658" s="1"/>
      <c r="E658" s="1"/>
      <c r="F658" s="1"/>
    </row>
    <row r="659" spans="1:6" x14ac:dyDescent="0.25">
      <c r="A659" s="1"/>
      <c r="B659" s="1"/>
      <c r="C659" s="1"/>
      <c r="D659" s="1"/>
      <c r="E659" s="1"/>
      <c r="F659" s="1"/>
    </row>
    <row r="660" spans="1:6" x14ac:dyDescent="0.25">
      <c r="A660" s="1"/>
      <c r="B660" s="1"/>
      <c r="C660" s="1"/>
      <c r="D660" s="1"/>
      <c r="E660" s="1"/>
      <c r="F660" s="1"/>
    </row>
  </sheetData>
  <mergeCells count="3">
    <mergeCell ref="A12:A13"/>
    <mergeCell ref="B12:C12"/>
    <mergeCell ref="D12:E12"/>
  </mergeCells>
  <pageMargins left="0.511811024" right="0.511811024" top="0.78740157499999996" bottom="0.78740157499999996" header="0.31496062000000002" footer="0.31496062000000002"/>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7"/>
  <dimension ref="A10:F52"/>
  <sheetViews>
    <sheetView showGridLines="0" workbookViewId="0">
      <selection activeCell="D16" sqref="D16"/>
    </sheetView>
  </sheetViews>
  <sheetFormatPr defaultRowHeight="15" x14ac:dyDescent="0.25"/>
  <cols>
    <col min="1" max="1" width="62.42578125" style="1" customWidth="1"/>
    <col min="2" max="5" width="13.7109375" style="1" customWidth="1"/>
    <col min="6" max="16384" width="9.140625" style="1"/>
  </cols>
  <sheetData>
    <row r="10" spans="1:6" x14ac:dyDescent="0.25">
      <c r="A10"/>
      <c r="B10"/>
      <c r="C10"/>
      <c r="D10"/>
      <c r="E10"/>
      <c r="F10"/>
    </row>
    <row r="11" spans="1:6" x14ac:dyDescent="0.25">
      <c r="A11"/>
      <c r="B11"/>
      <c r="C11"/>
      <c r="D11"/>
      <c r="E11"/>
      <c r="F11"/>
    </row>
    <row r="12" spans="1:6" x14ac:dyDescent="0.25">
      <c r="A12" s="710" t="str">
        <f>'[4]VD-IDADE'!A3</f>
        <v>IDADE</v>
      </c>
      <c r="B12" s="702">
        <f>'[4]VD-IDADE'!B3</f>
        <v>2020</v>
      </c>
      <c r="C12" s="702"/>
      <c r="D12" s="702">
        <f>'[4]VD-IDADE'!D3</f>
        <v>2017</v>
      </c>
      <c r="E12" s="702"/>
      <c r="F12"/>
    </row>
    <row r="13" spans="1:6" ht="24.75" customHeight="1" x14ac:dyDescent="0.25">
      <c r="A13" s="710"/>
      <c r="B13" s="426" t="str">
        <f>'[4]VD-IDADE'!B4</f>
        <v>TOTAL</v>
      </c>
      <c r="C13" s="426" t="str">
        <f>'[4]VD-IDADE'!C4</f>
        <v>%</v>
      </c>
      <c r="D13" s="426" t="str">
        <f>'[4]VD-IDADE'!D4</f>
        <v>TOTAL</v>
      </c>
      <c r="E13" s="426" t="str">
        <f>'[4]VD-IDADE'!E4</f>
        <v>%</v>
      </c>
      <c r="F13"/>
    </row>
    <row r="14" spans="1:6" x14ac:dyDescent="0.25">
      <c r="A14" s="428" t="str">
        <f>'[4]VD-IDADE'!A5</f>
        <v>20 a 30 anos</v>
      </c>
      <c r="B14" s="59">
        <f>'[4]VD-IDADE'!B5</f>
        <v>10</v>
      </c>
      <c r="C14" s="440">
        <f>'[4]VD-IDADE'!C5</f>
        <v>5.2083333333333336E-2</v>
      </c>
      <c r="D14" s="441">
        <f>'[4]VD-IDADE'!D5</f>
        <v>8</v>
      </c>
      <c r="E14" s="440">
        <f>'[4]VD-IDADE'!E5</f>
        <v>4.2328042328042326E-2</v>
      </c>
      <c r="F14"/>
    </row>
    <row r="15" spans="1:6" x14ac:dyDescent="0.25">
      <c r="A15" s="433" t="str">
        <f>'[4]VD-IDADE'!A6</f>
        <v>31 a 45 anos</v>
      </c>
      <c r="B15" s="59">
        <f>'[4]VD-IDADE'!B6</f>
        <v>60</v>
      </c>
      <c r="C15" s="440">
        <f>'[4]VD-IDADE'!C6</f>
        <v>0.3125</v>
      </c>
      <c r="D15" s="441">
        <f>'[4]VD-IDADE'!D6</f>
        <v>66</v>
      </c>
      <c r="E15" s="440">
        <f>'[4]VD-IDADE'!E6</f>
        <v>0.34920634920634919</v>
      </c>
      <c r="F15"/>
    </row>
    <row r="16" spans="1:6" x14ac:dyDescent="0.25">
      <c r="A16" s="443" t="str">
        <f>'[4]VD-IDADE'!A7</f>
        <v>46 a 55 anos</v>
      </c>
      <c r="B16" s="59">
        <f>'[4]VD-IDADE'!B7</f>
        <v>54</v>
      </c>
      <c r="C16" s="440">
        <f>'[4]VD-IDADE'!C7</f>
        <v>0.28125</v>
      </c>
      <c r="D16" s="441">
        <f>'[4]VD-IDADE'!D7</f>
        <v>55</v>
      </c>
      <c r="E16" s="440">
        <f>'[4]VD-IDADE'!E7</f>
        <v>0.29100529100529099</v>
      </c>
      <c r="F16"/>
    </row>
    <row r="17" spans="1:6" x14ac:dyDescent="0.25">
      <c r="A17" s="433" t="str">
        <f>'[4]VD-IDADE'!A8</f>
        <v>56 a 65 anos</v>
      </c>
      <c r="B17" s="59">
        <f>'[4]VD-IDADE'!B8</f>
        <v>48</v>
      </c>
      <c r="C17" s="440">
        <f>'[4]VD-IDADE'!C8</f>
        <v>0.25</v>
      </c>
      <c r="D17" s="441">
        <f>'[4]VD-IDADE'!D8</f>
        <v>51</v>
      </c>
      <c r="E17" s="440">
        <f>'[4]VD-IDADE'!E8</f>
        <v>0.26984126984126983</v>
      </c>
      <c r="F17"/>
    </row>
    <row r="18" spans="1:6" x14ac:dyDescent="0.25">
      <c r="A18" s="433" t="str">
        <f>'[4]VD-IDADE'!A9</f>
        <v>acima de 66 anos</v>
      </c>
      <c r="B18" s="59">
        <f>'[4]VD-IDADE'!B9</f>
        <v>20</v>
      </c>
      <c r="C18" s="440">
        <f>'[4]VD-IDADE'!C9</f>
        <v>0.10416666666666667</v>
      </c>
      <c r="D18" s="441">
        <f>'[4]VD-IDADE'!D9</f>
        <v>9</v>
      </c>
      <c r="E18" s="440">
        <f>'[4]VD-IDADE'!E9</f>
        <v>4.7619047619047616E-2</v>
      </c>
      <c r="F18"/>
    </row>
    <row r="19" spans="1:6" x14ac:dyDescent="0.25">
      <c r="A19" s="82" t="str">
        <f>'[4]VD-IDADE'!A10</f>
        <v>TOTAL</v>
      </c>
      <c r="B19" s="422">
        <f>'[4]VD-IDADE'!B10</f>
        <v>192</v>
      </c>
      <c r="C19" s="436">
        <f>'[4]VD-IDADE'!C10</f>
        <v>0.99999999999999989</v>
      </c>
      <c r="D19" s="422">
        <f>'[4]VD-IDADE'!D10</f>
        <v>189</v>
      </c>
      <c r="E19" s="436">
        <f>'[4]VD-IDADE'!E10</f>
        <v>1</v>
      </c>
      <c r="F19"/>
    </row>
    <row r="20" spans="1:6" x14ac:dyDescent="0.25">
      <c r="A20"/>
      <c r="B20"/>
      <c r="C20"/>
      <c r="D20"/>
      <c r="E20"/>
      <c r="F20"/>
    </row>
    <row r="21" spans="1:6" x14ac:dyDescent="0.25">
      <c r="A21"/>
      <c r="B21"/>
      <c r="C21"/>
      <c r="D21"/>
      <c r="E21"/>
      <c r="F21"/>
    </row>
    <row r="22" spans="1:6" x14ac:dyDescent="0.25">
      <c r="A22"/>
      <c r="B22"/>
      <c r="C22"/>
      <c r="D22"/>
      <c r="E22"/>
      <c r="F22"/>
    </row>
    <row r="23" spans="1:6" x14ac:dyDescent="0.25">
      <c r="A23"/>
      <c r="B23"/>
      <c r="C23"/>
      <c r="D23"/>
      <c r="E23"/>
      <c r="F23"/>
    </row>
    <row r="24" spans="1:6" x14ac:dyDescent="0.25">
      <c r="A24"/>
      <c r="B24"/>
      <c r="C24"/>
      <c r="D24"/>
      <c r="E24"/>
      <c r="F24"/>
    </row>
    <row r="25" spans="1:6" x14ac:dyDescent="0.25">
      <c r="A25"/>
      <c r="B25"/>
      <c r="C25"/>
      <c r="D25"/>
      <c r="E25"/>
      <c r="F25"/>
    </row>
    <row r="26" spans="1:6" x14ac:dyDescent="0.25">
      <c r="A26"/>
      <c r="B26"/>
      <c r="C26"/>
      <c r="D26"/>
      <c r="E26"/>
      <c r="F26"/>
    </row>
    <row r="27" spans="1:6" x14ac:dyDescent="0.25">
      <c r="A27"/>
      <c r="B27"/>
      <c r="C27"/>
      <c r="D27"/>
      <c r="E27"/>
      <c r="F27"/>
    </row>
    <row r="28" spans="1:6" x14ac:dyDescent="0.25">
      <c r="A28"/>
      <c r="B28"/>
      <c r="C28"/>
      <c r="D28"/>
      <c r="E28"/>
      <c r="F28"/>
    </row>
    <row r="29" spans="1:6" x14ac:dyDescent="0.25">
      <c r="A29"/>
      <c r="B29"/>
      <c r="C29"/>
      <c r="D29"/>
      <c r="E29"/>
      <c r="F29"/>
    </row>
    <row r="30" spans="1:6" x14ac:dyDescent="0.25">
      <c r="A30"/>
      <c r="B30"/>
      <c r="C30"/>
      <c r="D30"/>
      <c r="E30"/>
      <c r="F30"/>
    </row>
    <row r="31" spans="1:6" x14ac:dyDescent="0.25">
      <c r="A31"/>
      <c r="B31"/>
      <c r="C31"/>
      <c r="D31"/>
      <c r="E31"/>
      <c r="F31"/>
    </row>
    <row r="32" spans="1:6" x14ac:dyDescent="0.25">
      <c r="A32"/>
      <c r="B32"/>
      <c r="C32"/>
      <c r="D32"/>
      <c r="E32"/>
      <c r="F32"/>
    </row>
    <row r="33" spans="1:6" x14ac:dyDescent="0.25">
      <c r="A33"/>
      <c r="B33"/>
      <c r="C33"/>
      <c r="D33"/>
      <c r="E33"/>
      <c r="F33"/>
    </row>
    <row r="34" spans="1:6" x14ac:dyDescent="0.25">
      <c r="A34"/>
      <c r="B34"/>
      <c r="C34"/>
      <c r="D34"/>
      <c r="E34"/>
      <c r="F34"/>
    </row>
    <row r="35" spans="1:6" x14ac:dyDescent="0.25">
      <c r="A35"/>
      <c r="B35"/>
      <c r="C35"/>
      <c r="D35"/>
      <c r="E35"/>
      <c r="F35"/>
    </row>
    <row r="36" spans="1:6" x14ac:dyDescent="0.25">
      <c r="A36"/>
      <c r="B36"/>
      <c r="C36"/>
      <c r="D36"/>
      <c r="E36"/>
      <c r="F36"/>
    </row>
    <row r="37" spans="1:6" x14ac:dyDescent="0.25">
      <c r="A37"/>
      <c r="B37"/>
      <c r="C37"/>
      <c r="D37"/>
      <c r="E37"/>
      <c r="F37"/>
    </row>
    <row r="38" spans="1:6" x14ac:dyDescent="0.25">
      <c r="A38"/>
      <c r="B38"/>
      <c r="C38"/>
      <c r="D38"/>
      <c r="E38"/>
      <c r="F38"/>
    </row>
    <row r="39" spans="1:6" x14ac:dyDescent="0.25">
      <c r="A39"/>
      <c r="B39"/>
      <c r="C39"/>
      <c r="D39"/>
      <c r="E39"/>
      <c r="F39"/>
    </row>
    <row r="40" spans="1:6" x14ac:dyDescent="0.25">
      <c r="A40"/>
      <c r="B40"/>
      <c r="C40"/>
      <c r="D40"/>
      <c r="E40"/>
      <c r="F40"/>
    </row>
    <row r="41" spans="1:6" x14ac:dyDescent="0.25">
      <c r="A41"/>
      <c r="B41"/>
      <c r="C41"/>
      <c r="D41"/>
      <c r="E41"/>
      <c r="F41"/>
    </row>
    <row r="42" spans="1:6" x14ac:dyDescent="0.25">
      <c r="A42"/>
      <c r="B42"/>
      <c r="C42"/>
      <c r="D42"/>
      <c r="E42"/>
      <c r="F42"/>
    </row>
    <row r="43" spans="1:6" x14ac:dyDescent="0.25">
      <c r="A43"/>
      <c r="B43"/>
      <c r="C43"/>
      <c r="D43"/>
      <c r="E43"/>
      <c r="F43"/>
    </row>
    <row r="44" spans="1:6" x14ac:dyDescent="0.25">
      <c r="A44"/>
      <c r="B44"/>
      <c r="C44"/>
      <c r="D44"/>
      <c r="E44"/>
      <c r="F44"/>
    </row>
    <row r="45" spans="1:6" x14ac:dyDescent="0.25">
      <c r="A45"/>
      <c r="B45"/>
      <c r="C45"/>
      <c r="D45"/>
      <c r="E45"/>
      <c r="F45"/>
    </row>
    <row r="46" spans="1:6" x14ac:dyDescent="0.25">
      <c r="A46"/>
      <c r="B46"/>
      <c r="C46"/>
      <c r="D46"/>
      <c r="E46"/>
      <c r="F46"/>
    </row>
    <row r="47" spans="1:6" x14ac:dyDescent="0.25">
      <c r="A47"/>
      <c r="B47"/>
      <c r="C47"/>
      <c r="D47"/>
      <c r="E47"/>
      <c r="F47"/>
    </row>
    <row r="48" spans="1:6" x14ac:dyDescent="0.25">
      <c r="A48"/>
      <c r="B48"/>
      <c r="C48"/>
      <c r="D48"/>
      <c r="E48"/>
      <c r="F48"/>
    </row>
    <row r="49" spans="1:6" x14ac:dyDescent="0.25">
      <c r="A49"/>
      <c r="B49"/>
      <c r="C49"/>
      <c r="D49"/>
      <c r="E49"/>
      <c r="F49"/>
    </row>
    <row r="50" spans="1:6" x14ac:dyDescent="0.25">
      <c r="A50"/>
      <c r="B50"/>
      <c r="C50"/>
      <c r="D50"/>
      <c r="E50"/>
      <c r="F50"/>
    </row>
    <row r="51" spans="1:6" x14ac:dyDescent="0.25">
      <c r="A51"/>
      <c r="B51"/>
      <c r="C51"/>
      <c r="D51"/>
      <c r="E51"/>
      <c r="F51"/>
    </row>
    <row r="52" spans="1:6" x14ac:dyDescent="0.25">
      <c r="A52"/>
      <c r="B52"/>
      <c r="C52"/>
      <c r="D52"/>
      <c r="E52"/>
      <c r="F52"/>
    </row>
  </sheetData>
  <mergeCells count="3">
    <mergeCell ref="A12:A13"/>
    <mergeCell ref="B12:C12"/>
    <mergeCell ref="D12:E12"/>
  </mergeCells>
  <pageMargins left="0.511811024" right="0.511811024" top="0.78740157499999996" bottom="0.78740157499999996" header="0.31496062000000002" footer="0.31496062000000002"/>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8"/>
  <dimension ref="A10:F52"/>
  <sheetViews>
    <sheetView showGridLines="0" workbookViewId="0">
      <selection activeCell="A9" sqref="A9"/>
    </sheetView>
  </sheetViews>
  <sheetFormatPr defaultRowHeight="15" x14ac:dyDescent="0.25"/>
  <cols>
    <col min="1" max="1" width="61.42578125" style="1" customWidth="1"/>
    <col min="2" max="5" width="13.7109375" style="1" customWidth="1"/>
    <col min="6" max="16384" width="9.140625" style="1"/>
  </cols>
  <sheetData>
    <row r="10" spans="1:6" x14ac:dyDescent="0.25">
      <c r="A10"/>
      <c r="B10"/>
      <c r="C10"/>
      <c r="D10"/>
      <c r="E10"/>
      <c r="F10"/>
    </row>
    <row r="11" spans="1:6" x14ac:dyDescent="0.25">
      <c r="A11"/>
      <c r="B11"/>
      <c r="C11"/>
      <c r="D11"/>
      <c r="E11"/>
      <c r="F11"/>
    </row>
    <row r="12" spans="1:6" x14ac:dyDescent="0.25">
      <c r="A12" s="710" t="str">
        <f>'[4]VD-ESCOLARIDADE'!A3</f>
        <v>ESCOLARIDADE</v>
      </c>
      <c r="B12" s="702">
        <f>'[4]VD-ESCOLARIDADE'!B3</f>
        <v>2020</v>
      </c>
      <c r="C12" s="702"/>
      <c r="D12" s="702">
        <f>'[4]VD-ESCOLARIDADE'!D3</f>
        <v>2017</v>
      </c>
      <c r="E12" s="702"/>
      <c r="F12"/>
    </row>
    <row r="13" spans="1:6" ht="20.25" customHeight="1" x14ac:dyDescent="0.25">
      <c r="A13" s="710"/>
      <c r="B13" s="426" t="str">
        <f>'[4]VD-ESCOLARIDADE'!B4</f>
        <v>TOTAL</v>
      </c>
      <c r="C13" s="426" t="str">
        <f>'[4]VD-ESCOLARIDADE'!C4</f>
        <v>%</v>
      </c>
      <c r="D13" s="426" t="str">
        <f>'[4]VD-ESCOLARIDADE'!D4</f>
        <v>TOTAL</v>
      </c>
      <c r="E13" s="426" t="str">
        <f>'[4]VD-ESCOLARIDADE'!E4</f>
        <v>%</v>
      </c>
      <c r="F13"/>
    </row>
    <row r="14" spans="1:6" x14ac:dyDescent="0.25">
      <c r="A14" s="428" t="str">
        <f>'[4]VD-ESCOLARIDADE'!A5</f>
        <v>Nível Médio</v>
      </c>
      <c r="B14" s="59">
        <f>'[4]VD-ESCOLARIDADE'!B5</f>
        <v>18</v>
      </c>
      <c r="C14" s="440">
        <f>'[4]VD-ESCOLARIDADE'!C5</f>
        <v>9.375E-2</v>
      </c>
      <c r="D14" s="441">
        <f>'[4]VD-ESCOLARIDADE'!D5</f>
        <v>24</v>
      </c>
      <c r="E14" s="440">
        <f>'[4]VD-ESCOLARIDADE'!E5</f>
        <v>0.12698412698412698</v>
      </c>
      <c r="F14"/>
    </row>
    <row r="15" spans="1:6" x14ac:dyDescent="0.25">
      <c r="A15" s="433" t="str">
        <f>'[4]VD-ESCOLARIDADE'!A6</f>
        <v>Superior</v>
      </c>
      <c r="B15" s="59">
        <f>'[4]VD-ESCOLARIDADE'!B6</f>
        <v>65</v>
      </c>
      <c r="C15" s="440">
        <f>'[4]VD-ESCOLARIDADE'!C6</f>
        <v>0.33854166666666669</v>
      </c>
      <c r="D15" s="441">
        <f>'[4]VD-ESCOLARIDADE'!D6</f>
        <v>58</v>
      </c>
      <c r="E15" s="440">
        <f>'[4]VD-ESCOLARIDADE'!E6</f>
        <v>0.30687830687830686</v>
      </c>
      <c r="F15"/>
    </row>
    <row r="16" spans="1:6" x14ac:dyDescent="0.25">
      <c r="A16" s="443" t="str">
        <f>'[4]VD-ESCOLARIDADE'!A7</f>
        <v>Pós Graduação</v>
      </c>
      <c r="B16" s="59">
        <f>'[4]VD-ESCOLARIDADE'!B7</f>
        <v>75</v>
      </c>
      <c r="C16" s="440">
        <f>'[4]VD-ESCOLARIDADE'!C7</f>
        <v>0.390625</v>
      </c>
      <c r="D16" s="441">
        <f>'[4]VD-ESCOLARIDADE'!D7</f>
        <v>77</v>
      </c>
      <c r="E16" s="440">
        <f>'[4]VD-ESCOLARIDADE'!E7</f>
        <v>0.40740740740740738</v>
      </c>
      <c r="F16"/>
    </row>
    <row r="17" spans="1:6" x14ac:dyDescent="0.25">
      <c r="A17" s="433" t="str">
        <f>'[4]VD-ESCOLARIDADE'!A8</f>
        <v>Mestrado</v>
      </c>
      <c r="B17" s="59">
        <f>'[4]VD-ESCOLARIDADE'!B8</f>
        <v>26</v>
      </c>
      <c r="C17" s="440">
        <f>'[4]VD-ESCOLARIDADE'!C8</f>
        <v>0.13541666666666666</v>
      </c>
      <c r="D17" s="441">
        <f>'[4]VD-ESCOLARIDADE'!D8</f>
        <v>21</v>
      </c>
      <c r="E17" s="440">
        <f>'[4]VD-ESCOLARIDADE'!E8</f>
        <v>0.1111111111111111</v>
      </c>
      <c r="F17"/>
    </row>
    <row r="18" spans="1:6" x14ac:dyDescent="0.25">
      <c r="A18" s="433" t="str">
        <f>'[4]VD-ESCOLARIDADE'!A9</f>
        <v>Doutorado</v>
      </c>
      <c r="B18" s="59">
        <f>'[4]VD-ESCOLARIDADE'!B9</f>
        <v>8</v>
      </c>
      <c r="C18" s="440">
        <f>'[4]VD-ESCOLARIDADE'!C9</f>
        <v>4.1666666666666664E-2</v>
      </c>
      <c r="D18" s="441">
        <f>'[4]VD-ESCOLARIDADE'!D9</f>
        <v>9</v>
      </c>
      <c r="E18" s="440">
        <f>'[4]VD-ESCOLARIDADE'!E9</f>
        <v>4.7619047619047616E-2</v>
      </c>
      <c r="F18"/>
    </row>
    <row r="19" spans="1:6" x14ac:dyDescent="0.25">
      <c r="A19" s="82" t="str">
        <f>'[4]VD-ESCOLARIDADE'!A10</f>
        <v>TOTAL</v>
      </c>
      <c r="B19" s="422">
        <f>'[4]VD-ESCOLARIDADE'!B10</f>
        <v>192</v>
      </c>
      <c r="C19" s="436">
        <f>'[4]VD-ESCOLARIDADE'!C10</f>
        <v>1</v>
      </c>
      <c r="D19" s="422">
        <f>'[4]VD-ESCOLARIDADE'!D10</f>
        <v>189</v>
      </c>
      <c r="E19" s="436">
        <f>'[4]VD-ESCOLARIDADE'!E10</f>
        <v>1</v>
      </c>
      <c r="F19"/>
    </row>
    <row r="20" spans="1:6" x14ac:dyDescent="0.25">
      <c r="A20"/>
      <c r="B20"/>
      <c r="C20"/>
      <c r="D20"/>
      <c r="E20"/>
      <c r="F20"/>
    </row>
    <row r="21" spans="1:6" x14ac:dyDescent="0.25">
      <c r="A21"/>
      <c r="B21"/>
      <c r="C21"/>
      <c r="D21"/>
      <c r="E21"/>
      <c r="F21"/>
    </row>
    <row r="22" spans="1:6" x14ac:dyDescent="0.25">
      <c r="A22"/>
      <c r="B22"/>
      <c r="C22"/>
      <c r="D22"/>
      <c r="E22"/>
      <c r="F22"/>
    </row>
    <row r="23" spans="1:6" x14ac:dyDescent="0.25">
      <c r="A23"/>
      <c r="B23"/>
      <c r="C23"/>
      <c r="D23"/>
      <c r="E23"/>
      <c r="F23"/>
    </row>
    <row r="24" spans="1:6" x14ac:dyDescent="0.25">
      <c r="A24"/>
      <c r="B24"/>
      <c r="C24"/>
      <c r="D24"/>
      <c r="E24"/>
      <c r="F24"/>
    </row>
    <row r="25" spans="1:6" x14ac:dyDescent="0.25">
      <c r="A25"/>
      <c r="B25"/>
      <c r="C25"/>
      <c r="D25"/>
      <c r="E25"/>
      <c r="F25"/>
    </row>
    <row r="26" spans="1:6" x14ac:dyDescent="0.25">
      <c r="A26"/>
      <c r="B26"/>
      <c r="C26"/>
      <c r="D26"/>
      <c r="E26"/>
      <c r="F26"/>
    </row>
    <row r="27" spans="1:6" x14ac:dyDescent="0.25">
      <c r="A27"/>
      <c r="B27"/>
      <c r="C27"/>
      <c r="D27"/>
      <c r="E27"/>
      <c r="F27"/>
    </row>
    <row r="28" spans="1:6" x14ac:dyDescent="0.25">
      <c r="A28"/>
      <c r="B28"/>
      <c r="C28"/>
      <c r="D28"/>
      <c r="E28"/>
      <c r="F28"/>
    </row>
    <row r="29" spans="1:6" x14ac:dyDescent="0.25">
      <c r="A29"/>
      <c r="B29"/>
      <c r="C29"/>
      <c r="D29"/>
      <c r="E29"/>
      <c r="F29"/>
    </row>
    <row r="30" spans="1:6" x14ac:dyDescent="0.25">
      <c r="A30"/>
      <c r="B30"/>
      <c r="C30"/>
      <c r="D30"/>
      <c r="E30"/>
      <c r="F30"/>
    </row>
    <row r="31" spans="1:6" x14ac:dyDescent="0.25">
      <c r="A31"/>
      <c r="B31"/>
      <c r="C31"/>
      <c r="D31"/>
      <c r="E31"/>
      <c r="F31"/>
    </row>
    <row r="32" spans="1:6" x14ac:dyDescent="0.25">
      <c r="A32"/>
      <c r="B32"/>
      <c r="C32"/>
      <c r="D32"/>
      <c r="E32"/>
      <c r="F32"/>
    </row>
    <row r="33" spans="1:6" x14ac:dyDescent="0.25">
      <c r="A33"/>
      <c r="B33"/>
      <c r="C33"/>
      <c r="D33"/>
      <c r="E33"/>
      <c r="F33"/>
    </row>
    <row r="34" spans="1:6" x14ac:dyDescent="0.25">
      <c r="A34"/>
      <c r="B34"/>
      <c r="C34"/>
      <c r="D34"/>
      <c r="E34"/>
      <c r="F34"/>
    </row>
    <row r="35" spans="1:6" x14ac:dyDescent="0.25">
      <c r="A35"/>
      <c r="B35"/>
      <c r="C35"/>
      <c r="D35"/>
      <c r="E35"/>
      <c r="F35"/>
    </row>
    <row r="36" spans="1:6" x14ac:dyDescent="0.25">
      <c r="A36"/>
      <c r="B36"/>
      <c r="C36"/>
      <c r="D36"/>
      <c r="E36"/>
      <c r="F36"/>
    </row>
    <row r="37" spans="1:6" x14ac:dyDescent="0.25">
      <c r="A37"/>
      <c r="B37"/>
      <c r="C37"/>
      <c r="D37"/>
      <c r="E37"/>
      <c r="F37"/>
    </row>
    <row r="38" spans="1:6" x14ac:dyDescent="0.25">
      <c r="A38"/>
      <c r="B38"/>
      <c r="C38"/>
      <c r="D38"/>
      <c r="E38"/>
      <c r="F38"/>
    </row>
    <row r="39" spans="1:6" x14ac:dyDescent="0.25">
      <c r="A39"/>
      <c r="B39"/>
      <c r="C39"/>
      <c r="D39"/>
      <c r="E39"/>
      <c r="F39"/>
    </row>
    <row r="40" spans="1:6" x14ac:dyDescent="0.25">
      <c r="A40"/>
      <c r="B40"/>
      <c r="C40"/>
      <c r="D40"/>
      <c r="E40"/>
      <c r="F40"/>
    </row>
    <row r="41" spans="1:6" x14ac:dyDescent="0.25">
      <c r="A41"/>
      <c r="B41"/>
      <c r="C41"/>
      <c r="D41"/>
      <c r="E41"/>
      <c r="F41"/>
    </row>
    <row r="42" spans="1:6" x14ac:dyDescent="0.25">
      <c r="A42"/>
      <c r="B42"/>
      <c r="C42"/>
      <c r="D42"/>
      <c r="E42"/>
      <c r="F42"/>
    </row>
    <row r="43" spans="1:6" x14ac:dyDescent="0.25">
      <c r="A43"/>
      <c r="B43"/>
      <c r="C43"/>
      <c r="D43"/>
      <c r="E43"/>
      <c r="F43"/>
    </row>
    <row r="44" spans="1:6" x14ac:dyDescent="0.25">
      <c r="A44"/>
      <c r="B44"/>
      <c r="C44"/>
      <c r="D44"/>
      <c r="E44"/>
      <c r="F44"/>
    </row>
    <row r="45" spans="1:6" x14ac:dyDescent="0.25">
      <c r="A45"/>
      <c r="B45"/>
      <c r="C45"/>
      <c r="D45"/>
      <c r="E45"/>
      <c r="F45"/>
    </row>
    <row r="46" spans="1:6" x14ac:dyDescent="0.25">
      <c r="A46"/>
      <c r="B46"/>
      <c r="C46"/>
      <c r="D46"/>
      <c r="E46"/>
      <c r="F46"/>
    </row>
    <row r="47" spans="1:6" x14ac:dyDescent="0.25">
      <c r="A47"/>
      <c r="B47"/>
      <c r="C47"/>
      <c r="D47"/>
      <c r="E47"/>
      <c r="F47"/>
    </row>
    <row r="48" spans="1:6" x14ac:dyDescent="0.25">
      <c r="A48"/>
      <c r="B48"/>
      <c r="C48"/>
      <c r="D48"/>
      <c r="E48"/>
      <c r="F48"/>
    </row>
    <row r="49" spans="1:6" x14ac:dyDescent="0.25">
      <c r="A49"/>
      <c r="B49"/>
      <c r="C49"/>
      <c r="D49"/>
      <c r="E49"/>
      <c r="F49"/>
    </row>
    <row r="50" spans="1:6" x14ac:dyDescent="0.25">
      <c r="A50"/>
      <c r="B50"/>
      <c r="C50"/>
      <c r="D50"/>
      <c r="E50"/>
      <c r="F50"/>
    </row>
    <row r="51" spans="1:6" x14ac:dyDescent="0.25">
      <c r="A51"/>
      <c r="B51"/>
      <c r="C51"/>
      <c r="D51"/>
      <c r="E51"/>
      <c r="F51"/>
    </row>
    <row r="52" spans="1:6" x14ac:dyDescent="0.25">
      <c r="A52"/>
      <c r="B52"/>
      <c r="C52"/>
      <c r="D52"/>
      <c r="E52"/>
      <c r="F52"/>
    </row>
  </sheetData>
  <mergeCells count="3">
    <mergeCell ref="A12:A13"/>
    <mergeCell ref="B12:C12"/>
    <mergeCell ref="D12:E12"/>
  </mergeCells>
  <pageMargins left="0.511811024" right="0.511811024" top="0.78740157499999996" bottom="0.78740157499999996" header="0.31496062000000002" footer="0.31496062000000002"/>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9"/>
  <dimension ref="A10:F51"/>
  <sheetViews>
    <sheetView showGridLines="0" workbookViewId="0"/>
  </sheetViews>
  <sheetFormatPr defaultRowHeight="15" x14ac:dyDescent="0.25"/>
  <cols>
    <col min="1" max="1" width="62.42578125" style="1" customWidth="1"/>
    <col min="2" max="5" width="13.7109375" style="1" customWidth="1"/>
    <col min="6" max="16384" width="9.140625" style="1"/>
  </cols>
  <sheetData>
    <row r="10" spans="1:6" x14ac:dyDescent="0.25">
      <c r="A10"/>
      <c r="B10"/>
      <c r="C10"/>
      <c r="D10"/>
      <c r="E10"/>
      <c r="F10"/>
    </row>
    <row r="11" spans="1:6" x14ac:dyDescent="0.25">
      <c r="A11"/>
      <c r="B11"/>
      <c r="C11"/>
      <c r="D11"/>
      <c r="E11"/>
      <c r="F11"/>
    </row>
    <row r="12" spans="1:6" x14ac:dyDescent="0.25">
      <c r="A12" s="710" t="str">
        <f>'[4]VD-NIVELCARGO'!A3</f>
        <v>Nível do cargo que ocupa no MME</v>
      </c>
      <c r="B12" s="702">
        <f>'[4]VD-NIVELCARGO'!B3</f>
        <v>2020</v>
      </c>
      <c r="C12" s="702"/>
      <c r="D12" s="702">
        <f>'[4]VD-NIVELCARGO'!D3</f>
        <v>2017</v>
      </c>
      <c r="E12" s="702"/>
      <c r="F12"/>
    </row>
    <row r="13" spans="1:6" x14ac:dyDescent="0.25">
      <c r="A13" s="710"/>
      <c r="B13" s="426" t="str">
        <f>'[4]VD-NIVELCARGO'!B4</f>
        <v>TOTAL</v>
      </c>
      <c r="C13" s="426" t="str">
        <f>'[4]VD-NIVELCARGO'!C4</f>
        <v>%</v>
      </c>
      <c r="D13" s="426" t="str">
        <f>'[4]VD-NIVELCARGO'!D4</f>
        <v>TOTAL</v>
      </c>
      <c r="E13" s="426" t="str">
        <f>'[4]VD-NIVELCARGO'!E4</f>
        <v>%</v>
      </c>
      <c r="F13"/>
    </row>
    <row r="14" spans="1:6" x14ac:dyDescent="0.25">
      <c r="A14" s="428" t="str">
        <f>'[4]VD-NIVELCARGO'!A5</f>
        <v>Auxiliar</v>
      </c>
      <c r="B14" s="59">
        <f>'[4]VD-NIVELCARGO'!B5</f>
        <v>22</v>
      </c>
      <c r="C14" s="440">
        <f>'[4]VD-NIVELCARGO'!C5</f>
        <v>0.11458333333333333</v>
      </c>
      <c r="D14" s="59">
        <f>'[4]VD-NIVELCARGO'!D5</f>
        <v>13</v>
      </c>
      <c r="E14" s="440">
        <f>'[4]VD-NIVELCARGO'!E5</f>
        <v>6.8783068783068779E-2</v>
      </c>
      <c r="F14"/>
    </row>
    <row r="15" spans="1:6" x14ac:dyDescent="0.25">
      <c r="A15" s="433" t="str">
        <f>'[4]VD-NIVELCARGO'!A6</f>
        <v>Intermediário</v>
      </c>
      <c r="B15" s="59">
        <f>'[4]VD-NIVELCARGO'!B6</f>
        <v>56</v>
      </c>
      <c r="C15" s="440">
        <f>'[4]VD-NIVELCARGO'!C6</f>
        <v>0.29166666666666669</v>
      </c>
      <c r="D15" s="59">
        <f>'[4]VD-NIVELCARGO'!D6</f>
        <v>67</v>
      </c>
      <c r="E15" s="440">
        <f>'[4]VD-NIVELCARGO'!E6</f>
        <v>0.35449735449735448</v>
      </c>
      <c r="F15"/>
    </row>
    <row r="16" spans="1:6" x14ac:dyDescent="0.25">
      <c r="A16" s="433" t="str">
        <f>'[4]VD-NIVELCARGO'!A7</f>
        <v>Superior</v>
      </c>
      <c r="B16" s="59">
        <f>'[4]VD-NIVELCARGO'!B7</f>
        <v>114</v>
      </c>
      <c r="C16" s="440">
        <f>'[4]VD-NIVELCARGO'!C7</f>
        <v>0.59375</v>
      </c>
      <c r="D16" s="59">
        <f>'[4]VD-NIVELCARGO'!D7</f>
        <v>109</v>
      </c>
      <c r="E16" s="440">
        <f>'[4]VD-NIVELCARGO'!E7</f>
        <v>0.57671957671957674</v>
      </c>
      <c r="F16"/>
    </row>
    <row r="17" spans="1:6" x14ac:dyDescent="0.25">
      <c r="A17" s="82" t="str">
        <f>'[4]VD-NIVELCARGO'!A8</f>
        <v>TOTAL</v>
      </c>
      <c r="B17" s="422">
        <f>'[4]VD-NIVELCARGO'!B8</f>
        <v>192</v>
      </c>
      <c r="C17" s="436">
        <f>'[4]VD-NIVELCARGO'!C8</f>
        <v>1</v>
      </c>
      <c r="D17" s="422">
        <f>'[4]VD-NIVELCARGO'!D8</f>
        <v>189</v>
      </c>
      <c r="E17" s="436">
        <f>'[4]VD-NIVELCARGO'!E8</f>
        <v>1</v>
      </c>
      <c r="F17"/>
    </row>
    <row r="18" spans="1:6" x14ac:dyDescent="0.25">
      <c r="A18"/>
      <c r="B18"/>
      <c r="C18"/>
      <c r="D18"/>
      <c r="E18"/>
      <c r="F18"/>
    </row>
    <row r="19" spans="1:6" x14ac:dyDescent="0.25">
      <c r="A19"/>
      <c r="B19"/>
      <c r="C19"/>
      <c r="D19"/>
      <c r="E19"/>
      <c r="F19"/>
    </row>
    <row r="20" spans="1:6" x14ac:dyDescent="0.25">
      <c r="A20"/>
      <c r="B20"/>
      <c r="C20"/>
      <c r="D20"/>
      <c r="E20"/>
      <c r="F20"/>
    </row>
    <row r="21" spans="1:6" x14ac:dyDescent="0.25">
      <c r="A21"/>
      <c r="B21"/>
      <c r="C21"/>
      <c r="D21"/>
      <c r="E21"/>
      <c r="F21"/>
    </row>
    <row r="22" spans="1:6" x14ac:dyDescent="0.25">
      <c r="A22"/>
      <c r="B22"/>
      <c r="C22"/>
      <c r="D22"/>
      <c r="E22"/>
      <c r="F22"/>
    </row>
    <row r="23" spans="1:6" x14ac:dyDescent="0.25">
      <c r="A23"/>
      <c r="B23"/>
      <c r="C23"/>
      <c r="D23"/>
      <c r="E23"/>
      <c r="F23"/>
    </row>
    <row r="24" spans="1:6" x14ac:dyDescent="0.25">
      <c r="A24"/>
      <c r="B24"/>
      <c r="C24"/>
      <c r="D24"/>
      <c r="E24"/>
      <c r="F24"/>
    </row>
    <row r="25" spans="1:6" x14ac:dyDescent="0.25">
      <c r="A25"/>
      <c r="B25"/>
      <c r="C25"/>
      <c r="D25"/>
      <c r="E25"/>
      <c r="F25"/>
    </row>
    <row r="26" spans="1:6" x14ac:dyDescent="0.25">
      <c r="A26"/>
      <c r="B26"/>
      <c r="C26"/>
      <c r="D26"/>
      <c r="E26"/>
      <c r="F26"/>
    </row>
    <row r="27" spans="1:6" x14ac:dyDescent="0.25">
      <c r="A27"/>
      <c r="B27"/>
      <c r="C27"/>
      <c r="D27"/>
      <c r="E27"/>
      <c r="F27"/>
    </row>
    <row r="28" spans="1:6" x14ac:dyDescent="0.25">
      <c r="A28"/>
      <c r="B28"/>
      <c r="C28"/>
      <c r="D28"/>
      <c r="E28"/>
      <c r="F28"/>
    </row>
    <row r="29" spans="1:6" x14ac:dyDescent="0.25">
      <c r="A29"/>
      <c r="B29"/>
      <c r="C29"/>
      <c r="D29"/>
      <c r="E29"/>
      <c r="F29"/>
    </row>
    <row r="30" spans="1:6" x14ac:dyDescent="0.25">
      <c r="A30"/>
      <c r="B30"/>
      <c r="C30"/>
      <c r="D30"/>
      <c r="E30"/>
      <c r="F30"/>
    </row>
    <row r="31" spans="1:6" x14ac:dyDescent="0.25">
      <c r="A31"/>
      <c r="B31"/>
      <c r="C31"/>
      <c r="D31"/>
      <c r="E31"/>
      <c r="F31"/>
    </row>
    <row r="32" spans="1:6" x14ac:dyDescent="0.25">
      <c r="A32"/>
      <c r="B32"/>
      <c r="C32"/>
      <c r="D32"/>
      <c r="E32"/>
      <c r="F32"/>
    </row>
    <row r="33" spans="1:6" x14ac:dyDescent="0.25">
      <c r="A33"/>
      <c r="B33"/>
      <c r="C33"/>
      <c r="D33"/>
      <c r="E33"/>
      <c r="F33"/>
    </row>
    <row r="34" spans="1:6" x14ac:dyDescent="0.25">
      <c r="A34"/>
      <c r="B34"/>
      <c r="C34"/>
      <c r="D34"/>
      <c r="E34"/>
      <c r="F34"/>
    </row>
    <row r="35" spans="1:6" x14ac:dyDescent="0.25">
      <c r="A35"/>
      <c r="B35"/>
      <c r="C35"/>
      <c r="D35"/>
      <c r="E35"/>
      <c r="F35"/>
    </row>
    <row r="36" spans="1:6" x14ac:dyDescent="0.25">
      <c r="A36"/>
      <c r="B36"/>
      <c r="C36"/>
      <c r="D36"/>
      <c r="E36"/>
      <c r="F36"/>
    </row>
    <row r="37" spans="1:6" x14ac:dyDescent="0.25">
      <c r="A37"/>
      <c r="B37"/>
      <c r="C37"/>
      <c r="D37"/>
      <c r="E37"/>
      <c r="F37"/>
    </row>
    <row r="38" spans="1:6" x14ac:dyDescent="0.25">
      <c r="A38"/>
      <c r="B38"/>
      <c r="C38"/>
      <c r="D38"/>
      <c r="E38"/>
      <c r="F38"/>
    </row>
    <row r="39" spans="1:6" x14ac:dyDescent="0.25">
      <c r="A39"/>
      <c r="B39"/>
      <c r="C39"/>
      <c r="D39"/>
      <c r="E39"/>
      <c r="F39"/>
    </row>
    <row r="40" spans="1:6" x14ac:dyDescent="0.25">
      <c r="A40"/>
      <c r="B40"/>
      <c r="C40"/>
      <c r="D40"/>
      <c r="E40"/>
      <c r="F40"/>
    </row>
    <row r="41" spans="1:6" x14ac:dyDescent="0.25">
      <c r="A41"/>
      <c r="B41"/>
      <c r="C41"/>
      <c r="D41"/>
      <c r="E41"/>
      <c r="F41"/>
    </row>
    <row r="42" spans="1:6" x14ac:dyDescent="0.25">
      <c r="A42"/>
      <c r="B42"/>
      <c r="C42"/>
      <c r="D42"/>
      <c r="E42"/>
      <c r="F42"/>
    </row>
    <row r="43" spans="1:6" x14ac:dyDescent="0.25">
      <c r="A43"/>
      <c r="B43"/>
      <c r="C43"/>
      <c r="D43"/>
      <c r="E43"/>
      <c r="F43"/>
    </row>
    <row r="44" spans="1:6" x14ac:dyDescent="0.25">
      <c r="A44"/>
      <c r="B44"/>
      <c r="C44"/>
      <c r="D44"/>
      <c r="E44"/>
      <c r="F44"/>
    </row>
    <row r="45" spans="1:6" x14ac:dyDescent="0.25">
      <c r="A45"/>
      <c r="B45"/>
      <c r="C45"/>
      <c r="D45"/>
      <c r="E45"/>
      <c r="F45"/>
    </row>
    <row r="46" spans="1:6" x14ac:dyDescent="0.25">
      <c r="A46"/>
      <c r="B46"/>
      <c r="C46"/>
      <c r="D46"/>
      <c r="E46"/>
      <c r="F46"/>
    </row>
    <row r="47" spans="1:6" x14ac:dyDescent="0.25">
      <c r="A47"/>
      <c r="B47"/>
      <c r="C47"/>
      <c r="D47"/>
      <c r="E47"/>
      <c r="F47"/>
    </row>
    <row r="48" spans="1:6" x14ac:dyDescent="0.25">
      <c r="A48"/>
      <c r="B48"/>
      <c r="C48"/>
      <c r="D48"/>
      <c r="E48"/>
      <c r="F48"/>
    </row>
    <row r="49" spans="1:6" x14ac:dyDescent="0.25">
      <c r="A49"/>
      <c r="B49"/>
      <c r="C49"/>
      <c r="D49"/>
      <c r="E49"/>
      <c r="F49"/>
    </row>
    <row r="50" spans="1:6" x14ac:dyDescent="0.25">
      <c r="A50"/>
      <c r="B50"/>
      <c r="C50"/>
      <c r="D50"/>
      <c r="E50"/>
      <c r="F50"/>
    </row>
    <row r="51" spans="1:6" x14ac:dyDescent="0.25">
      <c r="A51"/>
      <c r="B51"/>
      <c r="C51"/>
      <c r="D51"/>
      <c r="E51"/>
      <c r="F51"/>
    </row>
  </sheetData>
  <mergeCells count="3">
    <mergeCell ref="A12:A13"/>
    <mergeCell ref="B12:C12"/>
    <mergeCell ref="D12:E12"/>
  </mergeCells>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1:AC48"/>
  <sheetViews>
    <sheetView showGridLines="0" zoomScaleNormal="100" workbookViewId="0"/>
  </sheetViews>
  <sheetFormatPr defaultColWidth="0" defaultRowHeight="15" x14ac:dyDescent="0.25"/>
  <cols>
    <col min="1" max="29" width="9.140625" customWidth="1"/>
    <col min="30" max="16384" width="9.140625" hidden="1"/>
  </cols>
  <sheetData>
    <row r="1" spans="13:14" s="1" customFormat="1" x14ac:dyDescent="0.25"/>
    <row r="2" spans="13:14" s="1" customFormat="1" x14ac:dyDescent="0.25"/>
    <row r="3" spans="13:14" s="1" customFormat="1" x14ac:dyDescent="0.25"/>
    <row r="4" spans="13:14" s="1" customFormat="1" x14ac:dyDescent="0.25"/>
    <row r="5" spans="13:14" s="1" customFormat="1" x14ac:dyDescent="0.25"/>
    <row r="6" spans="13:14" s="1" customFormat="1" x14ac:dyDescent="0.25"/>
    <row r="7" spans="13:14" s="1" customFormat="1" x14ac:dyDescent="0.25"/>
    <row r="8" spans="13:14" s="1" customFormat="1" x14ac:dyDescent="0.25"/>
    <row r="9" spans="13:14" s="1" customFormat="1" x14ac:dyDescent="0.25"/>
    <row r="10" spans="13:14" s="1" customFormat="1" x14ac:dyDescent="0.25"/>
    <row r="11" spans="13:14" s="1" customFormat="1" x14ac:dyDescent="0.25"/>
    <row r="12" spans="13:14" s="1" customFormat="1" x14ac:dyDescent="0.25">
      <c r="M12" s="455" t="s">
        <v>5</v>
      </c>
      <c r="N12" s="455"/>
    </row>
    <row r="13" spans="13:14" s="1" customFormat="1" x14ac:dyDescent="0.25">
      <c r="M13" s="455"/>
      <c r="N13" s="455"/>
    </row>
    <row r="14" spans="13:14" s="1" customFormat="1" x14ac:dyDescent="0.25">
      <c r="M14" s="455"/>
      <c r="N14" s="455"/>
    </row>
    <row r="15" spans="13:14" s="1" customFormat="1" x14ac:dyDescent="0.25">
      <c r="M15" s="455"/>
      <c r="N15" s="455"/>
    </row>
    <row r="16" spans="13:14" s="1" customFormat="1" x14ac:dyDescent="0.25">
      <c r="M16" s="455"/>
      <c r="N16" s="455"/>
    </row>
    <row r="17" spans="10:17" s="1" customFormat="1" x14ac:dyDescent="0.25"/>
    <row r="18" spans="10:17" s="1" customFormat="1" x14ac:dyDescent="0.25"/>
    <row r="19" spans="10:17" s="1" customFormat="1" x14ac:dyDescent="0.25"/>
    <row r="20" spans="10:17" s="1" customFormat="1" x14ac:dyDescent="0.25"/>
    <row r="21" spans="10:17" s="1" customFormat="1" x14ac:dyDescent="0.25"/>
    <row r="22" spans="10:17" s="1" customFormat="1" x14ac:dyDescent="0.25"/>
    <row r="23" spans="10:17" s="1" customFormat="1" x14ac:dyDescent="0.25"/>
    <row r="24" spans="10:17" s="1" customFormat="1" x14ac:dyDescent="0.25"/>
    <row r="25" spans="10:17" s="1" customFormat="1" x14ac:dyDescent="0.25"/>
    <row r="26" spans="10:17" s="1" customFormat="1" x14ac:dyDescent="0.25"/>
    <row r="27" spans="10:17" s="1" customFormat="1" x14ac:dyDescent="0.25"/>
    <row r="28" spans="10:17" s="1" customFormat="1" x14ac:dyDescent="0.25"/>
    <row r="29" spans="10:17" s="1" customFormat="1" ht="3" customHeight="1" x14ac:dyDescent="0.25"/>
    <row r="30" spans="10:17" s="1" customFormat="1" x14ac:dyDescent="0.25">
      <c r="J30" s="458" t="s">
        <v>0</v>
      </c>
      <c r="K30" s="459"/>
      <c r="L30" s="459"/>
      <c r="M30" s="459"/>
      <c r="N30" s="460"/>
      <c r="O30" s="464" t="str">
        <f>[1]ATIVO!K16&amp;" servidores/empregados"</f>
        <v>490 servidores/empregados</v>
      </c>
      <c r="P30" s="465"/>
      <c r="Q30" s="466"/>
    </row>
    <row r="31" spans="10:17" s="1" customFormat="1" ht="15.75" thickBot="1" x14ac:dyDescent="0.3">
      <c r="J31" s="461"/>
      <c r="K31" s="462"/>
      <c r="L31" s="462"/>
      <c r="M31" s="462"/>
      <c r="N31" s="463"/>
      <c r="O31" s="467"/>
      <c r="P31" s="468"/>
      <c r="Q31" s="469"/>
    </row>
    <row r="32" spans="10:17" s="1" customFormat="1" ht="4.5" customHeight="1" thickTop="1" x14ac:dyDescent="0.25"/>
    <row r="33" spans="10:17" s="1" customFormat="1" x14ac:dyDescent="0.25">
      <c r="L33" s="2" t="s">
        <v>2</v>
      </c>
    </row>
    <row r="34" spans="10:17" s="1" customFormat="1" ht="5.25" customHeight="1" x14ac:dyDescent="0.25"/>
    <row r="35" spans="10:17" s="1" customFormat="1" x14ac:dyDescent="0.25">
      <c r="J35" s="458" t="s">
        <v>1</v>
      </c>
      <c r="K35" s="459"/>
      <c r="L35" s="459"/>
      <c r="M35" s="459"/>
      <c r="N35" s="460"/>
      <c r="O35" s="464" t="str">
        <f>[1]ATIVO!K17&amp;" servidores/empregados"</f>
        <v>27 servidores/empregados</v>
      </c>
      <c r="P35" s="465"/>
      <c r="Q35" s="466"/>
    </row>
    <row r="36" spans="10:17" s="1" customFormat="1" ht="15.75" thickBot="1" x14ac:dyDescent="0.3">
      <c r="J36" s="461"/>
      <c r="K36" s="462"/>
      <c r="L36" s="462"/>
      <c r="M36" s="462"/>
      <c r="N36" s="463"/>
      <c r="O36" s="467"/>
      <c r="P36" s="468"/>
      <c r="Q36" s="469"/>
    </row>
    <row r="37" spans="10:17" s="1" customFormat="1" ht="5.25" customHeight="1" thickTop="1" x14ac:dyDescent="0.25"/>
    <row r="38" spans="10:17" s="1" customFormat="1" ht="15.75" customHeight="1" x14ac:dyDescent="0.25">
      <c r="L38" s="2" t="s">
        <v>3</v>
      </c>
    </row>
    <row r="39" spans="10:17" s="1" customFormat="1" ht="5.25" customHeight="1" x14ac:dyDescent="0.25"/>
    <row r="40" spans="10:17" s="1" customFormat="1" ht="15" customHeight="1" x14ac:dyDescent="0.25">
      <c r="J40" s="470" t="str">
        <f>[1]ATIVO!K16+[1]ATIVO!K17&amp;" servidores/empregados em exercício no MME"</f>
        <v>517 servidores/empregados em exercício no MME</v>
      </c>
      <c r="K40" s="471"/>
      <c r="L40" s="471" t="str">
        <f>[2]ATIVO!C54+[2]ATIVO!C55&amp;" servidores/empregados"</f>
        <v>0 servidores/empregados</v>
      </c>
      <c r="M40" s="471"/>
      <c r="N40" s="471" t="str">
        <f>[2]ATIVO!E54+[2]ATIVO!E55&amp;" servidores/empregados"</f>
        <v>0 servidores/empregados</v>
      </c>
      <c r="O40" s="471"/>
      <c r="P40" s="471" t="str">
        <f>[2]ATIVO!G54+[2]ATIVO!G55&amp;" servidores/empregados"</f>
        <v>8 servidores/empregados</v>
      </c>
      <c r="Q40" s="472"/>
    </row>
    <row r="41" spans="10:17" s="1" customFormat="1" ht="15.75" thickBot="1" x14ac:dyDescent="0.3">
      <c r="J41" s="473"/>
      <c r="K41" s="474"/>
      <c r="L41" s="474"/>
      <c r="M41" s="474"/>
      <c r="N41" s="474"/>
      <c r="O41" s="474"/>
      <c r="P41" s="474"/>
      <c r="Q41" s="475"/>
    </row>
    <row r="42" spans="10:17" s="1" customFormat="1" ht="15.75" thickTop="1" x14ac:dyDescent="0.25"/>
    <row r="43" spans="10:17" s="1" customFormat="1" x14ac:dyDescent="0.25"/>
    <row r="44" spans="10:17" s="1" customFormat="1" x14ac:dyDescent="0.25">
      <c r="J44" s="458" t="s">
        <v>4</v>
      </c>
      <c r="K44" s="459"/>
      <c r="L44" s="459"/>
      <c r="M44" s="459"/>
      <c r="N44" s="460"/>
      <c r="O44" s="464" t="str">
        <f>([1]GLOBAL!D17+[1]GLOBAL!F17+[1]GLOBAL!H17+[1]GLOBAL!J17+[1]GLOBAL!L17+[1]GLOBAL!N17+[1]GLOBAL!P17+[1]GLOBAL!R17)&amp;" servidores/empregados"</f>
        <v>954 servidores/empregados</v>
      </c>
      <c r="P44" s="465"/>
      <c r="Q44" s="466"/>
    </row>
    <row r="45" spans="10:17" s="1" customFormat="1" ht="15.75" thickBot="1" x14ac:dyDescent="0.3">
      <c r="J45" s="461"/>
      <c r="K45" s="462"/>
      <c r="L45" s="462"/>
      <c r="M45" s="462"/>
      <c r="N45" s="463"/>
      <c r="O45" s="467"/>
      <c r="P45" s="468"/>
      <c r="Q45" s="469"/>
    </row>
    <row r="46" spans="10:17" s="1" customFormat="1" ht="15.75" thickTop="1" x14ac:dyDescent="0.25"/>
    <row r="47" spans="10:17" s="1" customFormat="1" x14ac:dyDescent="0.25"/>
    <row r="48" spans="10:17" s="1" customFormat="1" x14ac:dyDescent="0.25"/>
  </sheetData>
  <mergeCells count="8">
    <mergeCell ref="J44:N45"/>
    <mergeCell ref="O44:Q45"/>
    <mergeCell ref="M12:N16"/>
    <mergeCell ref="J30:N31"/>
    <mergeCell ref="O30:Q31"/>
    <mergeCell ref="J35:N36"/>
    <mergeCell ref="O35:Q36"/>
    <mergeCell ref="J40:Q41"/>
  </mergeCells>
  <pageMargins left="0.511811024" right="0.511811024" top="0.78740157499999996" bottom="0.78740157499999996" header="0.31496062000000002" footer="0.31496062000000002"/>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0"/>
  <dimension ref="A10:F64"/>
  <sheetViews>
    <sheetView showGridLines="0" workbookViewId="0">
      <selection activeCell="A9" sqref="A9"/>
    </sheetView>
  </sheetViews>
  <sheetFormatPr defaultRowHeight="15" x14ac:dyDescent="0.25"/>
  <cols>
    <col min="1" max="1" width="62.42578125" style="1" customWidth="1"/>
    <col min="2" max="5" width="13.7109375" style="1" customWidth="1"/>
    <col min="6" max="16384" width="9.140625" style="1"/>
  </cols>
  <sheetData>
    <row r="10" spans="1:6" x14ac:dyDescent="0.25">
      <c r="A10"/>
      <c r="B10"/>
      <c r="C10"/>
      <c r="D10"/>
      <c r="E10"/>
      <c r="F10" s="450">
        <f>'[4]VD-LOTAÇÃO'!F1</f>
        <v>0</v>
      </c>
    </row>
    <row r="11" spans="1:6" x14ac:dyDescent="0.25">
      <c r="A11"/>
      <c r="B11"/>
      <c r="C11"/>
      <c r="D11"/>
      <c r="E11"/>
      <c r="F11" s="450">
        <f>'[4]VD-LOTAÇÃO'!F2</f>
        <v>0</v>
      </c>
    </row>
    <row r="12" spans="1:6" x14ac:dyDescent="0.25">
      <c r="A12" s="710" t="str">
        <f>'[4]VD-LOTAÇÃO'!A3</f>
        <v>LOTAÇÃO</v>
      </c>
      <c r="B12" s="702">
        <f>'[4]VD-LOTAÇÃO'!B3</f>
        <v>2020</v>
      </c>
      <c r="C12" s="702"/>
      <c r="D12" s="702">
        <f>'[4]VD-LOTAÇÃO'!D3</f>
        <v>2017</v>
      </c>
      <c r="E12" s="702"/>
      <c r="F12" s="450"/>
    </row>
    <row r="13" spans="1:6" ht="18.75" customHeight="1" x14ac:dyDescent="0.25">
      <c r="A13" s="710"/>
      <c r="B13" s="426" t="str">
        <f>'[4]VD-LOTAÇÃO'!B4</f>
        <v>TOTAL</v>
      </c>
      <c r="C13" s="426" t="str">
        <f>'[4]VD-LOTAÇÃO'!C4</f>
        <v>%</v>
      </c>
      <c r="D13" s="426" t="str">
        <f>'[4]VD-LOTAÇÃO'!D4</f>
        <v>TOTAL</v>
      </c>
      <c r="E13" s="426" t="str">
        <f>'[4]VD-LOTAÇÃO'!E4</f>
        <v>%</v>
      </c>
      <c r="F13" s="450"/>
    </row>
    <row r="14" spans="1:6" x14ac:dyDescent="0.25">
      <c r="A14" s="428" t="str">
        <f>'[4]VD-LOTAÇÃO'!A5</f>
        <v xml:space="preserve">Área Finalística </v>
      </c>
      <c r="B14" s="59">
        <f>'[4]VD-LOTAÇÃO'!B5</f>
        <v>71</v>
      </c>
      <c r="C14" s="440">
        <f>'[4]VD-LOTAÇÃO'!C5</f>
        <v>0.36979166666666669</v>
      </c>
      <c r="D14" s="59">
        <f>'[4]VD-LOTAÇÃO'!D5</f>
        <v>86</v>
      </c>
      <c r="E14" s="440">
        <f>'[4]VD-LOTAÇÃO'!E5</f>
        <v>0.45744680851063829</v>
      </c>
      <c r="F14" s="450"/>
    </row>
    <row r="15" spans="1:6" x14ac:dyDescent="0.25">
      <c r="A15" s="433" t="str">
        <f>'[4]VD-LOTAÇÃO'!A6</f>
        <v>Área Meio</v>
      </c>
      <c r="B15" s="59">
        <f>'[4]VD-LOTAÇÃO'!B6</f>
        <v>121</v>
      </c>
      <c r="C15" s="440">
        <f>'[4]VD-LOTAÇÃO'!C6</f>
        <v>0.63020833333333337</v>
      </c>
      <c r="D15" s="59">
        <f>'[4]VD-LOTAÇÃO'!D6</f>
        <v>102</v>
      </c>
      <c r="E15" s="440">
        <f>'[4]VD-LOTAÇÃO'!E6</f>
        <v>0.54255319148936165</v>
      </c>
      <c r="F15" s="450"/>
    </row>
    <row r="16" spans="1:6" x14ac:dyDescent="0.25">
      <c r="A16" s="82" t="str">
        <f>'[4]VD-LOTAÇÃO'!A7</f>
        <v>TOTAL</v>
      </c>
      <c r="B16" s="422">
        <f>'[4]VD-LOTAÇÃO'!B7</f>
        <v>192</v>
      </c>
      <c r="C16" s="436">
        <f>'[4]VD-LOTAÇÃO'!C7</f>
        <v>1</v>
      </c>
      <c r="D16" s="422">
        <f>'[4]VD-LOTAÇÃO'!D7</f>
        <v>188</v>
      </c>
      <c r="E16" s="436">
        <f>'[4]VD-LOTAÇÃO'!E7</f>
        <v>1</v>
      </c>
      <c r="F16" s="450"/>
    </row>
    <row r="17" spans="1:6" x14ac:dyDescent="0.25">
      <c r="A17"/>
      <c r="B17"/>
      <c r="C17"/>
      <c r="D17"/>
      <c r="E17"/>
      <c r="F17" s="450"/>
    </row>
    <row r="18" spans="1:6" x14ac:dyDescent="0.25">
      <c r="A18"/>
      <c r="B18"/>
      <c r="C18"/>
      <c r="D18"/>
      <c r="E18"/>
      <c r="F18" s="450"/>
    </row>
    <row r="19" spans="1:6" x14ac:dyDescent="0.25">
      <c r="A19"/>
      <c r="B19"/>
      <c r="C19"/>
      <c r="D19"/>
      <c r="E19"/>
      <c r="F19" s="450"/>
    </row>
    <row r="20" spans="1:6" x14ac:dyDescent="0.25">
      <c r="A20"/>
      <c r="B20"/>
      <c r="C20"/>
      <c r="D20"/>
      <c r="E20"/>
      <c r="F20" s="450"/>
    </row>
    <row r="21" spans="1:6" x14ac:dyDescent="0.25">
      <c r="A21"/>
      <c r="B21"/>
      <c r="C21"/>
      <c r="D21"/>
      <c r="E21"/>
      <c r="F21" s="450"/>
    </row>
    <row r="22" spans="1:6" x14ac:dyDescent="0.25">
      <c r="A22"/>
      <c r="B22"/>
      <c r="C22"/>
      <c r="D22"/>
      <c r="E22"/>
      <c r="F22" s="450"/>
    </row>
    <row r="23" spans="1:6" x14ac:dyDescent="0.25">
      <c r="A23"/>
      <c r="B23"/>
      <c r="C23"/>
      <c r="D23"/>
      <c r="E23"/>
      <c r="F23" s="450"/>
    </row>
    <row r="24" spans="1:6" x14ac:dyDescent="0.25">
      <c r="A24"/>
      <c r="B24"/>
      <c r="C24"/>
      <c r="D24"/>
      <c r="E24"/>
      <c r="F24" s="450"/>
    </row>
    <row r="25" spans="1:6" x14ac:dyDescent="0.25">
      <c r="A25"/>
      <c r="B25"/>
      <c r="C25"/>
      <c r="D25"/>
      <c r="E25"/>
      <c r="F25" s="450"/>
    </row>
    <row r="26" spans="1:6" x14ac:dyDescent="0.25">
      <c r="A26"/>
      <c r="B26"/>
      <c r="C26"/>
      <c r="D26"/>
      <c r="E26"/>
      <c r="F26" s="450"/>
    </row>
    <row r="27" spans="1:6" x14ac:dyDescent="0.25">
      <c r="A27"/>
      <c r="B27"/>
      <c r="C27"/>
      <c r="D27"/>
      <c r="E27"/>
      <c r="F27" s="450"/>
    </row>
    <row r="28" spans="1:6" x14ac:dyDescent="0.25">
      <c r="A28"/>
      <c r="B28"/>
      <c r="C28"/>
      <c r="D28"/>
      <c r="E28"/>
      <c r="F28" s="450"/>
    </row>
    <row r="29" spans="1:6" x14ac:dyDescent="0.25">
      <c r="A29"/>
      <c r="B29"/>
      <c r="C29"/>
      <c r="D29"/>
      <c r="E29"/>
      <c r="F29" s="450"/>
    </row>
    <row r="30" spans="1:6" x14ac:dyDescent="0.25">
      <c r="A30"/>
      <c r="B30"/>
      <c r="C30"/>
      <c r="D30"/>
      <c r="E30"/>
      <c r="F30" s="450"/>
    </row>
    <row r="31" spans="1:6" x14ac:dyDescent="0.25">
      <c r="A31"/>
      <c r="B31"/>
      <c r="C31"/>
      <c r="D31"/>
      <c r="E31"/>
      <c r="F31" s="450">
        <f>'[4]VD-LOTAÇÃO'!F22</f>
        <v>0</v>
      </c>
    </row>
    <row r="32" spans="1:6" x14ac:dyDescent="0.25">
      <c r="A32"/>
      <c r="B32"/>
      <c r="C32"/>
      <c r="D32"/>
      <c r="E32"/>
      <c r="F32" s="450">
        <f>'[4]VD-LOTAÇÃO'!F23</f>
        <v>0</v>
      </c>
    </row>
    <row r="33" spans="1:6" x14ac:dyDescent="0.25">
      <c r="A33"/>
      <c r="B33"/>
      <c r="C33"/>
      <c r="D33"/>
      <c r="E33"/>
      <c r="F33" s="450">
        <f>'[4]VD-LOTAÇÃO'!F24</f>
        <v>0</v>
      </c>
    </row>
    <row r="34" spans="1:6" x14ac:dyDescent="0.25">
      <c r="A34"/>
      <c r="B34"/>
      <c r="C34"/>
      <c r="D34"/>
      <c r="E34"/>
      <c r="F34" s="450">
        <f>'[4]VD-LOTAÇÃO'!F25</f>
        <v>0</v>
      </c>
    </row>
    <row r="35" spans="1:6" x14ac:dyDescent="0.25">
      <c r="A35"/>
      <c r="B35"/>
      <c r="C35"/>
      <c r="D35"/>
      <c r="E35"/>
      <c r="F35" s="450">
        <f>'[4]VD-LOTAÇÃO'!F26</f>
        <v>0</v>
      </c>
    </row>
    <row r="36" spans="1:6" x14ac:dyDescent="0.25">
      <c r="A36"/>
      <c r="B36"/>
      <c r="C36"/>
      <c r="D36"/>
      <c r="E36"/>
      <c r="F36" s="450">
        <f>'[4]VD-LOTAÇÃO'!F27</f>
        <v>0</v>
      </c>
    </row>
    <row r="37" spans="1:6" x14ac:dyDescent="0.25">
      <c r="A37"/>
      <c r="B37"/>
      <c r="C37"/>
      <c r="D37"/>
      <c r="E37"/>
      <c r="F37" s="450">
        <f>'[4]VD-LOTAÇÃO'!F28</f>
        <v>0</v>
      </c>
    </row>
    <row r="38" spans="1:6" x14ac:dyDescent="0.25">
      <c r="A38"/>
      <c r="B38"/>
      <c r="C38"/>
      <c r="D38"/>
      <c r="E38"/>
      <c r="F38" s="450">
        <f>'[4]VD-LOTAÇÃO'!F29</f>
        <v>0</v>
      </c>
    </row>
    <row r="39" spans="1:6" x14ac:dyDescent="0.25">
      <c r="A39"/>
      <c r="B39"/>
      <c r="C39"/>
      <c r="D39"/>
      <c r="E39"/>
      <c r="F39" s="450">
        <f>'[4]VD-LOTAÇÃO'!F30</f>
        <v>0</v>
      </c>
    </row>
    <row r="40" spans="1:6" x14ac:dyDescent="0.25">
      <c r="A40"/>
      <c r="B40"/>
      <c r="C40"/>
      <c r="D40"/>
      <c r="E40"/>
      <c r="F40" s="450">
        <f>'[4]VD-LOTAÇÃO'!F31</f>
        <v>0</v>
      </c>
    </row>
    <row r="41" spans="1:6" x14ac:dyDescent="0.25">
      <c r="A41"/>
      <c r="B41"/>
      <c r="C41"/>
      <c r="D41"/>
      <c r="E41"/>
      <c r="F41" s="450">
        <f>'[4]VD-LOTAÇÃO'!F32</f>
        <v>0</v>
      </c>
    </row>
    <row r="42" spans="1:6" x14ac:dyDescent="0.25">
      <c r="A42"/>
      <c r="B42"/>
      <c r="C42"/>
      <c r="D42"/>
      <c r="E42"/>
      <c r="F42" s="450">
        <f>'[4]VD-LOTAÇÃO'!F33</f>
        <v>0</v>
      </c>
    </row>
    <row r="43" spans="1:6" x14ac:dyDescent="0.25">
      <c r="A43"/>
      <c r="B43"/>
      <c r="C43"/>
      <c r="D43"/>
      <c r="E43"/>
      <c r="F43" s="450">
        <f>'[4]VD-LOTAÇÃO'!F34</f>
        <v>0</v>
      </c>
    </row>
    <row r="44" spans="1:6" x14ac:dyDescent="0.25">
      <c r="A44"/>
      <c r="B44"/>
      <c r="C44"/>
      <c r="D44"/>
      <c r="E44"/>
      <c r="F44" s="450">
        <f>'[4]VD-LOTAÇÃO'!F35</f>
        <v>0</v>
      </c>
    </row>
    <row r="45" spans="1:6" x14ac:dyDescent="0.25">
      <c r="A45"/>
      <c r="B45"/>
      <c r="C45"/>
      <c r="D45"/>
      <c r="E45"/>
      <c r="F45" s="450">
        <f>'[4]VD-LOTAÇÃO'!F36</f>
        <v>0</v>
      </c>
    </row>
    <row r="46" spans="1:6" x14ac:dyDescent="0.25">
      <c r="A46"/>
      <c r="B46"/>
      <c r="C46"/>
      <c r="D46"/>
      <c r="E46"/>
      <c r="F46" s="450">
        <f>'[4]VD-LOTAÇÃO'!F37</f>
        <v>0</v>
      </c>
    </row>
    <row r="47" spans="1:6" x14ac:dyDescent="0.25">
      <c r="A47"/>
      <c r="B47"/>
      <c r="C47"/>
      <c r="D47"/>
      <c r="E47"/>
      <c r="F47" s="450">
        <f>'[4]VD-LOTAÇÃO'!F38</f>
        <v>0</v>
      </c>
    </row>
    <row r="48" spans="1:6" x14ac:dyDescent="0.25">
      <c r="A48"/>
      <c r="B48"/>
      <c r="C48"/>
      <c r="D48"/>
      <c r="E48"/>
      <c r="F48" s="450">
        <f>'[4]VD-LOTAÇÃO'!F39</f>
        <v>0</v>
      </c>
    </row>
    <row r="49" spans="1:6" x14ac:dyDescent="0.25">
      <c r="A49"/>
      <c r="B49"/>
      <c r="C49"/>
      <c r="D49"/>
      <c r="E49"/>
      <c r="F49" s="450">
        <f>'[4]VD-LOTAÇÃO'!F40</f>
        <v>0</v>
      </c>
    </row>
    <row r="50" spans="1:6" x14ac:dyDescent="0.25">
      <c r="F50" s="451"/>
    </row>
    <row r="51" spans="1:6" x14ac:dyDescent="0.25">
      <c r="F51" s="451"/>
    </row>
    <row r="52" spans="1:6" x14ac:dyDescent="0.25">
      <c r="F52" s="451"/>
    </row>
    <row r="53" spans="1:6" x14ac:dyDescent="0.25">
      <c r="F53" s="451"/>
    </row>
    <row r="54" spans="1:6" x14ac:dyDescent="0.25">
      <c r="F54" s="451"/>
    </row>
    <row r="55" spans="1:6" x14ac:dyDescent="0.25">
      <c r="F55" s="451"/>
    </row>
    <row r="56" spans="1:6" x14ac:dyDescent="0.25">
      <c r="F56" s="451"/>
    </row>
    <row r="57" spans="1:6" x14ac:dyDescent="0.25">
      <c r="F57" s="451"/>
    </row>
    <row r="58" spans="1:6" x14ac:dyDescent="0.25">
      <c r="F58" s="451"/>
    </row>
    <row r="59" spans="1:6" x14ac:dyDescent="0.25">
      <c r="F59" s="451"/>
    </row>
    <row r="60" spans="1:6" x14ac:dyDescent="0.25">
      <c r="F60" s="451"/>
    </row>
    <row r="61" spans="1:6" x14ac:dyDescent="0.25">
      <c r="F61" s="451"/>
    </row>
    <row r="62" spans="1:6" x14ac:dyDescent="0.25">
      <c r="F62" s="451"/>
    </row>
    <row r="63" spans="1:6" x14ac:dyDescent="0.25">
      <c r="F63" s="451"/>
    </row>
    <row r="64" spans="1:6" x14ac:dyDescent="0.25">
      <c r="F64" s="451"/>
    </row>
  </sheetData>
  <mergeCells count="3">
    <mergeCell ref="A12:A13"/>
    <mergeCell ref="B12:C12"/>
    <mergeCell ref="D12:E12"/>
  </mergeCells>
  <pageMargins left="0.511811024" right="0.511811024" top="0.78740157499999996" bottom="0.78740157499999996" header="0.31496062000000002" footer="0.31496062000000002"/>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1"/>
  <dimension ref="A10:R49"/>
  <sheetViews>
    <sheetView showGridLines="0" workbookViewId="0">
      <selection activeCell="P5" sqref="P5"/>
    </sheetView>
  </sheetViews>
  <sheetFormatPr defaultRowHeight="15" x14ac:dyDescent="0.25"/>
  <cols>
    <col min="1" max="1" width="39.5703125" style="1" customWidth="1"/>
    <col min="2" max="5" width="10.7109375" style="1" customWidth="1"/>
    <col min="6" max="6" width="4.5703125" style="1" customWidth="1"/>
    <col min="7" max="7" width="39.5703125" style="1" customWidth="1"/>
    <col min="8" max="11" width="10.7109375" style="1" customWidth="1"/>
    <col min="12" max="12" width="4.5703125" style="1" customWidth="1"/>
    <col min="13" max="13" width="39.5703125" style="1" customWidth="1"/>
    <col min="14" max="17" width="10.7109375" style="1" customWidth="1"/>
    <col min="18" max="16384" width="9.140625" style="1"/>
  </cols>
  <sheetData>
    <row r="10" spans="1:18" x14ac:dyDescent="0.25">
      <c r="A10"/>
      <c r="B10"/>
      <c r="C10"/>
      <c r="D10"/>
      <c r="E10"/>
      <c r="F10"/>
      <c r="G10"/>
      <c r="H10"/>
      <c r="I10"/>
      <c r="J10"/>
      <c r="K10"/>
      <c r="L10"/>
      <c r="M10"/>
      <c r="N10"/>
      <c r="O10"/>
      <c r="P10"/>
      <c r="Q10"/>
      <c r="R10"/>
    </row>
    <row r="11" spans="1:18" x14ac:dyDescent="0.25">
      <c r="A11"/>
      <c r="B11"/>
      <c r="C11"/>
      <c r="D11"/>
      <c r="E11"/>
      <c r="F11"/>
      <c r="G11"/>
      <c r="H11"/>
      <c r="I11"/>
      <c r="J11"/>
      <c r="K11"/>
      <c r="L11"/>
      <c r="M11"/>
      <c r="N11"/>
      <c r="O11"/>
      <c r="P11"/>
      <c r="Q11"/>
      <c r="R11"/>
    </row>
    <row r="12" spans="1:18" x14ac:dyDescent="0.25">
      <c r="A12" s="700" t="str">
        <f>'[4]VD-DESLIGAMENTO'!A3</f>
        <v>EM UM FUTURO PRÓXIMO DESEJO ME DESLIGAR DO MINISTÉRIO</v>
      </c>
      <c r="B12" s="702">
        <f>'[4]VD-DESLIGAMENTO'!B3</f>
        <v>2020</v>
      </c>
      <c r="C12" s="702"/>
      <c r="D12" s="702">
        <f>'[4]VD-DESLIGAMENTO'!D3</f>
        <v>2017</v>
      </c>
      <c r="E12" s="702"/>
      <c r="F12"/>
      <c r="G12" s="710" t="str">
        <f>'[4]VD-DESLIGAMENTO'!G3</f>
        <v xml:space="preserve">POR MOTIVO DE </v>
      </c>
      <c r="H12" s="702">
        <f>'[4]VD-DESLIGAMENTO'!H3</f>
        <v>2020</v>
      </c>
      <c r="I12" s="702"/>
      <c r="J12" s="702">
        <f>'[4]VD-DESLIGAMENTO'!J3</f>
        <v>2017</v>
      </c>
      <c r="K12" s="702"/>
      <c r="L12"/>
      <c r="M12" s="710" t="str">
        <f>'[4]VD-DESLIGAMENTO'!M3</f>
        <v>EM QUANTO TEMPO</v>
      </c>
      <c r="N12" s="702">
        <f>'[4]VD-DESLIGAMENTO'!N3</f>
        <v>2020</v>
      </c>
      <c r="O12" s="702"/>
      <c r="P12" s="702">
        <f>'[4]VD-DESLIGAMENTO'!P3</f>
        <v>2017</v>
      </c>
      <c r="Q12" s="702"/>
      <c r="R12"/>
    </row>
    <row r="13" spans="1:18" ht="21.75" customHeight="1" x14ac:dyDescent="0.25">
      <c r="A13" s="700"/>
      <c r="B13" s="426" t="str">
        <f>'[4]VD-DESLIGAMENTO'!B4</f>
        <v>TOTAL</v>
      </c>
      <c r="C13" s="426" t="str">
        <f>'[4]VD-DESLIGAMENTO'!C4</f>
        <v>%</v>
      </c>
      <c r="D13" s="426" t="str">
        <f>'[4]VD-DESLIGAMENTO'!D4</f>
        <v>TOTAL</v>
      </c>
      <c r="E13" s="426" t="str">
        <f>'[4]VD-DESLIGAMENTO'!E4</f>
        <v>%</v>
      </c>
      <c r="F13"/>
      <c r="G13" s="710"/>
      <c r="H13" s="426" t="str">
        <f>'[4]VD-DESLIGAMENTO'!H4</f>
        <v>TOTAL</v>
      </c>
      <c r="I13" s="426" t="str">
        <f>'[4]VD-DESLIGAMENTO'!I4</f>
        <v>%</v>
      </c>
      <c r="J13" s="426" t="str">
        <f>'[4]VD-DESLIGAMENTO'!J4</f>
        <v>TOTAL</v>
      </c>
      <c r="K13" s="426" t="str">
        <f>'[4]VD-DESLIGAMENTO'!K4</f>
        <v>%</v>
      </c>
      <c r="L13"/>
      <c r="M13" s="710"/>
      <c r="N13" s="426" t="str">
        <f>'[4]VD-DESLIGAMENTO'!N4</f>
        <v>TOTAL</v>
      </c>
      <c r="O13" s="426" t="str">
        <f>'[4]VD-DESLIGAMENTO'!O4</f>
        <v>%</v>
      </c>
      <c r="P13" s="426" t="str">
        <f>'[4]VD-DESLIGAMENTO'!P4</f>
        <v>TOTAL</v>
      </c>
      <c r="Q13" s="426" t="str">
        <f>'[4]VD-DESLIGAMENTO'!Q4</f>
        <v>%</v>
      </c>
      <c r="R13"/>
    </row>
    <row r="14" spans="1:18" x14ac:dyDescent="0.25">
      <c r="A14" s="428" t="str">
        <f>'[4]VD-DESLIGAMENTO'!A5</f>
        <v xml:space="preserve">Sim </v>
      </c>
      <c r="B14" s="59">
        <f>'[4]VD-DESLIGAMENTO'!B5</f>
        <v>55</v>
      </c>
      <c r="C14" s="440">
        <f>'[4]VD-DESLIGAMENTO'!C5</f>
        <v>0.28645833333333331</v>
      </c>
      <c r="D14" s="59">
        <f>'[4]VD-DESLIGAMENTO'!D5</f>
        <v>60</v>
      </c>
      <c r="E14" s="440">
        <f>'[4]VD-DESLIGAMENTO'!E5</f>
        <v>0.31746031746031744</v>
      </c>
      <c r="F14"/>
      <c r="G14" s="428" t="str">
        <f>'[4]VD-DESLIGAMENTO'!G5</f>
        <v>Aposentadoria</v>
      </c>
      <c r="H14" s="59">
        <f>'[4]VD-DESLIGAMENTO'!H5</f>
        <v>36</v>
      </c>
      <c r="I14" s="440">
        <f>'[4]VD-DESLIGAMENTO'!I5</f>
        <v>0.65454545454545454</v>
      </c>
      <c r="J14" s="59">
        <f>'[4]VD-DESLIGAMENTO'!J5</f>
        <v>20</v>
      </c>
      <c r="K14" s="440">
        <f>'[4]VD-DESLIGAMENTO'!K5</f>
        <v>0.33333333333333331</v>
      </c>
      <c r="L14"/>
      <c r="M14" s="428" t="str">
        <f>'[4]VD-DESLIGAMENTO'!M5</f>
        <v>menos de 1 ano</v>
      </c>
      <c r="N14" s="59">
        <f>'[4]VD-DESLIGAMENTO'!N5</f>
        <v>7</v>
      </c>
      <c r="O14" s="440">
        <f>'[4]VD-DESLIGAMENTO'!O5</f>
        <v>0.12727272727272726</v>
      </c>
      <c r="P14" s="59">
        <f>'[4]VD-DESLIGAMENTO'!P5</f>
        <v>16</v>
      </c>
      <c r="Q14" s="440">
        <f>'[4]VD-DESLIGAMENTO'!Q5</f>
        <v>0.26666666666666666</v>
      </c>
      <c r="R14"/>
    </row>
    <row r="15" spans="1:18" x14ac:dyDescent="0.25">
      <c r="A15" s="433" t="str">
        <f>'[4]VD-DESLIGAMENTO'!A6</f>
        <v>Não</v>
      </c>
      <c r="B15" s="59">
        <f>'[4]VD-DESLIGAMENTO'!B6</f>
        <v>137</v>
      </c>
      <c r="C15" s="440">
        <f>'[4]VD-DESLIGAMENTO'!C6</f>
        <v>0.71354166666666663</v>
      </c>
      <c r="D15" s="59">
        <f>'[4]VD-DESLIGAMENTO'!D6</f>
        <v>129</v>
      </c>
      <c r="E15" s="440">
        <f>'[4]VD-DESLIGAMENTO'!E6</f>
        <v>0.68253968253968256</v>
      </c>
      <c r="F15"/>
      <c r="G15" s="433" t="str">
        <f>'[4]VD-DESLIGAMENTO'!G6</f>
        <v>Atividades em outro órgão</v>
      </c>
      <c r="H15" s="59">
        <f>'[4]VD-DESLIGAMENTO'!H6</f>
        <v>6</v>
      </c>
      <c r="I15" s="440">
        <f>'[4]VD-DESLIGAMENTO'!I6</f>
        <v>0.10909090909090909</v>
      </c>
      <c r="J15" s="59">
        <f>'[4]VD-DESLIGAMENTO'!J6</f>
        <v>16</v>
      </c>
      <c r="K15" s="440">
        <f>'[4]VD-DESLIGAMENTO'!K6</f>
        <v>0.26666666666666666</v>
      </c>
      <c r="L15"/>
      <c r="M15" s="433" t="str">
        <f>'[4]VD-DESLIGAMENTO'!M6</f>
        <v>de 1 a 3 anos</v>
      </c>
      <c r="N15" s="59">
        <f>'[4]VD-DESLIGAMENTO'!N6</f>
        <v>24</v>
      </c>
      <c r="O15" s="440">
        <f>'[4]VD-DESLIGAMENTO'!O6</f>
        <v>0.43636363636363634</v>
      </c>
      <c r="P15" s="59">
        <f>'[4]VD-DESLIGAMENTO'!P6</f>
        <v>30</v>
      </c>
      <c r="Q15" s="440">
        <f>'[4]VD-DESLIGAMENTO'!Q6</f>
        <v>0.5</v>
      </c>
      <c r="R15"/>
    </row>
    <row r="16" spans="1:18" x14ac:dyDescent="0.25">
      <c r="A16" s="82" t="str">
        <f>'[4]VD-DESLIGAMENTO'!A7</f>
        <v>TOTAL</v>
      </c>
      <c r="B16" s="422">
        <f>'[4]VD-DESLIGAMENTO'!B7</f>
        <v>192</v>
      </c>
      <c r="C16" s="436">
        <f>'[4]VD-DESLIGAMENTO'!C7</f>
        <v>1</v>
      </c>
      <c r="D16" s="422">
        <f>'[4]VD-DESLIGAMENTO'!D7</f>
        <v>189</v>
      </c>
      <c r="E16" s="436">
        <f>'[4]VD-DESLIGAMENTO'!E7</f>
        <v>1</v>
      </c>
      <c r="F16"/>
      <c r="G16" s="433" t="str">
        <f>'[4]VD-DESLIGAMENTO'!G7</f>
        <v>Outros</v>
      </c>
      <c r="H16" s="59">
        <f>'[4]VD-DESLIGAMENTO'!H7</f>
        <v>13</v>
      </c>
      <c r="I16" s="440">
        <f>'[4]VD-DESLIGAMENTO'!I7</f>
        <v>0.23636363636363636</v>
      </c>
      <c r="J16" s="59">
        <f>'[4]VD-DESLIGAMENTO'!J7</f>
        <v>24</v>
      </c>
      <c r="K16" s="440">
        <f>'[4]VD-DESLIGAMENTO'!K7</f>
        <v>0.4</v>
      </c>
      <c r="L16"/>
      <c r="M16" s="433" t="str">
        <f>'[4]VD-DESLIGAMENTO'!M7</f>
        <v>de 4 a 5 anos</v>
      </c>
      <c r="N16" s="59">
        <f>'[4]VD-DESLIGAMENTO'!N7</f>
        <v>24</v>
      </c>
      <c r="O16" s="440">
        <f>'[4]VD-DESLIGAMENTO'!O7</f>
        <v>0.43636363636363634</v>
      </c>
      <c r="P16" s="59">
        <f>'[4]VD-DESLIGAMENTO'!P7</f>
        <v>14</v>
      </c>
      <c r="Q16" s="440">
        <f>'[4]VD-DESLIGAMENTO'!Q7</f>
        <v>0.23333333333333334</v>
      </c>
      <c r="R16"/>
    </row>
    <row r="17" spans="1:18" x14ac:dyDescent="0.25">
      <c r="A17"/>
      <c r="B17"/>
      <c r="C17"/>
      <c r="D17"/>
      <c r="E17"/>
      <c r="F17"/>
      <c r="G17" s="82" t="str">
        <f>'[4]VD-DESLIGAMENTO'!G8</f>
        <v>TOTAL</v>
      </c>
      <c r="H17" s="422">
        <f>'[4]VD-DESLIGAMENTO'!H8</f>
        <v>55</v>
      </c>
      <c r="I17" s="436">
        <f>'[4]VD-DESLIGAMENTO'!I8</f>
        <v>1</v>
      </c>
      <c r="J17" s="422">
        <f>'[4]VD-DESLIGAMENTO'!J8</f>
        <v>60</v>
      </c>
      <c r="K17" s="436">
        <f>'[4]VD-DESLIGAMENTO'!K8</f>
        <v>1</v>
      </c>
      <c r="L17"/>
      <c r="M17" s="82" t="str">
        <f>'[4]VD-DESLIGAMENTO'!M8</f>
        <v>TOTAL</v>
      </c>
      <c r="N17" s="422">
        <f>'[4]VD-DESLIGAMENTO'!N8</f>
        <v>55</v>
      </c>
      <c r="O17" s="436">
        <f>'[4]VD-DESLIGAMENTO'!O8</f>
        <v>1</v>
      </c>
      <c r="P17" s="422">
        <f>'[4]VD-DESLIGAMENTO'!P8</f>
        <v>60</v>
      </c>
      <c r="Q17" s="436">
        <f>'[4]VD-DESLIGAMENTO'!Q8</f>
        <v>1</v>
      </c>
      <c r="R17"/>
    </row>
    <row r="18" spans="1:18" x14ac:dyDescent="0.25">
      <c r="A18"/>
      <c r="B18"/>
      <c r="C18"/>
      <c r="D18"/>
      <c r="E18"/>
      <c r="F18"/>
      <c r="G18"/>
      <c r="H18"/>
      <c r="I18"/>
      <c r="J18"/>
      <c r="K18"/>
      <c r="L18"/>
      <c r="M18"/>
      <c r="N18"/>
      <c r="O18"/>
      <c r="P18"/>
      <c r="Q18"/>
      <c r="R18"/>
    </row>
    <row r="19" spans="1:18" x14ac:dyDescent="0.25">
      <c r="A19"/>
      <c r="B19"/>
      <c r="C19"/>
      <c r="D19"/>
      <c r="E19"/>
      <c r="F19"/>
      <c r="G19"/>
      <c r="H19"/>
      <c r="I19"/>
      <c r="J19"/>
      <c r="K19"/>
      <c r="L19"/>
      <c r="M19"/>
      <c r="N19"/>
      <c r="O19"/>
      <c r="P19"/>
      <c r="Q19"/>
      <c r="R19"/>
    </row>
    <row r="20" spans="1:18" x14ac:dyDescent="0.25">
      <c r="A20"/>
      <c r="B20"/>
      <c r="C20"/>
      <c r="D20"/>
      <c r="E20"/>
      <c r="F20"/>
      <c r="G20"/>
      <c r="H20"/>
      <c r="I20"/>
      <c r="J20"/>
      <c r="K20"/>
      <c r="L20"/>
      <c r="M20"/>
      <c r="N20"/>
      <c r="O20"/>
      <c r="P20"/>
      <c r="Q20"/>
      <c r="R20"/>
    </row>
    <row r="21" spans="1:18" x14ac:dyDescent="0.25">
      <c r="A21"/>
      <c r="B21"/>
      <c r="C21"/>
      <c r="D21"/>
      <c r="E21"/>
      <c r="F21"/>
      <c r="G21"/>
      <c r="H21"/>
      <c r="I21"/>
      <c r="J21"/>
      <c r="K21"/>
      <c r="L21"/>
      <c r="M21"/>
      <c r="N21"/>
      <c r="O21"/>
      <c r="P21"/>
      <c r="Q21"/>
      <c r="R21"/>
    </row>
    <row r="22" spans="1:18" x14ac:dyDescent="0.25">
      <c r="A22"/>
      <c r="B22"/>
      <c r="C22"/>
      <c r="D22"/>
      <c r="E22"/>
      <c r="F22"/>
      <c r="G22"/>
      <c r="H22"/>
      <c r="I22"/>
      <c r="J22"/>
      <c r="K22"/>
      <c r="L22"/>
      <c r="M22"/>
      <c r="N22"/>
      <c r="O22"/>
      <c r="P22"/>
      <c r="Q22"/>
      <c r="R22"/>
    </row>
    <row r="23" spans="1:18" x14ac:dyDescent="0.25">
      <c r="A23"/>
      <c r="B23"/>
      <c r="C23"/>
      <c r="D23"/>
      <c r="E23"/>
      <c r="F23"/>
      <c r="G23"/>
      <c r="H23"/>
      <c r="I23"/>
      <c r="J23"/>
      <c r="K23"/>
      <c r="L23"/>
      <c r="M23"/>
      <c r="N23"/>
      <c r="O23"/>
      <c r="P23"/>
      <c r="Q23"/>
      <c r="R23"/>
    </row>
    <row r="24" spans="1:18" x14ac:dyDescent="0.25">
      <c r="A24"/>
      <c r="B24"/>
      <c r="C24"/>
      <c r="D24"/>
      <c r="E24"/>
      <c r="F24"/>
      <c r="G24"/>
      <c r="H24"/>
      <c r="I24"/>
      <c r="J24"/>
      <c r="K24"/>
      <c r="L24"/>
      <c r="M24"/>
      <c r="N24"/>
      <c r="O24"/>
      <c r="P24"/>
      <c r="Q24"/>
      <c r="R24"/>
    </row>
    <row r="25" spans="1:18" x14ac:dyDescent="0.25">
      <c r="A25"/>
      <c r="B25"/>
      <c r="C25"/>
      <c r="D25"/>
      <c r="E25"/>
      <c r="F25"/>
      <c r="G25"/>
      <c r="H25"/>
      <c r="I25"/>
      <c r="J25"/>
      <c r="K25"/>
      <c r="L25"/>
      <c r="M25"/>
      <c r="N25"/>
      <c r="O25"/>
      <c r="P25"/>
      <c r="Q25"/>
      <c r="R25"/>
    </row>
    <row r="26" spans="1:18" x14ac:dyDescent="0.25">
      <c r="A26"/>
      <c r="B26"/>
      <c r="C26"/>
      <c r="D26"/>
      <c r="E26"/>
      <c r="F26"/>
      <c r="G26"/>
      <c r="H26"/>
      <c r="I26"/>
      <c r="J26"/>
      <c r="K26"/>
      <c r="L26"/>
      <c r="M26"/>
      <c r="N26"/>
      <c r="O26"/>
      <c r="P26"/>
      <c r="Q26"/>
      <c r="R26"/>
    </row>
    <row r="27" spans="1:18" x14ac:dyDescent="0.25">
      <c r="A27"/>
      <c r="B27"/>
      <c r="C27"/>
      <c r="D27"/>
      <c r="E27"/>
      <c r="F27"/>
      <c r="G27"/>
      <c r="H27"/>
      <c r="I27"/>
      <c r="J27"/>
      <c r="K27"/>
      <c r="L27"/>
      <c r="M27"/>
      <c r="N27"/>
      <c r="O27"/>
      <c r="P27"/>
      <c r="Q27"/>
      <c r="R27"/>
    </row>
    <row r="28" spans="1:18" x14ac:dyDescent="0.25">
      <c r="A28"/>
      <c r="B28"/>
      <c r="C28"/>
      <c r="D28"/>
      <c r="E28"/>
      <c r="F28"/>
      <c r="G28"/>
      <c r="H28"/>
      <c r="I28"/>
      <c r="J28"/>
      <c r="K28"/>
      <c r="L28"/>
      <c r="M28"/>
      <c r="N28"/>
      <c r="O28"/>
      <c r="P28"/>
      <c r="Q28"/>
      <c r="R28"/>
    </row>
    <row r="29" spans="1:18" x14ac:dyDescent="0.25">
      <c r="A29"/>
      <c r="B29"/>
      <c r="C29"/>
      <c r="D29"/>
      <c r="E29"/>
      <c r="F29"/>
      <c r="G29"/>
      <c r="H29"/>
      <c r="I29"/>
      <c r="J29"/>
      <c r="K29"/>
      <c r="L29"/>
      <c r="M29"/>
      <c r="N29"/>
      <c r="O29"/>
      <c r="P29"/>
      <c r="Q29"/>
      <c r="R29"/>
    </row>
    <row r="30" spans="1:18" x14ac:dyDescent="0.25">
      <c r="A30"/>
      <c r="B30"/>
      <c r="C30"/>
      <c r="D30"/>
      <c r="E30"/>
      <c r="F30"/>
      <c r="G30"/>
      <c r="H30"/>
      <c r="I30"/>
      <c r="J30"/>
      <c r="K30"/>
      <c r="L30"/>
      <c r="M30"/>
      <c r="N30"/>
      <c r="O30"/>
      <c r="P30"/>
      <c r="Q30"/>
      <c r="R30"/>
    </row>
    <row r="31" spans="1:18" x14ac:dyDescent="0.25">
      <c r="A31"/>
      <c r="B31"/>
      <c r="C31"/>
      <c r="D31"/>
      <c r="E31"/>
      <c r="F31"/>
      <c r="G31"/>
      <c r="H31"/>
      <c r="I31"/>
      <c r="J31"/>
      <c r="K31"/>
      <c r="L31"/>
      <c r="M31"/>
      <c r="N31"/>
      <c r="O31"/>
      <c r="P31"/>
      <c r="Q31"/>
      <c r="R31"/>
    </row>
    <row r="32" spans="1:18" x14ac:dyDescent="0.25">
      <c r="A32"/>
      <c r="B32"/>
      <c r="C32"/>
      <c r="D32"/>
      <c r="E32"/>
      <c r="F32"/>
      <c r="G32"/>
      <c r="H32"/>
      <c r="I32"/>
      <c r="J32"/>
      <c r="K32"/>
      <c r="L32"/>
      <c r="M32"/>
      <c r="N32"/>
      <c r="O32"/>
      <c r="P32"/>
      <c r="Q32"/>
      <c r="R32"/>
    </row>
    <row r="33" spans="1:18" x14ac:dyDescent="0.25">
      <c r="A33"/>
      <c r="B33"/>
      <c r="C33"/>
      <c r="D33"/>
      <c r="E33"/>
      <c r="F33"/>
      <c r="G33"/>
      <c r="H33"/>
      <c r="I33"/>
      <c r="J33"/>
      <c r="K33"/>
      <c r="L33"/>
      <c r="M33"/>
      <c r="N33"/>
      <c r="O33"/>
      <c r="P33"/>
      <c r="Q33"/>
      <c r="R33"/>
    </row>
    <row r="34" spans="1:18" x14ac:dyDescent="0.25">
      <c r="A34"/>
      <c r="B34"/>
      <c r="C34"/>
      <c r="D34"/>
      <c r="E34"/>
      <c r="F34"/>
      <c r="G34"/>
      <c r="H34"/>
      <c r="I34"/>
      <c r="J34"/>
      <c r="K34"/>
      <c r="L34"/>
      <c r="M34"/>
      <c r="N34"/>
      <c r="O34"/>
      <c r="P34"/>
      <c r="Q34"/>
      <c r="R34"/>
    </row>
    <row r="35" spans="1:18" x14ac:dyDescent="0.25">
      <c r="A35"/>
      <c r="B35"/>
      <c r="C35"/>
      <c r="D35"/>
      <c r="E35"/>
      <c r="F35"/>
      <c r="G35"/>
      <c r="H35"/>
      <c r="I35"/>
      <c r="J35"/>
      <c r="K35"/>
      <c r="L35"/>
      <c r="M35"/>
      <c r="N35"/>
      <c r="O35"/>
      <c r="P35"/>
      <c r="Q35"/>
      <c r="R35"/>
    </row>
    <row r="36" spans="1:18" x14ac:dyDescent="0.25">
      <c r="A36"/>
      <c r="B36"/>
      <c r="C36"/>
      <c r="D36"/>
      <c r="E36"/>
      <c r="F36"/>
      <c r="G36"/>
      <c r="H36"/>
      <c r="I36"/>
      <c r="J36"/>
      <c r="K36"/>
      <c r="L36"/>
      <c r="M36"/>
      <c r="N36"/>
      <c r="O36"/>
      <c r="P36"/>
      <c r="Q36"/>
      <c r="R36"/>
    </row>
    <row r="37" spans="1:18" x14ac:dyDescent="0.25">
      <c r="A37"/>
      <c r="B37"/>
      <c r="C37"/>
      <c r="D37"/>
      <c r="E37"/>
      <c r="F37"/>
      <c r="G37"/>
      <c r="H37"/>
      <c r="I37"/>
      <c r="J37"/>
      <c r="K37"/>
      <c r="L37"/>
      <c r="M37"/>
      <c r="N37"/>
      <c r="O37"/>
      <c r="P37"/>
      <c r="Q37"/>
      <c r="R37"/>
    </row>
    <row r="38" spans="1:18" x14ac:dyDescent="0.25">
      <c r="A38"/>
      <c r="B38"/>
      <c r="C38"/>
      <c r="D38"/>
      <c r="E38"/>
      <c r="F38"/>
      <c r="G38"/>
      <c r="H38"/>
      <c r="I38"/>
      <c r="J38"/>
      <c r="K38"/>
      <c r="L38"/>
      <c r="M38"/>
      <c r="N38"/>
      <c r="O38"/>
      <c r="P38"/>
      <c r="Q38"/>
      <c r="R38"/>
    </row>
    <row r="39" spans="1:18" x14ac:dyDescent="0.25">
      <c r="A39"/>
      <c r="B39"/>
      <c r="C39"/>
      <c r="D39"/>
      <c r="E39"/>
      <c r="F39"/>
      <c r="G39"/>
      <c r="H39"/>
      <c r="I39"/>
      <c r="J39"/>
      <c r="K39"/>
      <c r="L39"/>
      <c r="M39"/>
      <c r="N39"/>
      <c r="O39"/>
      <c r="P39"/>
      <c r="Q39"/>
      <c r="R39"/>
    </row>
    <row r="40" spans="1:18" x14ac:dyDescent="0.25">
      <c r="A40"/>
      <c r="B40"/>
      <c r="C40"/>
      <c r="D40"/>
      <c r="E40"/>
      <c r="F40"/>
      <c r="G40"/>
      <c r="H40"/>
      <c r="I40"/>
      <c r="J40"/>
      <c r="K40"/>
      <c r="L40"/>
      <c r="M40"/>
      <c r="N40"/>
      <c r="O40"/>
      <c r="P40"/>
      <c r="Q40"/>
      <c r="R40"/>
    </row>
    <row r="41" spans="1:18" x14ac:dyDescent="0.25">
      <c r="A41"/>
      <c r="B41"/>
      <c r="C41"/>
      <c r="D41"/>
      <c r="E41"/>
      <c r="F41"/>
      <c r="G41"/>
      <c r="H41"/>
      <c r="I41"/>
      <c r="J41"/>
      <c r="K41"/>
      <c r="L41"/>
      <c r="M41"/>
      <c r="N41"/>
      <c r="O41"/>
      <c r="P41"/>
      <c r="Q41"/>
      <c r="R41"/>
    </row>
    <row r="42" spans="1:18" x14ac:dyDescent="0.25">
      <c r="A42"/>
      <c r="B42"/>
      <c r="C42"/>
      <c r="D42"/>
      <c r="E42"/>
      <c r="F42"/>
      <c r="G42"/>
      <c r="H42"/>
      <c r="I42"/>
      <c r="J42"/>
      <c r="K42"/>
      <c r="L42"/>
      <c r="M42"/>
      <c r="N42"/>
      <c r="O42"/>
      <c r="P42"/>
      <c r="Q42"/>
      <c r="R42"/>
    </row>
    <row r="43" spans="1:18" x14ac:dyDescent="0.25">
      <c r="A43"/>
      <c r="B43"/>
      <c r="C43"/>
      <c r="D43"/>
      <c r="E43"/>
      <c r="F43"/>
      <c r="G43"/>
      <c r="H43"/>
      <c r="I43"/>
      <c r="J43"/>
      <c r="K43"/>
      <c r="L43"/>
      <c r="M43"/>
      <c r="N43"/>
      <c r="O43"/>
      <c r="P43"/>
      <c r="Q43"/>
      <c r="R43"/>
    </row>
    <row r="44" spans="1:18" x14ac:dyDescent="0.25">
      <c r="A44"/>
      <c r="B44"/>
      <c r="C44"/>
      <c r="D44"/>
      <c r="E44"/>
      <c r="F44"/>
      <c r="G44"/>
      <c r="H44"/>
      <c r="I44"/>
      <c r="J44"/>
      <c r="K44"/>
      <c r="L44"/>
      <c r="M44"/>
      <c r="N44"/>
      <c r="O44"/>
      <c r="P44"/>
      <c r="Q44"/>
      <c r="R44"/>
    </row>
    <row r="45" spans="1:18" x14ac:dyDescent="0.25">
      <c r="A45"/>
      <c r="B45"/>
      <c r="C45"/>
      <c r="D45"/>
      <c r="E45"/>
      <c r="F45"/>
      <c r="G45"/>
      <c r="H45"/>
      <c r="I45"/>
      <c r="J45"/>
      <c r="K45"/>
      <c r="L45"/>
      <c r="M45"/>
      <c r="N45"/>
      <c r="O45"/>
      <c r="P45"/>
      <c r="Q45"/>
      <c r="R45"/>
    </row>
    <row r="46" spans="1:18" x14ac:dyDescent="0.25">
      <c r="A46"/>
      <c r="B46"/>
      <c r="C46"/>
      <c r="D46"/>
      <c r="E46"/>
      <c r="F46"/>
      <c r="G46"/>
      <c r="H46"/>
      <c r="I46"/>
      <c r="J46"/>
      <c r="K46"/>
      <c r="L46"/>
      <c r="M46"/>
      <c r="N46"/>
      <c r="O46"/>
      <c r="P46"/>
      <c r="Q46"/>
      <c r="R46"/>
    </row>
    <row r="47" spans="1:18" x14ac:dyDescent="0.25">
      <c r="A47"/>
      <c r="B47"/>
      <c r="C47"/>
      <c r="D47"/>
      <c r="E47"/>
      <c r="F47"/>
      <c r="G47"/>
      <c r="H47"/>
      <c r="I47"/>
      <c r="J47"/>
      <c r="K47"/>
      <c r="L47"/>
      <c r="M47"/>
      <c r="N47"/>
      <c r="O47"/>
      <c r="P47"/>
      <c r="Q47"/>
      <c r="R47"/>
    </row>
    <row r="48" spans="1:18" x14ac:dyDescent="0.25">
      <c r="A48"/>
      <c r="B48"/>
      <c r="C48"/>
      <c r="D48"/>
      <c r="E48"/>
      <c r="F48"/>
      <c r="G48"/>
      <c r="H48"/>
      <c r="I48"/>
      <c r="J48"/>
      <c r="K48"/>
      <c r="L48"/>
      <c r="M48"/>
      <c r="N48"/>
      <c r="O48"/>
      <c r="P48"/>
      <c r="Q48"/>
      <c r="R48"/>
    </row>
    <row r="49" spans="1:18" x14ac:dyDescent="0.25">
      <c r="A49"/>
      <c r="B49"/>
      <c r="C49"/>
      <c r="D49"/>
      <c r="E49"/>
      <c r="F49"/>
      <c r="G49"/>
      <c r="H49"/>
      <c r="I49"/>
      <c r="J49"/>
      <c r="K49"/>
      <c r="L49"/>
      <c r="M49"/>
      <c r="N49"/>
      <c r="O49"/>
      <c r="P49"/>
      <c r="Q49"/>
      <c r="R49"/>
    </row>
  </sheetData>
  <mergeCells count="9">
    <mergeCell ref="M12:M13"/>
    <mergeCell ref="N12:O12"/>
    <mergeCell ref="P12:Q12"/>
    <mergeCell ref="A12:A13"/>
    <mergeCell ref="B12:C12"/>
    <mergeCell ref="D12:E12"/>
    <mergeCell ref="G12:G13"/>
    <mergeCell ref="H12:I12"/>
    <mergeCell ref="J12:K12"/>
  </mergeCells>
  <pageMargins left="0.511811024" right="0.511811024" top="0.78740157499999996" bottom="0.78740157499999996" header="0.31496062000000002" footer="0.31496062000000002"/>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2"/>
  <dimension ref="A10:Q50"/>
  <sheetViews>
    <sheetView showGridLines="0" workbookViewId="0"/>
  </sheetViews>
  <sheetFormatPr defaultRowHeight="15" x14ac:dyDescent="0.25"/>
  <cols>
    <col min="1" max="1" width="36.28515625" style="1" customWidth="1"/>
    <col min="2" max="7" width="13.7109375" style="1" customWidth="1"/>
    <col min="8" max="9" width="9.140625" style="1"/>
    <col min="10" max="10" width="36.28515625" style="1" customWidth="1"/>
    <col min="11" max="16" width="13.7109375" style="1" customWidth="1"/>
    <col min="17" max="16384" width="9.140625" style="1"/>
  </cols>
  <sheetData>
    <row r="10" spans="1:17" x14ac:dyDescent="0.25">
      <c r="A10"/>
      <c r="B10"/>
      <c r="C10"/>
      <c r="D10"/>
      <c r="E10"/>
      <c r="F10"/>
      <c r="G10"/>
      <c r="H10"/>
      <c r="I10"/>
      <c r="J10"/>
      <c r="K10"/>
      <c r="L10"/>
      <c r="M10"/>
      <c r="N10"/>
      <c r="O10"/>
      <c r="P10"/>
      <c r="Q10"/>
    </row>
    <row r="11" spans="1:17" x14ac:dyDescent="0.25">
      <c r="A11"/>
      <c r="B11"/>
      <c r="C11"/>
      <c r="D11"/>
      <c r="E11"/>
      <c r="F11"/>
      <c r="G11"/>
      <c r="H11"/>
      <c r="I11"/>
      <c r="J11"/>
      <c r="K11"/>
      <c r="L11"/>
      <c r="M11"/>
      <c r="N11"/>
      <c r="O11"/>
      <c r="P11"/>
      <c r="Q11"/>
    </row>
    <row r="12" spans="1:17" x14ac:dyDescent="0.25">
      <c r="A12" s="700" t="str">
        <f>'[4]VCO-PLANEJAMENTOESTRATÉGICO'!A3</f>
        <v>TENHO CONHECIMENTO DA MISSÃO, VISÃO E VALORES DO MME?</v>
      </c>
      <c r="B12" s="706">
        <f>'[4]VCO-PLANEJAMENTOESTRATÉGICO'!B3</f>
        <v>2020</v>
      </c>
      <c r="C12" s="707"/>
      <c r="D12" s="708"/>
      <c r="E12" s="702">
        <f>'[4]VCO-PLANEJAMENTOESTRATÉGICO'!E3</f>
        <v>2017</v>
      </c>
      <c r="F12" s="702"/>
      <c r="G12" s="702"/>
      <c r="H12"/>
      <c r="I12"/>
      <c r="J12" s="700" t="str">
        <f>'[4]VCO-PLANEJAMENTOESTRATÉGICO'!J3</f>
        <v>TENHO INTERESSE EM CONHECER A MISSÃO, VISÃO E VALORES DO MME?</v>
      </c>
      <c r="K12" s="702">
        <f>'[4]VCO-PLANEJAMENTOESTRATÉGICO'!K3</f>
        <v>2020</v>
      </c>
      <c r="L12" s="702"/>
      <c r="M12" s="702"/>
      <c r="N12" s="702">
        <f>'[4]VCO-PLANEJAMENTOESTRATÉGICO'!N3</f>
        <v>2017</v>
      </c>
      <c r="O12" s="702"/>
      <c r="P12" s="702"/>
      <c r="Q12"/>
    </row>
    <row r="13" spans="1:17" ht="27.75" customHeight="1" x14ac:dyDescent="0.25">
      <c r="A13" s="700"/>
      <c r="B13" s="426" t="str">
        <f>'[4]VCO-PLANEJAMENTOESTRATÉGICO'!B4</f>
        <v>TOTAL</v>
      </c>
      <c r="C13" s="426" t="str">
        <f>'[4]VCO-PLANEJAMENTOESTRATÉGICO'!C4</f>
        <v>%</v>
      </c>
      <c r="D13" s="426" t="str">
        <f>'[4]VCO-PLANEJAMENTOESTRATÉGICO'!D4</f>
        <v>RESULTADO</v>
      </c>
      <c r="E13" s="426" t="str">
        <f>'[4]VCO-PLANEJAMENTOESTRATÉGICO'!E4</f>
        <v>TOTAL</v>
      </c>
      <c r="F13" s="426" t="str">
        <f>'[4]VCO-PLANEJAMENTOESTRATÉGICO'!F4</f>
        <v>%</v>
      </c>
      <c r="G13" s="426" t="str">
        <f>'[4]VCO-PLANEJAMENTOESTRATÉGICO'!G4</f>
        <v>RESULTADO</v>
      </c>
      <c r="H13"/>
      <c r="I13"/>
      <c r="J13" s="700"/>
      <c r="K13" s="426" t="str">
        <f>'[4]VCO-PLANEJAMENTOESTRATÉGICO'!K4</f>
        <v>TOTAL</v>
      </c>
      <c r="L13" s="426" t="str">
        <f>'[4]VCO-PLANEJAMENTOESTRATÉGICO'!L4</f>
        <v>%</v>
      </c>
      <c r="M13" s="426" t="str">
        <f>'[4]VCO-PLANEJAMENTOESTRATÉGICO'!M4</f>
        <v>RESULTADO</v>
      </c>
      <c r="N13" s="426" t="str">
        <f>'[4]VCO-PLANEJAMENTOESTRATÉGICO'!N4</f>
        <v>TOTAL</v>
      </c>
      <c r="O13" s="426" t="str">
        <f>'[4]VCO-PLANEJAMENTOESTRATÉGICO'!O4</f>
        <v>%</v>
      </c>
      <c r="P13" s="426" t="str">
        <f>'[4]VCO-PLANEJAMENTOESTRATÉGICO'!P4</f>
        <v>RESULTADO</v>
      </c>
      <c r="Q13"/>
    </row>
    <row r="14" spans="1:17" x14ac:dyDescent="0.25">
      <c r="A14" s="428" t="str">
        <f>'[4]VCO-PLANEJAMENTOESTRATÉGICO'!A5</f>
        <v>SIM</v>
      </c>
      <c r="B14" s="452">
        <f>'[4]VCO-PLANEJAMENTOESTRATÉGICO'!B5</f>
        <v>136</v>
      </c>
      <c r="C14" s="430">
        <f>'[4]VCO-PLANEJAMENTOESTRATÉGICO'!C5</f>
        <v>0.70833333333333337</v>
      </c>
      <c r="D14" s="430" t="str">
        <f>'[4]VCO-PLANEJAMENTOESTRATÉGICO'!D5</f>
        <v>SATISFATÓRIO</v>
      </c>
      <c r="E14" s="452">
        <f>'[4]VCO-PLANEJAMENTOESTRATÉGICO'!E5</f>
        <v>131</v>
      </c>
      <c r="F14" s="430">
        <f>'[4]VCO-PLANEJAMENTOESTRATÉGICO'!F5</f>
        <v>0.70810810810810809</v>
      </c>
      <c r="G14" s="430" t="str">
        <f>'[4]VCO-PLANEJAMENTOESTRATÉGICO'!G5</f>
        <v>SATISFATÓRIO</v>
      </c>
      <c r="H14"/>
      <c r="I14"/>
      <c r="J14" s="428" t="str">
        <f>'[4]VCO-PLANEJAMENTOESTRATÉGICO'!J5</f>
        <v>SIM</v>
      </c>
      <c r="K14" s="59">
        <f>'[4]VCO-PLANEJAMENTOESTRATÉGICO'!K5</f>
        <v>168</v>
      </c>
      <c r="L14" s="440">
        <f>'[4]VCO-PLANEJAMENTOESTRATÉGICO'!L5</f>
        <v>0.875</v>
      </c>
      <c r="M14" s="430" t="str">
        <f>'[4]VCO-PLANEJAMENTOESTRATÉGICO'!M5</f>
        <v>DESEJÁVEL</v>
      </c>
      <c r="N14" s="452">
        <f>'[4]VCO-PLANEJAMENTOESTRATÉGICO'!N5</f>
        <v>144</v>
      </c>
      <c r="O14" s="430">
        <f>'[4]VCO-PLANEJAMENTOESTRATÉGICO'!O5</f>
        <v>0.77837837837837842</v>
      </c>
      <c r="P14" s="430" t="str">
        <f>'[4]VCO-PLANEJAMENTOESTRATÉGICO'!P5</f>
        <v>SATISFATÓRIO</v>
      </c>
      <c r="Q14"/>
    </row>
    <row r="15" spans="1:17" x14ac:dyDescent="0.25">
      <c r="A15" s="433" t="str">
        <f>'[4]VCO-PLANEJAMENTOESTRATÉGICO'!A6</f>
        <v>PARCIAL</v>
      </c>
      <c r="B15" s="59">
        <f>'[4]VCO-PLANEJAMENTOESTRATÉGICO'!B6</f>
        <v>54</v>
      </c>
      <c r="C15" s="440">
        <f>'[4]VCO-PLANEJAMENTOESTRATÉGICO'!C6</f>
        <v>0.28125</v>
      </c>
      <c r="D15" s="430" t="str">
        <f>'[4]VCO-PLANEJAMENTOESTRATÉGICO'!D6</f>
        <v>SATISFATÓRIO</v>
      </c>
      <c r="E15" s="452">
        <f>'[4]VCO-PLANEJAMENTOESTRATÉGICO'!E6</f>
        <v>45</v>
      </c>
      <c r="F15" s="430">
        <f>'[4]VCO-PLANEJAMENTOESTRATÉGICO'!F6</f>
        <v>0.24324324324324326</v>
      </c>
      <c r="G15" s="430" t="str">
        <f>'[4]VCO-PLANEJAMENTOESTRATÉGICO'!G6</f>
        <v>SATISFATÓRIO</v>
      </c>
      <c r="H15"/>
      <c r="I15"/>
      <c r="J15" s="433" t="str">
        <f>'[4]VCO-PLANEJAMENTOESTRATÉGICO'!J6</f>
        <v>PARCIAL</v>
      </c>
      <c r="K15" s="59">
        <f>'[4]VCO-PLANEJAMENTOESTRATÉGICO'!K6</f>
        <v>14</v>
      </c>
      <c r="L15" s="440">
        <f>'[4]VCO-PLANEJAMENTOESTRATÉGICO'!L6</f>
        <v>7.2916666666666671E-2</v>
      </c>
      <c r="M15" s="430" t="str">
        <f>'[4]VCO-PLANEJAMENTOESTRATÉGICO'!M6</f>
        <v>SATISFATÓRIO</v>
      </c>
      <c r="N15" s="452">
        <f>'[4]VCO-PLANEJAMENTOESTRATÉGICO'!N6</f>
        <v>26</v>
      </c>
      <c r="O15" s="430">
        <f>'[4]VCO-PLANEJAMENTOESTRATÉGICO'!O6</f>
        <v>0.14054054054054055</v>
      </c>
      <c r="P15" s="430" t="str">
        <f>'[4]VCO-PLANEJAMENTOESTRATÉGICO'!P6</f>
        <v>SATISFATÓRIO</v>
      </c>
      <c r="Q15"/>
    </row>
    <row r="16" spans="1:17" x14ac:dyDescent="0.25">
      <c r="A16" s="433" t="str">
        <f>'[4]VCO-PLANEJAMENTOESTRATÉGICO'!A7</f>
        <v>NÃO</v>
      </c>
      <c r="B16" s="59">
        <f>'[4]VCO-PLANEJAMENTOESTRATÉGICO'!B7</f>
        <v>2</v>
      </c>
      <c r="C16" s="440">
        <f>'[4]VCO-PLANEJAMENTOESTRATÉGICO'!C7</f>
        <v>1.0416666666666666E-2</v>
      </c>
      <c r="D16" s="430" t="str">
        <f>'[4]VCO-PLANEJAMENTOESTRATÉGICO'!D7</f>
        <v>DESEJÁVEL</v>
      </c>
      <c r="E16" s="452">
        <f>'[4]VCO-PLANEJAMENTOESTRATÉGICO'!E7</f>
        <v>9</v>
      </c>
      <c r="F16" s="430">
        <f>'[4]VCO-PLANEJAMENTOESTRATÉGICO'!F7</f>
        <v>4.8648648648648651E-2</v>
      </c>
      <c r="G16" s="430" t="str">
        <f>'[4]VCO-PLANEJAMENTOESTRATÉGICO'!G7</f>
        <v>DESEJÁVEL</v>
      </c>
      <c r="H16"/>
      <c r="I16"/>
      <c r="J16" s="433" t="str">
        <f>'[4]VCO-PLANEJAMENTOESTRATÉGICO'!J7</f>
        <v>NÃO</v>
      </c>
      <c r="K16" s="59">
        <f>'[4]VCO-PLANEJAMENTOESTRATÉGICO'!K7</f>
        <v>10</v>
      </c>
      <c r="L16" s="440">
        <f>'[4]VCO-PLANEJAMENTOESTRATÉGICO'!L7</f>
        <v>5.2083333333333336E-2</v>
      </c>
      <c r="M16" s="430" t="str">
        <f>'[4]VCO-PLANEJAMENTOESTRATÉGICO'!M7</f>
        <v>DESEJÁVEL</v>
      </c>
      <c r="N16" s="452">
        <f>'[4]VCO-PLANEJAMENTOESTRATÉGICO'!N7</f>
        <v>15</v>
      </c>
      <c r="O16" s="430">
        <f>'[4]VCO-PLANEJAMENTOESTRATÉGICO'!O7</f>
        <v>8.1081081081081086E-2</v>
      </c>
      <c r="P16" s="430" t="str">
        <f>'[4]VCO-PLANEJAMENTOESTRATÉGICO'!P7</f>
        <v>SATISFATÓRIO</v>
      </c>
      <c r="Q16"/>
    </row>
    <row r="17" spans="1:17" x14ac:dyDescent="0.25">
      <c r="A17" s="82" t="str">
        <f>'[4]VCO-PLANEJAMENTOESTRATÉGICO'!A8</f>
        <v>TOTAL</v>
      </c>
      <c r="B17" s="422">
        <f>'[4]VCO-PLANEJAMENTOESTRATÉGICO'!B8</f>
        <v>192</v>
      </c>
      <c r="C17" s="436">
        <f>'[4]VCO-PLANEJAMENTOESTRATÉGICO'!C8</f>
        <v>1</v>
      </c>
      <c r="D17" s="439"/>
      <c r="E17" s="422">
        <f>'[4]VCO-PLANEJAMENTOESTRATÉGICO'!E8</f>
        <v>185</v>
      </c>
      <c r="F17" s="436">
        <f>'[4]VCO-PLANEJAMENTOESTRATÉGICO'!F8</f>
        <v>1</v>
      </c>
      <c r="G17" s="439"/>
      <c r="H17"/>
      <c r="I17"/>
      <c r="J17" s="82" t="str">
        <f>'[4]VCO-PLANEJAMENTOESTRATÉGICO'!J8</f>
        <v>TOTAL</v>
      </c>
      <c r="K17" s="422">
        <f>'[4]VCO-PLANEJAMENTOESTRATÉGICO'!K8</f>
        <v>192</v>
      </c>
      <c r="L17" s="436">
        <f>'[4]VCO-PLANEJAMENTOESTRATÉGICO'!L8</f>
        <v>1</v>
      </c>
      <c r="M17" s="439"/>
      <c r="N17" s="422">
        <f>'[4]VCO-PLANEJAMENTOESTRATÉGICO'!N8</f>
        <v>185</v>
      </c>
      <c r="O17" s="436">
        <f>'[4]VCO-PLANEJAMENTOESTRATÉGICO'!O8</f>
        <v>1</v>
      </c>
      <c r="P17" s="439"/>
      <c r="Q17"/>
    </row>
    <row r="18" spans="1:17" x14ac:dyDescent="0.25">
      <c r="A18"/>
      <c r="B18"/>
      <c r="C18"/>
      <c r="D18"/>
      <c r="E18"/>
      <c r="F18"/>
      <c r="G18"/>
      <c r="H18"/>
      <c r="I18"/>
      <c r="J18"/>
      <c r="K18"/>
      <c r="L18"/>
      <c r="M18"/>
      <c r="N18"/>
      <c r="O18"/>
      <c r="P18"/>
      <c r="Q18"/>
    </row>
    <row r="19" spans="1:17" x14ac:dyDescent="0.25">
      <c r="A19"/>
      <c r="B19"/>
      <c r="C19"/>
      <c r="D19"/>
      <c r="E19"/>
      <c r="F19"/>
      <c r="G19"/>
      <c r="H19"/>
      <c r="I19"/>
      <c r="J19"/>
      <c r="K19"/>
      <c r="L19"/>
      <c r="M19"/>
      <c r="N19"/>
      <c r="O19"/>
      <c r="P19"/>
      <c r="Q19"/>
    </row>
    <row r="20" spans="1:17" x14ac:dyDescent="0.25">
      <c r="A20"/>
      <c r="B20"/>
      <c r="C20"/>
      <c r="D20"/>
      <c r="E20"/>
      <c r="F20"/>
      <c r="G20"/>
      <c r="H20"/>
      <c r="I20"/>
      <c r="J20"/>
      <c r="K20"/>
      <c r="L20"/>
      <c r="M20"/>
      <c r="N20"/>
      <c r="O20"/>
      <c r="P20"/>
      <c r="Q20"/>
    </row>
    <row r="21" spans="1:17" x14ac:dyDescent="0.25">
      <c r="A21"/>
      <c r="B21"/>
      <c r="C21"/>
      <c r="D21"/>
      <c r="E21"/>
      <c r="F21"/>
      <c r="G21"/>
      <c r="H21"/>
      <c r="I21"/>
      <c r="J21"/>
      <c r="K21"/>
      <c r="L21"/>
      <c r="M21"/>
      <c r="N21"/>
      <c r="O21"/>
      <c r="P21"/>
      <c r="Q21"/>
    </row>
    <row r="22" spans="1:17" x14ac:dyDescent="0.25">
      <c r="A22"/>
      <c r="B22"/>
      <c r="C22"/>
      <c r="D22"/>
      <c r="E22"/>
      <c r="F22"/>
      <c r="G22"/>
      <c r="H22"/>
      <c r="I22"/>
      <c r="J22"/>
      <c r="K22"/>
      <c r="L22"/>
      <c r="M22"/>
      <c r="N22"/>
      <c r="O22"/>
      <c r="P22"/>
      <c r="Q22"/>
    </row>
    <row r="23" spans="1:17" x14ac:dyDescent="0.25">
      <c r="A23"/>
      <c r="B23"/>
      <c r="C23"/>
      <c r="D23"/>
      <c r="E23"/>
      <c r="F23"/>
      <c r="G23"/>
      <c r="H23"/>
      <c r="I23"/>
      <c r="J23"/>
      <c r="K23"/>
      <c r="L23"/>
      <c r="M23"/>
      <c r="N23"/>
      <c r="O23"/>
      <c r="P23"/>
      <c r="Q23"/>
    </row>
    <row r="24" spans="1:17" x14ac:dyDescent="0.25">
      <c r="A24"/>
      <c r="B24"/>
      <c r="C24"/>
      <c r="D24"/>
      <c r="E24"/>
      <c r="F24"/>
      <c r="G24"/>
      <c r="H24"/>
      <c r="I24"/>
      <c r="J24"/>
      <c r="K24"/>
      <c r="L24"/>
      <c r="M24"/>
      <c r="N24"/>
      <c r="O24"/>
      <c r="P24"/>
      <c r="Q24"/>
    </row>
    <row r="25" spans="1:17" x14ac:dyDescent="0.25">
      <c r="A25"/>
      <c r="B25"/>
      <c r="C25"/>
      <c r="D25"/>
      <c r="E25"/>
      <c r="F25"/>
      <c r="G25"/>
      <c r="H25"/>
      <c r="I25"/>
      <c r="J25"/>
      <c r="K25"/>
      <c r="L25"/>
      <c r="M25"/>
      <c r="N25"/>
      <c r="O25"/>
      <c r="P25"/>
      <c r="Q25"/>
    </row>
    <row r="26" spans="1:17" x14ac:dyDescent="0.25">
      <c r="A26"/>
      <c r="B26"/>
      <c r="C26"/>
      <c r="D26"/>
      <c r="E26"/>
      <c r="F26"/>
      <c r="G26"/>
      <c r="H26"/>
      <c r="I26"/>
      <c r="J26"/>
      <c r="K26"/>
      <c r="L26"/>
      <c r="M26"/>
      <c r="N26"/>
      <c r="O26"/>
      <c r="P26"/>
      <c r="Q26"/>
    </row>
    <row r="27" spans="1:17" x14ac:dyDescent="0.25">
      <c r="A27"/>
      <c r="B27"/>
      <c r="C27"/>
      <c r="D27"/>
      <c r="E27"/>
      <c r="F27"/>
      <c r="G27"/>
      <c r="H27"/>
      <c r="I27"/>
      <c r="J27"/>
      <c r="K27"/>
      <c r="L27"/>
      <c r="M27"/>
      <c r="N27"/>
      <c r="O27"/>
      <c r="P27"/>
      <c r="Q27"/>
    </row>
    <row r="28" spans="1:17" x14ac:dyDescent="0.25">
      <c r="A28"/>
      <c r="B28"/>
      <c r="C28"/>
      <c r="D28"/>
      <c r="E28"/>
      <c r="F28"/>
      <c r="G28"/>
      <c r="H28"/>
      <c r="I28"/>
      <c r="J28"/>
      <c r="K28"/>
      <c r="L28"/>
      <c r="M28"/>
      <c r="N28"/>
      <c r="O28"/>
      <c r="P28"/>
      <c r="Q28"/>
    </row>
    <row r="29" spans="1:17" x14ac:dyDescent="0.25">
      <c r="A29"/>
      <c r="B29"/>
      <c r="C29"/>
      <c r="D29"/>
      <c r="E29"/>
      <c r="F29"/>
      <c r="G29"/>
      <c r="H29"/>
      <c r="I29"/>
      <c r="J29"/>
      <c r="K29"/>
      <c r="L29"/>
      <c r="M29"/>
      <c r="N29"/>
      <c r="O29"/>
      <c r="P29"/>
      <c r="Q29"/>
    </row>
    <row r="30" spans="1:17" x14ac:dyDescent="0.25">
      <c r="A30"/>
      <c r="B30"/>
      <c r="C30"/>
      <c r="D30"/>
      <c r="E30"/>
      <c r="F30"/>
      <c r="G30"/>
      <c r="H30"/>
      <c r="I30"/>
      <c r="J30"/>
      <c r="K30"/>
      <c r="L30"/>
      <c r="M30"/>
      <c r="N30"/>
      <c r="O30"/>
      <c r="P30"/>
      <c r="Q30"/>
    </row>
    <row r="31" spans="1:17" x14ac:dyDescent="0.25">
      <c r="A31"/>
      <c r="B31"/>
      <c r="C31"/>
      <c r="D31"/>
      <c r="E31"/>
      <c r="F31"/>
      <c r="G31"/>
      <c r="H31"/>
      <c r="I31"/>
      <c r="J31"/>
      <c r="K31"/>
      <c r="L31"/>
      <c r="M31"/>
      <c r="N31"/>
      <c r="O31"/>
      <c r="P31"/>
      <c r="Q31"/>
    </row>
    <row r="32" spans="1:17" x14ac:dyDescent="0.25">
      <c r="A32"/>
      <c r="B32"/>
      <c r="C32"/>
      <c r="D32"/>
      <c r="E32"/>
      <c r="F32"/>
      <c r="G32"/>
      <c r="H32"/>
      <c r="I32"/>
      <c r="J32"/>
      <c r="K32"/>
      <c r="L32"/>
      <c r="M32"/>
      <c r="N32"/>
      <c r="O32"/>
      <c r="P32"/>
      <c r="Q32"/>
    </row>
    <row r="33" spans="1:17" x14ac:dyDescent="0.25">
      <c r="A33"/>
      <c r="B33"/>
      <c r="C33"/>
      <c r="D33"/>
      <c r="E33"/>
      <c r="F33"/>
      <c r="G33"/>
      <c r="H33"/>
      <c r="I33"/>
      <c r="J33"/>
      <c r="K33"/>
      <c r="L33"/>
      <c r="M33"/>
      <c r="N33"/>
      <c r="O33"/>
      <c r="P33"/>
      <c r="Q33"/>
    </row>
    <row r="34" spans="1:17" x14ac:dyDescent="0.25">
      <c r="A34"/>
      <c r="B34"/>
      <c r="C34"/>
      <c r="D34"/>
      <c r="E34"/>
      <c r="F34"/>
      <c r="G34"/>
      <c r="H34"/>
      <c r="I34"/>
      <c r="J34"/>
      <c r="K34"/>
      <c r="L34"/>
      <c r="M34"/>
      <c r="N34"/>
      <c r="O34"/>
      <c r="P34"/>
      <c r="Q34"/>
    </row>
    <row r="35" spans="1:17" x14ac:dyDescent="0.25">
      <c r="A35"/>
      <c r="B35"/>
      <c r="C35"/>
      <c r="D35"/>
      <c r="E35"/>
      <c r="F35"/>
      <c r="G35"/>
      <c r="H35"/>
      <c r="I35"/>
      <c r="J35"/>
      <c r="K35"/>
      <c r="L35"/>
      <c r="M35"/>
      <c r="N35"/>
      <c r="O35"/>
      <c r="P35"/>
      <c r="Q35"/>
    </row>
    <row r="36" spans="1:17" x14ac:dyDescent="0.25">
      <c r="A36"/>
      <c r="B36"/>
      <c r="C36"/>
      <c r="D36"/>
      <c r="E36"/>
      <c r="F36"/>
      <c r="G36"/>
      <c r="H36"/>
      <c r="I36"/>
      <c r="J36"/>
      <c r="K36"/>
      <c r="L36"/>
      <c r="M36"/>
      <c r="N36"/>
      <c r="O36"/>
      <c r="P36"/>
      <c r="Q36"/>
    </row>
    <row r="37" spans="1:17" x14ac:dyDescent="0.25">
      <c r="A37"/>
      <c r="B37"/>
      <c r="C37"/>
      <c r="D37"/>
      <c r="E37"/>
      <c r="F37"/>
      <c r="G37"/>
      <c r="H37"/>
      <c r="I37"/>
      <c r="J37"/>
      <c r="K37"/>
      <c r="L37"/>
      <c r="M37"/>
      <c r="N37"/>
      <c r="O37"/>
      <c r="P37"/>
      <c r="Q37"/>
    </row>
    <row r="38" spans="1:17" x14ac:dyDescent="0.25">
      <c r="A38"/>
      <c r="B38"/>
      <c r="C38"/>
      <c r="D38"/>
      <c r="E38"/>
      <c r="F38"/>
      <c r="G38"/>
      <c r="H38"/>
      <c r="I38"/>
      <c r="J38"/>
      <c r="K38"/>
      <c r="L38"/>
      <c r="M38"/>
      <c r="N38"/>
      <c r="O38"/>
      <c r="P38"/>
      <c r="Q38"/>
    </row>
    <row r="39" spans="1:17" x14ac:dyDescent="0.25">
      <c r="A39"/>
      <c r="B39"/>
      <c r="C39"/>
      <c r="D39"/>
      <c r="E39"/>
      <c r="F39"/>
      <c r="G39"/>
      <c r="H39"/>
      <c r="I39"/>
      <c r="J39"/>
      <c r="K39"/>
      <c r="L39"/>
      <c r="M39"/>
      <c r="N39"/>
      <c r="O39"/>
      <c r="P39"/>
      <c r="Q39"/>
    </row>
    <row r="40" spans="1:17" x14ac:dyDescent="0.25">
      <c r="A40"/>
      <c r="B40"/>
      <c r="C40"/>
      <c r="D40"/>
      <c r="E40"/>
      <c r="F40"/>
      <c r="G40"/>
      <c r="H40"/>
      <c r="I40"/>
      <c r="J40"/>
      <c r="K40"/>
      <c r="L40"/>
      <c r="M40"/>
      <c r="N40"/>
      <c r="O40"/>
      <c r="P40"/>
      <c r="Q40"/>
    </row>
    <row r="41" spans="1:17" x14ac:dyDescent="0.25">
      <c r="A41"/>
      <c r="B41"/>
      <c r="C41"/>
      <c r="D41"/>
      <c r="E41"/>
      <c r="F41"/>
      <c r="G41"/>
      <c r="H41"/>
      <c r="I41"/>
      <c r="J41"/>
      <c r="K41"/>
      <c r="L41"/>
      <c r="M41"/>
      <c r="N41"/>
      <c r="O41"/>
      <c r="P41"/>
      <c r="Q41"/>
    </row>
    <row r="42" spans="1:17" x14ac:dyDescent="0.25">
      <c r="A42"/>
      <c r="B42"/>
      <c r="C42"/>
      <c r="D42"/>
      <c r="E42"/>
      <c r="F42"/>
      <c r="G42"/>
      <c r="H42"/>
      <c r="I42"/>
      <c r="J42"/>
      <c r="K42"/>
      <c r="L42"/>
      <c r="M42"/>
      <c r="N42"/>
      <c r="O42"/>
      <c r="P42"/>
      <c r="Q42"/>
    </row>
    <row r="43" spans="1:17" x14ac:dyDescent="0.25">
      <c r="A43"/>
      <c r="B43"/>
      <c r="C43"/>
      <c r="D43"/>
      <c r="E43"/>
      <c r="F43"/>
      <c r="G43"/>
      <c r="H43"/>
      <c r="I43"/>
      <c r="J43"/>
      <c r="K43"/>
      <c r="L43"/>
      <c r="M43"/>
      <c r="N43"/>
      <c r="O43"/>
      <c r="P43"/>
      <c r="Q43"/>
    </row>
    <row r="44" spans="1:17" x14ac:dyDescent="0.25">
      <c r="A44"/>
      <c r="B44"/>
      <c r="C44"/>
      <c r="D44"/>
      <c r="E44"/>
      <c r="F44"/>
      <c r="G44"/>
      <c r="H44"/>
      <c r="I44"/>
      <c r="J44"/>
      <c r="K44"/>
      <c r="L44"/>
      <c r="M44"/>
      <c r="N44"/>
      <c r="O44"/>
      <c r="P44"/>
      <c r="Q44"/>
    </row>
    <row r="45" spans="1:17" x14ac:dyDescent="0.25">
      <c r="A45"/>
      <c r="B45"/>
      <c r="C45"/>
      <c r="D45"/>
      <c r="E45"/>
      <c r="F45"/>
      <c r="G45"/>
      <c r="H45"/>
      <c r="I45"/>
      <c r="J45"/>
      <c r="K45"/>
      <c r="L45"/>
      <c r="M45"/>
      <c r="N45"/>
      <c r="O45"/>
      <c r="P45"/>
      <c r="Q45"/>
    </row>
    <row r="46" spans="1:17" x14ac:dyDescent="0.25">
      <c r="A46"/>
      <c r="B46"/>
      <c r="C46"/>
      <c r="D46"/>
      <c r="E46"/>
      <c r="F46"/>
      <c r="G46"/>
      <c r="H46"/>
      <c r="I46"/>
      <c r="J46"/>
      <c r="K46"/>
      <c r="L46"/>
      <c r="M46"/>
      <c r="N46"/>
      <c r="O46"/>
      <c r="P46"/>
      <c r="Q46"/>
    </row>
    <row r="47" spans="1:17" x14ac:dyDescent="0.25">
      <c r="A47"/>
      <c r="B47"/>
      <c r="C47"/>
      <c r="D47"/>
      <c r="E47"/>
      <c r="F47"/>
      <c r="G47"/>
      <c r="H47"/>
      <c r="I47"/>
      <c r="J47"/>
      <c r="K47"/>
      <c r="L47"/>
      <c r="M47"/>
      <c r="N47"/>
      <c r="O47"/>
      <c r="P47"/>
      <c r="Q47"/>
    </row>
    <row r="48" spans="1:17" x14ac:dyDescent="0.25">
      <c r="A48"/>
      <c r="B48"/>
      <c r="C48"/>
      <c r="D48"/>
      <c r="E48"/>
      <c r="F48"/>
      <c r="G48"/>
      <c r="H48"/>
      <c r="I48"/>
      <c r="J48"/>
      <c r="K48"/>
      <c r="L48"/>
      <c r="M48"/>
      <c r="N48"/>
      <c r="O48"/>
      <c r="P48"/>
      <c r="Q48"/>
    </row>
    <row r="49" spans="1:17" x14ac:dyDescent="0.25">
      <c r="A49"/>
      <c r="B49"/>
      <c r="C49"/>
      <c r="D49"/>
      <c r="E49"/>
      <c r="F49"/>
      <c r="G49"/>
      <c r="H49"/>
      <c r="I49"/>
      <c r="J49"/>
      <c r="K49"/>
      <c r="L49"/>
      <c r="M49"/>
      <c r="N49"/>
      <c r="O49"/>
      <c r="P49"/>
      <c r="Q49"/>
    </row>
    <row r="50" spans="1:17" x14ac:dyDescent="0.25">
      <c r="A50"/>
      <c r="B50"/>
      <c r="C50"/>
      <c r="D50"/>
      <c r="E50"/>
      <c r="F50"/>
      <c r="G50"/>
      <c r="H50"/>
      <c r="I50"/>
      <c r="J50"/>
      <c r="K50"/>
      <c r="L50"/>
      <c r="M50"/>
      <c r="N50"/>
      <c r="O50"/>
      <c r="P50"/>
      <c r="Q50"/>
    </row>
  </sheetData>
  <mergeCells count="6">
    <mergeCell ref="N12:P12"/>
    <mergeCell ref="A12:A13"/>
    <mergeCell ref="B12:D12"/>
    <mergeCell ref="E12:G12"/>
    <mergeCell ref="J12:J13"/>
    <mergeCell ref="K12:M12"/>
  </mergeCells>
  <conditionalFormatting sqref="D14">
    <cfRule type="containsText" dxfId="271" priority="17" operator="containsText" text="CRÍTICO">
      <formula>NOT(ISERROR(SEARCH("CRÍTICO",D14)))</formula>
    </cfRule>
    <cfRule type="containsText" dxfId="270" priority="18" operator="containsText" text="INSATISFATÓRIO">
      <formula>NOT(ISERROR(SEARCH("INSATISFATÓRIO",D14)))</formula>
    </cfRule>
    <cfRule type="containsText" dxfId="269" priority="19" operator="containsText" text="DESEJÁVEL">
      <formula>NOT(ISERROR(SEARCH("DESEJÁVEL",D14)))</formula>
    </cfRule>
    <cfRule type="containsText" dxfId="268" priority="20" operator="containsText" text="SATISFATÓRIO">
      <formula>NOT(ISERROR(SEARCH("SATISFATÓRIO",D14)))</formula>
    </cfRule>
  </conditionalFormatting>
  <conditionalFormatting sqref="D15:D16">
    <cfRule type="containsText" dxfId="267" priority="13" operator="containsText" text="CRÍTICO">
      <formula>NOT(ISERROR(SEARCH("CRÍTICO",D15)))</formula>
    </cfRule>
    <cfRule type="containsText" dxfId="266" priority="14" operator="containsText" text="INSATISFATÓRIO">
      <formula>NOT(ISERROR(SEARCH("INSATISFATÓRIO",D15)))</formula>
    </cfRule>
    <cfRule type="containsText" dxfId="265" priority="15" operator="containsText" text="DESEJÁVEL">
      <formula>NOT(ISERROR(SEARCH("DESEJÁVEL",D15)))</formula>
    </cfRule>
    <cfRule type="containsText" dxfId="264" priority="16" operator="containsText" text="SATISFATÓRIO">
      <formula>NOT(ISERROR(SEARCH("SATISFATÓRIO",D15)))</formula>
    </cfRule>
  </conditionalFormatting>
  <conditionalFormatting sqref="G14:G16">
    <cfRule type="containsText" dxfId="263" priority="9" operator="containsText" text="CRÍTICO">
      <formula>NOT(ISERROR(SEARCH("CRÍTICO",G14)))</formula>
    </cfRule>
    <cfRule type="containsText" dxfId="262" priority="10" operator="containsText" text="INSATISFATÓRIO">
      <formula>NOT(ISERROR(SEARCH("INSATISFATÓRIO",G14)))</formula>
    </cfRule>
    <cfRule type="containsText" dxfId="261" priority="11" operator="containsText" text="DESEJÁVEL">
      <formula>NOT(ISERROR(SEARCH("DESEJÁVEL",G14)))</formula>
    </cfRule>
    <cfRule type="containsText" dxfId="260" priority="12" operator="containsText" text="SATISFATÓRIO">
      <formula>NOT(ISERROR(SEARCH("SATISFATÓRIO",G14)))</formula>
    </cfRule>
  </conditionalFormatting>
  <conditionalFormatting sqref="M14:M16">
    <cfRule type="containsText" dxfId="259" priority="5" operator="containsText" text="CRÍTICO">
      <formula>NOT(ISERROR(SEARCH("CRÍTICO",M14)))</formula>
    </cfRule>
    <cfRule type="containsText" dxfId="258" priority="6" operator="containsText" text="INSATISFATÓRIO">
      <formula>NOT(ISERROR(SEARCH("INSATISFATÓRIO",M14)))</formula>
    </cfRule>
    <cfRule type="containsText" dxfId="257" priority="7" operator="containsText" text="DESEJÁVEL">
      <formula>NOT(ISERROR(SEARCH("DESEJÁVEL",M14)))</formula>
    </cfRule>
    <cfRule type="containsText" dxfId="256" priority="8" operator="containsText" text="SATISFATÓRIO">
      <formula>NOT(ISERROR(SEARCH("SATISFATÓRIO",M14)))</formula>
    </cfRule>
  </conditionalFormatting>
  <conditionalFormatting sqref="P14:P16">
    <cfRule type="containsText" dxfId="255" priority="1" operator="containsText" text="CRÍTICO">
      <formula>NOT(ISERROR(SEARCH("CRÍTICO",P14)))</formula>
    </cfRule>
    <cfRule type="containsText" dxfId="254" priority="2" operator="containsText" text="INSATISFATÓRIO">
      <formula>NOT(ISERROR(SEARCH("INSATISFATÓRIO",P14)))</formula>
    </cfRule>
    <cfRule type="containsText" dxfId="253" priority="3" operator="containsText" text="DESEJÁVEL">
      <formula>NOT(ISERROR(SEARCH("DESEJÁVEL",P14)))</formula>
    </cfRule>
    <cfRule type="containsText" dxfId="252" priority="4" operator="containsText" text="SATISFATÓRIO">
      <formula>NOT(ISERROR(SEARCH("SATISFATÓRIO",P14)))</formula>
    </cfRule>
  </conditionalFormatting>
  <pageMargins left="0.511811024" right="0.511811024" top="0.78740157499999996" bottom="0.78740157499999996" header="0.31496062000000002" footer="0.31496062000000002"/>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3"/>
  <dimension ref="A10:Q89"/>
  <sheetViews>
    <sheetView showGridLines="0" workbookViewId="0">
      <selection activeCell="A11" sqref="A11"/>
    </sheetView>
  </sheetViews>
  <sheetFormatPr defaultRowHeight="15" x14ac:dyDescent="0.25"/>
  <cols>
    <col min="1" max="1" width="36.28515625" style="1" customWidth="1"/>
    <col min="2" max="3" width="13.7109375" style="1" customWidth="1"/>
    <col min="4" max="4" width="15.7109375" style="1" customWidth="1"/>
    <col min="5" max="6" width="13.7109375" style="1" customWidth="1"/>
    <col min="7" max="7" width="15.7109375" style="1" customWidth="1"/>
    <col min="8" max="9" width="9.140625" style="1"/>
    <col min="10" max="10" width="36.28515625" style="1" customWidth="1"/>
    <col min="11" max="12" width="13.7109375" style="1" customWidth="1"/>
    <col min="13" max="13" width="15.7109375" style="1" customWidth="1"/>
    <col min="14" max="15" width="13.7109375" style="1" customWidth="1"/>
    <col min="16" max="16" width="15.7109375" style="1" customWidth="1"/>
    <col min="17" max="16384" width="9.140625" style="1"/>
  </cols>
  <sheetData>
    <row r="10" spans="1:17" x14ac:dyDescent="0.25">
      <c r="A10" s="425"/>
      <c r="B10" s="425"/>
      <c r="C10" s="425"/>
      <c r="D10" s="425"/>
      <c r="E10" s="425"/>
      <c r="F10" s="425"/>
      <c r="G10" s="425"/>
      <c r="H10" s="425"/>
      <c r="I10" s="425"/>
      <c r="J10" s="425"/>
      <c r="K10" s="425"/>
      <c r="L10" s="425"/>
      <c r="M10" s="425"/>
      <c r="N10" s="425"/>
      <c r="O10" s="425"/>
      <c r="P10" s="425"/>
      <c r="Q10" s="425"/>
    </row>
    <row r="11" spans="1:17" x14ac:dyDescent="0.25">
      <c r="A11" s="425"/>
      <c r="B11" s="425"/>
      <c r="C11" s="425"/>
      <c r="D11" s="425"/>
      <c r="E11" s="425"/>
      <c r="F11" s="425"/>
      <c r="G11" s="425"/>
      <c r="H11" s="425"/>
      <c r="I11" s="425"/>
      <c r="J11" s="425"/>
      <c r="K11" s="425"/>
      <c r="L11" s="425"/>
      <c r="M11" s="425"/>
      <c r="N11" s="425"/>
      <c r="O11" s="425"/>
      <c r="P11" s="425"/>
      <c r="Q11" s="425"/>
    </row>
    <row r="12" spans="1:17" x14ac:dyDescent="0.25">
      <c r="A12" s="700" t="str">
        <f>'[4]VCO-MOTIVAÇAO'!A3</f>
        <v>SOU VALORIZADO PROFISSIONALMENTE</v>
      </c>
      <c r="B12" s="702">
        <f>'[4]VCO-MOTIVAÇAO'!B3</f>
        <v>2020</v>
      </c>
      <c r="C12" s="702"/>
      <c r="D12" s="702"/>
      <c r="E12" s="702">
        <f>'[4]VCO-MOTIVAÇAO'!E3</f>
        <v>2017</v>
      </c>
      <c r="F12" s="702"/>
      <c r="G12" s="702"/>
      <c r="H12"/>
      <c r="I12"/>
      <c r="J12" s="700" t="str">
        <f>'[4]VCO-MOTIVAÇAO'!J3</f>
        <v>TENHO OPORTUNIDADE DE DESENVOLVIMENTO NO SERVIÇO</v>
      </c>
      <c r="K12" s="706">
        <f>'[4]VCO-MOTIVAÇAO'!K3</f>
        <v>2020</v>
      </c>
      <c r="L12" s="707"/>
      <c r="M12" s="708"/>
      <c r="N12" s="702">
        <f>'[4]VCO-MOTIVAÇAO'!N3</f>
        <v>2017</v>
      </c>
      <c r="O12" s="702"/>
      <c r="P12" s="702"/>
      <c r="Q12" s="425"/>
    </row>
    <row r="13" spans="1:17" ht="25.5" customHeight="1" x14ac:dyDescent="0.25">
      <c r="A13" s="700"/>
      <c r="B13" s="426" t="str">
        <f>'[4]VCO-MOTIVAÇAO'!B4</f>
        <v>TOTAL</v>
      </c>
      <c r="C13" s="426" t="str">
        <f>'[4]VCO-MOTIVAÇAO'!C4</f>
        <v>%</v>
      </c>
      <c r="D13" s="426" t="str">
        <f>'[4]VCO-MOTIVAÇAO'!D4</f>
        <v>RESULTADO</v>
      </c>
      <c r="E13" s="426" t="str">
        <f>'[4]VCO-MOTIVAÇAO'!E4</f>
        <v>TOTAL</v>
      </c>
      <c r="F13" s="426" t="str">
        <f>'[4]VCO-MOTIVAÇAO'!F4</f>
        <v>%</v>
      </c>
      <c r="G13" s="426" t="str">
        <f>'[4]VCO-MOTIVAÇAO'!G4</f>
        <v>RESULTADO</v>
      </c>
      <c r="H13"/>
      <c r="I13"/>
      <c r="J13" s="700"/>
      <c r="K13" s="426" t="str">
        <f>'[4]VCO-MOTIVAÇAO'!K4</f>
        <v>TOTAL</v>
      </c>
      <c r="L13" s="426" t="str">
        <f>'[4]VCO-MOTIVAÇAO'!L4</f>
        <v>%</v>
      </c>
      <c r="M13" s="426" t="str">
        <f>'[4]VCO-MOTIVAÇAO'!M4</f>
        <v>RESULTADO</v>
      </c>
      <c r="N13" s="426" t="str">
        <f>'[4]VCO-MOTIVAÇAO'!N4</f>
        <v>TOTAL</v>
      </c>
      <c r="O13" s="426" t="str">
        <f>'[4]VCO-MOTIVAÇAO'!O4</f>
        <v>%</v>
      </c>
      <c r="P13" s="426" t="str">
        <f>'[4]VCO-MOTIVAÇAO'!P4</f>
        <v>RESULTADO</v>
      </c>
      <c r="Q13" s="425"/>
    </row>
    <row r="14" spans="1:17" x14ac:dyDescent="0.25">
      <c r="A14" s="428" t="str">
        <f>'[4]VCO-MOTIVAÇAO'!A5</f>
        <v>SIM</v>
      </c>
      <c r="B14" s="59">
        <f>'[4]VCO-MOTIVAÇAO'!B5</f>
        <v>133</v>
      </c>
      <c r="C14" s="440">
        <f>'[4]VCO-MOTIVAÇAO'!C5</f>
        <v>0.69270833333333337</v>
      </c>
      <c r="D14" s="430" t="str">
        <f>'[4]VCO-MOTIVAÇAO'!D5</f>
        <v>SATISFATÓRIO</v>
      </c>
      <c r="E14" s="452">
        <f>'[4]VCO-MOTIVAÇAO'!E5</f>
        <v>68</v>
      </c>
      <c r="F14" s="430">
        <f>'[4]VCO-MOTIVAÇAO'!F5</f>
        <v>0.36956521739130432</v>
      </c>
      <c r="G14" s="430" t="str">
        <f>'[4]VCO-MOTIVAÇAO'!G5</f>
        <v>INSATISFATÓRIO</v>
      </c>
      <c r="H14"/>
      <c r="I14"/>
      <c r="J14" s="428" t="str">
        <f>'[4]VCO-MOTIVAÇAO'!J5</f>
        <v>SIM</v>
      </c>
      <c r="K14" s="59">
        <f>'[4]VCO-MOTIVAÇAO'!K5</f>
        <v>127</v>
      </c>
      <c r="L14" s="440">
        <f>'[4]VCO-MOTIVAÇAO'!L5</f>
        <v>0.66145833333333337</v>
      </c>
      <c r="M14" s="430" t="str">
        <f>'[4]VCO-MOTIVAÇAO'!M5</f>
        <v>SATISFATÓRIO</v>
      </c>
      <c r="N14" s="452">
        <f>'[4]VCO-MOTIVAÇAO'!N5</f>
        <v>74</v>
      </c>
      <c r="O14" s="430">
        <f>'[4]VCO-MOTIVAÇAO'!O5</f>
        <v>0.40217391304347827</v>
      </c>
      <c r="P14" s="430" t="str">
        <f>'[4]VCO-MOTIVAÇAO'!P5</f>
        <v>INSATISFATÓRIO</v>
      </c>
      <c r="Q14" s="425"/>
    </row>
    <row r="15" spans="1:17" x14ac:dyDescent="0.25">
      <c r="A15" s="433" t="str">
        <f>'[4]VCO-MOTIVAÇAO'!A6</f>
        <v>PARCIAL</v>
      </c>
      <c r="B15" s="59">
        <f>'[4]VCO-MOTIVAÇAO'!B6</f>
        <v>49</v>
      </c>
      <c r="C15" s="440">
        <f>'[4]VCO-MOTIVAÇAO'!C6</f>
        <v>0.25520833333333331</v>
      </c>
      <c r="D15" s="430" t="str">
        <f>'[4]VCO-MOTIVAÇAO'!D6</f>
        <v>SATISFATÓRIO</v>
      </c>
      <c r="E15" s="452">
        <f>'[4]VCO-MOTIVAÇAO'!E6</f>
        <v>81</v>
      </c>
      <c r="F15" s="430">
        <f>'[4]VCO-MOTIVAÇAO'!F6</f>
        <v>0.44021739130434784</v>
      </c>
      <c r="G15" s="430" t="str">
        <f>'[4]VCO-MOTIVAÇAO'!G6</f>
        <v>SATISFATÓRIO</v>
      </c>
      <c r="H15"/>
      <c r="I15"/>
      <c r="J15" s="433" t="str">
        <f>'[4]VCO-MOTIVAÇAO'!J6</f>
        <v>PARCIAL</v>
      </c>
      <c r="K15" s="59">
        <f>'[4]VCO-MOTIVAÇAO'!K6</f>
        <v>51</v>
      </c>
      <c r="L15" s="440">
        <f>'[4]VCO-MOTIVAÇAO'!L6</f>
        <v>0.265625</v>
      </c>
      <c r="M15" s="430" t="str">
        <f>'[4]VCO-MOTIVAÇAO'!M6</f>
        <v>SATISFATÓRIO</v>
      </c>
      <c r="N15" s="452">
        <f>'[4]VCO-MOTIVAÇAO'!N6</f>
        <v>70</v>
      </c>
      <c r="O15" s="430">
        <f>'[4]VCO-MOTIVAÇAO'!O6</f>
        <v>0.38043478260869568</v>
      </c>
      <c r="P15" s="430" t="str">
        <f>'[4]VCO-MOTIVAÇAO'!P6</f>
        <v>SATISFATÓRIO</v>
      </c>
      <c r="Q15" s="425"/>
    </row>
    <row r="16" spans="1:17" x14ac:dyDescent="0.25">
      <c r="A16" s="433" t="str">
        <f>'[4]VCO-MOTIVAÇAO'!A7</f>
        <v>NÃO</v>
      </c>
      <c r="B16" s="59">
        <f>'[4]VCO-MOTIVAÇAO'!B7</f>
        <v>10</v>
      </c>
      <c r="C16" s="440">
        <f>'[4]VCO-MOTIVAÇAO'!C7</f>
        <v>5.2083333333333336E-2</v>
      </c>
      <c r="D16" s="430" t="str">
        <f>'[4]VCO-MOTIVAÇAO'!D7</f>
        <v>DESEJÁVEL</v>
      </c>
      <c r="E16" s="452">
        <f>'[4]VCO-MOTIVAÇAO'!E7</f>
        <v>35</v>
      </c>
      <c r="F16" s="430">
        <f>'[4]VCO-MOTIVAÇAO'!F7</f>
        <v>0.19021739130434784</v>
      </c>
      <c r="G16" s="430" t="str">
        <f>'[4]VCO-MOTIVAÇAO'!G7</f>
        <v>INSATISFATÓRIO</v>
      </c>
      <c r="H16"/>
      <c r="I16"/>
      <c r="J16" s="433" t="str">
        <f>'[4]VCO-MOTIVAÇAO'!J7</f>
        <v>NÃO</v>
      </c>
      <c r="K16" s="59">
        <f>'[4]VCO-MOTIVAÇAO'!K7</f>
        <v>14</v>
      </c>
      <c r="L16" s="440">
        <f>'[4]VCO-MOTIVAÇAO'!L7</f>
        <v>7.2916666666666671E-2</v>
      </c>
      <c r="M16" s="430" t="str">
        <f>'[4]VCO-MOTIVAÇAO'!M7</f>
        <v>SATISFATÓRIO</v>
      </c>
      <c r="N16" s="452">
        <f>'[4]VCO-MOTIVAÇAO'!N7</f>
        <v>40</v>
      </c>
      <c r="O16" s="430">
        <f>'[4]VCO-MOTIVAÇAO'!O7</f>
        <v>0.21739130434782608</v>
      </c>
      <c r="P16" s="430" t="str">
        <f>'[4]VCO-MOTIVAÇAO'!P7</f>
        <v>INSATISFATÓRIO</v>
      </c>
      <c r="Q16" s="425"/>
    </row>
    <row r="17" spans="1:17" x14ac:dyDescent="0.25">
      <c r="A17" s="82" t="str">
        <f>'[4]VCO-MOTIVAÇAO'!A8</f>
        <v>TOTAL</v>
      </c>
      <c r="B17" s="422">
        <f>'[4]VCO-MOTIVAÇAO'!B8</f>
        <v>192</v>
      </c>
      <c r="C17" s="436">
        <f>'[4]VCO-MOTIVAÇAO'!C8</f>
        <v>1</v>
      </c>
      <c r="D17" s="439"/>
      <c r="E17" s="422">
        <f>'[4]VCO-MOTIVAÇAO'!E8</f>
        <v>184</v>
      </c>
      <c r="F17" s="436">
        <f>'[4]VCO-MOTIVAÇAO'!F8</f>
        <v>1</v>
      </c>
      <c r="G17" s="439"/>
      <c r="H17"/>
      <c r="I17"/>
      <c r="J17" s="82" t="str">
        <f>'[4]VCO-MOTIVAÇAO'!J8</f>
        <v>TOTAL</v>
      </c>
      <c r="K17" s="422">
        <f>'[4]VCO-MOTIVAÇAO'!K8</f>
        <v>192</v>
      </c>
      <c r="L17" s="436">
        <f>'[4]VCO-MOTIVAÇAO'!L8</f>
        <v>1</v>
      </c>
      <c r="M17" s="439"/>
      <c r="N17" s="422">
        <f>'[4]VCO-MOTIVAÇAO'!N8</f>
        <v>184</v>
      </c>
      <c r="O17" s="436">
        <f>'[4]VCO-MOTIVAÇAO'!O8</f>
        <v>1</v>
      </c>
      <c r="P17" s="439"/>
      <c r="Q17" s="425"/>
    </row>
    <row r="18" spans="1:17" x14ac:dyDescent="0.25">
      <c r="A18"/>
      <c r="B18"/>
      <c r="C18"/>
      <c r="D18"/>
      <c r="E18"/>
      <c r="F18"/>
      <c r="G18"/>
      <c r="H18"/>
      <c r="I18"/>
      <c r="J18"/>
      <c r="K18"/>
      <c r="L18"/>
      <c r="M18"/>
      <c r="N18"/>
      <c r="O18"/>
      <c r="P18"/>
      <c r="Q18" s="425"/>
    </row>
    <row r="19" spans="1:17" x14ac:dyDescent="0.25">
      <c r="A19"/>
      <c r="B19"/>
      <c r="C19"/>
      <c r="D19"/>
      <c r="E19"/>
      <c r="F19"/>
      <c r="G19"/>
      <c r="H19"/>
      <c r="I19"/>
      <c r="J19"/>
      <c r="K19"/>
      <c r="L19"/>
      <c r="M19"/>
      <c r="N19"/>
      <c r="O19"/>
      <c r="P19"/>
      <c r="Q19" s="425"/>
    </row>
    <row r="20" spans="1:17" x14ac:dyDescent="0.25">
      <c r="A20"/>
      <c r="B20"/>
      <c r="C20"/>
      <c r="D20"/>
      <c r="E20"/>
      <c r="F20"/>
      <c r="G20"/>
      <c r="H20"/>
      <c r="I20"/>
      <c r="J20"/>
      <c r="K20"/>
      <c r="L20"/>
      <c r="M20"/>
      <c r="N20"/>
      <c r="O20"/>
      <c r="P20"/>
      <c r="Q20" s="425"/>
    </row>
    <row r="21" spans="1:17" x14ac:dyDescent="0.25">
      <c r="A21"/>
      <c r="B21"/>
      <c r="C21"/>
      <c r="D21"/>
      <c r="E21"/>
      <c r="F21"/>
      <c r="G21"/>
      <c r="H21"/>
      <c r="I21"/>
      <c r="J21"/>
      <c r="K21"/>
      <c r="L21"/>
      <c r="M21"/>
      <c r="N21"/>
      <c r="O21"/>
      <c r="P21"/>
      <c r="Q21" s="425"/>
    </row>
    <row r="22" spans="1:17" x14ac:dyDescent="0.25">
      <c r="A22"/>
      <c r="B22"/>
      <c r="C22"/>
      <c r="D22"/>
      <c r="E22"/>
      <c r="F22"/>
      <c r="G22"/>
      <c r="H22"/>
      <c r="I22"/>
      <c r="J22"/>
      <c r="K22"/>
      <c r="L22"/>
      <c r="M22"/>
      <c r="N22"/>
      <c r="O22"/>
      <c r="P22"/>
      <c r="Q22" s="425"/>
    </row>
    <row r="23" spans="1:17" x14ac:dyDescent="0.25">
      <c r="A23"/>
      <c r="B23"/>
      <c r="C23"/>
      <c r="D23"/>
      <c r="E23"/>
      <c r="F23"/>
      <c r="G23"/>
      <c r="H23"/>
      <c r="I23"/>
      <c r="J23"/>
      <c r="K23"/>
      <c r="L23"/>
      <c r="M23"/>
      <c r="N23"/>
      <c r="O23"/>
      <c r="P23"/>
      <c r="Q23" s="425"/>
    </row>
    <row r="24" spans="1:17" x14ac:dyDescent="0.25">
      <c r="A24"/>
      <c r="B24"/>
      <c r="C24"/>
      <c r="D24"/>
      <c r="E24"/>
      <c r="F24"/>
      <c r="G24"/>
      <c r="H24"/>
      <c r="I24"/>
      <c r="J24"/>
      <c r="K24"/>
      <c r="L24"/>
      <c r="M24"/>
      <c r="N24"/>
      <c r="O24"/>
      <c r="P24"/>
      <c r="Q24" s="425"/>
    </row>
    <row r="25" spans="1:17" x14ac:dyDescent="0.25">
      <c r="A25"/>
      <c r="B25"/>
      <c r="C25"/>
      <c r="D25"/>
      <c r="E25"/>
      <c r="F25"/>
      <c r="G25"/>
      <c r="H25"/>
      <c r="I25"/>
      <c r="J25"/>
      <c r="K25"/>
      <c r="L25"/>
      <c r="M25"/>
      <c r="N25"/>
      <c r="O25"/>
      <c r="P25"/>
      <c r="Q25" s="425"/>
    </row>
    <row r="26" spans="1:17" x14ac:dyDescent="0.25">
      <c r="A26"/>
      <c r="B26"/>
      <c r="C26"/>
      <c r="D26"/>
      <c r="E26"/>
      <c r="F26"/>
      <c r="G26"/>
      <c r="H26"/>
      <c r="I26"/>
      <c r="J26"/>
      <c r="K26"/>
      <c r="L26"/>
      <c r="M26"/>
      <c r="N26"/>
      <c r="O26"/>
      <c r="P26"/>
      <c r="Q26" s="425"/>
    </row>
    <row r="27" spans="1:17" x14ac:dyDescent="0.25">
      <c r="A27"/>
      <c r="B27"/>
      <c r="C27"/>
      <c r="D27"/>
      <c r="E27"/>
      <c r="F27"/>
      <c r="G27"/>
      <c r="H27"/>
      <c r="I27"/>
      <c r="J27"/>
      <c r="K27"/>
      <c r="L27"/>
      <c r="M27"/>
      <c r="N27"/>
      <c r="O27"/>
      <c r="P27"/>
      <c r="Q27" s="425"/>
    </row>
    <row r="28" spans="1:17" x14ac:dyDescent="0.25">
      <c r="A28"/>
      <c r="B28"/>
      <c r="C28"/>
      <c r="D28"/>
      <c r="E28"/>
      <c r="F28"/>
      <c r="G28"/>
      <c r="H28"/>
      <c r="I28"/>
      <c r="J28"/>
      <c r="K28"/>
      <c r="L28"/>
      <c r="M28"/>
      <c r="N28"/>
      <c r="O28"/>
      <c r="P28"/>
      <c r="Q28" s="425"/>
    </row>
    <row r="29" spans="1:17" x14ac:dyDescent="0.25">
      <c r="A29"/>
      <c r="B29"/>
      <c r="C29"/>
      <c r="D29"/>
      <c r="E29"/>
      <c r="F29"/>
      <c r="G29"/>
      <c r="H29"/>
      <c r="I29"/>
      <c r="J29"/>
      <c r="K29"/>
      <c r="L29"/>
      <c r="M29"/>
      <c r="N29"/>
      <c r="O29"/>
      <c r="P29"/>
      <c r="Q29" s="425"/>
    </row>
    <row r="30" spans="1:17" x14ac:dyDescent="0.25">
      <c r="A30"/>
      <c r="B30"/>
      <c r="C30"/>
      <c r="D30"/>
      <c r="E30"/>
      <c r="F30"/>
      <c r="G30"/>
      <c r="H30"/>
      <c r="I30"/>
      <c r="J30"/>
      <c r="K30"/>
      <c r="L30"/>
      <c r="M30"/>
      <c r="N30"/>
      <c r="O30"/>
      <c r="P30"/>
      <c r="Q30" s="425"/>
    </row>
    <row r="31" spans="1:17" x14ac:dyDescent="0.25">
      <c r="A31"/>
      <c r="B31"/>
      <c r="C31"/>
      <c r="D31"/>
      <c r="E31"/>
      <c r="F31"/>
      <c r="G31"/>
      <c r="H31"/>
      <c r="I31"/>
      <c r="J31"/>
      <c r="K31"/>
      <c r="L31"/>
      <c r="M31"/>
      <c r="N31"/>
      <c r="O31"/>
      <c r="P31"/>
      <c r="Q31" s="425"/>
    </row>
    <row r="32" spans="1:17" x14ac:dyDescent="0.25">
      <c r="A32"/>
      <c r="B32"/>
      <c r="C32"/>
      <c r="D32"/>
      <c r="E32"/>
      <c r="F32"/>
      <c r="G32"/>
      <c r="H32"/>
      <c r="I32"/>
      <c r="J32"/>
      <c r="K32"/>
      <c r="L32"/>
      <c r="M32"/>
      <c r="N32"/>
      <c r="O32"/>
      <c r="P32"/>
      <c r="Q32" s="425"/>
    </row>
    <row r="33" spans="1:17" x14ac:dyDescent="0.25">
      <c r="A33"/>
      <c r="B33"/>
      <c r="C33"/>
      <c r="D33"/>
      <c r="E33"/>
      <c r="F33"/>
      <c r="G33"/>
      <c r="H33"/>
      <c r="I33"/>
      <c r="J33"/>
      <c r="K33"/>
      <c r="L33"/>
      <c r="M33"/>
      <c r="N33"/>
      <c r="O33"/>
      <c r="P33"/>
      <c r="Q33" s="425"/>
    </row>
    <row r="34" spans="1:17" x14ac:dyDescent="0.25">
      <c r="A34"/>
      <c r="B34"/>
      <c r="C34"/>
      <c r="D34"/>
      <c r="E34"/>
      <c r="F34"/>
      <c r="G34"/>
      <c r="H34"/>
      <c r="I34"/>
      <c r="J34"/>
      <c r="K34"/>
      <c r="L34"/>
      <c r="M34"/>
      <c r="N34"/>
      <c r="O34"/>
      <c r="P34"/>
      <c r="Q34" s="425"/>
    </row>
    <row r="35" spans="1:17" x14ac:dyDescent="0.25">
      <c r="A35"/>
      <c r="B35"/>
      <c r="C35"/>
      <c r="D35"/>
      <c r="E35"/>
      <c r="F35"/>
      <c r="G35"/>
      <c r="H35"/>
      <c r="I35"/>
      <c r="J35"/>
      <c r="K35"/>
      <c r="L35"/>
      <c r="M35"/>
      <c r="N35"/>
      <c r="O35"/>
      <c r="P35"/>
      <c r="Q35" s="425"/>
    </row>
    <row r="36" spans="1:17" x14ac:dyDescent="0.25">
      <c r="A36"/>
      <c r="B36"/>
      <c r="C36"/>
      <c r="D36"/>
      <c r="E36"/>
      <c r="F36"/>
      <c r="G36"/>
      <c r="H36"/>
      <c r="I36"/>
      <c r="J36"/>
      <c r="K36"/>
      <c r="L36"/>
      <c r="M36"/>
      <c r="N36"/>
      <c r="O36"/>
      <c r="P36"/>
      <c r="Q36" s="425"/>
    </row>
    <row r="37" spans="1:17" x14ac:dyDescent="0.25">
      <c r="A37"/>
      <c r="B37"/>
      <c r="C37"/>
      <c r="D37"/>
      <c r="E37"/>
      <c r="F37"/>
      <c r="G37"/>
      <c r="H37"/>
      <c r="I37"/>
      <c r="J37"/>
      <c r="K37"/>
      <c r="L37"/>
      <c r="M37"/>
      <c r="N37"/>
      <c r="O37"/>
      <c r="P37"/>
      <c r="Q37" s="425"/>
    </row>
    <row r="38" spans="1:17" x14ac:dyDescent="0.25">
      <c r="A38"/>
      <c r="B38"/>
      <c r="C38"/>
      <c r="D38"/>
      <c r="E38"/>
      <c r="F38"/>
      <c r="G38"/>
      <c r="H38"/>
      <c r="I38"/>
      <c r="J38"/>
      <c r="K38"/>
      <c r="L38"/>
      <c r="M38"/>
      <c r="N38"/>
      <c r="O38"/>
      <c r="P38"/>
      <c r="Q38" s="425"/>
    </row>
    <row r="39" spans="1:17" x14ac:dyDescent="0.25">
      <c r="A39"/>
      <c r="B39"/>
      <c r="C39"/>
      <c r="D39"/>
      <c r="E39"/>
      <c r="F39"/>
      <c r="G39"/>
      <c r="H39"/>
      <c r="I39"/>
      <c r="J39"/>
      <c r="K39"/>
      <c r="L39"/>
      <c r="M39"/>
      <c r="N39"/>
      <c r="O39"/>
      <c r="P39"/>
      <c r="Q39" s="425"/>
    </row>
    <row r="40" spans="1:17" x14ac:dyDescent="0.25">
      <c r="A40"/>
      <c r="B40"/>
      <c r="C40"/>
      <c r="D40"/>
      <c r="E40"/>
      <c r="F40"/>
      <c r="G40"/>
      <c r="H40"/>
      <c r="I40"/>
      <c r="J40"/>
      <c r="K40"/>
      <c r="L40"/>
      <c r="M40"/>
      <c r="N40"/>
      <c r="O40"/>
      <c r="P40"/>
      <c r="Q40" s="425"/>
    </row>
    <row r="41" spans="1:17" x14ac:dyDescent="0.25">
      <c r="A41"/>
      <c r="B41"/>
      <c r="C41"/>
      <c r="D41"/>
      <c r="E41"/>
      <c r="F41"/>
      <c r="G41"/>
      <c r="H41"/>
      <c r="I41"/>
      <c r="J41"/>
      <c r="K41"/>
      <c r="L41"/>
      <c r="M41"/>
      <c r="N41"/>
      <c r="O41"/>
      <c r="P41"/>
      <c r="Q41" s="425"/>
    </row>
    <row r="42" spans="1:17" x14ac:dyDescent="0.25">
      <c r="A42"/>
      <c r="B42"/>
      <c r="C42"/>
      <c r="D42"/>
      <c r="E42"/>
      <c r="F42"/>
      <c r="G42"/>
      <c r="H42"/>
      <c r="I42"/>
      <c r="J42"/>
      <c r="K42"/>
      <c r="L42"/>
      <c r="M42"/>
      <c r="N42"/>
      <c r="O42"/>
      <c r="P42"/>
      <c r="Q42" s="425"/>
    </row>
    <row r="43" spans="1:17" x14ac:dyDescent="0.25">
      <c r="A43"/>
      <c r="B43"/>
      <c r="C43"/>
      <c r="D43"/>
      <c r="E43"/>
      <c r="F43"/>
      <c r="G43"/>
      <c r="H43"/>
      <c r="I43"/>
      <c r="J43"/>
      <c r="K43"/>
      <c r="L43"/>
      <c r="M43"/>
      <c r="N43"/>
      <c r="O43"/>
      <c r="P43"/>
      <c r="Q43" s="425"/>
    </row>
    <row r="44" spans="1:17" x14ac:dyDescent="0.25">
      <c r="A44"/>
      <c r="B44"/>
      <c r="C44"/>
      <c r="D44"/>
      <c r="E44"/>
      <c r="F44"/>
      <c r="G44"/>
      <c r="H44"/>
      <c r="I44"/>
      <c r="J44"/>
      <c r="K44"/>
      <c r="L44"/>
      <c r="M44"/>
      <c r="N44"/>
      <c r="O44"/>
      <c r="P44"/>
      <c r="Q44" s="425"/>
    </row>
    <row r="45" spans="1:17" x14ac:dyDescent="0.25">
      <c r="A45"/>
      <c r="B45"/>
      <c r="C45"/>
      <c r="D45"/>
      <c r="E45"/>
      <c r="F45"/>
      <c r="G45"/>
      <c r="H45"/>
      <c r="I45"/>
      <c r="J45"/>
      <c r="K45"/>
      <c r="L45"/>
      <c r="M45"/>
      <c r="N45"/>
      <c r="O45"/>
      <c r="P45"/>
      <c r="Q45" s="425"/>
    </row>
    <row r="46" spans="1:17" x14ac:dyDescent="0.25">
      <c r="A46"/>
      <c r="B46"/>
      <c r="C46"/>
      <c r="D46"/>
      <c r="E46"/>
      <c r="F46"/>
      <c r="G46"/>
      <c r="H46"/>
      <c r="I46"/>
      <c r="J46"/>
      <c r="K46"/>
      <c r="L46"/>
      <c r="M46"/>
      <c r="N46"/>
      <c r="O46"/>
      <c r="P46"/>
      <c r="Q46" s="425"/>
    </row>
    <row r="47" spans="1:17" x14ac:dyDescent="0.25">
      <c r="A47"/>
      <c r="B47"/>
      <c r="C47"/>
      <c r="D47"/>
      <c r="E47"/>
      <c r="F47"/>
      <c r="G47"/>
      <c r="H47"/>
      <c r="I47"/>
      <c r="J47"/>
      <c r="K47"/>
      <c r="L47"/>
      <c r="M47"/>
      <c r="N47"/>
      <c r="O47"/>
      <c r="P47"/>
      <c r="Q47" s="425"/>
    </row>
    <row r="48" spans="1:17" x14ac:dyDescent="0.25">
      <c r="A48"/>
      <c r="B48"/>
      <c r="C48"/>
      <c r="D48"/>
      <c r="E48"/>
      <c r="F48"/>
      <c r="G48"/>
      <c r="H48"/>
      <c r="I48"/>
      <c r="J48"/>
      <c r="K48"/>
      <c r="L48"/>
      <c r="M48"/>
      <c r="N48"/>
      <c r="O48"/>
      <c r="P48"/>
      <c r="Q48" s="425"/>
    </row>
    <row r="49" spans="1:17" x14ac:dyDescent="0.25">
      <c r="A49"/>
      <c r="B49"/>
      <c r="C49"/>
      <c r="D49"/>
      <c r="E49"/>
      <c r="F49"/>
      <c r="G49"/>
      <c r="H49"/>
      <c r="I49"/>
      <c r="J49"/>
      <c r="K49"/>
      <c r="L49"/>
      <c r="M49"/>
      <c r="N49"/>
      <c r="O49"/>
      <c r="P49"/>
      <c r="Q49" s="425"/>
    </row>
    <row r="50" spans="1:17" x14ac:dyDescent="0.25">
      <c r="A50"/>
      <c r="B50"/>
      <c r="C50"/>
      <c r="D50"/>
      <c r="E50"/>
      <c r="F50"/>
      <c r="G50"/>
      <c r="H50"/>
      <c r="I50"/>
      <c r="J50"/>
      <c r="K50"/>
      <c r="L50"/>
      <c r="M50"/>
      <c r="N50"/>
      <c r="O50"/>
      <c r="P50"/>
      <c r="Q50" s="425"/>
    </row>
    <row r="51" spans="1:17" x14ac:dyDescent="0.25">
      <c r="A51" s="700" t="str">
        <f>'[4]VCO-MOTIVAÇAO'!A42</f>
        <v>O MME INVESTE NO MEU CRESCIMENTO PROFISSIONAL?</v>
      </c>
      <c r="B51" s="702">
        <f>'[4]VCO-MOTIVAÇAO'!B42</f>
        <v>2020</v>
      </c>
      <c r="C51" s="702"/>
      <c r="D51" s="702"/>
      <c r="E51" s="702">
        <f>'[4]VCO-MOTIVAÇAO'!E42</f>
        <v>2017</v>
      </c>
      <c r="F51" s="702"/>
      <c r="G51" s="702"/>
      <c r="H51"/>
      <c r="I51"/>
      <c r="J51" s="700" t="str">
        <f>'[4]VCO-MOTIVAÇAO'!J42</f>
        <v>SINTO ORGULHO DE SER SERVIDOR/EMPREGADO DO MME?</v>
      </c>
      <c r="K51" s="702">
        <f>'[4]VCO-MOTIVAÇAO'!K42</f>
        <v>2020</v>
      </c>
      <c r="L51" s="702"/>
      <c r="M51" s="702"/>
      <c r="N51" s="702">
        <f>'[4]VCO-MOTIVAÇAO'!N42</f>
        <v>2017</v>
      </c>
      <c r="O51" s="702"/>
      <c r="P51" s="702"/>
      <c r="Q51" s="425"/>
    </row>
    <row r="52" spans="1:17" x14ac:dyDescent="0.25">
      <c r="A52" s="700"/>
      <c r="B52" s="426" t="str">
        <f>'[4]VCO-MOTIVAÇAO'!B43</f>
        <v>TOTAL</v>
      </c>
      <c r="C52" s="426" t="str">
        <f>'[4]VCO-MOTIVAÇAO'!C43</f>
        <v>%</v>
      </c>
      <c r="D52" s="426" t="str">
        <f>'[4]VCO-MOTIVAÇAO'!D43</f>
        <v>RESULTADO</v>
      </c>
      <c r="E52" s="426" t="str">
        <f>'[4]VCO-MOTIVAÇAO'!E43</f>
        <v>TOTAL</v>
      </c>
      <c r="F52" s="426" t="str">
        <f>'[4]VCO-MOTIVAÇAO'!F43</f>
        <v>%</v>
      </c>
      <c r="G52" s="426" t="str">
        <f>'[4]VCO-MOTIVAÇAO'!G43</f>
        <v>RESULTADO</v>
      </c>
      <c r="H52"/>
      <c r="I52"/>
      <c r="J52" s="700"/>
      <c r="K52" s="426" t="str">
        <f>'[4]VCO-MOTIVAÇAO'!K43</f>
        <v>TOTAL</v>
      </c>
      <c r="L52" s="426" t="str">
        <f>'[4]VCO-MOTIVAÇAO'!L43</f>
        <v>%</v>
      </c>
      <c r="M52" s="426" t="str">
        <f>'[4]VCO-MOTIVAÇAO'!M43</f>
        <v>RESULTADO</v>
      </c>
      <c r="N52" s="426" t="str">
        <f>'[4]VCO-MOTIVAÇAO'!N43</f>
        <v>TOTAL</v>
      </c>
      <c r="O52" s="426" t="str">
        <f>'[4]VCO-MOTIVAÇAO'!O43</f>
        <v>%</v>
      </c>
      <c r="P52" s="426" t="str">
        <f>'[4]VCO-MOTIVAÇAO'!P43</f>
        <v>RESULTADO</v>
      </c>
      <c r="Q52" s="425"/>
    </row>
    <row r="53" spans="1:17" x14ac:dyDescent="0.25">
      <c r="A53" s="428" t="str">
        <f>'[4]VCO-MOTIVAÇAO'!A44</f>
        <v>SIM</v>
      </c>
      <c r="B53" s="59">
        <f>'[4]VCO-MOTIVAÇAO'!B44</f>
        <v>93</v>
      </c>
      <c r="C53" s="440">
        <f>'[4]VCO-MOTIVAÇAO'!C44</f>
        <v>0.484375</v>
      </c>
      <c r="D53" s="430" t="str">
        <f>'[4]VCO-MOTIVAÇAO'!D44</f>
        <v>INSATISFATÓRIO</v>
      </c>
      <c r="E53" s="452">
        <f>'[4]VCO-MOTIVAÇAO'!E44</f>
        <v>46</v>
      </c>
      <c r="F53" s="430">
        <f>'[4]VCO-MOTIVAÇAO'!F44</f>
        <v>0.2541436464088398</v>
      </c>
      <c r="G53" s="430" t="str">
        <f>'[4]VCO-MOTIVAÇAO'!G44</f>
        <v>INSATISFATÓRIO</v>
      </c>
      <c r="H53"/>
      <c r="I53"/>
      <c r="J53" s="428" t="str">
        <f>'[4]VCO-MOTIVAÇAO'!J44</f>
        <v>SIM</v>
      </c>
      <c r="K53" s="59">
        <f>'[4]VCO-MOTIVAÇAO'!K44</f>
        <v>161</v>
      </c>
      <c r="L53" s="440">
        <f>'[4]VCO-MOTIVAÇAO'!L44</f>
        <v>0.83854166666666663</v>
      </c>
      <c r="M53" s="430" t="str">
        <f>'[4]VCO-MOTIVAÇAO'!M44</f>
        <v>DESEJÁVEL</v>
      </c>
      <c r="N53" s="452">
        <f>'[4]VCO-MOTIVAÇAO'!N44</f>
        <v>114</v>
      </c>
      <c r="O53" s="430">
        <f>'[4]VCO-MOTIVAÇAO'!O44</f>
        <v>0.6333333333333333</v>
      </c>
      <c r="P53" s="430" t="str">
        <f>'[4]VCO-MOTIVAÇAO'!P44</f>
        <v>SATISFATÓRIO</v>
      </c>
      <c r="Q53" s="425"/>
    </row>
    <row r="54" spans="1:17" x14ac:dyDescent="0.25">
      <c r="A54" s="433" t="str">
        <f>'[4]VCO-MOTIVAÇAO'!A45</f>
        <v>PARCIAL</v>
      </c>
      <c r="B54" s="59">
        <f>'[4]VCO-MOTIVAÇAO'!B45</f>
        <v>75</v>
      </c>
      <c r="C54" s="440">
        <f>'[4]VCO-MOTIVAÇAO'!C45</f>
        <v>0.390625</v>
      </c>
      <c r="D54" s="430" t="str">
        <f>'[4]VCO-MOTIVAÇAO'!D45</f>
        <v>SATISFATÓRIO</v>
      </c>
      <c r="E54" s="452">
        <f>'[4]VCO-MOTIVAÇAO'!E45</f>
        <v>85</v>
      </c>
      <c r="F54" s="430">
        <f>'[4]VCO-MOTIVAÇAO'!F45</f>
        <v>0.46961325966850831</v>
      </c>
      <c r="G54" s="430" t="str">
        <f>'[4]VCO-MOTIVAÇAO'!G45</f>
        <v>SATISFATÓRIO</v>
      </c>
      <c r="H54"/>
      <c r="I54"/>
      <c r="J54" s="433" t="str">
        <f>'[4]VCO-MOTIVAÇAO'!J45</f>
        <v>PARCIAL</v>
      </c>
      <c r="K54" s="59">
        <f>'[4]VCO-MOTIVAÇAO'!K45</f>
        <v>26</v>
      </c>
      <c r="L54" s="440">
        <f>'[4]VCO-MOTIVAÇAO'!L45</f>
        <v>0.13541666666666666</v>
      </c>
      <c r="M54" s="430" t="str">
        <f>'[4]VCO-MOTIVAÇAO'!M45</f>
        <v>SATISFATÓRIO</v>
      </c>
      <c r="N54" s="452">
        <f>'[4]VCO-MOTIVAÇAO'!N45</f>
        <v>46</v>
      </c>
      <c r="O54" s="430">
        <f>'[4]VCO-MOTIVAÇAO'!O45</f>
        <v>0.25555555555555554</v>
      </c>
      <c r="P54" s="430" t="str">
        <f>'[4]VCO-MOTIVAÇAO'!P45</f>
        <v>SATISFATÓRIO</v>
      </c>
      <c r="Q54" s="425"/>
    </row>
    <row r="55" spans="1:17" x14ac:dyDescent="0.25">
      <c r="A55" s="433" t="str">
        <f>'[4]VCO-MOTIVAÇAO'!A46</f>
        <v>NÃO</v>
      </c>
      <c r="B55" s="59">
        <f>'[4]VCO-MOTIVAÇAO'!B46</f>
        <v>24</v>
      </c>
      <c r="C55" s="440">
        <f>'[4]VCO-MOTIVAÇAO'!C46</f>
        <v>0.125</v>
      </c>
      <c r="D55" s="430" t="str">
        <f>'[4]VCO-MOTIVAÇAO'!D46</f>
        <v>INSATISFATÓRIO</v>
      </c>
      <c r="E55" s="452">
        <f>'[4]VCO-MOTIVAÇAO'!E46</f>
        <v>50</v>
      </c>
      <c r="F55" s="430">
        <f>'[4]VCO-MOTIVAÇAO'!F46</f>
        <v>0.27624309392265195</v>
      </c>
      <c r="G55" s="430" t="str">
        <f>'[4]VCO-MOTIVAÇAO'!G46</f>
        <v>INSATISFATÓRIO</v>
      </c>
      <c r="H55"/>
      <c r="I55"/>
      <c r="J55" s="433" t="str">
        <f>'[4]VCO-MOTIVAÇAO'!J46</f>
        <v>NÃO</v>
      </c>
      <c r="K55" s="59">
        <f>'[4]VCO-MOTIVAÇAO'!K46</f>
        <v>5</v>
      </c>
      <c r="L55" s="440">
        <f>'[4]VCO-MOTIVAÇAO'!L46</f>
        <v>2.6041666666666668E-2</v>
      </c>
      <c r="M55" s="430" t="str">
        <f>'[4]VCO-MOTIVAÇAO'!M46</f>
        <v>DESEJÁVEL</v>
      </c>
      <c r="N55" s="452">
        <f>'[4]VCO-MOTIVAÇAO'!N46</f>
        <v>20</v>
      </c>
      <c r="O55" s="430">
        <f>'[4]VCO-MOTIVAÇAO'!O46</f>
        <v>0.1111111111111111</v>
      </c>
      <c r="P55" s="430" t="str">
        <f>'[4]VCO-MOTIVAÇAO'!P46</f>
        <v>INSATISFATÓRIO</v>
      </c>
      <c r="Q55" s="425"/>
    </row>
    <row r="56" spans="1:17" x14ac:dyDescent="0.25">
      <c r="A56" s="82" t="str">
        <f>'[4]VCO-MOTIVAÇAO'!A47</f>
        <v>TOTAL</v>
      </c>
      <c r="B56" s="422">
        <f>'[4]VCO-MOTIVAÇAO'!B47</f>
        <v>192</v>
      </c>
      <c r="C56" s="436">
        <f>'[4]VCO-MOTIVAÇAO'!C47</f>
        <v>1</v>
      </c>
      <c r="D56" s="439"/>
      <c r="E56" s="422">
        <f>'[4]VCO-MOTIVAÇAO'!E47</f>
        <v>181</v>
      </c>
      <c r="F56" s="436">
        <f>'[4]VCO-MOTIVAÇAO'!F47</f>
        <v>1</v>
      </c>
      <c r="G56" s="439"/>
      <c r="H56"/>
      <c r="I56"/>
      <c r="J56" s="82" t="str">
        <f>'[4]VCO-MOTIVAÇAO'!J47</f>
        <v>TOTAL</v>
      </c>
      <c r="K56" s="422">
        <f>'[4]VCO-MOTIVAÇAO'!K47</f>
        <v>192</v>
      </c>
      <c r="L56" s="436">
        <f>'[4]VCO-MOTIVAÇAO'!L47</f>
        <v>0.99999999999999989</v>
      </c>
      <c r="M56" s="439"/>
      <c r="N56" s="422">
        <f>'[4]VCO-MOTIVAÇAO'!N47</f>
        <v>180</v>
      </c>
      <c r="O56" s="436">
        <f>'[4]VCO-MOTIVAÇAO'!O47</f>
        <v>1</v>
      </c>
      <c r="P56" s="439"/>
      <c r="Q56" s="425"/>
    </row>
    <row r="57" spans="1:17" x14ac:dyDescent="0.25">
      <c r="A57"/>
      <c r="B57"/>
      <c r="C57"/>
      <c r="D57"/>
      <c r="E57"/>
      <c r="F57"/>
      <c r="G57"/>
      <c r="H57"/>
      <c r="I57"/>
      <c r="J57"/>
      <c r="K57"/>
      <c r="L57"/>
      <c r="M57"/>
      <c r="N57"/>
      <c r="O57"/>
      <c r="P57"/>
      <c r="Q57" s="425"/>
    </row>
    <row r="58" spans="1:17" x14ac:dyDescent="0.25">
      <c r="A58"/>
      <c r="B58"/>
      <c r="C58"/>
      <c r="D58"/>
      <c r="E58"/>
      <c r="F58"/>
      <c r="G58"/>
      <c r="H58"/>
      <c r="I58"/>
      <c r="J58"/>
      <c r="K58"/>
      <c r="L58"/>
      <c r="M58"/>
      <c r="N58"/>
      <c r="O58"/>
      <c r="P58"/>
      <c r="Q58" s="425"/>
    </row>
    <row r="59" spans="1:17" x14ac:dyDescent="0.25">
      <c r="A59"/>
      <c r="B59"/>
      <c r="C59"/>
      <c r="D59"/>
      <c r="E59"/>
      <c r="F59"/>
      <c r="G59"/>
      <c r="H59"/>
      <c r="I59"/>
      <c r="J59"/>
      <c r="K59"/>
      <c r="L59"/>
      <c r="M59"/>
      <c r="N59"/>
      <c r="O59"/>
      <c r="P59"/>
      <c r="Q59" s="425"/>
    </row>
    <row r="60" spans="1:17" x14ac:dyDescent="0.25">
      <c r="A60"/>
      <c r="B60"/>
      <c r="C60"/>
      <c r="D60"/>
      <c r="E60"/>
      <c r="F60"/>
      <c r="G60"/>
      <c r="H60"/>
      <c r="I60"/>
      <c r="J60"/>
      <c r="K60"/>
      <c r="L60"/>
      <c r="M60"/>
      <c r="N60"/>
      <c r="O60"/>
      <c r="P60"/>
      <c r="Q60" s="425"/>
    </row>
    <row r="61" spans="1:17" x14ac:dyDescent="0.25">
      <c r="A61"/>
      <c r="B61"/>
      <c r="C61"/>
      <c r="D61"/>
      <c r="E61"/>
      <c r="F61"/>
      <c r="G61"/>
      <c r="H61"/>
      <c r="I61"/>
      <c r="J61"/>
      <c r="K61"/>
      <c r="L61"/>
      <c r="M61"/>
      <c r="N61"/>
      <c r="O61"/>
      <c r="P61"/>
      <c r="Q61" s="425"/>
    </row>
    <row r="62" spans="1:17" x14ac:dyDescent="0.25">
      <c r="A62"/>
      <c r="B62"/>
      <c r="C62"/>
      <c r="D62"/>
      <c r="E62"/>
      <c r="F62"/>
      <c r="G62"/>
      <c r="H62"/>
      <c r="I62"/>
      <c r="J62"/>
      <c r="K62"/>
      <c r="L62"/>
      <c r="M62"/>
      <c r="N62"/>
      <c r="O62"/>
      <c r="P62"/>
      <c r="Q62" s="425"/>
    </row>
    <row r="63" spans="1:17" x14ac:dyDescent="0.25">
      <c r="A63"/>
      <c r="B63"/>
      <c r="C63"/>
      <c r="D63"/>
      <c r="E63"/>
      <c r="F63"/>
      <c r="G63"/>
      <c r="H63"/>
      <c r="I63"/>
      <c r="J63"/>
      <c r="K63"/>
      <c r="L63"/>
      <c r="M63"/>
      <c r="N63"/>
      <c r="O63"/>
      <c r="P63"/>
      <c r="Q63" s="425"/>
    </row>
    <row r="64" spans="1:17" x14ac:dyDescent="0.25">
      <c r="A64"/>
      <c r="B64"/>
      <c r="C64"/>
      <c r="D64"/>
      <c r="E64"/>
      <c r="F64"/>
      <c r="G64"/>
      <c r="H64"/>
      <c r="I64"/>
      <c r="J64"/>
      <c r="K64"/>
      <c r="L64"/>
      <c r="M64"/>
      <c r="N64"/>
      <c r="O64"/>
      <c r="P64"/>
      <c r="Q64" s="425"/>
    </row>
    <row r="65" spans="1:17" x14ac:dyDescent="0.25">
      <c r="A65"/>
      <c r="B65"/>
      <c r="C65"/>
      <c r="D65"/>
      <c r="E65"/>
      <c r="F65"/>
      <c r="G65"/>
      <c r="H65"/>
      <c r="I65"/>
      <c r="J65"/>
      <c r="K65"/>
      <c r="L65"/>
      <c r="M65"/>
      <c r="N65"/>
      <c r="O65"/>
      <c r="P65"/>
      <c r="Q65" s="425"/>
    </row>
    <row r="66" spans="1:17" x14ac:dyDescent="0.25">
      <c r="A66"/>
      <c r="B66"/>
      <c r="C66"/>
      <c r="D66"/>
      <c r="E66"/>
      <c r="F66"/>
      <c r="G66"/>
      <c r="H66"/>
      <c r="I66"/>
      <c r="J66"/>
      <c r="K66"/>
      <c r="L66"/>
      <c r="M66"/>
      <c r="N66"/>
      <c r="O66"/>
      <c r="P66"/>
      <c r="Q66" s="425"/>
    </row>
    <row r="67" spans="1:17" x14ac:dyDescent="0.25">
      <c r="A67"/>
      <c r="B67"/>
      <c r="C67"/>
      <c r="D67"/>
      <c r="E67"/>
      <c r="F67"/>
      <c r="G67"/>
      <c r="H67"/>
      <c r="I67"/>
      <c r="J67"/>
      <c r="K67"/>
      <c r="L67"/>
      <c r="M67"/>
      <c r="N67"/>
      <c r="O67"/>
      <c r="P67"/>
      <c r="Q67" s="425"/>
    </row>
    <row r="68" spans="1:17" x14ac:dyDescent="0.25">
      <c r="A68"/>
      <c r="B68"/>
      <c r="C68"/>
      <c r="D68"/>
      <c r="E68"/>
      <c r="F68"/>
      <c r="G68"/>
      <c r="H68"/>
      <c r="I68"/>
      <c r="J68"/>
      <c r="K68"/>
      <c r="L68"/>
      <c r="M68"/>
      <c r="N68"/>
      <c r="O68"/>
      <c r="P68"/>
      <c r="Q68" s="425"/>
    </row>
    <row r="69" spans="1:17" x14ac:dyDescent="0.25">
      <c r="A69"/>
      <c r="B69"/>
      <c r="C69"/>
      <c r="D69"/>
      <c r="E69"/>
      <c r="F69"/>
      <c r="G69"/>
      <c r="H69"/>
      <c r="I69"/>
      <c r="J69"/>
      <c r="K69"/>
      <c r="L69"/>
      <c r="M69"/>
      <c r="N69"/>
      <c r="O69"/>
      <c r="P69"/>
      <c r="Q69" s="425"/>
    </row>
    <row r="70" spans="1:17" x14ac:dyDescent="0.25">
      <c r="A70"/>
      <c r="B70"/>
      <c r="C70"/>
      <c r="D70"/>
      <c r="E70"/>
      <c r="F70"/>
      <c r="G70"/>
      <c r="H70"/>
      <c r="I70"/>
      <c r="J70"/>
      <c r="K70"/>
      <c r="L70"/>
      <c r="M70"/>
      <c r="N70"/>
      <c r="O70"/>
      <c r="P70"/>
      <c r="Q70" s="425"/>
    </row>
    <row r="71" spans="1:17" x14ac:dyDescent="0.25">
      <c r="A71"/>
      <c r="B71"/>
      <c r="C71"/>
      <c r="D71"/>
      <c r="E71"/>
      <c r="F71"/>
      <c r="G71"/>
      <c r="H71"/>
      <c r="I71"/>
      <c r="J71"/>
      <c r="K71"/>
      <c r="L71"/>
      <c r="M71"/>
      <c r="N71"/>
      <c r="O71"/>
      <c r="P71"/>
      <c r="Q71" s="425"/>
    </row>
    <row r="72" spans="1:17" x14ac:dyDescent="0.25">
      <c r="A72"/>
      <c r="B72"/>
      <c r="C72"/>
      <c r="D72"/>
      <c r="E72"/>
      <c r="F72"/>
      <c r="G72"/>
      <c r="H72"/>
      <c r="I72"/>
      <c r="J72"/>
      <c r="K72"/>
      <c r="L72"/>
      <c r="M72"/>
      <c r="N72"/>
      <c r="O72"/>
      <c r="P72"/>
      <c r="Q72" s="425"/>
    </row>
    <row r="73" spans="1:17" x14ac:dyDescent="0.25">
      <c r="A73"/>
      <c r="B73"/>
      <c r="C73"/>
      <c r="D73"/>
      <c r="E73"/>
      <c r="F73"/>
      <c r="G73"/>
      <c r="H73"/>
      <c r="I73"/>
      <c r="J73"/>
      <c r="K73"/>
      <c r="L73"/>
      <c r="M73"/>
      <c r="N73"/>
      <c r="O73"/>
      <c r="P73"/>
      <c r="Q73" s="425"/>
    </row>
    <row r="74" spans="1:17" x14ac:dyDescent="0.25">
      <c r="A74"/>
      <c r="B74"/>
      <c r="C74"/>
      <c r="D74"/>
      <c r="E74"/>
      <c r="F74"/>
      <c r="G74"/>
      <c r="H74"/>
      <c r="I74"/>
      <c r="J74"/>
      <c r="K74"/>
      <c r="L74"/>
      <c r="M74"/>
      <c r="N74"/>
      <c r="O74"/>
      <c r="P74"/>
      <c r="Q74" s="425"/>
    </row>
    <row r="75" spans="1:17" x14ac:dyDescent="0.25">
      <c r="A75"/>
      <c r="B75"/>
      <c r="C75"/>
      <c r="D75"/>
      <c r="E75"/>
      <c r="F75"/>
      <c r="G75"/>
      <c r="H75"/>
      <c r="I75"/>
      <c r="J75"/>
      <c r="K75"/>
      <c r="L75"/>
      <c r="M75"/>
      <c r="N75"/>
      <c r="O75"/>
      <c r="P75"/>
      <c r="Q75" s="425"/>
    </row>
    <row r="76" spans="1:17" x14ac:dyDescent="0.25">
      <c r="A76"/>
      <c r="B76"/>
      <c r="C76"/>
      <c r="D76"/>
      <c r="E76"/>
      <c r="F76"/>
      <c r="G76"/>
      <c r="H76"/>
      <c r="I76"/>
      <c r="J76"/>
      <c r="K76"/>
      <c r="L76"/>
      <c r="M76"/>
      <c r="N76"/>
      <c r="O76"/>
      <c r="P76"/>
      <c r="Q76" s="425"/>
    </row>
    <row r="77" spans="1:17" x14ac:dyDescent="0.25">
      <c r="A77"/>
      <c r="B77"/>
      <c r="C77"/>
      <c r="D77"/>
      <c r="E77"/>
      <c r="F77"/>
      <c r="G77"/>
      <c r="H77"/>
      <c r="I77"/>
      <c r="J77"/>
      <c r="K77"/>
      <c r="L77"/>
      <c r="M77"/>
      <c r="N77"/>
      <c r="O77"/>
      <c r="P77"/>
      <c r="Q77" s="425"/>
    </row>
    <row r="78" spans="1:17" x14ac:dyDescent="0.25">
      <c r="A78"/>
      <c r="B78"/>
      <c r="C78"/>
      <c r="D78"/>
      <c r="E78"/>
      <c r="F78"/>
      <c r="G78"/>
      <c r="H78"/>
      <c r="I78"/>
      <c r="J78"/>
      <c r="K78"/>
      <c r="L78"/>
      <c r="M78"/>
      <c r="N78"/>
      <c r="O78"/>
      <c r="P78"/>
      <c r="Q78" s="425"/>
    </row>
    <row r="79" spans="1:17" x14ac:dyDescent="0.25">
      <c r="A79"/>
      <c r="B79"/>
      <c r="C79"/>
      <c r="D79"/>
      <c r="E79"/>
      <c r="F79"/>
      <c r="G79"/>
      <c r="H79"/>
      <c r="I79"/>
      <c r="J79"/>
      <c r="K79"/>
      <c r="L79"/>
      <c r="M79"/>
      <c r="N79"/>
      <c r="O79"/>
      <c r="P79"/>
      <c r="Q79" s="425"/>
    </row>
    <row r="80" spans="1:17" x14ac:dyDescent="0.25">
      <c r="A80"/>
      <c r="B80"/>
      <c r="C80"/>
      <c r="D80"/>
      <c r="E80"/>
      <c r="F80"/>
      <c r="G80"/>
      <c r="H80"/>
      <c r="I80"/>
      <c r="J80"/>
      <c r="K80"/>
      <c r="L80"/>
      <c r="M80"/>
      <c r="N80"/>
      <c r="O80"/>
      <c r="P80"/>
      <c r="Q80" s="425"/>
    </row>
    <row r="81" spans="1:17" x14ac:dyDescent="0.25">
      <c r="A81"/>
      <c r="B81"/>
      <c r="C81"/>
      <c r="D81"/>
      <c r="E81"/>
      <c r="F81"/>
      <c r="G81"/>
      <c r="H81"/>
      <c r="I81"/>
      <c r="J81"/>
      <c r="K81"/>
      <c r="L81"/>
      <c r="M81"/>
      <c r="N81"/>
      <c r="O81"/>
      <c r="P81"/>
      <c r="Q81" s="425"/>
    </row>
    <row r="82" spans="1:17" x14ac:dyDescent="0.25">
      <c r="A82"/>
      <c r="B82"/>
      <c r="C82"/>
      <c r="D82"/>
      <c r="E82"/>
      <c r="F82"/>
      <c r="G82"/>
      <c r="H82"/>
      <c r="I82"/>
      <c r="J82"/>
      <c r="K82"/>
      <c r="L82"/>
      <c r="M82"/>
      <c r="N82"/>
      <c r="O82"/>
      <c r="P82"/>
      <c r="Q82" s="425"/>
    </row>
    <row r="83" spans="1:17" x14ac:dyDescent="0.25">
      <c r="A83"/>
      <c r="B83"/>
      <c r="C83"/>
      <c r="D83"/>
      <c r="E83"/>
      <c r="F83"/>
      <c r="G83"/>
      <c r="H83"/>
      <c r="I83"/>
      <c r="J83"/>
      <c r="K83"/>
      <c r="L83"/>
      <c r="M83"/>
      <c r="N83"/>
      <c r="O83"/>
      <c r="P83"/>
      <c r="Q83" s="425"/>
    </row>
    <row r="84" spans="1:17" x14ac:dyDescent="0.25">
      <c r="A84"/>
      <c r="B84"/>
      <c r="C84"/>
      <c r="D84"/>
      <c r="E84"/>
      <c r="F84"/>
      <c r="G84"/>
      <c r="H84"/>
      <c r="I84"/>
      <c r="J84"/>
      <c r="K84"/>
      <c r="L84"/>
      <c r="M84"/>
      <c r="N84"/>
      <c r="O84"/>
      <c r="P84"/>
      <c r="Q84" s="425"/>
    </row>
    <row r="85" spans="1:17" x14ac:dyDescent="0.25">
      <c r="A85"/>
      <c r="B85"/>
      <c r="C85"/>
      <c r="D85"/>
      <c r="E85"/>
      <c r="F85"/>
      <c r="G85"/>
      <c r="H85"/>
      <c r="I85"/>
      <c r="J85"/>
      <c r="K85"/>
      <c r="L85"/>
      <c r="M85"/>
      <c r="N85"/>
      <c r="O85"/>
      <c r="P85"/>
      <c r="Q85" s="425"/>
    </row>
    <row r="86" spans="1:17" x14ac:dyDescent="0.25">
      <c r="A86"/>
      <c r="B86"/>
      <c r="C86"/>
      <c r="D86"/>
      <c r="E86"/>
      <c r="F86"/>
      <c r="G86"/>
      <c r="H86"/>
      <c r="I86"/>
      <c r="J86"/>
      <c r="K86"/>
      <c r="L86"/>
      <c r="M86"/>
      <c r="N86"/>
      <c r="O86"/>
      <c r="P86"/>
      <c r="Q86" s="425"/>
    </row>
    <row r="87" spans="1:17" x14ac:dyDescent="0.25">
      <c r="A87"/>
      <c r="B87"/>
      <c r="C87"/>
      <c r="D87"/>
      <c r="E87"/>
      <c r="F87"/>
      <c r="G87"/>
      <c r="H87"/>
      <c r="I87"/>
      <c r="J87"/>
      <c r="K87"/>
      <c r="L87"/>
      <c r="M87"/>
      <c r="N87"/>
      <c r="O87"/>
      <c r="P87"/>
      <c r="Q87" s="425"/>
    </row>
    <row r="88" spans="1:17" x14ac:dyDescent="0.25">
      <c r="A88"/>
      <c r="B88"/>
      <c r="C88"/>
      <c r="D88"/>
      <c r="E88"/>
      <c r="F88"/>
      <c r="G88"/>
      <c r="H88"/>
      <c r="I88"/>
      <c r="J88"/>
      <c r="K88"/>
      <c r="L88"/>
      <c r="M88"/>
      <c r="N88"/>
      <c r="O88"/>
      <c r="P88"/>
      <c r="Q88" s="425"/>
    </row>
    <row r="89" spans="1:17" x14ac:dyDescent="0.25">
      <c r="A89"/>
      <c r="B89"/>
      <c r="C89"/>
      <c r="D89"/>
      <c r="E89"/>
      <c r="F89"/>
      <c r="G89"/>
      <c r="H89"/>
      <c r="I89"/>
      <c r="J89"/>
      <c r="K89"/>
      <c r="L89"/>
      <c r="M89"/>
      <c r="N89"/>
      <c r="O89"/>
      <c r="P89"/>
      <c r="Q89" s="425"/>
    </row>
  </sheetData>
  <mergeCells count="12">
    <mergeCell ref="N51:P51"/>
    <mergeCell ref="A12:A13"/>
    <mergeCell ref="B12:D12"/>
    <mergeCell ref="E12:G12"/>
    <mergeCell ref="J12:J13"/>
    <mergeCell ref="K12:M12"/>
    <mergeCell ref="N12:P12"/>
    <mergeCell ref="A51:A52"/>
    <mergeCell ref="B51:D51"/>
    <mergeCell ref="E51:G51"/>
    <mergeCell ref="J51:J52"/>
    <mergeCell ref="K51:M51"/>
  </mergeCells>
  <conditionalFormatting sqref="D14:D16">
    <cfRule type="containsText" dxfId="251" priority="29" operator="containsText" text="CRÍTICO">
      <formula>NOT(ISERROR(SEARCH("CRÍTICO",D14)))</formula>
    </cfRule>
    <cfRule type="containsText" dxfId="250" priority="30" operator="containsText" text="INSATISFATÓRIO">
      <formula>NOT(ISERROR(SEARCH("INSATISFATÓRIO",D14)))</formula>
    </cfRule>
    <cfRule type="containsText" dxfId="249" priority="31" operator="containsText" text="DESEJÁVEL">
      <formula>NOT(ISERROR(SEARCH("DESEJÁVEL",D14)))</formula>
    </cfRule>
    <cfRule type="containsText" dxfId="248" priority="32" operator="containsText" text="SATISFATÓRIO">
      <formula>NOT(ISERROR(SEARCH("SATISFATÓRIO",D14)))</formula>
    </cfRule>
  </conditionalFormatting>
  <conditionalFormatting sqref="G14:G16">
    <cfRule type="containsText" dxfId="247" priority="25" operator="containsText" text="CRÍTICO">
      <formula>NOT(ISERROR(SEARCH("CRÍTICO",G14)))</formula>
    </cfRule>
    <cfRule type="containsText" dxfId="246" priority="26" operator="containsText" text="INSATISFATÓRIO">
      <formula>NOT(ISERROR(SEARCH("INSATISFATÓRIO",G14)))</formula>
    </cfRule>
    <cfRule type="containsText" dxfId="245" priority="27" operator="containsText" text="DESEJÁVEL">
      <formula>NOT(ISERROR(SEARCH("DESEJÁVEL",G14)))</formula>
    </cfRule>
    <cfRule type="containsText" dxfId="244" priority="28" operator="containsText" text="SATISFATÓRIO">
      <formula>NOT(ISERROR(SEARCH("SATISFATÓRIO",G14)))</formula>
    </cfRule>
  </conditionalFormatting>
  <conditionalFormatting sqref="M14:M16">
    <cfRule type="containsText" dxfId="243" priority="21" operator="containsText" text="CRÍTICO">
      <formula>NOT(ISERROR(SEARCH("CRÍTICO",M14)))</formula>
    </cfRule>
    <cfRule type="containsText" dxfId="242" priority="22" operator="containsText" text="INSATISFATÓRIO">
      <formula>NOT(ISERROR(SEARCH("INSATISFATÓRIO",M14)))</formula>
    </cfRule>
    <cfRule type="containsText" dxfId="241" priority="23" operator="containsText" text="DESEJÁVEL">
      <formula>NOT(ISERROR(SEARCH("DESEJÁVEL",M14)))</formula>
    </cfRule>
    <cfRule type="containsText" dxfId="240" priority="24" operator="containsText" text="SATISFATÓRIO">
      <formula>NOT(ISERROR(SEARCH("SATISFATÓRIO",M14)))</formula>
    </cfRule>
  </conditionalFormatting>
  <conditionalFormatting sqref="P14:P16">
    <cfRule type="containsText" dxfId="239" priority="17" operator="containsText" text="CRÍTICO">
      <formula>NOT(ISERROR(SEARCH("CRÍTICO",P14)))</formula>
    </cfRule>
    <cfRule type="containsText" dxfId="238" priority="18" operator="containsText" text="INSATISFATÓRIO">
      <formula>NOT(ISERROR(SEARCH("INSATISFATÓRIO",P14)))</formula>
    </cfRule>
    <cfRule type="containsText" dxfId="237" priority="19" operator="containsText" text="DESEJÁVEL">
      <formula>NOT(ISERROR(SEARCH("DESEJÁVEL",P14)))</formula>
    </cfRule>
    <cfRule type="containsText" dxfId="236" priority="20" operator="containsText" text="SATISFATÓRIO">
      <formula>NOT(ISERROR(SEARCH("SATISFATÓRIO",P14)))</formula>
    </cfRule>
  </conditionalFormatting>
  <conditionalFormatting sqref="D53:D55">
    <cfRule type="containsText" dxfId="235" priority="13" operator="containsText" text="CRÍTICO">
      <formula>NOT(ISERROR(SEARCH("CRÍTICO",D53)))</formula>
    </cfRule>
    <cfRule type="containsText" dxfId="234" priority="14" operator="containsText" text="INSATISFATÓRIO">
      <formula>NOT(ISERROR(SEARCH("INSATISFATÓRIO",D53)))</formula>
    </cfRule>
    <cfRule type="containsText" dxfId="233" priority="15" operator="containsText" text="DESEJÁVEL">
      <formula>NOT(ISERROR(SEARCH("DESEJÁVEL",D53)))</formula>
    </cfRule>
    <cfRule type="containsText" dxfId="232" priority="16" operator="containsText" text="SATISFATÓRIO">
      <formula>NOT(ISERROR(SEARCH("SATISFATÓRIO",D53)))</formula>
    </cfRule>
  </conditionalFormatting>
  <conditionalFormatting sqref="M53:M55">
    <cfRule type="containsText" dxfId="231" priority="9" operator="containsText" text="CRÍTICO">
      <formula>NOT(ISERROR(SEARCH("CRÍTICO",M53)))</formula>
    </cfRule>
    <cfRule type="containsText" dxfId="230" priority="10" operator="containsText" text="INSATISFATÓRIO">
      <formula>NOT(ISERROR(SEARCH("INSATISFATÓRIO",M53)))</formula>
    </cfRule>
    <cfRule type="containsText" dxfId="229" priority="11" operator="containsText" text="DESEJÁVEL">
      <formula>NOT(ISERROR(SEARCH("DESEJÁVEL",M53)))</formula>
    </cfRule>
    <cfRule type="containsText" dxfId="228" priority="12" operator="containsText" text="SATISFATÓRIO">
      <formula>NOT(ISERROR(SEARCH("SATISFATÓRIO",M53)))</formula>
    </cfRule>
  </conditionalFormatting>
  <conditionalFormatting sqref="G53:G55">
    <cfRule type="containsText" dxfId="227" priority="5" operator="containsText" text="CRÍTICO">
      <formula>NOT(ISERROR(SEARCH("CRÍTICO",G53)))</formula>
    </cfRule>
    <cfRule type="containsText" dxfId="226" priority="6" operator="containsText" text="INSATISFATÓRIO">
      <formula>NOT(ISERROR(SEARCH("INSATISFATÓRIO",G53)))</formula>
    </cfRule>
    <cfRule type="containsText" dxfId="225" priority="7" operator="containsText" text="DESEJÁVEL">
      <formula>NOT(ISERROR(SEARCH("DESEJÁVEL",G53)))</formula>
    </cfRule>
    <cfRule type="containsText" dxfId="224" priority="8" operator="containsText" text="SATISFATÓRIO">
      <formula>NOT(ISERROR(SEARCH("SATISFATÓRIO",G53)))</formula>
    </cfRule>
  </conditionalFormatting>
  <conditionalFormatting sqref="P53:P55">
    <cfRule type="containsText" dxfId="223" priority="1" operator="containsText" text="CRÍTICO">
      <formula>NOT(ISERROR(SEARCH("CRÍTICO",P53)))</formula>
    </cfRule>
    <cfRule type="containsText" dxfId="222" priority="2" operator="containsText" text="INSATISFATÓRIO">
      <formula>NOT(ISERROR(SEARCH("INSATISFATÓRIO",P53)))</formula>
    </cfRule>
    <cfRule type="containsText" dxfId="221" priority="3" operator="containsText" text="DESEJÁVEL">
      <formula>NOT(ISERROR(SEARCH("DESEJÁVEL",P53)))</formula>
    </cfRule>
    <cfRule type="containsText" dxfId="220" priority="4" operator="containsText" text="SATISFATÓRIO">
      <formula>NOT(ISERROR(SEARCH("SATISFATÓRIO",P53)))</formula>
    </cfRule>
  </conditionalFormatting>
  <pageMargins left="0.511811024" right="0.511811024" top="0.78740157499999996" bottom="0.78740157499999996" header="0.31496062000000002" footer="0.31496062000000002"/>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4"/>
  <dimension ref="A10:Q49"/>
  <sheetViews>
    <sheetView showGridLines="0" topLeftCell="A4" workbookViewId="0"/>
  </sheetViews>
  <sheetFormatPr defaultRowHeight="15" x14ac:dyDescent="0.25"/>
  <cols>
    <col min="1" max="1" width="36.28515625" style="1" customWidth="1"/>
    <col min="2" max="3" width="13.7109375" style="1" customWidth="1"/>
    <col min="4" max="4" width="15.7109375" style="1" customWidth="1"/>
    <col min="5" max="6" width="13.7109375" style="1" customWidth="1"/>
    <col min="7" max="7" width="15.7109375" style="1" customWidth="1"/>
    <col min="8" max="9" width="9.140625" style="1"/>
    <col min="10" max="10" width="36.28515625" style="1" customWidth="1"/>
    <col min="11" max="12" width="13.7109375" style="1" customWidth="1"/>
    <col min="13" max="13" width="15.7109375" style="1" customWidth="1"/>
    <col min="14" max="15" width="13.7109375" style="1" customWidth="1"/>
    <col min="16" max="16" width="15.7109375" style="1" customWidth="1"/>
    <col min="17" max="16384" width="9.140625" style="1"/>
  </cols>
  <sheetData>
    <row r="10" spans="1:17" x14ac:dyDescent="0.25">
      <c r="A10"/>
      <c r="B10"/>
      <c r="C10"/>
      <c r="D10"/>
      <c r="E10"/>
      <c r="F10"/>
      <c r="G10"/>
      <c r="H10"/>
      <c r="I10"/>
      <c r="J10"/>
      <c r="K10"/>
      <c r="L10"/>
      <c r="M10"/>
      <c r="N10"/>
      <c r="O10"/>
      <c r="P10"/>
      <c r="Q10"/>
    </row>
    <row r="11" spans="1:17" x14ac:dyDescent="0.25">
      <c r="A11"/>
      <c r="B11"/>
      <c r="C11"/>
      <c r="D11"/>
      <c r="E11"/>
      <c r="F11"/>
      <c r="G11"/>
      <c r="H11"/>
      <c r="I11"/>
      <c r="J11"/>
      <c r="K11"/>
      <c r="L11"/>
      <c r="M11"/>
      <c r="N11"/>
      <c r="O11"/>
      <c r="P11"/>
      <c r="Q11"/>
    </row>
    <row r="12" spans="1:17" x14ac:dyDescent="0.25">
      <c r="A12" s="700" t="str">
        <f>'[4]VCO-LIDERANÇA'!A3</f>
        <v>MEU CHEFE TEM O PERFIL INDICADO PARA FUNÇÃO QUE OCUPA?</v>
      </c>
      <c r="B12" s="702">
        <f>'[4]VCO-LIDERANÇA'!B3</f>
        <v>2020</v>
      </c>
      <c r="C12" s="702"/>
      <c r="D12" s="702"/>
      <c r="E12" s="702">
        <f>'[4]VCO-LIDERANÇA'!E3</f>
        <v>2017</v>
      </c>
      <c r="F12" s="702"/>
      <c r="G12" s="702"/>
      <c r="H12"/>
      <c r="I12"/>
      <c r="J12" s="700" t="str">
        <f>'[4]VCO-LIDERANÇA'!J3</f>
        <v>MEU CHEFE IMPULSIONA A EQUIPE PARA ALCANÇAR AS METAS</v>
      </c>
      <c r="K12" s="702">
        <f>'[4]VCO-LIDERANÇA'!K3</f>
        <v>2020</v>
      </c>
      <c r="L12" s="702"/>
      <c r="M12" s="702"/>
      <c r="N12" s="702">
        <f>'[4]VCO-LIDERANÇA'!N3</f>
        <v>2017</v>
      </c>
      <c r="O12" s="702"/>
      <c r="P12" s="702"/>
      <c r="Q12"/>
    </row>
    <row r="13" spans="1:17" ht="34.5" customHeight="1" x14ac:dyDescent="0.25">
      <c r="A13" s="700"/>
      <c r="B13" s="426" t="str">
        <f>'[4]VCO-LIDERANÇA'!B4</f>
        <v>TOTAL</v>
      </c>
      <c r="C13" s="426" t="str">
        <f>'[4]VCO-LIDERANÇA'!C4</f>
        <v>%</v>
      </c>
      <c r="D13" s="426" t="str">
        <f>'[4]VCO-LIDERANÇA'!D4</f>
        <v>RESULTADO</v>
      </c>
      <c r="E13" s="426" t="str">
        <f>'[4]VCO-LIDERANÇA'!E4</f>
        <v>TOTAL</v>
      </c>
      <c r="F13" s="426" t="str">
        <f>'[4]VCO-LIDERANÇA'!F4</f>
        <v>%</v>
      </c>
      <c r="G13" s="426" t="str">
        <f>'[4]VCO-LIDERANÇA'!G4</f>
        <v>RESULTADO</v>
      </c>
      <c r="H13"/>
      <c r="I13"/>
      <c r="J13" s="700"/>
      <c r="K13" s="426" t="str">
        <f>'[4]VCO-LIDERANÇA'!K4</f>
        <v>TOTAL</v>
      </c>
      <c r="L13" s="426" t="str">
        <f>'[4]VCO-LIDERANÇA'!L4</f>
        <v>%</v>
      </c>
      <c r="M13" s="426" t="str">
        <f>'[4]VCO-LIDERANÇA'!M4</f>
        <v>RESULTADO</v>
      </c>
      <c r="N13" s="426" t="str">
        <f>'[4]VCO-LIDERANÇA'!N4</f>
        <v>TOTAL</v>
      </c>
      <c r="O13" s="426" t="str">
        <f>'[4]VCO-LIDERANÇA'!O4</f>
        <v>%</v>
      </c>
      <c r="P13" s="426" t="str">
        <f>'[4]VCO-LIDERANÇA'!P4</f>
        <v>RESULTADO</v>
      </c>
      <c r="Q13"/>
    </row>
    <row r="14" spans="1:17" x14ac:dyDescent="0.25">
      <c r="A14" s="428" t="str">
        <f>'[4]VCO-LIDERANÇA'!A5</f>
        <v>SIM</v>
      </c>
      <c r="B14" s="59">
        <f>'[4]VCO-LIDERANÇA'!B5</f>
        <v>166</v>
      </c>
      <c r="C14" s="440">
        <f>'[4]VCO-LIDERANÇA'!C5</f>
        <v>0.86458333333333337</v>
      </c>
      <c r="D14" s="430" t="str">
        <f>'[4]VCO-LIDERANÇA'!D5</f>
        <v>DESEJÁVEL</v>
      </c>
      <c r="E14" s="452">
        <f>'[4]VCO-LIDERANÇA'!E5</f>
        <v>132</v>
      </c>
      <c r="F14" s="430">
        <f>'[4]VCO-LIDERANÇA'!F5</f>
        <v>0.71739130434782605</v>
      </c>
      <c r="G14" s="430" t="str">
        <f>'[4]VCO-LIDERANÇA'!G5</f>
        <v>SATISFATÓRIO</v>
      </c>
      <c r="H14"/>
      <c r="I14"/>
      <c r="J14" s="428" t="str">
        <f>'[4]VCO-LIDERANÇA'!J5</f>
        <v>SIM</v>
      </c>
      <c r="K14" s="59">
        <f>'[4]VCO-LIDERANÇA'!K5</f>
        <v>163</v>
      </c>
      <c r="L14" s="440">
        <f>'[4]VCO-LIDERANÇA'!L5</f>
        <v>0.84895833333333337</v>
      </c>
      <c r="M14" s="430" t="str">
        <f>'[4]VCO-LIDERANÇA'!M5</f>
        <v>DESEJÁVEL</v>
      </c>
      <c r="N14" s="452">
        <f>'[4]VCO-LIDERANÇA'!N5</f>
        <v>112</v>
      </c>
      <c r="O14" s="430">
        <f>'[4]VCO-LIDERANÇA'!O5</f>
        <v>0.60869565217391308</v>
      </c>
      <c r="P14" s="430" t="str">
        <f>'[4]VCO-LIDERANÇA'!P5</f>
        <v>SATISFATÓRIO</v>
      </c>
      <c r="Q14"/>
    </row>
    <row r="15" spans="1:17" x14ac:dyDescent="0.25">
      <c r="A15" s="433" t="str">
        <f>'[4]VCO-LIDERANÇA'!A6</f>
        <v>PARCIAL</v>
      </c>
      <c r="B15" s="59">
        <f>'[4]VCO-LIDERANÇA'!B6</f>
        <v>19</v>
      </c>
      <c r="C15" s="440">
        <f>'[4]VCO-LIDERANÇA'!C6</f>
        <v>9.8958333333333329E-2</v>
      </c>
      <c r="D15" s="430" t="str">
        <f>'[4]VCO-LIDERANÇA'!D6</f>
        <v>SATISFATÓRIO</v>
      </c>
      <c r="E15" s="452">
        <f>'[4]VCO-LIDERANÇA'!E6</f>
        <v>39</v>
      </c>
      <c r="F15" s="430">
        <f>'[4]VCO-LIDERANÇA'!F6</f>
        <v>0.21195652173913043</v>
      </c>
      <c r="G15" s="430" t="str">
        <f>'[4]VCO-LIDERANÇA'!G6</f>
        <v>SATISFATÓRIO</v>
      </c>
      <c r="H15"/>
      <c r="I15"/>
      <c r="J15" s="433" t="str">
        <f>'[4]VCO-LIDERANÇA'!J6</f>
        <v>PARCIAL</v>
      </c>
      <c r="K15" s="59">
        <f>'[4]VCO-LIDERANÇA'!K6</f>
        <v>23</v>
      </c>
      <c r="L15" s="440">
        <f>'[4]VCO-LIDERANÇA'!L6</f>
        <v>0.11979166666666667</v>
      </c>
      <c r="M15" s="430" t="str">
        <f>'[4]VCO-LIDERANÇA'!M6</f>
        <v>SATISFATÓRIO</v>
      </c>
      <c r="N15" s="452">
        <f>'[4]VCO-LIDERANÇA'!N6</f>
        <v>45</v>
      </c>
      <c r="O15" s="430">
        <f>'[4]VCO-LIDERANÇA'!O6</f>
        <v>0.24456521739130435</v>
      </c>
      <c r="P15" s="430" t="str">
        <f>'[4]VCO-LIDERANÇA'!P6</f>
        <v>SATISFATÓRIO</v>
      </c>
      <c r="Q15"/>
    </row>
    <row r="16" spans="1:17" x14ac:dyDescent="0.25">
      <c r="A16" s="433" t="str">
        <f>'[4]VCO-LIDERANÇA'!A7</f>
        <v>NÃO</v>
      </c>
      <c r="B16" s="59">
        <f>'[4]VCO-LIDERANÇA'!B7</f>
        <v>7</v>
      </c>
      <c r="C16" s="440">
        <f>'[4]VCO-LIDERANÇA'!C7</f>
        <v>3.6458333333333336E-2</v>
      </c>
      <c r="D16" s="430" t="str">
        <f>'[4]VCO-LIDERANÇA'!D7</f>
        <v>DESEJÁVEL</v>
      </c>
      <c r="E16" s="452">
        <f>'[4]VCO-LIDERANÇA'!E7</f>
        <v>13</v>
      </c>
      <c r="F16" s="430">
        <f>'[4]VCO-LIDERANÇA'!F7</f>
        <v>7.0652173913043473E-2</v>
      </c>
      <c r="G16" s="430" t="str">
        <f>'[4]VCO-LIDERANÇA'!G7</f>
        <v>SATISFATÓRIO</v>
      </c>
      <c r="H16"/>
      <c r="I16"/>
      <c r="J16" s="433" t="str">
        <f>'[4]VCO-LIDERANÇA'!J7</f>
        <v>NÃO</v>
      </c>
      <c r="K16" s="59">
        <f>'[4]VCO-LIDERANÇA'!K7</f>
        <v>6</v>
      </c>
      <c r="L16" s="440">
        <f>'[4]VCO-LIDERANÇA'!L7</f>
        <v>3.125E-2</v>
      </c>
      <c r="M16" s="430" t="str">
        <f>'[4]VCO-LIDERANÇA'!M7</f>
        <v>DESEJÁVEL</v>
      </c>
      <c r="N16" s="452">
        <f>'[4]VCO-LIDERANÇA'!N7</f>
        <v>27</v>
      </c>
      <c r="O16" s="430">
        <f>'[4]VCO-LIDERANÇA'!O7</f>
        <v>0.14673913043478262</v>
      </c>
      <c r="P16" s="430" t="str">
        <f>'[4]VCO-LIDERANÇA'!P7</f>
        <v>INSATISFATÓRIO</v>
      </c>
      <c r="Q16"/>
    </row>
    <row r="17" spans="1:17" x14ac:dyDescent="0.25">
      <c r="A17" s="82" t="str">
        <f>'[4]VCO-LIDERANÇA'!A8</f>
        <v>TOTAL</v>
      </c>
      <c r="B17" s="422">
        <f>'[4]VCO-LIDERANÇA'!B8</f>
        <v>192</v>
      </c>
      <c r="C17" s="436">
        <f>'[4]VCO-LIDERANÇA'!C8</f>
        <v>1</v>
      </c>
      <c r="D17" s="439"/>
      <c r="E17" s="422">
        <f>'[4]VCO-LIDERANÇA'!E8</f>
        <v>184</v>
      </c>
      <c r="F17" s="436">
        <f>'[4]VCO-LIDERANÇA'!F8</f>
        <v>1</v>
      </c>
      <c r="G17" s="439"/>
      <c r="H17"/>
      <c r="I17"/>
      <c r="J17" s="82" t="str">
        <f>'[4]VCO-LIDERANÇA'!J8</f>
        <v>TOTAL</v>
      </c>
      <c r="K17" s="422">
        <f>'[4]VCO-LIDERANÇA'!K8</f>
        <v>192</v>
      </c>
      <c r="L17" s="436">
        <f>'[4]VCO-LIDERANÇA'!L8</f>
        <v>1</v>
      </c>
      <c r="M17" s="439"/>
      <c r="N17" s="422">
        <f>'[4]VCO-LIDERANÇA'!N8</f>
        <v>184</v>
      </c>
      <c r="O17" s="436">
        <f>'[4]VCO-LIDERANÇA'!O8</f>
        <v>1</v>
      </c>
      <c r="P17" s="439"/>
      <c r="Q17"/>
    </row>
    <row r="18" spans="1:17" x14ac:dyDescent="0.25">
      <c r="A18"/>
      <c r="B18"/>
      <c r="C18"/>
      <c r="D18"/>
      <c r="E18"/>
      <c r="F18"/>
      <c r="G18"/>
      <c r="H18"/>
      <c r="I18"/>
      <c r="J18"/>
      <c r="K18"/>
      <c r="L18"/>
      <c r="M18"/>
      <c r="N18"/>
      <c r="O18"/>
      <c r="P18"/>
      <c r="Q18"/>
    </row>
    <row r="19" spans="1:17" x14ac:dyDescent="0.25">
      <c r="A19"/>
      <c r="B19"/>
      <c r="C19"/>
      <c r="D19"/>
      <c r="E19"/>
      <c r="F19"/>
      <c r="G19"/>
      <c r="H19"/>
      <c r="I19"/>
      <c r="J19"/>
      <c r="K19"/>
      <c r="L19"/>
      <c r="M19"/>
      <c r="N19"/>
      <c r="O19"/>
      <c r="P19"/>
      <c r="Q19"/>
    </row>
    <row r="20" spans="1:17" x14ac:dyDescent="0.25">
      <c r="A20"/>
      <c r="B20"/>
      <c r="C20"/>
      <c r="D20"/>
      <c r="E20"/>
      <c r="F20"/>
      <c r="G20"/>
      <c r="H20"/>
      <c r="I20"/>
      <c r="J20"/>
      <c r="K20"/>
      <c r="L20"/>
      <c r="M20"/>
      <c r="N20"/>
      <c r="O20"/>
      <c r="P20"/>
      <c r="Q20"/>
    </row>
    <row r="21" spans="1:17" x14ac:dyDescent="0.25">
      <c r="A21"/>
      <c r="B21"/>
      <c r="C21"/>
      <c r="D21"/>
      <c r="E21"/>
      <c r="F21"/>
      <c r="G21"/>
      <c r="H21"/>
      <c r="I21"/>
      <c r="J21"/>
      <c r="K21"/>
      <c r="L21"/>
      <c r="M21"/>
      <c r="N21"/>
      <c r="O21"/>
      <c r="P21"/>
      <c r="Q21"/>
    </row>
    <row r="22" spans="1:17" x14ac:dyDescent="0.25">
      <c r="A22"/>
      <c r="B22"/>
      <c r="C22"/>
      <c r="D22"/>
      <c r="E22"/>
      <c r="F22"/>
      <c r="G22"/>
      <c r="H22"/>
      <c r="I22"/>
      <c r="J22"/>
      <c r="K22"/>
      <c r="L22"/>
      <c r="M22"/>
      <c r="N22"/>
      <c r="O22"/>
      <c r="P22"/>
      <c r="Q22"/>
    </row>
    <row r="23" spans="1:17" x14ac:dyDescent="0.25">
      <c r="A23"/>
      <c r="B23"/>
      <c r="C23"/>
      <c r="D23"/>
      <c r="E23"/>
      <c r="F23"/>
      <c r="G23"/>
      <c r="H23"/>
      <c r="I23"/>
      <c r="J23"/>
      <c r="K23"/>
      <c r="L23"/>
      <c r="M23"/>
      <c r="N23"/>
      <c r="O23"/>
      <c r="P23"/>
      <c r="Q23"/>
    </row>
    <row r="24" spans="1:17" x14ac:dyDescent="0.25">
      <c r="A24"/>
      <c r="B24"/>
      <c r="C24"/>
      <c r="D24"/>
      <c r="E24"/>
      <c r="F24"/>
      <c r="G24"/>
      <c r="H24"/>
      <c r="I24"/>
      <c r="J24"/>
      <c r="K24"/>
      <c r="L24"/>
      <c r="M24"/>
      <c r="N24"/>
      <c r="O24"/>
      <c r="P24"/>
      <c r="Q24"/>
    </row>
    <row r="25" spans="1:17" x14ac:dyDescent="0.25">
      <c r="A25"/>
      <c r="B25"/>
      <c r="C25"/>
      <c r="D25"/>
      <c r="E25"/>
      <c r="F25"/>
      <c r="G25"/>
      <c r="H25"/>
      <c r="I25"/>
      <c r="J25"/>
      <c r="K25"/>
      <c r="L25"/>
      <c r="M25"/>
      <c r="N25"/>
      <c r="O25"/>
      <c r="P25"/>
      <c r="Q25"/>
    </row>
    <row r="26" spans="1:17" x14ac:dyDescent="0.25">
      <c r="A26"/>
      <c r="B26"/>
      <c r="C26"/>
      <c r="D26"/>
      <c r="E26"/>
      <c r="F26"/>
      <c r="G26"/>
      <c r="H26"/>
      <c r="I26"/>
      <c r="J26"/>
      <c r="K26"/>
      <c r="L26"/>
      <c r="M26"/>
      <c r="N26"/>
      <c r="O26"/>
      <c r="P26"/>
      <c r="Q26"/>
    </row>
    <row r="27" spans="1:17" x14ac:dyDescent="0.25">
      <c r="A27"/>
      <c r="B27"/>
      <c r="C27"/>
      <c r="D27"/>
      <c r="E27"/>
      <c r="F27"/>
      <c r="G27"/>
      <c r="H27"/>
      <c r="I27"/>
      <c r="J27"/>
      <c r="K27"/>
      <c r="L27"/>
      <c r="M27"/>
      <c r="N27"/>
      <c r="O27"/>
      <c r="P27"/>
      <c r="Q27"/>
    </row>
    <row r="28" spans="1:17" x14ac:dyDescent="0.25">
      <c r="A28"/>
      <c r="B28"/>
      <c r="C28"/>
      <c r="D28"/>
      <c r="E28"/>
      <c r="F28"/>
      <c r="G28"/>
      <c r="H28"/>
      <c r="I28"/>
      <c r="J28"/>
      <c r="K28"/>
      <c r="L28"/>
      <c r="M28"/>
      <c r="N28"/>
      <c r="O28"/>
      <c r="P28"/>
      <c r="Q28"/>
    </row>
    <row r="29" spans="1:17" x14ac:dyDescent="0.25">
      <c r="A29"/>
      <c r="B29"/>
      <c r="C29"/>
      <c r="D29"/>
      <c r="E29"/>
      <c r="F29"/>
      <c r="G29"/>
      <c r="H29"/>
      <c r="I29"/>
      <c r="J29"/>
      <c r="K29"/>
      <c r="L29"/>
      <c r="M29"/>
      <c r="N29"/>
      <c r="O29"/>
      <c r="P29"/>
      <c r="Q29"/>
    </row>
    <row r="30" spans="1:17" x14ac:dyDescent="0.25">
      <c r="A30"/>
      <c r="B30"/>
      <c r="C30"/>
      <c r="D30"/>
      <c r="E30"/>
      <c r="F30"/>
      <c r="G30"/>
      <c r="H30"/>
      <c r="I30"/>
      <c r="J30"/>
      <c r="K30"/>
      <c r="L30"/>
      <c r="M30"/>
      <c r="N30"/>
      <c r="O30"/>
      <c r="P30"/>
      <c r="Q30"/>
    </row>
    <row r="31" spans="1:17" x14ac:dyDescent="0.25">
      <c r="A31"/>
      <c r="B31"/>
      <c r="C31"/>
      <c r="D31"/>
      <c r="E31"/>
      <c r="F31"/>
      <c r="G31"/>
      <c r="H31"/>
      <c r="I31"/>
      <c r="J31"/>
      <c r="K31"/>
      <c r="L31"/>
      <c r="M31"/>
      <c r="N31"/>
      <c r="O31"/>
      <c r="P31"/>
      <c r="Q31"/>
    </row>
    <row r="32" spans="1:17" x14ac:dyDescent="0.25">
      <c r="A32"/>
      <c r="B32"/>
      <c r="C32"/>
      <c r="D32"/>
      <c r="E32"/>
      <c r="F32"/>
      <c r="G32"/>
      <c r="H32"/>
      <c r="I32"/>
      <c r="J32"/>
      <c r="K32"/>
      <c r="L32"/>
      <c r="M32"/>
      <c r="N32"/>
      <c r="O32"/>
      <c r="P32"/>
      <c r="Q32"/>
    </row>
    <row r="33" spans="1:17" x14ac:dyDescent="0.25">
      <c r="A33"/>
      <c r="B33"/>
      <c r="C33"/>
      <c r="D33"/>
      <c r="E33"/>
      <c r="F33"/>
      <c r="G33"/>
      <c r="H33"/>
      <c r="I33"/>
      <c r="J33"/>
      <c r="K33"/>
      <c r="L33"/>
      <c r="M33"/>
      <c r="N33"/>
      <c r="O33"/>
      <c r="P33"/>
      <c r="Q33"/>
    </row>
    <row r="34" spans="1:17" x14ac:dyDescent="0.25">
      <c r="A34"/>
      <c r="B34"/>
      <c r="C34"/>
      <c r="D34"/>
      <c r="E34"/>
      <c r="F34"/>
      <c r="G34"/>
      <c r="H34"/>
      <c r="I34"/>
      <c r="J34"/>
      <c r="K34"/>
      <c r="L34"/>
      <c r="M34"/>
      <c r="N34"/>
      <c r="O34"/>
      <c r="P34"/>
      <c r="Q34"/>
    </row>
    <row r="35" spans="1:17" x14ac:dyDescent="0.25">
      <c r="A35"/>
      <c r="B35"/>
      <c r="C35"/>
      <c r="D35"/>
      <c r="E35"/>
      <c r="F35"/>
      <c r="G35"/>
      <c r="H35"/>
      <c r="I35"/>
      <c r="J35"/>
      <c r="K35"/>
      <c r="L35"/>
      <c r="M35"/>
      <c r="N35"/>
      <c r="O35"/>
      <c r="P35"/>
      <c r="Q35"/>
    </row>
    <row r="36" spans="1:17" x14ac:dyDescent="0.25">
      <c r="A36"/>
      <c r="B36"/>
      <c r="C36"/>
      <c r="D36"/>
      <c r="E36"/>
      <c r="F36"/>
      <c r="G36"/>
      <c r="H36"/>
      <c r="I36"/>
      <c r="J36"/>
      <c r="K36"/>
      <c r="L36"/>
      <c r="M36"/>
      <c r="N36"/>
      <c r="O36"/>
      <c r="P36"/>
      <c r="Q36"/>
    </row>
    <row r="37" spans="1:17" x14ac:dyDescent="0.25">
      <c r="A37"/>
      <c r="B37"/>
      <c r="C37"/>
      <c r="D37"/>
      <c r="E37"/>
      <c r="F37"/>
      <c r="G37"/>
      <c r="H37"/>
      <c r="I37"/>
      <c r="J37"/>
      <c r="K37"/>
      <c r="L37"/>
      <c r="M37"/>
      <c r="N37"/>
      <c r="O37"/>
      <c r="P37"/>
      <c r="Q37"/>
    </row>
    <row r="38" spans="1:17" x14ac:dyDescent="0.25">
      <c r="A38"/>
      <c r="B38"/>
      <c r="C38"/>
      <c r="D38"/>
      <c r="E38"/>
      <c r="F38"/>
      <c r="G38"/>
      <c r="H38"/>
      <c r="I38"/>
      <c r="J38"/>
      <c r="K38"/>
      <c r="L38"/>
      <c r="M38"/>
      <c r="N38"/>
      <c r="O38"/>
      <c r="P38"/>
      <c r="Q38"/>
    </row>
    <row r="39" spans="1:17" x14ac:dyDescent="0.25">
      <c r="A39"/>
      <c r="B39"/>
      <c r="C39"/>
      <c r="D39"/>
      <c r="E39"/>
      <c r="F39"/>
      <c r="G39"/>
      <c r="H39"/>
      <c r="I39"/>
      <c r="J39"/>
      <c r="K39"/>
      <c r="L39"/>
      <c r="M39"/>
      <c r="N39"/>
      <c r="O39"/>
      <c r="P39"/>
      <c r="Q39"/>
    </row>
    <row r="40" spans="1:17" x14ac:dyDescent="0.25">
      <c r="A40"/>
      <c r="B40"/>
      <c r="C40"/>
      <c r="D40"/>
      <c r="E40"/>
      <c r="F40"/>
      <c r="G40"/>
      <c r="H40"/>
      <c r="I40"/>
      <c r="J40"/>
      <c r="K40"/>
      <c r="L40"/>
      <c r="M40"/>
      <c r="N40"/>
      <c r="O40"/>
      <c r="P40"/>
      <c r="Q40"/>
    </row>
    <row r="41" spans="1:17" x14ac:dyDescent="0.25">
      <c r="A41"/>
      <c r="B41"/>
      <c r="C41"/>
      <c r="D41"/>
      <c r="E41"/>
      <c r="F41"/>
      <c r="G41"/>
      <c r="H41"/>
      <c r="I41"/>
      <c r="J41"/>
      <c r="K41"/>
      <c r="L41"/>
      <c r="M41"/>
      <c r="N41"/>
      <c r="O41"/>
      <c r="P41"/>
      <c r="Q41"/>
    </row>
    <row r="42" spans="1:17" x14ac:dyDescent="0.25">
      <c r="A42"/>
      <c r="B42"/>
      <c r="C42"/>
      <c r="D42"/>
      <c r="E42"/>
      <c r="F42"/>
      <c r="G42"/>
      <c r="H42"/>
      <c r="I42"/>
      <c r="J42"/>
      <c r="K42"/>
      <c r="L42"/>
      <c r="M42"/>
      <c r="N42"/>
      <c r="O42"/>
      <c r="P42"/>
      <c r="Q42"/>
    </row>
    <row r="43" spans="1:17" x14ac:dyDescent="0.25">
      <c r="A43"/>
      <c r="B43"/>
      <c r="C43"/>
      <c r="D43"/>
      <c r="E43"/>
      <c r="F43"/>
      <c r="G43"/>
      <c r="H43"/>
      <c r="I43"/>
      <c r="J43"/>
      <c r="K43"/>
      <c r="L43"/>
      <c r="M43"/>
      <c r="N43"/>
      <c r="O43"/>
      <c r="P43"/>
      <c r="Q43"/>
    </row>
    <row r="44" spans="1:17" x14ac:dyDescent="0.25">
      <c r="A44"/>
      <c r="B44"/>
      <c r="C44"/>
      <c r="D44"/>
      <c r="E44"/>
      <c r="F44"/>
      <c r="G44"/>
      <c r="H44"/>
      <c r="I44"/>
      <c r="J44"/>
      <c r="K44"/>
      <c r="L44"/>
      <c r="M44"/>
      <c r="N44"/>
      <c r="O44"/>
      <c r="P44"/>
      <c r="Q44"/>
    </row>
    <row r="45" spans="1:17" x14ac:dyDescent="0.25">
      <c r="A45"/>
      <c r="B45"/>
      <c r="C45"/>
      <c r="D45"/>
      <c r="E45"/>
      <c r="F45"/>
      <c r="G45"/>
      <c r="H45"/>
      <c r="I45"/>
      <c r="J45"/>
      <c r="K45"/>
      <c r="L45"/>
      <c r="M45"/>
      <c r="N45"/>
      <c r="O45"/>
      <c r="P45"/>
      <c r="Q45"/>
    </row>
    <row r="46" spans="1:17" x14ac:dyDescent="0.25">
      <c r="A46"/>
      <c r="B46"/>
      <c r="C46"/>
      <c r="D46"/>
      <c r="E46"/>
      <c r="F46"/>
      <c r="G46"/>
      <c r="H46"/>
      <c r="I46"/>
      <c r="J46"/>
      <c r="K46"/>
      <c r="L46"/>
      <c r="M46"/>
      <c r="N46"/>
      <c r="O46"/>
      <c r="P46"/>
      <c r="Q46"/>
    </row>
    <row r="47" spans="1:17" x14ac:dyDescent="0.25">
      <c r="A47"/>
      <c r="B47"/>
      <c r="C47"/>
      <c r="D47"/>
      <c r="E47"/>
      <c r="F47"/>
      <c r="G47"/>
      <c r="H47"/>
      <c r="I47"/>
      <c r="J47"/>
      <c r="K47"/>
      <c r="L47"/>
      <c r="M47"/>
      <c r="N47"/>
      <c r="O47"/>
      <c r="P47"/>
      <c r="Q47"/>
    </row>
    <row r="48" spans="1:17" x14ac:dyDescent="0.25">
      <c r="A48"/>
      <c r="B48"/>
      <c r="C48"/>
      <c r="D48"/>
      <c r="E48"/>
      <c r="F48"/>
      <c r="G48"/>
      <c r="H48"/>
      <c r="I48"/>
      <c r="J48"/>
      <c r="K48"/>
      <c r="L48"/>
      <c r="M48"/>
      <c r="N48"/>
      <c r="O48"/>
      <c r="P48"/>
      <c r="Q48"/>
    </row>
    <row r="49" spans="1:17" x14ac:dyDescent="0.25">
      <c r="A49"/>
      <c r="B49"/>
      <c r="C49"/>
      <c r="D49"/>
      <c r="E49"/>
      <c r="F49"/>
      <c r="G49"/>
      <c r="H49"/>
      <c r="I49"/>
      <c r="J49"/>
      <c r="K49"/>
      <c r="L49"/>
      <c r="M49"/>
      <c r="N49"/>
      <c r="O49"/>
      <c r="P49"/>
      <c r="Q49"/>
    </row>
  </sheetData>
  <mergeCells count="6">
    <mergeCell ref="N12:P12"/>
    <mergeCell ref="A12:A13"/>
    <mergeCell ref="B12:D12"/>
    <mergeCell ref="E12:G12"/>
    <mergeCell ref="J12:J13"/>
    <mergeCell ref="K12:M12"/>
  </mergeCells>
  <conditionalFormatting sqref="D14:D16">
    <cfRule type="containsText" dxfId="219" priority="13" operator="containsText" text="CRÍTICO">
      <formula>NOT(ISERROR(SEARCH("CRÍTICO",D14)))</formula>
    </cfRule>
    <cfRule type="containsText" dxfId="218" priority="14" operator="containsText" text="INSATISFATÓRIO">
      <formula>NOT(ISERROR(SEARCH("INSATISFATÓRIO",D14)))</formula>
    </cfRule>
    <cfRule type="containsText" dxfId="217" priority="15" operator="containsText" text="DESEJÁVEL">
      <formula>NOT(ISERROR(SEARCH("DESEJÁVEL",D14)))</formula>
    </cfRule>
    <cfRule type="containsText" dxfId="216" priority="16" operator="containsText" text="SATISFATÓRIO">
      <formula>NOT(ISERROR(SEARCH("SATISFATÓRIO",D14)))</formula>
    </cfRule>
  </conditionalFormatting>
  <conditionalFormatting sqref="G14:G16">
    <cfRule type="containsText" dxfId="215" priority="9" operator="containsText" text="CRÍTICO">
      <formula>NOT(ISERROR(SEARCH("CRÍTICO",G14)))</formula>
    </cfRule>
    <cfRule type="containsText" dxfId="214" priority="10" operator="containsText" text="INSATISFATÓRIO">
      <formula>NOT(ISERROR(SEARCH("INSATISFATÓRIO",G14)))</formula>
    </cfRule>
    <cfRule type="containsText" dxfId="213" priority="11" operator="containsText" text="DESEJÁVEL">
      <formula>NOT(ISERROR(SEARCH("DESEJÁVEL",G14)))</formula>
    </cfRule>
    <cfRule type="containsText" dxfId="212" priority="12" operator="containsText" text="SATISFATÓRIO">
      <formula>NOT(ISERROR(SEARCH("SATISFATÓRIO",G14)))</formula>
    </cfRule>
  </conditionalFormatting>
  <conditionalFormatting sqref="M14:M16">
    <cfRule type="containsText" dxfId="211" priority="5" operator="containsText" text="CRÍTICO">
      <formula>NOT(ISERROR(SEARCH("CRÍTICO",M14)))</formula>
    </cfRule>
    <cfRule type="containsText" dxfId="210" priority="6" operator="containsText" text="INSATISFATÓRIO">
      <formula>NOT(ISERROR(SEARCH("INSATISFATÓRIO",M14)))</formula>
    </cfRule>
    <cfRule type="containsText" dxfId="209" priority="7" operator="containsText" text="DESEJÁVEL">
      <formula>NOT(ISERROR(SEARCH("DESEJÁVEL",M14)))</formula>
    </cfRule>
    <cfRule type="containsText" dxfId="208" priority="8" operator="containsText" text="SATISFATÓRIO">
      <formula>NOT(ISERROR(SEARCH("SATISFATÓRIO",M14)))</formula>
    </cfRule>
  </conditionalFormatting>
  <conditionalFormatting sqref="P14:P16">
    <cfRule type="containsText" dxfId="207" priority="1" operator="containsText" text="CRÍTICO">
      <formula>NOT(ISERROR(SEARCH("CRÍTICO",P14)))</formula>
    </cfRule>
    <cfRule type="containsText" dxfId="206" priority="2" operator="containsText" text="INSATISFATÓRIO">
      <formula>NOT(ISERROR(SEARCH("INSATISFATÓRIO",P14)))</formula>
    </cfRule>
    <cfRule type="containsText" dxfId="205" priority="3" operator="containsText" text="DESEJÁVEL">
      <formula>NOT(ISERROR(SEARCH("DESEJÁVEL",P14)))</formula>
    </cfRule>
    <cfRule type="containsText" dxfId="204" priority="4" operator="containsText" text="SATISFATÓRIO">
      <formula>NOT(ISERROR(SEARCH("SATISFATÓRIO",P14)))</formula>
    </cfRule>
  </conditionalFormatting>
  <pageMargins left="0.511811024" right="0.511811024" top="0.78740157499999996" bottom="0.78740157499999996" header="0.31496062000000002" footer="0.31496062000000002"/>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5"/>
  <dimension ref="A10:Q50"/>
  <sheetViews>
    <sheetView showGridLines="0" workbookViewId="0">
      <selection activeCell="I34" sqref="I34"/>
    </sheetView>
  </sheetViews>
  <sheetFormatPr defaultRowHeight="15" x14ac:dyDescent="0.25"/>
  <cols>
    <col min="1" max="1" width="36.28515625" style="1" customWidth="1"/>
    <col min="2" max="3" width="13.7109375" style="1" customWidth="1"/>
    <col min="4" max="4" width="15.7109375" style="1" customWidth="1"/>
    <col min="5" max="6" width="13.7109375" style="1" customWidth="1"/>
    <col min="7" max="7" width="15.7109375" style="1" customWidth="1"/>
    <col min="8" max="9" width="9.140625" style="1"/>
    <col min="10" max="10" width="36.28515625" style="1" customWidth="1"/>
    <col min="11" max="12" width="13.7109375" style="1" customWidth="1"/>
    <col min="13" max="13" width="15.7109375" style="1" customWidth="1"/>
    <col min="14" max="15" width="13.7109375" style="1" customWidth="1"/>
    <col min="16" max="16" width="15.7109375" style="1" customWidth="1"/>
    <col min="17" max="16384" width="9.140625" style="1"/>
  </cols>
  <sheetData>
    <row r="10" spans="1:17" x14ac:dyDescent="0.25">
      <c r="A10"/>
      <c r="B10"/>
      <c r="C10"/>
      <c r="D10"/>
      <c r="E10"/>
      <c r="F10"/>
      <c r="G10"/>
      <c r="H10"/>
      <c r="I10"/>
      <c r="J10"/>
      <c r="K10"/>
      <c r="L10"/>
      <c r="M10"/>
      <c r="N10"/>
      <c r="O10"/>
      <c r="P10"/>
      <c r="Q10"/>
    </row>
    <row r="11" spans="1:17" x14ac:dyDescent="0.25">
      <c r="A11"/>
      <c r="B11"/>
      <c r="C11"/>
      <c r="D11"/>
      <c r="E11"/>
      <c r="F11"/>
      <c r="G11"/>
      <c r="H11"/>
      <c r="I11"/>
      <c r="J11"/>
      <c r="K11"/>
      <c r="L11"/>
      <c r="M11"/>
      <c r="N11"/>
      <c r="O11"/>
      <c r="P11"/>
      <c r="Q11"/>
    </row>
    <row r="12" spans="1:17" x14ac:dyDescent="0.25">
      <c r="A12" s="700" t="str">
        <f>'[4]VCO-EQUIPE'!A3</f>
        <v>CONSIDERO A EQUIPE DO MEU SETOR/UNIDADE SUFICIENTE PARA O DESENVOLVIMENTO DAS ATIVIDADES?</v>
      </c>
      <c r="B12" s="702">
        <f>'[4]VCO-EQUIPE'!B3</f>
        <v>2020</v>
      </c>
      <c r="C12" s="702"/>
      <c r="D12" s="702"/>
      <c r="E12" s="702">
        <f>'[4]VCO-EQUIPE'!E3</f>
        <v>2017</v>
      </c>
      <c r="F12" s="702"/>
      <c r="G12" s="702"/>
      <c r="H12"/>
      <c r="I12"/>
      <c r="J12" s="700" t="str">
        <f>'[4]VCO-EQUIPE'!J3</f>
        <v>CONSIDERO ADEQUADA A DISTRIBUIÇÃO DAS TAREFAS NO SETOR/UNIDADE EM QUE ATUO?</v>
      </c>
      <c r="K12" s="706">
        <f>'[4]VCO-EQUIPE'!K3</f>
        <v>2020</v>
      </c>
      <c r="L12" s="707"/>
      <c r="M12" s="708"/>
      <c r="N12" s="702">
        <f>'[4]VCO-EQUIPE'!N3</f>
        <v>2017</v>
      </c>
      <c r="O12" s="702"/>
      <c r="P12" s="702"/>
      <c r="Q12"/>
    </row>
    <row r="13" spans="1:17" ht="36.75" customHeight="1" x14ac:dyDescent="0.25">
      <c r="A13" s="700"/>
      <c r="B13" s="426" t="str">
        <f>'[4]VCO-EQUIPE'!B4</f>
        <v>TOTAL</v>
      </c>
      <c r="C13" s="426" t="str">
        <f>'[4]VCO-EQUIPE'!C4</f>
        <v>%</v>
      </c>
      <c r="D13" s="426" t="str">
        <f>'[4]VCO-EQUIPE'!D4</f>
        <v>RESULTADO</v>
      </c>
      <c r="E13" s="426" t="str">
        <f>'[4]VCO-EQUIPE'!E4</f>
        <v>TOTAL</v>
      </c>
      <c r="F13" s="426" t="str">
        <f>'[4]VCO-EQUIPE'!F4</f>
        <v>%</v>
      </c>
      <c r="G13" s="426" t="str">
        <f>'[4]VCO-EQUIPE'!G4</f>
        <v>RESULTADO</v>
      </c>
      <c r="H13"/>
      <c r="I13"/>
      <c r="J13" s="700"/>
      <c r="K13" s="426" t="str">
        <f>'[4]VCO-EQUIPE'!K4</f>
        <v>TOTAL</v>
      </c>
      <c r="L13" s="426" t="str">
        <f>'[4]VCO-EQUIPE'!L4</f>
        <v>%</v>
      </c>
      <c r="M13" s="426" t="str">
        <f>'[4]VCO-EQUIPE'!M4</f>
        <v>RESULTADO</v>
      </c>
      <c r="N13" s="426" t="str">
        <f>'[4]VCO-EQUIPE'!N4</f>
        <v>TOTAL</v>
      </c>
      <c r="O13" s="426" t="str">
        <f>'[4]VCO-EQUIPE'!O4</f>
        <v>%</v>
      </c>
      <c r="P13" s="426" t="str">
        <f>'[4]VCO-EQUIPE'!P4</f>
        <v>RESULTADO</v>
      </c>
      <c r="Q13"/>
    </row>
    <row r="14" spans="1:17" x14ac:dyDescent="0.25">
      <c r="A14" s="428" t="str">
        <f>'[4]VCO-EQUIPE'!A5</f>
        <v>SIM</v>
      </c>
      <c r="B14" s="59">
        <f>'[4]VCO-EQUIPE'!B5</f>
        <v>72</v>
      </c>
      <c r="C14" s="440">
        <f>'[4]VCO-EQUIPE'!C5</f>
        <v>0.375</v>
      </c>
      <c r="D14" s="430" t="str">
        <f>'[4]VCO-EQUIPE'!D5</f>
        <v>INSATISFATÓRIO</v>
      </c>
      <c r="E14" s="452">
        <f>'[4]VCO-EQUIPE'!E5</f>
        <v>68</v>
      </c>
      <c r="F14" s="430">
        <f>'[4]VCO-EQUIPE'!F5</f>
        <v>0.37158469945355194</v>
      </c>
      <c r="G14" s="430" t="str">
        <f>'[4]VCO-EQUIPE'!G5</f>
        <v>INSATISFATÓRIO</v>
      </c>
      <c r="H14"/>
      <c r="I14"/>
      <c r="J14" s="428" t="str">
        <f>'[4]VCO-EQUIPE'!J5</f>
        <v>SIM</v>
      </c>
      <c r="K14" s="59">
        <f>'[4]VCO-EQUIPE'!K5</f>
        <v>84</v>
      </c>
      <c r="L14" s="440">
        <f>'[4]VCO-EQUIPE'!L5</f>
        <v>0.4375</v>
      </c>
      <c r="M14" s="430" t="str">
        <f>'[4]VCO-EQUIPE'!M5</f>
        <v>INSATISFATÓRIO</v>
      </c>
      <c r="N14" s="452">
        <f>'[4]VCO-EQUIPE'!N5</f>
        <v>65</v>
      </c>
      <c r="O14" s="430">
        <f>'[4]VCO-EQUIPE'!O5</f>
        <v>0.3551912568306011</v>
      </c>
      <c r="P14" s="430" t="str">
        <f>'[4]VCO-EQUIPE'!P5</f>
        <v>INSATISFATÓRIO</v>
      </c>
      <c r="Q14"/>
    </row>
    <row r="15" spans="1:17" x14ac:dyDescent="0.25">
      <c r="A15" s="433" t="str">
        <f>'[4]VCO-EQUIPE'!A6</f>
        <v>PARCIAL</v>
      </c>
      <c r="B15" s="59">
        <f>'[4]VCO-EQUIPE'!B6</f>
        <v>68</v>
      </c>
      <c r="C15" s="440">
        <f>'[4]VCO-EQUIPE'!C6</f>
        <v>0.35416666666666669</v>
      </c>
      <c r="D15" s="430" t="str">
        <f>'[4]VCO-EQUIPE'!D6</f>
        <v>SATISFATÓRIO</v>
      </c>
      <c r="E15" s="452">
        <f>'[4]VCO-EQUIPE'!E6</f>
        <v>67</v>
      </c>
      <c r="F15" s="430">
        <f>'[4]VCO-EQUIPE'!F6</f>
        <v>0.36612021857923499</v>
      </c>
      <c r="G15" s="430" t="str">
        <f>'[4]VCO-EQUIPE'!G6</f>
        <v>SATISFATÓRIO</v>
      </c>
      <c r="H15"/>
      <c r="I15"/>
      <c r="J15" s="433" t="str">
        <f>'[4]VCO-EQUIPE'!J6</f>
        <v>PARCIAL</v>
      </c>
      <c r="K15" s="59">
        <f>'[4]VCO-EQUIPE'!K6</f>
        <v>73</v>
      </c>
      <c r="L15" s="440">
        <f>'[4]VCO-EQUIPE'!L6</f>
        <v>0.38020833333333331</v>
      </c>
      <c r="M15" s="430" t="str">
        <f>'[4]VCO-EQUIPE'!M6</f>
        <v>SATISFATÓRIO</v>
      </c>
      <c r="N15" s="452">
        <f>'[4]VCO-EQUIPE'!N6</f>
        <v>65</v>
      </c>
      <c r="O15" s="430">
        <f>'[4]VCO-EQUIPE'!O6</f>
        <v>0.3551912568306011</v>
      </c>
      <c r="P15" s="430" t="str">
        <f>'[4]VCO-EQUIPE'!P6</f>
        <v>SATISFATÓRIO</v>
      </c>
      <c r="Q15"/>
    </row>
    <row r="16" spans="1:17" x14ac:dyDescent="0.25">
      <c r="A16" s="433" t="str">
        <f>'[4]VCO-EQUIPE'!A7</f>
        <v>NÃO</v>
      </c>
      <c r="B16" s="59">
        <f>'[4]VCO-EQUIPE'!B7</f>
        <v>52</v>
      </c>
      <c r="C16" s="440">
        <f>'[4]VCO-EQUIPE'!C7</f>
        <v>0.27083333333333331</v>
      </c>
      <c r="D16" s="430" t="str">
        <f>'[4]VCO-EQUIPE'!D7</f>
        <v>INSATISFATÓRIO</v>
      </c>
      <c r="E16" s="452">
        <f>'[4]VCO-EQUIPE'!E7</f>
        <v>48</v>
      </c>
      <c r="F16" s="430">
        <f>'[4]VCO-EQUIPE'!F7</f>
        <v>0.26229508196721313</v>
      </c>
      <c r="G16" s="430" t="str">
        <f>'[4]VCO-EQUIPE'!G7</f>
        <v>INSATISFATÓRIO</v>
      </c>
      <c r="H16"/>
      <c r="I16"/>
      <c r="J16" s="433" t="str">
        <f>'[4]VCO-EQUIPE'!J7</f>
        <v>NÃO</v>
      </c>
      <c r="K16" s="59">
        <f>'[4]VCO-EQUIPE'!K7</f>
        <v>35</v>
      </c>
      <c r="L16" s="440">
        <f>'[4]VCO-EQUIPE'!L7</f>
        <v>0.18229166666666666</v>
      </c>
      <c r="M16" s="430" t="str">
        <f>'[4]VCO-EQUIPE'!M7</f>
        <v>INSATISFATÓRIO</v>
      </c>
      <c r="N16" s="452">
        <f>'[4]VCO-EQUIPE'!N7</f>
        <v>53</v>
      </c>
      <c r="O16" s="430">
        <f>'[4]VCO-EQUIPE'!O7</f>
        <v>0.2896174863387978</v>
      </c>
      <c r="P16" s="430" t="str">
        <f>'[4]VCO-EQUIPE'!P7</f>
        <v>INSATISFATÓRIO</v>
      </c>
      <c r="Q16"/>
    </row>
    <row r="17" spans="1:17" x14ac:dyDescent="0.25">
      <c r="A17" s="82" t="str">
        <f>'[4]VCO-EQUIPE'!A8</f>
        <v>TOTAL</v>
      </c>
      <c r="B17" s="422">
        <f>'[4]VCO-EQUIPE'!B8</f>
        <v>192</v>
      </c>
      <c r="C17" s="436">
        <f>'[4]VCO-EQUIPE'!C8</f>
        <v>1</v>
      </c>
      <c r="D17" s="439"/>
      <c r="E17" s="422">
        <f>'[4]VCO-EQUIPE'!E8</f>
        <v>183</v>
      </c>
      <c r="F17" s="436">
        <f>'[4]VCO-EQUIPE'!F8</f>
        <v>1</v>
      </c>
      <c r="G17" s="439"/>
      <c r="H17"/>
      <c r="I17"/>
      <c r="J17" s="82" t="str">
        <f>'[4]VCO-EQUIPE'!J8</f>
        <v>TOTAL</v>
      </c>
      <c r="K17" s="422">
        <f>'[4]VCO-EQUIPE'!K8</f>
        <v>192</v>
      </c>
      <c r="L17" s="436">
        <f>'[4]VCO-EQUIPE'!L8</f>
        <v>0.99999999999999989</v>
      </c>
      <c r="M17" s="439"/>
      <c r="N17" s="422">
        <f>'[4]VCO-EQUIPE'!N8</f>
        <v>183</v>
      </c>
      <c r="O17" s="436">
        <f>'[4]VCO-EQUIPE'!O8</f>
        <v>1</v>
      </c>
      <c r="P17" s="439"/>
      <c r="Q17"/>
    </row>
    <row r="18" spans="1:17" x14ac:dyDescent="0.25">
      <c r="A18"/>
      <c r="B18"/>
      <c r="C18"/>
      <c r="D18"/>
      <c r="E18"/>
      <c r="F18"/>
      <c r="G18"/>
      <c r="H18"/>
      <c r="I18"/>
      <c r="J18"/>
      <c r="K18"/>
      <c r="L18"/>
      <c r="M18"/>
      <c r="N18"/>
      <c r="O18"/>
      <c r="P18"/>
      <c r="Q18"/>
    </row>
    <row r="19" spans="1:17" x14ac:dyDescent="0.25">
      <c r="A19"/>
      <c r="B19"/>
      <c r="C19"/>
      <c r="D19"/>
      <c r="E19"/>
      <c r="F19"/>
      <c r="G19"/>
      <c r="H19"/>
      <c r="I19"/>
      <c r="J19"/>
      <c r="K19"/>
      <c r="L19"/>
      <c r="M19"/>
      <c r="N19"/>
      <c r="O19"/>
      <c r="P19"/>
      <c r="Q19"/>
    </row>
    <row r="20" spans="1:17" x14ac:dyDescent="0.25">
      <c r="A20"/>
      <c r="B20"/>
      <c r="C20"/>
      <c r="D20"/>
      <c r="E20"/>
      <c r="F20"/>
      <c r="G20"/>
      <c r="H20"/>
      <c r="I20"/>
      <c r="J20"/>
      <c r="K20"/>
      <c r="L20"/>
      <c r="M20"/>
      <c r="N20"/>
      <c r="O20"/>
      <c r="P20"/>
      <c r="Q20"/>
    </row>
    <row r="21" spans="1:17" x14ac:dyDescent="0.25">
      <c r="A21"/>
      <c r="B21"/>
      <c r="C21"/>
      <c r="D21"/>
      <c r="E21"/>
      <c r="F21"/>
      <c r="G21"/>
      <c r="H21"/>
      <c r="I21"/>
      <c r="J21"/>
      <c r="K21"/>
      <c r="L21"/>
      <c r="M21"/>
      <c r="N21"/>
      <c r="O21"/>
      <c r="P21"/>
      <c r="Q21"/>
    </row>
    <row r="22" spans="1:17" x14ac:dyDescent="0.25">
      <c r="A22"/>
      <c r="B22"/>
      <c r="C22"/>
      <c r="D22"/>
      <c r="E22"/>
      <c r="F22"/>
      <c r="G22"/>
      <c r="H22"/>
      <c r="I22"/>
      <c r="J22"/>
      <c r="K22"/>
      <c r="L22"/>
      <c r="M22"/>
      <c r="N22"/>
      <c r="O22"/>
      <c r="P22"/>
      <c r="Q22"/>
    </row>
    <row r="23" spans="1:17" x14ac:dyDescent="0.25">
      <c r="A23"/>
      <c r="B23"/>
      <c r="C23"/>
      <c r="D23"/>
      <c r="E23"/>
      <c r="F23"/>
      <c r="G23"/>
      <c r="H23"/>
      <c r="I23"/>
      <c r="J23"/>
      <c r="K23"/>
      <c r="L23"/>
      <c r="M23"/>
      <c r="N23"/>
      <c r="O23"/>
      <c r="P23"/>
      <c r="Q23"/>
    </row>
    <row r="24" spans="1:17" x14ac:dyDescent="0.25">
      <c r="A24"/>
      <c r="B24"/>
      <c r="C24"/>
      <c r="D24"/>
      <c r="E24"/>
      <c r="F24"/>
      <c r="G24"/>
      <c r="H24"/>
      <c r="I24"/>
      <c r="J24"/>
      <c r="K24"/>
      <c r="L24"/>
      <c r="M24"/>
      <c r="N24"/>
      <c r="O24"/>
      <c r="P24"/>
      <c r="Q24"/>
    </row>
    <row r="25" spans="1:17" x14ac:dyDescent="0.25">
      <c r="A25"/>
      <c r="B25"/>
      <c r="C25"/>
      <c r="D25"/>
      <c r="E25"/>
      <c r="F25"/>
      <c r="G25"/>
      <c r="H25"/>
      <c r="I25"/>
      <c r="J25"/>
      <c r="K25"/>
      <c r="L25"/>
      <c r="M25"/>
      <c r="N25"/>
      <c r="O25"/>
      <c r="P25"/>
      <c r="Q25"/>
    </row>
    <row r="26" spans="1:17" x14ac:dyDescent="0.25">
      <c r="A26"/>
      <c r="B26"/>
      <c r="C26"/>
      <c r="D26"/>
      <c r="E26"/>
      <c r="F26"/>
      <c r="G26"/>
      <c r="H26"/>
      <c r="I26"/>
      <c r="J26"/>
      <c r="K26"/>
      <c r="L26"/>
      <c r="M26"/>
      <c r="N26"/>
      <c r="O26"/>
      <c r="P26"/>
      <c r="Q26"/>
    </row>
    <row r="27" spans="1:17" x14ac:dyDescent="0.25">
      <c r="A27"/>
      <c r="B27"/>
      <c r="C27"/>
      <c r="D27"/>
      <c r="E27"/>
      <c r="F27"/>
      <c r="G27"/>
      <c r="H27"/>
      <c r="I27"/>
      <c r="J27"/>
      <c r="K27"/>
      <c r="L27"/>
      <c r="M27"/>
      <c r="N27"/>
      <c r="O27"/>
      <c r="P27"/>
      <c r="Q27"/>
    </row>
    <row r="28" spans="1:17" x14ac:dyDescent="0.25">
      <c r="A28"/>
      <c r="B28"/>
      <c r="C28"/>
      <c r="D28"/>
      <c r="E28"/>
      <c r="F28"/>
      <c r="G28"/>
      <c r="H28"/>
      <c r="I28"/>
      <c r="J28"/>
      <c r="K28"/>
      <c r="L28"/>
      <c r="M28"/>
      <c r="N28"/>
      <c r="O28"/>
      <c r="P28"/>
      <c r="Q28"/>
    </row>
    <row r="29" spans="1:17" x14ac:dyDescent="0.25">
      <c r="A29"/>
      <c r="B29"/>
      <c r="C29"/>
      <c r="D29"/>
      <c r="E29"/>
      <c r="F29"/>
      <c r="G29"/>
      <c r="H29"/>
      <c r="I29"/>
      <c r="J29"/>
      <c r="K29"/>
      <c r="L29"/>
      <c r="M29"/>
      <c r="N29"/>
      <c r="O29"/>
      <c r="P29"/>
      <c r="Q29"/>
    </row>
    <row r="30" spans="1:17" x14ac:dyDescent="0.25">
      <c r="A30"/>
      <c r="B30"/>
      <c r="C30"/>
      <c r="D30"/>
      <c r="E30"/>
      <c r="F30"/>
      <c r="G30"/>
      <c r="H30"/>
      <c r="I30"/>
      <c r="J30"/>
      <c r="K30"/>
      <c r="L30"/>
      <c r="M30"/>
      <c r="N30"/>
      <c r="O30"/>
      <c r="P30"/>
      <c r="Q30"/>
    </row>
    <row r="31" spans="1:17" x14ac:dyDescent="0.25">
      <c r="A31"/>
      <c r="B31"/>
      <c r="C31"/>
      <c r="D31"/>
      <c r="E31"/>
      <c r="F31"/>
      <c r="G31"/>
      <c r="H31"/>
      <c r="I31"/>
      <c r="J31"/>
      <c r="K31"/>
      <c r="L31"/>
      <c r="M31"/>
      <c r="N31"/>
      <c r="O31"/>
      <c r="P31"/>
      <c r="Q31"/>
    </row>
    <row r="32" spans="1:17" x14ac:dyDescent="0.25">
      <c r="A32"/>
      <c r="B32"/>
      <c r="C32"/>
      <c r="D32"/>
      <c r="E32"/>
      <c r="F32"/>
      <c r="G32"/>
      <c r="H32"/>
      <c r="I32"/>
      <c r="J32"/>
      <c r="K32"/>
      <c r="L32"/>
      <c r="M32"/>
      <c r="N32"/>
      <c r="O32"/>
      <c r="P32"/>
      <c r="Q32"/>
    </row>
    <row r="33" spans="1:17" x14ac:dyDescent="0.25">
      <c r="A33"/>
      <c r="B33"/>
      <c r="C33"/>
      <c r="D33"/>
      <c r="E33"/>
      <c r="F33"/>
      <c r="G33"/>
      <c r="H33"/>
      <c r="I33"/>
      <c r="J33"/>
      <c r="K33"/>
      <c r="L33"/>
      <c r="M33"/>
      <c r="N33"/>
      <c r="O33"/>
      <c r="P33"/>
      <c r="Q33"/>
    </row>
    <row r="34" spans="1:17" x14ac:dyDescent="0.25">
      <c r="A34"/>
      <c r="B34"/>
      <c r="C34"/>
      <c r="D34"/>
      <c r="E34"/>
      <c r="F34"/>
      <c r="G34"/>
      <c r="H34"/>
      <c r="I34"/>
      <c r="J34"/>
      <c r="K34"/>
      <c r="L34"/>
      <c r="M34"/>
      <c r="N34"/>
      <c r="O34"/>
      <c r="P34"/>
      <c r="Q34"/>
    </row>
    <row r="35" spans="1:17" x14ac:dyDescent="0.25">
      <c r="A35"/>
      <c r="B35"/>
      <c r="C35"/>
      <c r="D35"/>
      <c r="E35"/>
      <c r="F35"/>
      <c r="G35"/>
      <c r="H35"/>
      <c r="I35"/>
      <c r="J35"/>
      <c r="K35"/>
      <c r="L35"/>
      <c r="M35"/>
      <c r="N35"/>
      <c r="O35"/>
      <c r="P35"/>
      <c r="Q35"/>
    </row>
    <row r="36" spans="1:17" x14ac:dyDescent="0.25">
      <c r="A36"/>
      <c r="B36"/>
      <c r="C36"/>
      <c r="D36"/>
      <c r="E36"/>
      <c r="F36"/>
      <c r="G36"/>
      <c r="H36"/>
      <c r="I36"/>
      <c r="J36"/>
      <c r="K36"/>
      <c r="L36"/>
      <c r="M36"/>
      <c r="N36"/>
      <c r="O36"/>
      <c r="P36"/>
      <c r="Q36"/>
    </row>
    <row r="37" spans="1:17" x14ac:dyDescent="0.25">
      <c r="A37"/>
      <c r="B37"/>
      <c r="C37"/>
      <c r="D37"/>
      <c r="E37"/>
      <c r="F37"/>
      <c r="G37"/>
      <c r="H37"/>
      <c r="I37"/>
      <c r="J37"/>
      <c r="K37"/>
      <c r="L37"/>
      <c r="M37"/>
      <c r="N37"/>
      <c r="O37"/>
      <c r="P37"/>
      <c r="Q37"/>
    </row>
    <row r="38" spans="1:17" x14ac:dyDescent="0.25">
      <c r="A38"/>
      <c r="B38"/>
      <c r="C38"/>
      <c r="D38"/>
      <c r="E38"/>
      <c r="F38"/>
      <c r="G38"/>
      <c r="H38"/>
      <c r="I38"/>
      <c r="J38"/>
      <c r="K38"/>
      <c r="L38"/>
      <c r="M38"/>
      <c r="N38"/>
      <c r="O38"/>
      <c r="P38"/>
      <c r="Q38"/>
    </row>
    <row r="39" spans="1:17" x14ac:dyDescent="0.25">
      <c r="A39"/>
      <c r="B39"/>
      <c r="C39"/>
      <c r="D39"/>
      <c r="E39"/>
      <c r="F39"/>
      <c r="G39"/>
      <c r="H39"/>
      <c r="I39"/>
      <c r="J39"/>
      <c r="K39"/>
      <c r="L39"/>
      <c r="M39"/>
      <c r="N39"/>
      <c r="O39"/>
      <c r="P39"/>
      <c r="Q39"/>
    </row>
    <row r="40" spans="1:17" x14ac:dyDescent="0.25">
      <c r="A40"/>
      <c r="B40"/>
      <c r="C40"/>
      <c r="D40"/>
      <c r="E40"/>
      <c r="F40"/>
      <c r="G40"/>
      <c r="H40"/>
      <c r="I40"/>
      <c r="J40"/>
      <c r="K40"/>
      <c r="L40"/>
      <c r="M40"/>
      <c r="N40"/>
      <c r="O40"/>
      <c r="P40"/>
      <c r="Q40"/>
    </row>
    <row r="41" spans="1:17" x14ac:dyDescent="0.25">
      <c r="A41"/>
      <c r="B41"/>
      <c r="C41"/>
      <c r="D41"/>
      <c r="E41"/>
      <c r="F41"/>
      <c r="G41"/>
      <c r="H41"/>
      <c r="I41"/>
      <c r="J41"/>
      <c r="K41"/>
      <c r="L41"/>
      <c r="M41"/>
      <c r="N41"/>
      <c r="O41"/>
      <c r="P41"/>
      <c r="Q41"/>
    </row>
    <row r="42" spans="1:17" x14ac:dyDescent="0.25">
      <c r="A42"/>
      <c r="B42"/>
      <c r="C42"/>
      <c r="D42"/>
      <c r="E42"/>
      <c r="F42"/>
      <c r="G42"/>
      <c r="H42"/>
      <c r="I42"/>
      <c r="J42"/>
      <c r="K42"/>
      <c r="L42"/>
      <c r="M42"/>
      <c r="N42"/>
      <c r="O42"/>
      <c r="P42"/>
      <c r="Q42"/>
    </row>
    <row r="43" spans="1:17" x14ac:dyDescent="0.25">
      <c r="A43"/>
      <c r="B43"/>
      <c r="C43"/>
      <c r="D43"/>
      <c r="E43"/>
      <c r="F43"/>
      <c r="G43"/>
      <c r="H43"/>
      <c r="I43"/>
      <c r="J43"/>
      <c r="K43"/>
      <c r="L43"/>
      <c r="M43"/>
      <c r="N43"/>
      <c r="O43"/>
      <c r="P43"/>
      <c r="Q43"/>
    </row>
    <row r="44" spans="1:17" x14ac:dyDescent="0.25">
      <c r="A44"/>
      <c r="B44"/>
      <c r="C44"/>
      <c r="D44"/>
      <c r="E44"/>
      <c r="F44"/>
      <c r="G44"/>
      <c r="H44"/>
      <c r="I44"/>
      <c r="J44"/>
      <c r="K44"/>
      <c r="L44"/>
      <c r="M44"/>
      <c r="N44"/>
      <c r="O44"/>
      <c r="P44"/>
      <c r="Q44"/>
    </row>
    <row r="45" spans="1:17" x14ac:dyDescent="0.25">
      <c r="A45"/>
      <c r="B45"/>
      <c r="C45"/>
      <c r="D45"/>
      <c r="E45"/>
      <c r="F45"/>
      <c r="G45"/>
      <c r="H45"/>
      <c r="I45"/>
      <c r="J45"/>
      <c r="K45"/>
      <c r="L45"/>
      <c r="M45"/>
      <c r="N45"/>
      <c r="O45"/>
      <c r="P45"/>
      <c r="Q45"/>
    </row>
    <row r="46" spans="1:17" x14ac:dyDescent="0.25">
      <c r="A46"/>
      <c r="B46"/>
      <c r="C46"/>
      <c r="D46"/>
      <c r="E46"/>
      <c r="F46"/>
      <c r="G46"/>
      <c r="H46"/>
      <c r="I46"/>
      <c r="J46"/>
      <c r="K46"/>
      <c r="L46"/>
      <c r="M46"/>
      <c r="N46"/>
      <c r="O46"/>
      <c r="P46"/>
      <c r="Q46"/>
    </row>
    <row r="47" spans="1:17" x14ac:dyDescent="0.25">
      <c r="A47"/>
      <c r="B47"/>
      <c r="C47"/>
      <c r="D47"/>
      <c r="E47"/>
      <c r="F47"/>
      <c r="G47"/>
      <c r="H47"/>
      <c r="I47"/>
      <c r="J47"/>
      <c r="K47"/>
      <c r="L47"/>
      <c r="M47"/>
      <c r="N47"/>
      <c r="O47"/>
      <c r="P47"/>
      <c r="Q47"/>
    </row>
    <row r="48" spans="1:17" x14ac:dyDescent="0.25">
      <c r="A48"/>
      <c r="B48"/>
      <c r="C48"/>
      <c r="D48"/>
      <c r="E48"/>
      <c r="F48"/>
      <c r="G48"/>
      <c r="H48"/>
      <c r="I48"/>
      <c r="J48"/>
      <c r="K48"/>
      <c r="L48"/>
      <c r="M48"/>
      <c r="N48"/>
      <c r="O48"/>
      <c r="P48"/>
      <c r="Q48"/>
    </row>
    <row r="49" spans="1:17" x14ac:dyDescent="0.25">
      <c r="A49"/>
      <c r="B49"/>
      <c r="C49"/>
      <c r="D49"/>
      <c r="E49"/>
      <c r="F49"/>
      <c r="G49"/>
      <c r="H49"/>
      <c r="I49"/>
      <c r="J49"/>
      <c r="K49"/>
      <c r="L49"/>
      <c r="M49"/>
      <c r="N49"/>
      <c r="O49"/>
      <c r="P49"/>
      <c r="Q49"/>
    </row>
    <row r="50" spans="1:17" x14ac:dyDescent="0.25">
      <c r="A50"/>
      <c r="B50"/>
      <c r="C50"/>
      <c r="D50"/>
      <c r="E50"/>
      <c r="F50"/>
      <c r="G50"/>
      <c r="H50"/>
      <c r="I50"/>
      <c r="J50"/>
      <c r="K50"/>
      <c r="L50"/>
      <c r="M50"/>
      <c r="N50"/>
      <c r="O50"/>
      <c r="P50"/>
      <c r="Q50"/>
    </row>
  </sheetData>
  <mergeCells count="6">
    <mergeCell ref="N12:P12"/>
    <mergeCell ref="A12:A13"/>
    <mergeCell ref="B12:D12"/>
    <mergeCell ref="E12:G12"/>
    <mergeCell ref="J12:J13"/>
    <mergeCell ref="K12:M12"/>
  </mergeCells>
  <conditionalFormatting sqref="P14:P16">
    <cfRule type="containsText" dxfId="203" priority="1" operator="containsText" text="CRÍTICO">
      <formula>NOT(ISERROR(SEARCH("CRÍTICO",P14)))</formula>
    </cfRule>
    <cfRule type="containsText" dxfId="202" priority="2" operator="containsText" text="INSATISFATÓRIO">
      <formula>NOT(ISERROR(SEARCH("INSATISFATÓRIO",P14)))</formula>
    </cfRule>
    <cfRule type="containsText" dxfId="201" priority="3" operator="containsText" text="DESEJÁVEL">
      <formula>NOT(ISERROR(SEARCH("DESEJÁVEL",P14)))</formula>
    </cfRule>
    <cfRule type="containsText" dxfId="200" priority="4" operator="containsText" text="SATISFATÓRIO">
      <formula>NOT(ISERROR(SEARCH("SATISFATÓRIO",P14)))</formula>
    </cfRule>
  </conditionalFormatting>
  <conditionalFormatting sqref="D14:D16">
    <cfRule type="containsText" dxfId="199" priority="13" operator="containsText" text="CRÍTICO">
      <formula>NOT(ISERROR(SEARCH("CRÍTICO",D14)))</formula>
    </cfRule>
    <cfRule type="containsText" dxfId="198" priority="14" operator="containsText" text="INSATISFATÓRIO">
      <formula>NOT(ISERROR(SEARCH("INSATISFATÓRIO",D14)))</formula>
    </cfRule>
    <cfRule type="containsText" dxfId="197" priority="15" operator="containsText" text="DESEJÁVEL">
      <formula>NOT(ISERROR(SEARCH("DESEJÁVEL",D14)))</formula>
    </cfRule>
    <cfRule type="containsText" dxfId="196" priority="16" operator="containsText" text="SATISFATÓRIO">
      <formula>NOT(ISERROR(SEARCH("SATISFATÓRIO",D14)))</formula>
    </cfRule>
  </conditionalFormatting>
  <conditionalFormatting sqref="G14:G16">
    <cfRule type="containsText" dxfId="195" priority="9" operator="containsText" text="CRÍTICO">
      <formula>NOT(ISERROR(SEARCH("CRÍTICO",G14)))</formula>
    </cfRule>
    <cfRule type="containsText" dxfId="194" priority="10" operator="containsText" text="INSATISFATÓRIO">
      <formula>NOT(ISERROR(SEARCH("INSATISFATÓRIO",G14)))</formula>
    </cfRule>
    <cfRule type="containsText" dxfId="193" priority="11" operator="containsText" text="DESEJÁVEL">
      <formula>NOT(ISERROR(SEARCH("DESEJÁVEL",G14)))</formula>
    </cfRule>
    <cfRule type="containsText" dxfId="192" priority="12" operator="containsText" text="SATISFATÓRIO">
      <formula>NOT(ISERROR(SEARCH("SATISFATÓRIO",G14)))</formula>
    </cfRule>
  </conditionalFormatting>
  <conditionalFormatting sqref="M14:M16">
    <cfRule type="containsText" dxfId="191" priority="5" operator="containsText" text="CRÍTICO">
      <formula>NOT(ISERROR(SEARCH("CRÍTICO",M14)))</formula>
    </cfRule>
    <cfRule type="containsText" dxfId="190" priority="6" operator="containsText" text="INSATISFATÓRIO">
      <formula>NOT(ISERROR(SEARCH("INSATISFATÓRIO",M14)))</formula>
    </cfRule>
    <cfRule type="containsText" dxfId="189" priority="7" operator="containsText" text="DESEJÁVEL">
      <formula>NOT(ISERROR(SEARCH("DESEJÁVEL",M14)))</formula>
    </cfRule>
    <cfRule type="containsText" dxfId="188" priority="8" operator="containsText" text="SATISFATÓRIO">
      <formula>NOT(ISERROR(SEARCH("SATISFATÓRIO",M14)))</formula>
    </cfRule>
  </conditionalFormatting>
  <pageMargins left="0.511811024" right="0.511811024" top="0.78740157499999996" bottom="0.78740157499999996" header="0.31496062000000002" footer="0.31496062000000002"/>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6"/>
  <dimension ref="A10:Q50"/>
  <sheetViews>
    <sheetView showGridLines="0" workbookViewId="0"/>
  </sheetViews>
  <sheetFormatPr defaultRowHeight="15" x14ac:dyDescent="0.25"/>
  <cols>
    <col min="1" max="1" width="36.28515625" style="1" customWidth="1"/>
    <col min="2" max="3" width="13.7109375" style="1" customWidth="1"/>
    <col min="4" max="4" width="15.7109375" style="1" customWidth="1"/>
    <col min="5" max="6" width="13.7109375" style="1" customWidth="1"/>
    <col min="7" max="7" width="15.7109375" style="1" customWidth="1"/>
    <col min="8" max="9" width="9.140625" style="1"/>
    <col min="10" max="10" width="36.28515625" style="1" customWidth="1"/>
    <col min="11" max="12" width="13.7109375" style="1" customWidth="1"/>
    <col min="13" max="13" width="15.7109375" style="1" customWidth="1"/>
    <col min="14" max="15" width="13.7109375" style="1" customWidth="1"/>
    <col min="16" max="16" width="15.7109375" style="1" customWidth="1"/>
    <col min="17" max="16384" width="9.140625" style="1"/>
  </cols>
  <sheetData>
    <row r="10" spans="1:17" x14ac:dyDescent="0.25">
      <c r="A10" s="425"/>
      <c r="B10" s="425"/>
      <c r="C10" s="425"/>
      <c r="D10" s="425"/>
      <c r="E10" s="425"/>
      <c r="F10" s="425"/>
      <c r="G10" s="425"/>
      <c r="H10" s="425"/>
      <c r="I10" s="425"/>
      <c r="J10" s="425"/>
      <c r="K10" s="425"/>
      <c r="L10" s="425"/>
      <c r="M10" s="425"/>
      <c r="N10" s="425"/>
      <c r="O10" s="425"/>
      <c r="P10" s="425"/>
      <c r="Q10" s="425"/>
    </row>
    <row r="11" spans="1:17" x14ac:dyDescent="0.25">
      <c r="A11" s="425"/>
      <c r="B11" s="425"/>
      <c r="C11" s="425"/>
      <c r="D11" s="425"/>
      <c r="E11" s="425"/>
      <c r="F11" s="425"/>
      <c r="G11" s="425"/>
      <c r="H11" s="425"/>
      <c r="I11" s="425"/>
      <c r="J11" s="425"/>
      <c r="K11" s="425"/>
      <c r="L11" s="425"/>
      <c r="M11" s="425"/>
      <c r="N11" s="425"/>
      <c r="O11" s="425"/>
      <c r="P11" s="425"/>
      <c r="Q11" s="425"/>
    </row>
    <row r="12" spans="1:17" x14ac:dyDescent="0.25">
      <c r="A12" s="700" t="str">
        <f>'[4]VCO-SALÁRIO'!A3</f>
        <v>MEU SALÁRIO É JUSTO E ADEQUADO A MINHA FUNÇÃO?</v>
      </c>
      <c r="B12" s="702">
        <f>'[4]VCO-SALÁRIO'!B3</f>
        <v>2020</v>
      </c>
      <c r="C12" s="702"/>
      <c r="D12" s="702"/>
      <c r="E12" s="702">
        <f>'[4]VCO-SALÁRIO'!E3</f>
        <v>2017</v>
      </c>
      <c r="F12" s="702"/>
      <c r="G12" s="702"/>
      <c r="H12"/>
      <c r="I12"/>
      <c r="J12" s="700" t="str">
        <f>'[4]VCO-SALÁRIO'!J3</f>
        <v>MEU SALÁRIO E BENEFÍCIOS ESTÃO NA MÉDIA OU ACIMA DO QUE É OFERECIDO NO MERCADO?</v>
      </c>
      <c r="K12" s="702">
        <f>'[4]VCO-SALÁRIO'!K3</f>
        <v>2020</v>
      </c>
      <c r="L12" s="702"/>
      <c r="M12" s="702"/>
      <c r="N12" s="702">
        <f>'[4]VCO-SALÁRIO'!N3</f>
        <v>2017</v>
      </c>
      <c r="O12" s="702"/>
      <c r="P12" s="702"/>
      <c r="Q12"/>
    </row>
    <row r="13" spans="1:17" ht="46.5" customHeight="1" x14ac:dyDescent="0.25">
      <c r="A13" s="700"/>
      <c r="B13" s="426" t="str">
        <f>'[4]VCO-SALÁRIO'!B4</f>
        <v>TOTAL</v>
      </c>
      <c r="C13" s="426" t="str">
        <f>'[4]VCO-SALÁRIO'!C4</f>
        <v>%</v>
      </c>
      <c r="D13" s="426" t="str">
        <f>'[4]VCO-SALÁRIO'!D4</f>
        <v>RESULTADO</v>
      </c>
      <c r="E13" s="426" t="str">
        <f>'[4]VCO-SALÁRIO'!E4</f>
        <v>TOTAL</v>
      </c>
      <c r="F13" s="426" t="str">
        <f>'[4]VCO-SALÁRIO'!F4</f>
        <v>%</v>
      </c>
      <c r="G13" s="426" t="str">
        <f>'[4]VCO-SALÁRIO'!G4</f>
        <v>RESULTADO</v>
      </c>
      <c r="H13"/>
      <c r="I13"/>
      <c r="J13" s="700"/>
      <c r="K13" s="426" t="str">
        <f>'[4]VCO-SALÁRIO'!K4</f>
        <v>TOTAL</v>
      </c>
      <c r="L13" s="426" t="str">
        <f>'[4]VCO-SALÁRIO'!L4</f>
        <v>%</v>
      </c>
      <c r="M13" s="426" t="str">
        <f>'[4]VCO-SALÁRIO'!M4</f>
        <v>RESULTADO</v>
      </c>
      <c r="N13" s="426" t="str">
        <f>'[4]VCO-SALÁRIO'!N4</f>
        <v>TOTAL</v>
      </c>
      <c r="O13" s="426" t="str">
        <f>'[4]VCO-SALÁRIO'!O4</f>
        <v>%</v>
      </c>
      <c r="P13" s="426" t="str">
        <f>'[4]VCO-SALÁRIO'!P4</f>
        <v>RESULTADO</v>
      </c>
      <c r="Q13"/>
    </row>
    <row r="14" spans="1:17" x14ac:dyDescent="0.25">
      <c r="A14" s="428" t="str">
        <f>'[4]VCO-SALÁRIO'!A5</f>
        <v>SIM</v>
      </c>
      <c r="B14" s="59">
        <f>'[4]VCO-SALÁRIO'!B5</f>
        <v>90</v>
      </c>
      <c r="C14" s="440">
        <f>'[4]VCO-SALÁRIO'!C5</f>
        <v>0.46875</v>
      </c>
      <c r="D14" s="430" t="str">
        <f>'[4]VCO-SALÁRIO'!D5</f>
        <v>INSATISFATÓRIO</v>
      </c>
      <c r="E14" s="452">
        <f>'[4]VCO-SALÁRIO'!E5</f>
        <v>61</v>
      </c>
      <c r="F14" s="430">
        <f>'[4]VCO-SALÁRIO'!F5</f>
        <v>0.33333333333333331</v>
      </c>
      <c r="G14" s="430" t="str">
        <f>'[4]VCO-SALÁRIO'!G5</f>
        <v>INSATISFATÓRIO</v>
      </c>
      <c r="H14"/>
      <c r="I14"/>
      <c r="J14" s="428" t="str">
        <f>'[4]VCO-SALÁRIO'!J5</f>
        <v>SIM</v>
      </c>
      <c r="K14" s="59">
        <f>'[4]VCO-SALÁRIO'!K5</f>
        <v>55</v>
      </c>
      <c r="L14" s="440">
        <f>'[4]VCO-SALÁRIO'!L5</f>
        <v>0.28645833333333331</v>
      </c>
      <c r="M14" s="430" t="str">
        <f>'[4]VCO-SALÁRIO'!M5</f>
        <v>INSATISFATÓRIO</v>
      </c>
      <c r="N14" s="452" t="str">
        <f>'[4]VCO-SALÁRIO'!N5</f>
        <v>*</v>
      </c>
      <c r="O14" s="430" t="str">
        <f>'[4]VCO-SALÁRIO'!O5</f>
        <v>*</v>
      </c>
      <c r="P14" s="440" t="str">
        <f>'[4]VCO-SALÁRIO'!P5</f>
        <v>*</v>
      </c>
      <c r="Q14"/>
    </row>
    <row r="15" spans="1:17" x14ac:dyDescent="0.25">
      <c r="A15" s="433" t="str">
        <f>'[4]VCO-SALÁRIO'!A6</f>
        <v>PARCIAL</v>
      </c>
      <c r="B15" s="59">
        <f>'[4]VCO-SALÁRIO'!B6</f>
        <v>69</v>
      </c>
      <c r="C15" s="440">
        <f>'[4]VCO-SALÁRIO'!C6</f>
        <v>0.359375</v>
      </c>
      <c r="D15" s="430" t="str">
        <f>'[4]VCO-SALÁRIO'!D6</f>
        <v>SATISFATÓRIO</v>
      </c>
      <c r="E15" s="452">
        <f>'[4]VCO-SALÁRIO'!E6</f>
        <v>58</v>
      </c>
      <c r="F15" s="430">
        <f>'[4]VCO-SALÁRIO'!F6</f>
        <v>0.31693989071038253</v>
      </c>
      <c r="G15" s="430" t="str">
        <f>'[4]VCO-SALÁRIO'!G6</f>
        <v>SATISFATÓRIO</v>
      </c>
      <c r="H15"/>
      <c r="I15"/>
      <c r="J15" s="433" t="str">
        <f>'[4]VCO-SALÁRIO'!J6</f>
        <v>PARCIAL</v>
      </c>
      <c r="K15" s="59">
        <f>'[4]VCO-SALÁRIO'!K6</f>
        <v>81</v>
      </c>
      <c r="L15" s="440">
        <f>'[4]VCO-SALÁRIO'!L6</f>
        <v>0.421875</v>
      </c>
      <c r="M15" s="430" t="str">
        <f>'[4]VCO-SALÁRIO'!M6</f>
        <v>SATISFATÓRIO</v>
      </c>
      <c r="N15" s="452" t="str">
        <f>'[4]VCO-SALÁRIO'!N6</f>
        <v>*</v>
      </c>
      <c r="O15" s="430" t="str">
        <f>'[4]VCO-SALÁRIO'!O6</f>
        <v>*</v>
      </c>
      <c r="P15" s="440" t="str">
        <f>'[4]VCO-SALÁRIO'!P6</f>
        <v>*</v>
      </c>
      <c r="Q15"/>
    </row>
    <row r="16" spans="1:17" x14ac:dyDescent="0.25">
      <c r="A16" s="433" t="str">
        <f>'[4]VCO-SALÁRIO'!A7</f>
        <v>NÃO</v>
      </c>
      <c r="B16" s="59">
        <f>'[4]VCO-SALÁRIO'!B7</f>
        <v>33</v>
      </c>
      <c r="C16" s="440">
        <f>'[4]VCO-SALÁRIO'!C7</f>
        <v>0.171875</v>
      </c>
      <c r="D16" s="430" t="str">
        <f>'[4]VCO-SALÁRIO'!D7</f>
        <v>INSATISFATÓRIO</v>
      </c>
      <c r="E16" s="452">
        <f>'[4]VCO-SALÁRIO'!E7</f>
        <v>64</v>
      </c>
      <c r="F16" s="430">
        <f>'[4]VCO-SALÁRIO'!F7</f>
        <v>0.34972677595628415</v>
      </c>
      <c r="G16" s="430" t="str">
        <f>'[4]VCO-SALÁRIO'!G7</f>
        <v>CRÍTICO</v>
      </c>
      <c r="H16"/>
      <c r="I16"/>
      <c r="J16" s="433" t="str">
        <f>'[4]VCO-SALÁRIO'!J7</f>
        <v>NÃO</v>
      </c>
      <c r="K16" s="59">
        <f>'[4]VCO-SALÁRIO'!K7</f>
        <v>56</v>
      </c>
      <c r="L16" s="440">
        <f>'[4]VCO-SALÁRIO'!L7</f>
        <v>0.29166666666666669</v>
      </c>
      <c r="M16" s="430" t="str">
        <f>'[4]VCO-SALÁRIO'!M7</f>
        <v>INSATISFATÓRIO</v>
      </c>
      <c r="N16" s="452" t="str">
        <f>'[4]VCO-SALÁRIO'!N7</f>
        <v>*</v>
      </c>
      <c r="O16" s="430" t="str">
        <f>'[4]VCO-SALÁRIO'!O7</f>
        <v>*</v>
      </c>
      <c r="P16" s="440" t="str">
        <f>'[4]VCO-SALÁRIO'!P7</f>
        <v>*</v>
      </c>
      <c r="Q16"/>
    </row>
    <row r="17" spans="1:17" x14ac:dyDescent="0.25">
      <c r="A17" s="82" t="str">
        <f>'[4]VCO-SALÁRIO'!A8</f>
        <v>TOTAL</v>
      </c>
      <c r="B17" s="422">
        <f>'[4]VCO-SALÁRIO'!B8</f>
        <v>192</v>
      </c>
      <c r="C17" s="436">
        <f>'[4]VCO-SALÁRIO'!C8</f>
        <v>1</v>
      </c>
      <c r="D17" s="439"/>
      <c r="E17" s="422">
        <f>'[4]VCO-SALÁRIO'!E8</f>
        <v>183</v>
      </c>
      <c r="F17" s="436">
        <f>'[4]VCO-SALÁRIO'!F8</f>
        <v>1</v>
      </c>
      <c r="G17" s="439"/>
      <c r="H17"/>
      <c r="I17"/>
      <c r="J17" s="82" t="str">
        <f>'[4]VCO-SALÁRIO'!J8</f>
        <v>TOTAL</v>
      </c>
      <c r="K17" s="422">
        <f>'[4]VCO-SALÁRIO'!K8</f>
        <v>192</v>
      </c>
      <c r="L17" s="436">
        <f>'[4]VCO-SALÁRIO'!L8</f>
        <v>1</v>
      </c>
      <c r="M17" s="439"/>
      <c r="N17" s="422" t="str">
        <f>'[4]VCO-SALÁRIO'!N8</f>
        <v>*</v>
      </c>
      <c r="O17" s="436" t="str">
        <f>'[4]VCO-SALÁRIO'!O8</f>
        <v>*</v>
      </c>
      <c r="P17" s="439"/>
      <c r="Q17"/>
    </row>
    <row r="18" spans="1:17" x14ac:dyDescent="0.25">
      <c r="A18"/>
      <c r="B18"/>
      <c r="C18"/>
      <c r="D18"/>
      <c r="E18"/>
      <c r="F18"/>
      <c r="G18"/>
      <c r="H18"/>
      <c r="I18"/>
      <c r="J18"/>
      <c r="K18"/>
      <c r="L18"/>
      <c r="M18"/>
      <c r="N18"/>
      <c r="O18"/>
      <c r="P18"/>
      <c r="Q18"/>
    </row>
    <row r="19" spans="1:17" x14ac:dyDescent="0.25">
      <c r="A19"/>
      <c r="B19"/>
      <c r="C19"/>
      <c r="D19"/>
      <c r="E19"/>
      <c r="F19"/>
      <c r="G19"/>
      <c r="H19"/>
      <c r="I19"/>
      <c r="J19"/>
      <c r="K19"/>
      <c r="L19"/>
      <c r="M19"/>
      <c r="N19"/>
      <c r="O19"/>
      <c r="P19"/>
      <c r="Q19"/>
    </row>
    <row r="20" spans="1:17" x14ac:dyDescent="0.25">
      <c r="A20"/>
      <c r="B20"/>
      <c r="C20"/>
      <c r="D20"/>
      <c r="E20"/>
      <c r="F20"/>
      <c r="G20"/>
      <c r="H20"/>
      <c r="I20"/>
      <c r="J20"/>
      <c r="K20"/>
      <c r="L20"/>
      <c r="M20"/>
      <c r="N20"/>
      <c r="O20"/>
      <c r="P20"/>
      <c r="Q20"/>
    </row>
    <row r="21" spans="1:17" x14ac:dyDescent="0.25">
      <c r="A21"/>
      <c r="B21"/>
      <c r="C21"/>
      <c r="D21"/>
      <c r="E21"/>
      <c r="F21"/>
      <c r="G21"/>
      <c r="H21"/>
      <c r="I21"/>
      <c r="J21"/>
      <c r="K21"/>
      <c r="L21"/>
      <c r="M21"/>
      <c r="N21"/>
      <c r="O21"/>
      <c r="P21"/>
      <c r="Q21"/>
    </row>
    <row r="22" spans="1:17" x14ac:dyDescent="0.25">
      <c r="A22"/>
      <c r="B22"/>
      <c r="C22"/>
      <c r="D22"/>
      <c r="E22"/>
      <c r="F22"/>
      <c r="G22"/>
      <c r="H22"/>
      <c r="I22"/>
      <c r="J22"/>
      <c r="K22"/>
      <c r="L22"/>
      <c r="M22"/>
      <c r="N22"/>
      <c r="O22"/>
      <c r="P22"/>
      <c r="Q22"/>
    </row>
    <row r="23" spans="1:17" x14ac:dyDescent="0.25">
      <c r="A23"/>
      <c r="B23"/>
      <c r="C23"/>
      <c r="D23"/>
      <c r="E23"/>
      <c r="F23"/>
      <c r="G23"/>
      <c r="H23"/>
      <c r="I23"/>
      <c r="J23"/>
      <c r="K23"/>
      <c r="L23"/>
      <c r="M23"/>
      <c r="N23"/>
      <c r="O23"/>
      <c r="P23"/>
      <c r="Q23"/>
    </row>
    <row r="24" spans="1:17" x14ac:dyDescent="0.25">
      <c r="A24"/>
      <c r="B24"/>
      <c r="C24"/>
      <c r="D24"/>
      <c r="E24"/>
      <c r="F24"/>
      <c r="G24"/>
      <c r="H24"/>
      <c r="I24"/>
      <c r="J24"/>
      <c r="K24"/>
      <c r="L24"/>
      <c r="M24"/>
      <c r="N24"/>
      <c r="O24"/>
      <c r="P24"/>
      <c r="Q24"/>
    </row>
    <row r="25" spans="1:17" x14ac:dyDescent="0.25">
      <c r="A25"/>
      <c r="B25"/>
      <c r="C25"/>
      <c r="D25"/>
      <c r="E25"/>
      <c r="F25"/>
      <c r="G25"/>
      <c r="H25"/>
      <c r="I25"/>
      <c r="J25"/>
      <c r="K25"/>
      <c r="L25"/>
      <c r="M25"/>
      <c r="N25"/>
      <c r="O25"/>
      <c r="P25"/>
      <c r="Q25"/>
    </row>
    <row r="26" spans="1:17" x14ac:dyDescent="0.25">
      <c r="A26"/>
      <c r="B26"/>
      <c r="C26"/>
      <c r="D26"/>
      <c r="E26"/>
      <c r="F26"/>
      <c r="G26"/>
      <c r="H26"/>
      <c r="I26"/>
      <c r="J26"/>
      <c r="K26"/>
      <c r="L26"/>
      <c r="M26"/>
      <c r="N26"/>
      <c r="O26"/>
      <c r="P26"/>
      <c r="Q26"/>
    </row>
    <row r="27" spans="1:17" x14ac:dyDescent="0.25">
      <c r="A27"/>
      <c r="B27"/>
      <c r="C27"/>
      <c r="D27"/>
      <c r="E27"/>
      <c r="F27"/>
      <c r="G27"/>
      <c r="H27"/>
      <c r="I27"/>
      <c r="J27"/>
      <c r="K27"/>
      <c r="L27"/>
      <c r="M27"/>
      <c r="N27"/>
      <c r="O27"/>
      <c r="P27"/>
      <c r="Q27"/>
    </row>
    <row r="28" spans="1:17" x14ac:dyDescent="0.25">
      <c r="A28"/>
      <c r="B28"/>
      <c r="C28"/>
      <c r="D28"/>
      <c r="E28"/>
      <c r="F28"/>
      <c r="G28"/>
      <c r="H28"/>
      <c r="I28"/>
      <c r="J28"/>
      <c r="K28"/>
      <c r="L28"/>
      <c r="M28"/>
      <c r="N28"/>
      <c r="O28"/>
      <c r="P28"/>
      <c r="Q28"/>
    </row>
    <row r="29" spans="1:17" x14ac:dyDescent="0.25">
      <c r="A29"/>
      <c r="B29"/>
      <c r="C29"/>
      <c r="D29"/>
      <c r="E29"/>
      <c r="F29"/>
      <c r="G29"/>
      <c r="H29"/>
      <c r="I29"/>
      <c r="J29"/>
      <c r="K29"/>
      <c r="L29"/>
      <c r="M29"/>
      <c r="N29"/>
      <c r="O29"/>
      <c r="P29"/>
      <c r="Q29"/>
    </row>
    <row r="30" spans="1:17" x14ac:dyDescent="0.25">
      <c r="A30"/>
      <c r="B30"/>
      <c r="C30"/>
      <c r="D30"/>
      <c r="E30"/>
      <c r="F30"/>
      <c r="G30"/>
      <c r="H30"/>
      <c r="I30"/>
      <c r="J30"/>
      <c r="K30"/>
      <c r="L30"/>
      <c r="M30"/>
      <c r="N30"/>
      <c r="O30"/>
      <c r="P30"/>
      <c r="Q30"/>
    </row>
    <row r="31" spans="1:17" x14ac:dyDescent="0.25">
      <c r="A31"/>
      <c r="B31"/>
      <c r="C31"/>
      <c r="D31"/>
      <c r="E31"/>
      <c r="F31"/>
      <c r="G31"/>
      <c r="H31"/>
      <c r="I31"/>
      <c r="J31"/>
      <c r="K31"/>
      <c r="L31"/>
      <c r="M31"/>
      <c r="N31"/>
      <c r="O31"/>
      <c r="P31"/>
      <c r="Q31"/>
    </row>
    <row r="32" spans="1:17" x14ac:dyDescent="0.25">
      <c r="A32"/>
      <c r="B32"/>
      <c r="C32"/>
      <c r="D32"/>
      <c r="E32"/>
      <c r="F32"/>
      <c r="G32"/>
      <c r="H32"/>
      <c r="I32"/>
      <c r="J32"/>
      <c r="K32"/>
      <c r="L32"/>
      <c r="M32"/>
      <c r="N32"/>
      <c r="O32"/>
      <c r="P32"/>
      <c r="Q32"/>
    </row>
    <row r="33" spans="1:17" x14ac:dyDescent="0.25">
      <c r="A33"/>
      <c r="B33"/>
      <c r="C33"/>
      <c r="D33"/>
      <c r="E33"/>
      <c r="F33"/>
      <c r="G33"/>
      <c r="H33"/>
      <c r="I33"/>
      <c r="J33"/>
      <c r="K33"/>
      <c r="L33"/>
      <c r="M33"/>
      <c r="N33"/>
      <c r="O33"/>
      <c r="P33"/>
      <c r="Q33"/>
    </row>
    <row r="34" spans="1:17" x14ac:dyDescent="0.25">
      <c r="A34"/>
      <c r="B34"/>
      <c r="C34"/>
      <c r="D34"/>
      <c r="E34"/>
      <c r="F34"/>
      <c r="G34"/>
      <c r="H34"/>
      <c r="I34"/>
      <c r="J34"/>
      <c r="K34"/>
      <c r="L34"/>
      <c r="M34"/>
      <c r="N34"/>
      <c r="O34"/>
      <c r="P34"/>
      <c r="Q34"/>
    </row>
    <row r="35" spans="1:17" x14ac:dyDescent="0.25">
      <c r="A35"/>
      <c r="B35"/>
      <c r="C35"/>
      <c r="D35"/>
      <c r="E35"/>
      <c r="F35"/>
      <c r="G35"/>
      <c r="H35"/>
      <c r="I35"/>
      <c r="J35"/>
      <c r="K35"/>
      <c r="L35"/>
      <c r="M35"/>
      <c r="N35"/>
      <c r="O35"/>
      <c r="P35"/>
      <c r="Q35"/>
    </row>
    <row r="36" spans="1:17" x14ac:dyDescent="0.25">
      <c r="A36"/>
      <c r="B36"/>
      <c r="C36"/>
      <c r="D36"/>
      <c r="E36"/>
      <c r="F36"/>
      <c r="G36"/>
      <c r="H36"/>
      <c r="I36"/>
      <c r="J36"/>
      <c r="K36"/>
      <c r="L36"/>
      <c r="M36"/>
      <c r="N36"/>
      <c r="O36"/>
      <c r="P36"/>
      <c r="Q36"/>
    </row>
    <row r="37" spans="1:17" x14ac:dyDescent="0.25">
      <c r="A37"/>
      <c r="B37"/>
      <c r="C37"/>
      <c r="D37"/>
      <c r="E37"/>
      <c r="F37"/>
      <c r="G37"/>
      <c r="H37"/>
      <c r="I37"/>
      <c r="J37"/>
      <c r="K37"/>
      <c r="L37"/>
      <c r="M37"/>
      <c r="N37"/>
      <c r="O37"/>
      <c r="P37"/>
      <c r="Q37"/>
    </row>
    <row r="38" spans="1:17" x14ac:dyDescent="0.25">
      <c r="A38"/>
      <c r="B38"/>
      <c r="C38"/>
      <c r="D38"/>
      <c r="E38"/>
      <c r="F38"/>
      <c r="G38"/>
      <c r="H38"/>
      <c r="I38"/>
      <c r="J38"/>
      <c r="K38"/>
      <c r="L38"/>
      <c r="M38"/>
      <c r="N38"/>
      <c r="O38"/>
      <c r="P38"/>
      <c r="Q38"/>
    </row>
    <row r="39" spans="1:17" x14ac:dyDescent="0.25">
      <c r="A39"/>
      <c r="B39"/>
      <c r="C39"/>
      <c r="D39"/>
      <c r="E39"/>
      <c r="F39"/>
      <c r="G39"/>
      <c r="H39"/>
      <c r="I39"/>
      <c r="J39"/>
      <c r="K39"/>
      <c r="L39"/>
      <c r="M39"/>
      <c r="N39"/>
      <c r="O39"/>
      <c r="P39"/>
      <c r="Q39"/>
    </row>
    <row r="40" spans="1:17" x14ac:dyDescent="0.25">
      <c r="A40"/>
      <c r="B40"/>
      <c r="C40"/>
      <c r="D40"/>
      <c r="E40"/>
      <c r="F40"/>
      <c r="G40"/>
      <c r="H40"/>
      <c r="I40"/>
      <c r="J40"/>
      <c r="K40"/>
      <c r="L40"/>
      <c r="M40"/>
      <c r="N40"/>
      <c r="O40"/>
      <c r="P40"/>
      <c r="Q40"/>
    </row>
    <row r="41" spans="1:17" x14ac:dyDescent="0.25">
      <c r="A41"/>
      <c r="B41"/>
      <c r="C41"/>
      <c r="D41"/>
      <c r="E41"/>
      <c r="F41"/>
      <c r="G41"/>
      <c r="H41"/>
      <c r="I41"/>
      <c r="J41"/>
      <c r="K41"/>
      <c r="L41"/>
      <c r="M41"/>
      <c r="N41"/>
      <c r="O41"/>
      <c r="P41"/>
      <c r="Q41"/>
    </row>
    <row r="42" spans="1:17" x14ac:dyDescent="0.25">
      <c r="A42"/>
      <c r="B42"/>
      <c r="C42"/>
      <c r="D42"/>
      <c r="E42"/>
      <c r="F42"/>
      <c r="G42"/>
      <c r="H42"/>
      <c r="I42"/>
      <c r="J42"/>
      <c r="K42"/>
      <c r="L42"/>
      <c r="M42"/>
      <c r="N42"/>
      <c r="O42"/>
      <c r="P42"/>
      <c r="Q42"/>
    </row>
    <row r="43" spans="1:17" x14ac:dyDescent="0.25">
      <c r="A43"/>
      <c r="B43"/>
      <c r="C43"/>
      <c r="D43"/>
      <c r="E43"/>
      <c r="F43"/>
      <c r="G43"/>
      <c r="H43"/>
      <c r="I43"/>
      <c r="J43"/>
      <c r="K43"/>
      <c r="L43"/>
      <c r="M43"/>
      <c r="N43"/>
      <c r="O43"/>
      <c r="P43"/>
      <c r="Q43"/>
    </row>
    <row r="44" spans="1:17" x14ac:dyDescent="0.25">
      <c r="A44"/>
      <c r="B44"/>
      <c r="C44"/>
      <c r="D44"/>
      <c r="E44"/>
      <c r="F44"/>
      <c r="G44"/>
      <c r="H44"/>
      <c r="I44"/>
      <c r="J44"/>
      <c r="K44"/>
      <c r="L44"/>
      <c r="M44"/>
      <c r="N44"/>
      <c r="O44"/>
      <c r="P44"/>
      <c r="Q44"/>
    </row>
    <row r="45" spans="1:17" x14ac:dyDescent="0.25">
      <c r="A45"/>
      <c r="B45"/>
      <c r="C45"/>
      <c r="D45"/>
      <c r="E45"/>
      <c r="F45"/>
      <c r="G45"/>
      <c r="H45"/>
      <c r="I45"/>
      <c r="J45"/>
      <c r="K45"/>
      <c r="L45"/>
      <c r="M45"/>
      <c r="N45"/>
      <c r="O45"/>
      <c r="P45"/>
      <c r="Q45"/>
    </row>
    <row r="46" spans="1:17" x14ac:dyDescent="0.25">
      <c r="A46"/>
      <c r="B46"/>
      <c r="C46"/>
      <c r="D46"/>
      <c r="E46"/>
      <c r="F46"/>
      <c r="G46"/>
      <c r="H46"/>
      <c r="I46"/>
      <c r="J46"/>
      <c r="K46"/>
      <c r="L46"/>
      <c r="M46"/>
      <c r="N46"/>
      <c r="O46"/>
      <c r="P46"/>
      <c r="Q46"/>
    </row>
    <row r="47" spans="1:17" x14ac:dyDescent="0.25">
      <c r="A47"/>
      <c r="B47"/>
      <c r="C47"/>
      <c r="D47"/>
      <c r="E47"/>
      <c r="F47"/>
      <c r="G47"/>
      <c r="H47"/>
      <c r="I47"/>
      <c r="J47"/>
      <c r="K47"/>
      <c r="L47"/>
      <c r="M47"/>
      <c r="N47"/>
      <c r="O47"/>
      <c r="P47"/>
      <c r="Q47"/>
    </row>
    <row r="48" spans="1:17" x14ac:dyDescent="0.25">
      <c r="A48"/>
      <c r="B48"/>
      <c r="C48"/>
      <c r="D48"/>
      <c r="E48"/>
      <c r="F48"/>
      <c r="G48"/>
      <c r="H48"/>
      <c r="I48"/>
      <c r="J48"/>
      <c r="K48"/>
      <c r="L48"/>
      <c r="M48"/>
      <c r="N48"/>
      <c r="O48"/>
      <c r="P48"/>
      <c r="Q48"/>
    </row>
    <row r="49" spans="1:17" x14ac:dyDescent="0.25">
      <c r="A49"/>
      <c r="B49"/>
      <c r="C49"/>
      <c r="D49"/>
      <c r="E49"/>
      <c r="F49"/>
      <c r="G49"/>
      <c r="H49"/>
      <c r="I49"/>
      <c r="J49"/>
      <c r="K49"/>
      <c r="L49"/>
      <c r="M49"/>
      <c r="N49"/>
      <c r="O49"/>
      <c r="P49"/>
      <c r="Q49"/>
    </row>
    <row r="50" spans="1:17" x14ac:dyDescent="0.25">
      <c r="A50"/>
      <c r="B50"/>
      <c r="C50"/>
      <c r="D50"/>
      <c r="E50"/>
      <c r="F50"/>
      <c r="G50"/>
      <c r="H50"/>
      <c r="I50"/>
      <c r="J50"/>
      <c r="K50"/>
      <c r="L50"/>
      <c r="M50"/>
      <c r="N50"/>
      <c r="O50"/>
      <c r="P50"/>
      <c r="Q50"/>
    </row>
  </sheetData>
  <mergeCells count="6">
    <mergeCell ref="N12:P12"/>
    <mergeCell ref="A12:A13"/>
    <mergeCell ref="B12:D12"/>
    <mergeCell ref="E12:G12"/>
    <mergeCell ref="J12:J13"/>
    <mergeCell ref="K12:M12"/>
  </mergeCells>
  <conditionalFormatting sqref="D14:D16">
    <cfRule type="containsText" dxfId="187" priority="9" operator="containsText" text="CRÍTICO">
      <formula>NOT(ISERROR(SEARCH("CRÍTICO",D14)))</formula>
    </cfRule>
    <cfRule type="containsText" dxfId="186" priority="10" operator="containsText" text="INSATISFATÓRIO">
      <formula>NOT(ISERROR(SEARCH("INSATISFATÓRIO",D14)))</formula>
    </cfRule>
    <cfRule type="containsText" dxfId="185" priority="11" operator="containsText" text="DESEJÁVEL">
      <formula>NOT(ISERROR(SEARCH("DESEJÁVEL",D14)))</formula>
    </cfRule>
    <cfRule type="containsText" dxfId="184" priority="12" operator="containsText" text="SATISFATÓRIO">
      <formula>NOT(ISERROR(SEARCH("SATISFATÓRIO",D14)))</formula>
    </cfRule>
  </conditionalFormatting>
  <conditionalFormatting sqref="M14:M16">
    <cfRule type="containsText" dxfId="183" priority="5" operator="containsText" text="CRÍTICO">
      <formula>NOT(ISERROR(SEARCH("CRÍTICO",M14)))</formula>
    </cfRule>
    <cfRule type="containsText" dxfId="182" priority="6" operator="containsText" text="INSATISFATÓRIO">
      <formula>NOT(ISERROR(SEARCH("INSATISFATÓRIO",M14)))</formula>
    </cfRule>
    <cfRule type="containsText" dxfId="181" priority="7" operator="containsText" text="DESEJÁVEL">
      <formula>NOT(ISERROR(SEARCH("DESEJÁVEL",M14)))</formula>
    </cfRule>
    <cfRule type="containsText" dxfId="180" priority="8" operator="containsText" text="SATISFATÓRIO">
      <formula>NOT(ISERROR(SEARCH("SATISFATÓRIO",M14)))</formula>
    </cfRule>
  </conditionalFormatting>
  <conditionalFormatting sqref="G14:G16">
    <cfRule type="containsText" dxfId="179" priority="1" operator="containsText" text="CRÍTICO">
      <formula>NOT(ISERROR(SEARCH("CRÍTICO",G14)))</formula>
    </cfRule>
    <cfRule type="containsText" dxfId="178" priority="2" operator="containsText" text="INSATISFATÓRIO">
      <formula>NOT(ISERROR(SEARCH("INSATISFATÓRIO",G14)))</formula>
    </cfRule>
    <cfRule type="containsText" dxfId="177" priority="3" operator="containsText" text="DESEJÁVEL">
      <formula>NOT(ISERROR(SEARCH("DESEJÁVEL",G14)))</formula>
    </cfRule>
    <cfRule type="containsText" dxfId="176" priority="4" operator="containsText" text="SATISFATÓRIO">
      <formula>NOT(ISERROR(SEARCH("SATISFATÓRIO",G14)))</formula>
    </cfRule>
  </conditionalFormatting>
  <pageMargins left="0.511811024" right="0.511811024" top="0.78740157499999996" bottom="0.78740157499999996" header="0.31496062000000002" footer="0.31496062000000002"/>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7"/>
  <dimension ref="A10:Q50"/>
  <sheetViews>
    <sheetView showGridLines="0" workbookViewId="0"/>
  </sheetViews>
  <sheetFormatPr defaultRowHeight="15" x14ac:dyDescent="0.25"/>
  <cols>
    <col min="1" max="1" width="36.28515625" style="1" customWidth="1"/>
    <col min="2" max="3" width="13.7109375" style="1" customWidth="1"/>
    <col min="4" max="4" width="15.7109375" style="1" customWidth="1"/>
    <col min="5" max="6" width="13.7109375" style="1" customWidth="1"/>
    <col min="7" max="7" width="15.7109375" style="1" customWidth="1"/>
    <col min="8" max="9" width="9.140625" style="1"/>
    <col min="10" max="10" width="36.28515625" style="1" customWidth="1"/>
    <col min="11" max="12" width="13.7109375" style="1" customWidth="1"/>
    <col min="13" max="13" width="15.7109375" style="1" customWidth="1"/>
    <col min="14" max="15" width="13.7109375" style="1" customWidth="1"/>
    <col min="16" max="16" width="15.7109375" style="1" customWidth="1"/>
    <col min="17" max="16384" width="9.140625" style="1"/>
  </cols>
  <sheetData>
    <row r="10" spans="1:17" x14ac:dyDescent="0.25">
      <c r="A10"/>
      <c r="B10"/>
      <c r="C10"/>
      <c r="D10"/>
      <c r="E10"/>
      <c r="F10"/>
      <c r="G10"/>
      <c r="H10"/>
      <c r="I10"/>
      <c r="J10"/>
      <c r="K10"/>
      <c r="L10"/>
      <c r="M10"/>
      <c r="N10"/>
      <c r="O10"/>
      <c r="P10"/>
      <c r="Q10"/>
    </row>
    <row r="11" spans="1:17" x14ac:dyDescent="0.25">
      <c r="A11"/>
      <c r="B11"/>
      <c r="C11"/>
      <c r="D11"/>
      <c r="E11"/>
      <c r="F11"/>
      <c r="G11"/>
      <c r="H11"/>
      <c r="I11"/>
      <c r="J11"/>
      <c r="K11"/>
      <c r="L11"/>
      <c r="M11"/>
      <c r="N11"/>
      <c r="O11"/>
      <c r="P11"/>
      <c r="Q11"/>
    </row>
    <row r="12" spans="1:17" x14ac:dyDescent="0.25">
      <c r="A12" s="700" t="str">
        <f>'[4]VCO-RELACIONAMENTO'!A3</f>
        <v>O RELACIONAMENTO COM OS COLEGAS DE TRABALHO FAVORECE A EXECUÇÃO DAS ATIVIDADES NA UNIDADE/SETOR?</v>
      </c>
      <c r="B12" s="702">
        <f>'[4]VCO-RELACIONAMENTO'!B3</f>
        <v>2020</v>
      </c>
      <c r="C12" s="702"/>
      <c r="D12" s="702"/>
      <c r="E12" s="702">
        <f>'[4]VCO-RELACIONAMENTO'!E3</f>
        <v>2017</v>
      </c>
      <c r="F12" s="702"/>
      <c r="G12" s="702"/>
      <c r="H12"/>
      <c r="I12"/>
      <c r="J12" s="700" t="str">
        <f>'[4]VCO-RELACIONAMENTO'!J3</f>
        <v>AS ATITUDES DOS MEUS COLEGAS DE TRABALHO SÃO ADEQUADAS E COMPATÍVEIS COM O AMBIENTE DE TRABALHO?</v>
      </c>
      <c r="K12" s="702">
        <f>'[4]VCO-RELACIONAMENTO'!K3</f>
        <v>2020</v>
      </c>
      <c r="L12" s="702"/>
      <c r="M12" s="702"/>
      <c r="N12" s="702">
        <f>'[4]VCO-RELACIONAMENTO'!N3</f>
        <v>2017</v>
      </c>
      <c r="O12" s="702"/>
      <c r="P12" s="702"/>
      <c r="Q12"/>
    </row>
    <row r="13" spans="1:17" ht="48.75" customHeight="1" x14ac:dyDescent="0.25">
      <c r="A13" s="700"/>
      <c r="B13" s="426" t="str">
        <f>'[4]VCO-RELACIONAMENTO'!B4</f>
        <v>TOTAL</v>
      </c>
      <c r="C13" s="426" t="str">
        <f>'[4]VCO-RELACIONAMENTO'!C4</f>
        <v>%</v>
      </c>
      <c r="D13" s="426" t="str">
        <f>'[4]VCO-RELACIONAMENTO'!D4</f>
        <v>RESULTADO</v>
      </c>
      <c r="E13" s="426" t="str">
        <f>'[4]VCO-RELACIONAMENTO'!E4</f>
        <v>TOTAL</v>
      </c>
      <c r="F13" s="426" t="str">
        <f>'[4]VCO-RELACIONAMENTO'!F4</f>
        <v>%</v>
      </c>
      <c r="G13" s="426" t="str">
        <f>'[4]VCO-RELACIONAMENTO'!G4</f>
        <v>RESULTADO</v>
      </c>
      <c r="H13"/>
      <c r="I13"/>
      <c r="J13" s="700"/>
      <c r="K13" s="426" t="str">
        <f>'[4]VCO-RELACIONAMENTO'!K4</f>
        <v>TOTAL</v>
      </c>
      <c r="L13" s="426" t="str">
        <f>'[4]VCO-RELACIONAMENTO'!L4</f>
        <v>%</v>
      </c>
      <c r="M13" s="426" t="str">
        <f>'[4]VCO-RELACIONAMENTO'!M4</f>
        <v>RESULTADO</v>
      </c>
      <c r="N13" s="426" t="str">
        <f>'[4]VCO-RELACIONAMENTO'!N4</f>
        <v>TOTAL</v>
      </c>
      <c r="O13" s="426" t="str">
        <f>'[4]VCO-RELACIONAMENTO'!O4</f>
        <v>%</v>
      </c>
      <c r="P13" s="426" t="str">
        <f>'[4]VCO-RELACIONAMENTO'!P4</f>
        <v>RESULTADO</v>
      </c>
      <c r="Q13"/>
    </row>
    <row r="14" spans="1:17" x14ac:dyDescent="0.25">
      <c r="A14" s="428" t="str">
        <f>'[4]VCO-RELACIONAMENTO'!A5</f>
        <v>SIM</v>
      </c>
      <c r="B14" s="59">
        <f>'[4]VCO-RELACIONAMENTO'!B5</f>
        <v>162</v>
      </c>
      <c r="C14" s="440">
        <f>'[4]VCO-RELACIONAMENTO'!C5</f>
        <v>0.84375</v>
      </c>
      <c r="D14" s="430" t="str">
        <f>'[4]VCO-RELACIONAMENTO'!D5</f>
        <v>DESEJÁVEL</v>
      </c>
      <c r="E14" s="452">
        <f>'[4]VCO-RELACIONAMENTO'!E5</f>
        <v>143</v>
      </c>
      <c r="F14" s="430">
        <f>'[4]VCO-RELACIONAMENTO'!F5</f>
        <v>0.79005524861878451</v>
      </c>
      <c r="G14" s="430" t="str">
        <f>'[4]VCO-RELACIONAMENTO'!G5</f>
        <v>SATISFATÓRIO</v>
      </c>
      <c r="H14"/>
      <c r="I14"/>
      <c r="J14" s="428" t="str">
        <f>'[4]VCO-RELACIONAMENTO'!J5</f>
        <v>SIM</v>
      </c>
      <c r="K14" s="59">
        <f>'[4]VCO-RELACIONAMENTO'!K5</f>
        <v>147</v>
      </c>
      <c r="L14" s="440">
        <f>'[4]VCO-RELACIONAMENTO'!L5</f>
        <v>0.765625</v>
      </c>
      <c r="M14" s="430" t="str">
        <f>'[4]VCO-RELACIONAMENTO'!M5</f>
        <v>SATISFATÓRIO</v>
      </c>
      <c r="N14" s="452">
        <f>'[4]VCO-RELACIONAMENTO'!N5</f>
        <v>100</v>
      </c>
      <c r="O14" s="430">
        <f>'[4]VCO-RELACIONAMENTO'!O5</f>
        <v>0.5524861878453039</v>
      </c>
      <c r="P14" s="430" t="str">
        <f>'[4]VCO-RELACIONAMENTO'!P5</f>
        <v>SATISFATÓRIO</v>
      </c>
      <c r="Q14"/>
    </row>
    <row r="15" spans="1:17" x14ac:dyDescent="0.25">
      <c r="A15" s="433" t="str">
        <f>'[4]VCO-RELACIONAMENTO'!A6</f>
        <v>PARCIAL</v>
      </c>
      <c r="B15" s="59">
        <f>'[4]VCO-RELACIONAMENTO'!B6</f>
        <v>29</v>
      </c>
      <c r="C15" s="440">
        <f>'[4]VCO-RELACIONAMENTO'!C6</f>
        <v>0.15104166666666666</v>
      </c>
      <c r="D15" s="430" t="str">
        <f>'[4]VCO-RELACIONAMENTO'!D6</f>
        <v>SATISFATÓRIO</v>
      </c>
      <c r="E15" s="452">
        <f>'[4]VCO-RELACIONAMENTO'!E6</f>
        <v>35</v>
      </c>
      <c r="F15" s="430">
        <f>'[4]VCO-RELACIONAMENTO'!F6</f>
        <v>0.19337016574585636</v>
      </c>
      <c r="G15" s="430" t="str">
        <f>'[4]VCO-RELACIONAMENTO'!G6</f>
        <v>SATISFATÓRIO</v>
      </c>
      <c r="H15"/>
      <c r="I15"/>
      <c r="J15" s="433" t="str">
        <f>'[4]VCO-RELACIONAMENTO'!J6</f>
        <v>PARCIAL</v>
      </c>
      <c r="K15" s="59">
        <f>'[4]VCO-RELACIONAMENTO'!K6</f>
        <v>42</v>
      </c>
      <c r="L15" s="440">
        <f>'[4]VCO-RELACIONAMENTO'!L6</f>
        <v>0.21875</v>
      </c>
      <c r="M15" s="430" t="str">
        <f>'[4]VCO-RELACIONAMENTO'!M6</f>
        <v>SATISFATÓRIO</v>
      </c>
      <c r="N15" s="452">
        <f>'[4]VCO-RELACIONAMENTO'!N6</f>
        <v>72</v>
      </c>
      <c r="O15" s="430">
        <f>'[4]VCO-RELACIONAMENTO'!O6</f>
        <v>0.39779005524861877</v>
      </c>
      <c r="P15" s="430" t="str">
        <f>'[4]VCO-RELACIONAMENTO'!P6</f>
        <v>SATISFATÓRIO</v>
      </c>
      <c r="Q15"/>
    </row>
    <row r="16" spans="1:17" x14ac:dyDescent="0.25">
      <c r="A16" s="433" t="str">
        <f>'[4]VCO-RELACIONAMENTO'!A7</f>
        <v>NÃO</v>
      </c>
      <c r="B16" s="59">
        <f>'[4]VCO-RELACIONAMENTO'!B7</f>
        <v>1</v>
      </c>
      <c r="C16" s="440">
        <f>'[4]VCO-RELACIONAMENTO'!C7</f>
        <v>5.208333333333333E-3</v>
      </c>
      <c r="D16" s="430" t="str">
        <f>'[4]VCO-RELACIONAMENTO'!D7</f>
        <v>DESEJÁVEL</v>
      </c>
      <c r="E16" s="452">
        <f>'[4]VCO-RELACIONAMENTO'!E7</f>
        <v>3</v>
      </c>
      <c r="F16" s="430">
        <f>'[4]VCO-RELACIONAMENTO'!F7</f>
        <v>1.6574585635359115E-2</v>
      </c>
      <c r="G16" s="430" t="str">
        <f>'[4]VCO-RELACIONAMENTO'!G7</f>
        <v>DESEJÁVEL</v>
      </c>
      <c r="H16"/>
      <c r="I16"/>
      <c r="J16" s="433" t="str">
        <f>'[4]VCO-RELACIONAMENTO'!J7</f>
        <v>NÃO</v>
      </c>
      <c r="K16" s="59">
        <f>'[4]VCO-RELACIONAMENTO'!K7</f>
        <v>3</v>
      </c>
      <c r="L16" s="440">
        <f>'[4]VCO-RELACIONAMENTO'!L7</f>
        <v>1.5625E-2</v>
      </c>
      <c r="M16" s="430" t="str">
        <f>'[4]VCO-RELACIONAMENTO'!M7</f>
        <v>DESEJÁVEL</v>
      </c>
      <c r="N16" s="452">
        <f>'[4]VCO-RELACIONAMENTO'!N7</f>
        <v>9</v>
      </c>
      <c r="O16" s="430">
        <f>'[4]VCO-RELACIONAMENTO'!O7</f>
        <v>4.9723756906077346E-2</v>
      </c>
      <c r="P16" s="430" t="str">
        <f>'[4]VCO-RELACIONAMENTO'!P7</f>
        <v>DESEJÁVEL</v>
      </c>
      <c r="Q16"/>
    </row>
    <row r="17" spans="1:17" x14ac:dyDescent="0.25">
      <c r="A17" s="82" t="str">
        <f>'[4]VCO-RELACIONAMENTO'!A8</f>
        <v>TOTAL</v>
      </c>
      <c r="B17" s="422">
        <f>'[4]VCO-RELACIONAMENTO'!B8</f>
        <v>192</v>
      </c>
      <c r="C17" s="436">
        <f>'[4]VCO-RELACIONAMENTO'!C8</f>
        <v>1</v>
      </c>
      <c r="D17" s="439"/>
      <c r="E17" s="422">
        <f>'[4]VCO-RELACIONAMENTO'!E8</f>
        <v>181</v>
      </c>
      <c r="F17" s="436">
        <f>'[4]VCO-RELACIONAMENTO'!F8</f>
        <v>0.99999999999999989</v>
      </c>
      <c r="G17" s="439"/>
      <c r="H17"/>
      <c r="I17"/>
      <c r="J17" s="82" t="str">
        <f>'[4]VCO-RELACIONAMENTO'!J8</f>
        <v>TOTAL</v>
      </c>
      <c r="K17" s="422">
        <f>'[4]VCO-RELACIONAMENTO'!K8</f>
        <v>192</v>
      </c>
      <c r="L17" s="436">
        <f>'[4]VCO-RELACIONAMENTO'!L8</f>
        <v>1</v>
      </c>
      <c r="M17" s="439"/>
      <c r="N17" s="422">
        <f>'[4]VCO-RELACIONAMENTO'!N8</f>
        <v>181</v>
      </c>
      <c r="O17" s="436">
        <f>'[4]VCO-RELACIONAMENTO'!O8</f>
        <v>1</v>
      </c>
      <c r="P17" s="439"/>
      <c r="Q17"/>
    </row>
    <row r="18" spans="1:17" x14ac:dyDescent="0.25">
      <c r="A18"/>
      <c r="B18"/>
      <c r="C18"/>
      <c r="D18"/>
      <c r="E18"/>
      <c r="F18"/>
      <c r="G18"/>
      <c r="H18"/>
      <c r="I18"/>
      <c r="J18"/>
      <c r="K18"/>
      <c r="L18"/>
      <c r="M18"/>
      <c r="N18"/>
      <c r="O18"/>
      <c r="P18"/>
      <c r="Q18"/>
    </row>
    <row r="19" spans="1:17" x14ac:dyDescent="0.25">
      <c r="A19"/>
      <c r="B19"/>
      <c r="C19"/>
      <c r="D19"/>
      <c r="E19"/>
      <c r="F19"/>
      <c r="G19"/>
      <c r="H19"/>
      <c r="I19"/>
      <c r="J19"/>
      <c r="K19"/>
      <c r="L19"/>
      <c r="M19"/>
      <c r="N19"/>
      <c r="O19"/>
      <c r="P19"/>
      <c r="Q19"/>
    </row>
    <row r="20" spans="1:17" x14ac:dyDescent="0.25">
      <c r="A20"/>
      <c r="B20"/>
      <c r="C20"/>
      <c r="D20"/>
      <c r="E20"/>
      <c r="F20"/>
      <c r="G20"/>
      <c r="H20"/>
      <c r="I20"/>
      <c r="J20"/>
      <c r="K20"/>
      <c r="L20"/>
      <c r="M20"/>
      <c r="N20"/>
      <c r="O20"/>
      <c r="P20"/>
      <c r="Q20"/>
    </row>
    <row r="21" spans="1:17" x14ac:dyDescent="0.25">
      <c r="A21"/>
      <c r="B21"/>
      <c r="C21"/>
      <c r="D21"/>
      <c r="E21"/>
      <c r="F21"/>
      <c r="G21"/>
      <c r="H21"/>
      <c r="I21"/>
      <c r="J21"/>
      <c r="K21"/>
      <c r="L21"/>
      <c r="M21"/>
      <c r="N21"/>
      <c r="O21"/>
      <c r="P21"/>
      <c r="Q21"/>
    </row>
    <row r="22" spans="1:17" x14ac:dyDescent="0.25">
      <c r="A22"/>
      <c r="B22"/>
      <c r="C22"/>
      <c r="D22"/>
      <c r="E22"/>
      <c r="F22"/>
      <c r="G22"/>
      <c r="H22"/>
      <c r="I22"/>
      <c r="J22"/>
      <c r="K22"/>
      <c r="L22"/>
      <c r="M22"/>
      <c r="N22"/>
      <c r="O22"/>
      <c r="P22"/>
      <c r="Q22"/>
    </row>
    <row r="23" spans="1:17" x14ac:dyDescent="0.25">
      <c r="A23"/>
      <c r="B23"/>
      <c r="C23"/>
      <c r="D23"/>
      <c r="E23"/>
      <c r="F23"/>
      <c r="G23"/>
      <c r="H23"/>
      <c r="I23"/>
      <c r="J23"/>
      <c r="K23"/>
      <c r="L23"/>
      <c r="M23"/>
      <c r="N23"/>
      <c r="O23"/>
      <c r="P23"/>
      <c r="Q23"/>
    </row>
    <row r="24" spans="1:17" x14ac:dyDescent="0.25">
      <c r="A24"/>
      <c r="B24"/>
      <c r="C24"/>
      <c r="D24"/>
      <c r="E24"/>
      <c r="F24"/>
      <c r="G24"/>
      <c r="H24"/>
      <c r="I24"/>
      <c r="J24"/>
      <c r="K24"/>
      <c r="L24"/>
      <c r="M24"/>
      <c r="N24"/>
      <c r="O24"/>
      <c r="P24"/>
      <c r="Q24"/>
    </row>
    <row r="25" spans="1:17" x14ac:dyDescent="0.25">
      <c r="A25"/>
      <c r="B25"/>
      <c r="C25"/>
      <c r="D25"/>
      <c r="E25"/>
      <c r="F25"/>
      <c r="G25"/>
      <c r="H25"/>
      <c r="I25"/>
      <c r="J25"/>
      <c r="K25"/>
      <c r="L25"/>
      <c r="M25"/>
      <c r="N25"/>
      <c r="O25"/>
      <c r="P25"/>
      <c r="Q25"/>
    </row>
    <row r="26" spans="1:17" x14ac:dyDescent="0.25">
      <c r="A26"/>
      <c r="B26"/>
      <c r="C26"/>
      <c r="D26"/>
      <c r="E26"/>
      <c r="F26"/>
      <c r="G26"/>
      <c r="H26"/>
      <c r="I26"/>
      <c r="J26"/>
      <c r="K26"/>
      <c r="L26"/>
      <c r="M26"/>
      <c r="N26"/>
      <c r="O26"/>
      <c r="P26"/>
      <c r="Q26"/>
    </row>
    <row r="27" spans="1:17" x14ac:dyDescent="0.25">
      <c r="A27"/>
      <c r="B27"/>
      <c r="C27"/>
      <c r="D27"/>
      <c r="E27"/>
      <c r="F27"/>
      <c r="G27"/>
      <c r="H27"/>
      <c r="I27"/>
      <c r="J27"/>
      <c r="K27"/>
      <c r="L27"/>
      <c r="M27"/>
      <c r="N27"/>
      <c r="O27"/>
      <c r="P27"/>
      <c r="Q27"/>
    </row>
    <row r="28" spans="1:17" x14ac:dyDescent="0.25">
      <c r="A28"/>
      <c r="B28"/>
      <c r="C28"/>
      <c r="D28"/>
      <c r="E28"/>
      <c r="F28"/>
      <c r="G28"/>
      <c r="H28"/>
      <c r="I28"/>
      <c r="J28"/>
      <c r="K28"/>
      <c r="L28"/>
      <c r="M28"/>
      <c r="N28"/>
      <c r="O28"/>
      <c r="P28"/>
      <c r="Q28"/>
    </row>
    <row r="29" spans="1:17" x14ac:dyDescent="0.25">
      <c r="A29"/>
      <c r="B29"/>
      <c r="C29"/>
      <c r="D29"/>
      <c r="E29"/>
      <c r="F29"/>
      <c r="G29"/>
      <c r="H29"/>
      <c r="I29"/>
      <c r="J29"/>
      <c r="K29"/>
      <c r="L29"/>
      <c r="M29"/>
      <c r="N29"/>
      <c r="O29"/>
      <c r="P29"/>
      <c r="Q29"/>
    </row>
    <row r="30" spans="1:17" x14ac:dyDescent="0.25">
      <c r="A30"/>
      <c r="B30"/>
      <c r="C30"/>
      <c r="D30"/>
      <c r="E30"/>
      <c r="F30"/>
      <c r="G30"/>
      <c r="H30"/>
      <c r="I30"/>
      <c r="J30"/>
      <c r="K30"/>
      <c r="L30"/>
      <c r="M30"/>
      <c r="N30"/>
      <c r="O30"/>
      <c r="P30"/>
      <c r="Q30"/>
    </row>
    <row r="31" spans="1:17" x14ac:dyDescent="0.25">
      <c r="A31"/>
      <c r="B31"/>
      <c r="C31"/>
      <c r="D31"/>
      <c r="E31"/>
      <c r="F31"/>
      <c r="G31"/>
      <c r="H31"/>
      <c r="I31"/>
      <c r="J31"/>
      <c r="K31"/>
      <c r="L31"/>
      <c r="M31"/>
      <c r="N31"/>
      <c r="O31"/>
      <c r="P31"/>
      <c r="Q31"/>
    </row>
    <row r="32" spans="1:17" x14ac:dyDescent="0.25">
      <c r="A32"/>
      <c r="B32"/>
      <c r="C32"/>
      <c r="D32"/>
      <c r="E32"/>
      <c r="F32"/>
      <c r="G32"/>
      <c r="H32"/>
      <c r="I32"/>
      <c r="J32"/>
      <c r="K32"/>
      <c r="L32"/>
      <c r="M32"/>
      <c r="N32"/>
      <c r="O32"/>
      <c r="P32"/>
      <c r="Q32"/>
    </row>
    <row r="33" spans="1:17" x14ac:dyDescent="0.25">
      <c r="A33"/>
      <c r="B33"/>
      <c r="C33"/>
      <c r="D33"/>
      <c r="E33"/>
      <c r="F33"/>
      <c r="G33"/>
      <c r="H33"/>
      <c r="I33"/>
      <c r="J33"/>
      <c r="K33"/>
      <c r="L33"/>
      <c r="M33"/>
      <c r="N33"/>
      <c r="O33"/>
      <c r="P33"/>
      <c r="Q33"/>
    </row>
    <row r="34" spans="1:17" x14ac:dyDescent="0.25">
      <c r="A34"/>
      <c r="B34"/>
      <c r="C34"/>
      <c r="D34"/>
      <c r="E34"/>
      <c r="F34"/>
      <c r="G34"/>
      <c r="H34"/>
      <c r="I34"/>
      <c r="J34"/>
      <c r="K34"/>
      <c r="L34"/>
      <c r="M34"/>
      <c r="N34"/>
      <c r="O34"/>
      <c r="P34"/>
      <c r="Q34"/>
    </row>
    <row r="35" spans="1:17" x14ac:dyDescent="0.25">
      <c r="A35"/>
      <c r="B35"/>
      <c r="C35"/>
      <c r="D35"/>
      <c r="E35"/>
      <c r="F35"/>
      <c r="G35"/>
      <c r="H35"/>
      <c r="I35"/>
      <c r="J35"/>
      <c r="K35"/>
      <c r="L35"/>
      <c r="M35"/>
      <c r="N35"/>
      <c r="O35"/>
      <c r="P35"/>
      <c r="Q35"/>
    </row>
    <row r="36" spans="1:17" x14ac:dyDescent="0.25">
      <c r="A36"/>
      <c r="B36"/>
      <c r="C36"/>
      <c r="D36"/>
      <c r="E36"/>
      <c r="F36"/>
      <c r="G36"/>
      <c r="H36"/>
      <c r="I36"/>
      <c r="J36"/>
      <c r="K36"/>
      <c r="L36"/>
      <c r="M36"/>
      <c r="N36"/>
      <c r="O36"/>
      <c r="P36"/>
      <c r="Q36"/>
    </row>
    <row r="37" spans="1:17" x14ac:dyDescent="0.25">
      <c r="A37"/>
      <c r="B37"/>
      <c r="C37"/>
      <c r="D37"/>
      <c r="E37"/>
      <c r="F37"/>
      <c r="G37"/>
      <c r="H37"/>
      <c r="I37"/>
      <c r="J37"/>
      <c r="K37"/>
      <c r="L37"/>
      <c r="M37"/>
      <c r="N37"/>
      <c r="O37"/>
      <c r="P37"/>
      <c r="Q37"/>
    </row>
    <row r="38" spans="1:17" x14ac:dyDescent="0.25">
      <c r="A38"/>
      <c r="B38"/>
      <c r="C38"/>
      <c r="D38"/>
      <c r="E38"/>
      <c r="F38"/>
      <c r="G38"/>
      <c r="H38"/>
      <c r="I38"/>
      <c r="J38"/>
      <c r="K38"/>
      <c r="L38"/>
      <c r="M38"/>
      <c r="N38"/>
      <c r="O38"/>
      <c r="P38"/>
      <c r="Q38"/>
    </row>
    <row r="39" spans="1:17" x14ac:dyDescent="0.25">
      <c r="A39"/>
      <c r="B39"/>
      <c r="C39"/>
      <c r="D39"/>
      <c r="E39"/>
      <c r="F39"/>
      <c r="G39"/>
      <c r="H39"/>
      <c r="I39"/>
      <c r="J39"/>
      <c r="K39"/>
      <c r="L39"/>
      <c r="M39"/>
      <c r="N39"/>
      <c r="O39"/>
      <c r="P39"/>
      <c r="Q39"/>
    </row>
    <row r="40" spans="1:17" x14ac:dyDescent="0.25">
      <c r="A40"/>
      <c r="B40"/>
      <c r="C40"/>
      <c r="D40"/>
      <c r="E40"/>
      <c r="F40"/>
      <c r="G40"/>
      <c r="H40"/>
      <c r="I40"/>
      <c r="J40"/>
      <c r="K40"/>
      <c r="L40"/>
      <c r="M40"/>
      <c r="N40"/>
      <c r="O40"/>
      <c r="P40"/>
      <c r="Q40"/>
    </row>
    <row r="41" spans="1:17" x14ac:dyDescent="0.25">
      <c r="A41"/>
      <c r="B41"/>
      <c r="C41"/>
      <c r="D41"/>
      <c r="E41"/>
      <c r="F41"/>
      <c r="G41"/>
      <c r="H41"/>
      <c r="I41"/>
      <c r="J41"/>
      <c r="K41"/>
      <c r="L41"/>
      <c r="M41"/>
      <c r="N41"/>
      <c r="O41"/>
      <c r="P41"/>
      <c r="Q41"/>
    </row>
    <row r="42" spans="1:17" x14ac:dyDescent="0.25">
      <c r="A42"/>
      <c r="B42"/>
      <c r="C42"/>
      <c r="D42"/>
      <c r="E42"/>
      <c r="F42"/>
      <c r="G42"/>
      <c r="H42"/>
      <c r="I42"/>
      <c r="J42"/>
      <c r="K42"/>
      <c r="L42"/>
      <c r="M42"/>
      <c r="N42"/>
      <c r="O42"/>
      <c r="P42"/>
      <c r="Q42"/>
    </row>
    <row r="43" spans="1:17" x14ac:dyDescent="0.25">
      <c r="A43"/>
      <c r="B43"/>
      <c r="C43"/>
      <c r="D43"/>
      <c r="E43"/>
      <c r="F43"/>
      <c r="G43"/>
      <c r="H43"/>
      <c r="I43"/>
      <c r="J43"/>
      <c r="K43"/>
      <c r="L43"/>
      <c r="M43"/>
      <c r="N43"/>
      <c r="O43"/>
      <c r="P43"/>
      <c r="Q43"/>
    </row>
    <row r="44" spans="1:17" x14ac:dyDescent="0.25">
      <c r="A44"/>
      <c r="B44"/>
      <c r="C44"/>
      <c r="D44"/>
      <c r="E44"/>
      <c r="F44"/>
      <c r="G44"/>
      <c r="H44"/>
      <c r="I44"/>
      <c r="J44"/>
      <c r="K44"/>
      <c r="L44"/>
      <c r="M44"/>
      <c r="N44"/>
      <c r="O44"/>
      <c r="P44"/>
      <c r="Q44"/>
    </row>
    <row r="45" spans="1:17" x14ac:dyDescent="0.25">
      <c r="A45"/>
      <c r="B45"/>
      <c r="C45"/>
      <c r="D45"/>
      <c r="E45"/>
      <c r="F45"/>
      <c r="G45"/>
      <c r="H45"/>
      <c r="I45"/>
      <c r="J45"/>
      <c r="K45"/>
      <c r="L45"/>
      <c r="M45"/>
      <c r="N45"/>
      <c r="O45"/>
      <c r="P45"/>
      <c r="Q45"/>
    </row>
    <row r="46" spans="1:17" x14ac:dyDescent="0.25">
      <c r="A46"/>
      <c r="B46"/>
      <c r="C46"/>
      <c r="D46"/>
      <c r="E46"/>
      <c r="F46"/>
      <c r="G46"/>
      <c r="H46"/>
      <c r="I46"/>
      <c r="J46"/>
      <c r="K46"/>
      <c r="L46"/>
      <c r="M46"/>
      <c r="N46"/>
      <c r="O46"/>
      <c r="P46"/>
      <c r="Q46"/>
    </row>
    <row r="47" spans="1:17" x14ac:dyDescent="0.25">
      <c r="A47"/>
      <c r="B47"/>
      <c r="C47"/>
      <c r="D47"/>
      <c r="E47"/>
      <c r="F47"/>
      <c r="G47"/>
      <c r="H47"/>
      <c r="I47"/>
      <c r="J47"/>
      <c r="K47"/>
      <c r="L47"/>
      <c r="M47"/>
      <c r="N47"/>
      <c r="O47"/>
      <c r="P47"/>
      <c r="Q47"/>
    </row>
    <row r="48" spans="1:17" x14ac:dyDescent="0.25">
      <c r="A48"/>
      <c r="B48"/>
      <c r="C48"/>
      <c r="D48"/>
      <c r="E48"/>
      <c r="F48"/>
      <c r="G48"/>
      <c r="H48"/>
      <c r="I48"/>
      <c r="J48"/>
      <c r="K48"/>
      <c r="L48"/>
      <c r="M48"/>
      <c r="N48"/>
      <c r="O48"/>
      <c r="P48"/>
      <c r="Q48"/>
    </row>
    <row r="49" spans="1:17" x14ac:dyDescent="0.25">
      <c r="A49"/>
      <c r="B49"/>
      <c r="C49"/>
      <c r="D49"/>
      <c r="E49"/>
      <c r="F49"/>
      <c r="G49"/>
      <c r="H49"/>
      <c r="I49"/>
      <c r="J49"/>
      <c r="K49"/>
      <c r="L49"/>
      <c r="M49"/>
      <c r="N49"/>
      <c r="O49"/>
      <c r="P49"/>
      <c r="Q49"/>
    </row>
    <row r="50" spans="1:17" x14ac:dyDescent="0.25">
      <c r="A50"/>
      <c r="B50"/>
      <c r="C50"/>
      <c r="D50"/>
      <c r="E50"/>
      <c r="F50"/>
      <c r="G50"/>
      <c r="H50"/>
      <c r="I50"/>
      <c r="J50"/>
      <c r="K50"/>
      <c r="L50"/>
      <c r="M50"/>
      <c r="N50"/>
      <c r="O50"/>
      <c r="P50"/>
      <c r="Q50"/>
    </row>
  </sheetData>
  <mergeCells count="6">
    <mergeCell ref="N12:P12"/>
    <mergeCell ref="A12:A13"/>
    <mergeCell ref="B12:D12"/>
    <mergeCell ref="E12:G12"/>
    <mergeCell ref="J12:J13"/>
    <mergeCell ref="K12:M12"/>
  </mergeCells>
  <conditionalFormatting sqref="D14:D16">
    <cfRule type="containsText" dxfId="175" priority="13" operator="containsText" text="CRÍTICO">
      <formula>NOT(ISERROR(SEARCH("CRÍTICO",D14)))</formula>
    </cfRule>
    <cfRule type="containsText" dxfId="174" priority="14" operator="containsText" text="INSATISFATÓRIO">
      <formula>NOT(ISERROR(SEARCH("INSATISFATÓRIO",D14)))</formula>
    </cfRule>
    <cfRule type="containsText" dxfId="173" priority="15" operator="containsText" text="DESEJÁVEL">
      <formula>NOT(ISERROR(SEARCH("DESEJÁVEL",D14)))</formula>
    </cfRule>
    <cfRule type="containsText" dxfId="172" priority="16" operator="containsText" text="SATISFATÓRIO">
      <formula>NOT(ISERROR(SEARCH("SATISFATÓRIO",D14)))</formula>
    </cfRule>
  </conditionalFormatting>
  <conditionalFormatting sqref="G14:G16">
    <cfRule type="containsText" dxfId="171" priority="9" operator="containsText" text="CRÍTICO">
      <formula>NOT(ISERROR(SEARCH("CRÍTICO",G14)))</formula>
    </cfRule>
    <cfRule type="containsText" dxfId="170" priority="10" operator="containsText" text="INSATISFATÓRIO">
      <formula>NOT(ISERROR(SEARCH("INSATISFATÓRIO",G14)))</formula>
    </cfRule>
    <cfRule type="containsText" dxfId="169" priority="11" operator="containsText" text="DESEJÁVEL">
      <formula>NOT(ISERROR(SEARCH("DESEJÁVEL",G14)))</formula>
    </cfRule>
    <cfRule type="containsText" dxfId="168" priority="12" operator="containsText" text="SATISFATÓRIO">
      <formula>NOT(ISERROR(SEARCH("SATISFATÓRIO",G14)))</formula>
    </cfRule>
  </conditionalFormatting>
  <conditionalFormatting sqref="M14:M16">
    <cfRule type="containsText" dxfId="167" priority="5" operator="containsText" text="CRÍTICO">
      <formula>NOT(ISERROR(SEARCH("CRÍTICO",M14)))</formula>
    </cfRule>
    <cfRule type="containsText" dxfId="166" priority="6" operator="containsText" text="INSATISFATÓRIO">
      <formula>NOT(ISERROR(SEARCH("INSATISFATÓRIO",M14)))</formula>
    </cfRule>
    <cfRule type="containsText" dxfId="165" priority="7" operator="containsText" text="DESEJÁVEL">
      <formula>NOT(ISERROR(SEARCH("DESEJÁVEL",M14)))</formula>
    </cfRule>
    <cfRule type="containsText" dxfId="164" priority="8" operator="containsText" text="SATISFATÓRIO">
      <formula>NOT(ISERROR(SEARCH("SATISFATÓRIO",M14)))</formula>
    </cfRule>
  </conditionalFormatting>
  <conditionalFormatting sqref="P14:P16">
    <cfRule type="containsText" dxfId="163" priority="1" operator="containsText" text="CRÍTICO">
      <formula>NOT(ISERROR(SEARCH("CRÍTICO",P14)))</formula>
    </cfRule>
    <cfRule type="containsText" dxfId="162" priority="2" operator="containsText" text="INSATISFATÓRIO">
      <formula>NOT(ISERROR(SEARCH("INSATISFATÓRIO",P14)))</formula>
    </cfRule>
    <cfRule type="containsText" dxfId="161" priority="3" operator="containsText" text="DESEJÁVEL">
      <formula>NOT(ISERROR(SEARCH("DESEJÁVEL",P14)))</formula>
    </cfRule>
    <cfRule type="containsText" dxfId="160" priority="4" operator="containsText" text="SATISFATÓRIO">
      <formula>NOT(ISERROR(SEARCH("SATISFATÓRIO",P14)))</formula>
    </cfRule>
  </conditionalFormatting>
  <pageMargins left="0.511811024" right="0.511811024" top="0.78740157499999996" bottom="0.78740157499999996" header="0.31496062000000002" footer="0.31496062000000002"/>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8"/>
  <dimension ref="A10:X49"/>
  <sheetViews>
    <sheetView showGridLines="0" workbookViewId="0">
      <selection activeCell="A9" sqref="A9"/>
    </sheetView>
  </sheetViews>
  <sheetFormatPr defaultRowHeight="15" x14ac:dyDescent="0.25"/>
  <cols>
    <col min="1" max="1" width="31.28515625" style="1" customWidth="1"/>
    <col min="2" max="7" width="13.7109375" style="1" customWidth="1"/>
    <col min="8" max="8" width="3.85546875" style="1" customWidth="1"/>
    <col min="9" max="9" width="31.28515625" style="1" customWidth="1"/>
    <col min="10" max="15" width="13.7109375" style="1" customWidth="1"/>
    <col min="16" max="16" width="3.85546875" style="1" customWidth="1"/>
    <col min="17" max="17" width="31.28515625" style="1" customWidth="1"/>
    <col min="18" max="23" width="13.7109375" style="1" customWidth="1"/>
    <col min="24" max="16384" width="9.140625" style="1"/>
  </cols>
  <sheetData>
    <row r="10" spans="1:24" x14ac:dyDescent="0.25">
      <c r="A10"/>
      <c r="B10"/>
      <c r="C10"/>
      <c r="D10"/>
      <c r="E10"/>
      <c r="F10"/>
      <c r="G10"/>
      <c r="H10"/>
      <c r="I10"/>
      <c r="J10"/>
      <c r="K10"/>
      <c r="L10"/>
      <c r="M10"/>
      <c r="N10"/>
      <c r="O10"/>
      <c r="P10"/>
      <c r="Q10"/>
      <c r="R10"/>
      <c r="S10"/>
      <c r="T10"/>
      <c r="U10"/>
      <c r="V10"/>
      <c r="W10"/>
      <c r="X10"/>
    </row>
    <row r="11" spans="1:24" x14ac:dyDescent="0.25">
      <c r="A11"/>
      <c r="B11"/>
      <c r="C11"/>
      <c r="D11"/>
      <c r="E11"/>
      <c r="F11"/>
      <c r="G11"/>
      <c r="H11"/>
      <c r="I11"/>
      <c r="J11"/>
      <c r="K11"/>
      <c r="L11"/>
      <c r="M11"/>
      <c r="N11"/>
      <c r="O11"/>
      <c r="P11"/>
      <c r="Q11"/>
      <c r="R11"/>
      <c r="S11"/>
      <c r="T11"/>
      <c r="U11"/>
      <c r="V11"/>
      <c r="W11"/>
      <c r="X11"/>
    </row>
    <row r="12" spans="1:24" x14ac:dyDescent="0.25">
      <c r="A12" s="700" t="str">
        <f>'[4]VCO-QUALIDADEVIDA'!A3</f>
        <v>CONSIDERO IMPORTANTE AS CAMPANHAS DE VACINAÇÃO, EXAMES PERIÓDICOS, ATENDIMENTOS MÉDICOS, ENFERMAGEM, PSICOLÓGICAS, ODONTOLÓGICAS MASSAGEM EXPRESSA E EVENTOS COMEMORATIVOS?</v>
      </c>
      <c r="B12" s="702">
        <f>'[4]VCO-QUALIDADEVIDA'!B3</f>
        <v>2020</v>
      </c>
      <c r="C12" s="702"/>
      <c r="D12" s="702"/>
      <c r="E12" s="702">
        <f>'[4]VCO-QUALIDADEVIDA'!E3</f>
        <v>2017</v>
      </c>
      <c r="F12" s="702"/>
      <c r="G12" s="702"/>
      <c r="H12"/>
      <c r="I12" s="700" t="str">
        <f>'[4]VCO-QUALIDADEVIDA'!I3</f>
        <v>CONSIDERO IMPORTANTE A DISPONIBILIZAÇÃO DOS ESPAÇOS PARA SERVIÇOS DE RESTAURANTE, COSTUREIRA, SALÃO DE BELEZA, ASSOCIAÇÃO DOS SERVIDORES/EMPREGADOS DO MME, ACADEMIA, AULAS DE IOGA NO AMBIENTE DE TRABALHO?</v>
      </c>
      <c r="J12" s="702">
        <f>'[4]VCO-QUALIDADEVIDA'!J3</f>
        <v>2020</v>
      </c>
      <c r="K12" s="702"/>
      <c r="L12" s="702"/>
      <c r="M12" s="702">
        <f>'[4]VCO-QUALIDADEVIDA'!M3</f>
        <v>2017</v>
      </c>
      <c r="N12" s="702"/>
      <c r="O12" s="702"/>
      <c r="P12"/>
      <c r="Q12" s="700" t="str">
        <f>'[4]VCO-QUALIDADEVIDA'!Q3</f>
        <v>CONSIDERO IMPORTANTE ATIVIDADES DE TREINAMENTO NO AMBIENTE DE TRABALHO - CENTRO DE CAPACITAÇÃO DO MME?</v>
      </c>
      <c r="R12" s="702">
        <f>'[4]VCO-QUALIDADEVIDA'!R3</f>
        <v>2020</v>
      </c>
      <c r="S12" s="702"/>
      <c r="T12" s="702"/>
      <c r="U12" s="702">
        <f>'[4]VCO-QUALIDADEVIDA'!U3</f>
        <v>2017</v>
      </c>
      <c r="V12" s="702"/>
      <c r="W12" s="702"/>
      <c r="X12"/>
    </row>
    <row r="13" spans="1:24" ht="111.75" customHeight="1" x14ac:dyDescent="0.25">
      <c r="A13" s="700"/>
      <c r="B13" s="426" t="str">
        <f>'[4]VCO-QUALIDADEVIDA'!B4</f>
        <v>TOTAL</v>
      </c>
      <c r="C13" s="426" t="str">
        <f>'[4]VCO-QUALIDADEVIDA'!C4</f>
        <v>%</v>
      </c>
      <c r="D13" s="426" t="str">
        <f>'[4]VCO-QUALIDADEVIDA'!D4</f>
        <v>RESULTADO</v>
      </c>
      <c r="E13" s="426" t="str">
        <f>'[4]VCO-QUALIDADEVIDA'!E4</f>
        <v>TOTAL</v>
      </c>
      <c r="F13" s="426" t="str">
        <f>'[4]VCO-QUALIDADEVIDA'!F4</f>
        <v>%</v>
      </c>
      <c r="G13" s="426" t="str">
        <f>'[4]VCO-QUALIDADEVIDA'!G4</f>
        <v>RESULTADO</v>
      </c>
      <c r="H13"/>
      <c r="I13" s="700"/>
      <c r="J13" s="426" t="str">
        <f>'[4]VCO-QUALIDADEVIDA'!J4</f>
        <v>TOTAL</v>
      </c>
      <c r="K13" s="426" t="str">
        <f>'[4]VCO-QUALIDADEVIDA'!K4</f>
        <v>%</v>
      </c>
      <c r="L13" s="426" t="str">
        <f>'[4]VCO-QUALIDADEVIDA'!L4</f>
        <v>RESULTADO</v>
      </c>
      <c r="M13" s="426" t="str">
        <f>'[4]VCO-QUALIDADEVIDA'!M4</f>
        <v>TOTAL</v>
      </c>
      <c r="N13" s="426" t="str">
        <f>'[4]VCO-QUALIDADEVIDA'!N4</f>
        <v>%</v>
      </c>
      <c r="O13" s="426" t="str">
        <f>'[4]VCO-QUALIDADEVIDA'!O4</f>
        <v>RESULTADO</v>
      </c>
      <c r="P13"/>
      <c r="Q13" s="700"/>
      <c r="R13" s="426" t="str">
        <f>'[4]VCO-QUALIDADEVIDA'!R4</f>
        <v>TOTAL</v>
      </c>
      <c r="S13" s="426" t="str">
        <f>'[4]VCO-QUALIDADEVIDA'!S4</f>
        <v>%</v>
      </c>
      <c r="T13" s="426" t="str">
        <f>'[4]VCO-QUALIDADEVIDA'!T4</f>
        <v>RESULTADO</v>
      </c>
      <c r="U13" s="426" t="str">
        <f>'[4]VCO-QUALIDADEVIDA'!U4</f>
        <v>TOTAL</v>
      </c>
      <c r="V13" s="426" t="str">
        <f>'[4]VCO-QUALIDADEVIDA'!V4</f>
        <v>%</v>
      </c>
      <c r="W13" s="426" t="str">
        <f>'[4]VCO-QUALIDADEVIDA'!W4</f>
        <v>RESULTADO</v>
      </c>
      <c r="X13"/>
    </row>
    <row r="14" spans="1:24" x14ac:dyDescent="0.25">
      <c r="A14" s="428" t="str">
        <f>'[4]VCO-QUALIDADEVIDA'!A5</f>
        <v>SIM</v>
      </c>
      <c r="B14" s="59">
        <f>'[4]VCO-QUALIDADEVIDA'!B5</f>
        <v>185</v>
      </c>
      <c r="C14" s="440">
        <f>'[4]VCO-QUALIDADEVIDA'!C5</f>
        <v>0.96354166666666663</v>
      </c>
      <c r="D14" s="430" t="str">
        <f>'[4]VCO-QUALIDADEVIDA'!D5</f>
        <v>DESEJÁVEL</v>
      </c>
      <c r="E14" s="452">
        <f>'[4]VCO-QUALIDADEVIDA'!E5</f>
        <v>169</v>
      </c>
      <c r="F14" s="430">
        <f>'[4]VCO-QUALIDADEVIDA'!F5</f>
        <v>0.93888888888888888</v>
      </c>
      <c r="G14" s="430" t="str">
        <f>'[4]VCO-QUALIDADEVIDA'!G5</f>
        <v>DESEJÁVEL</v>
      </c>
      <c r="H14"/>
      <c r="I14" s="428" t="str">
        <f>'[4]VCO-QUALIDADEVIDA'!I5</f>
        <v>SIM</v>
      </c>
      <c r="J14" s="59">
        <f>'[4]VCO-QUALIDADEVIDA'!J5</f>
        <v>173</v>
      </c>
      <c r="K14" s="440">
        <f>'[4]VCO-QUALIDADEVIDA'!K5</f>
        <v>0.90104166666666663</v>
      </c>
      <c r="L14" s="430" t="str">
        <f>'[4]VCO-QUALIDADEVIDA'!L5</f>
        <v>DESEJÁVEL</v>
      </c>
      <c r="M14" s="452">
        <f>'[4]VCO-QUALIDADEVIDA'!M5</f>
        <v>153</v>
      </c>
      <c r="N14" s="430">
        <f>'[4]VCO-QUALIDADEVIDA'!N5</f>
        <v>0.85</v>
      </c>
      <c r="O14" s="430" t="str">
        <f>'[4]VCO-QUALIDADEVIDA'!O5</f>
        <v>DESEJÁVEL</v>
      </c>
      <c r="P14"/>
      <c r="Q14" s="428" t="str">
        <f>'[4]VCO-QUALIDADEVIDA'!Q5</f>
        <v>SIM</v>
      </c>
      <c r="R14" s="59">
        <f>'[4]VCO-QUALIDADEVIDA'!R5</f>
        <v>185</v>
      </c>
      <c r="S14" s="440">
        <f>'[4]VCO-QUALIDADEVIDA'!S5</f>
        <v>0.96354166666666663</v>
      </c>
      <c r="T14" s="430" t="str">
        <f>'[4]VCO-QUALIDADEVIDA'!T5</f>
        <v>DESEJÁVEL</v>
      </c>
      <c r="U14" s="452">
        <f>'[4]VCO-QUALIDADEVIDA'!U5</f>
        <v>163</v>
      </c>
      <c r="V14" s="430">
        <f>'[4]VCO-QUALIDADEVIDA'!V5</f>
        <v>0.90555555555555556</v>
      </c>
      <c r="W14" s="430" t="str">
        <f>'[4]VCO-QUALIDADEVIDA'!W5</f>
        <v>DESEJÁVEL</v>
      </c>
      <c r="X14"/>
    </row>
    <row r="15" spans="1:24" x14ac:dyDescent="0.25">
      <c r="A15" s="433" t="str">
        <f>'[4]VCO-QUALIDADEVIDA'!A6</f>
        <v>PARCIAL</v>
      </c>
      <c r="B15" s="59">
        <f>'[4]VCO-QUALIDADEVIDA'!B6</f>
        <v>5</v>
      </c>
      <c r="C15" s="440">
        <f>'[4]VCO-QUALIDADEVIDA'!C6</f>
        <v>2.6041666666666668E-2</v>
      </c>
      <c r="D15" s="430" t="str">
        <f>'[4]VCO-QUALIDADEVIDA'!D6</f>
        <v>SATISFATÓRIO</v>
      </c>
      <c r="E15" s="452">
        <f>'[4]VCO-QUALIDADEVIDA'!E6</f>
        <v>10</v>
      </c>
      <c r="F15" s="430">
        <f>'[4]VCO-QUALIDADEVIDA'!F6</f>
        <v>5.5555555555555552E-2</v>
      </c>
      <c r="G15" s="430" t="str">
        <f>'[4]VCO-QUALIDADEVIDA'!G6</f>
        <v>SATISFATÓRIO</v>
      </c>
      <c r="H15"/>
      <c r="I15" s="433" t="str">
        <f>'[4]VCO-QUALIDADEVIDA'!I6</f>
        <v>PARCIAL</v>
      </c>
      <c r="J15" s="59">
        <f>'[4]VCO-QUALIDADEVIDA'!J6</f>
        <v>16</v>
      </c>
      <c r="K15" s="440">
        <f>'[4]VCO-QUALIDADEVIDA'!K6</f>
        <v>8.3333333333333329E-2</v>
      </c>
      <c r="L15" s="430" t="str">
        <f>'[4]VCO-QUALIDADEVIDA'!L6</f>
        <v>SATISFATÓRIO</v>
      </c>
      <c r="M15" s="452">
        <f>'[4]VCO-QUALIDADEVIDA'!M6</f>
        <v>25</v>
      </c>
      <c r="N15" s="430">
        <f>'[4]VCO-QUALIDADEVIDA'!N6</f>
        <v>0.1388888888888889</v>
      </c>
      <c r="O15" s="430" t="str">
        <f>'[4]VCO-QUALIDADEVIDA'!O6</f>
        <v>SATISFATÓRIO</v>
      </c>
      <c r="P15"/>
      <c r="Q15" s="433" t="str">
        <f>'[4]VCO-QUALIDADEVIDA'!Q6</f>
        <v>PARCIAL</v>
      </c>
      <c r="R15" s="59">
        <f>'[4]VCO-QUALIDADEVIDA'!R6</f>
        <v>7</v>
      </c>
      <c r="S15" s="440">
        <f>'[4]VCO-QUALIDADEVIDA'!S6</f>
        <v>3.6458333333333336E-2</v>
      </c>
      <c r="T15" s="430" t="str">
        <f>'[4]VCO-QUALIDADEVIDA'!T6</f>
        <v>SATISFATÓRIO</v>
      </c>
      <c r="U15" s="452">
        <f>'[4]VCO-QUALIDADEVIDA'!U6</f>
        <v>14</v>
      </c>
      <c r="V15" s="430">
        <f>'[4]VCO-QUALIDADEVIDA'!V6</f>
        <v>7.7777777777777779E-2</v>
      </c>
      <c r="W15" s="430" t="str">
        <f>'[4]VCO-QUALIDADEVIDA'!W6</f>
        <v>SATISFATÓRIO</v>
      </c>
      <c r="X15"/>
    </row>
    <row r="16" spans="1:24" x14ac:dyDescent="0.25">
      <c r="A16" s="433" t="str">
        <f>'[4]VCO-QUALIDADEVIDA'!A7</f>
        <v>NÃO</v>
      </c>
      <c r="B16" s="59">
        <f>'[4]VCO-QUALIDADEVIDA'!B7</f>
        <v>2</v>
      </c>
      <c r="C16" s="440">
        <f>'[4]VCO-QUALIDADEVIDA'!C7</f>
        <v>1.0416666666666666E-2</v>
      </c>
      <c r="D16" s="430" t="str">
        <f>'[4]VCO-QUALIDADEVIDA'!D7</f>
        <v>DESEJÁVEL</v>
      </c>
      <c r="E16" s="452">
        <f>'[4]VCO-QUALIDADEVIDA'!E7</f>
        <v>1</v>
      </c>
      <c r="F16" s="430">
        <f>'[4]VCO-QUALIDADEVIDA'!F7</f>
        <v>5.5555555555555558E-3</v>
      </c>
      <c r="G16" s="430" t="str">
        <f>'[4]VCO-QUALIDADEVIDA'!G7</f>
        <v>DESEJÁVEL</v>
      </c>
      <c r="H16"/>
      <c r="I16" s="433" t="str">
        <f>'[4]VCO-QUALIDADEVIDA'!I7</f>
        <v>NÃO</v>
      </c>
      <c r="J16" s="59">
        <f>'[4]VCO-QUALIDADEVIDA'!J7</f>
        <v>3</v>
      </c>
      <c r="K16" s="440">
        <f>'[4]VCO-QUALIDADEVIDA'!K7</f>
        <v>1.5625E-2</v>
      </c>
      <c r="L16" s="430" t="str">
        <f>'[4]VCO-QUALIDADEVIDA'!L7</f>
        <v>DESEJÁVEL</v>
      </c>
      <c r="M16" s="452">
        <f>'[4]VCO-QUALIDADEVIDA'!M7</f>
        <v>2</v>
      </c>
      <c r="N16" s="430">
        <f>'[4]VCO-QUALIDADEVIDA'!N7</f>
        <v>1.1111111111111112E-2</v>
      </c>
      <c r="O16" s="430" t="str">
        <f>'[4]VCO-QUALIDADEVIDA'!O7</f>
        <v>DESEJÁVEL</v>
      </c>
      <c r="P16"/>
      <c r="Q16" s="433" t="str">
        <f>'[4]VCO-QUALIDADEVIDA'!Q7</f>
        <v>NÃO</v>
      </c>
      <c r="R16" s="59">
        <f>'[4]VCO-QUALIDADEVIDA'!R7</f>
        <v>0</v>
      </c>
      <c r="S16" s="440">
        <f>'[4]VCO-QUALIDADEVIDA'!S7</f>
        <v>0</v>
      </c>
      <c r="T16" s="430" t="str">
        <f>'[4]VCO-QUALIDADEVIDA'!T7</f>
        <v>DESEJÁVEL</v>
      </c>
      <c r="U16" s="452">
        <f>'[4]VCO-QUALIDADEVIDA'!U7</f>
        <v>3</v>
      </c>
      <c r="V16" s="430">
        <f>'[4]VCO-QUALIDADEVIDA'!V7</f>
        <v>1.6666666666666666E-2</v>
      </c>
      <c r="W16" s="430" t="str">
        <f>'[4]VCO-QUALIDADEVIDA'!W7</f>
        <v>DESEJÁVEL</v>
      </c>
      <c r="X16"/>
    </row>
    <row r="17" spans="1:24" x14ac:dyDescent="0.25">
      <c r="A17" s="82" t="str">
        <f>'[4]VCO-QUALIDADEVIDA'!A8</f>
        <v>TOTAL</v>
      </c>
      <c r="B17" s="422">
        <f>'[4]VCO-QUALIDADEVIDA'!B8</f>
        <v>192</v>
      </c>
      <c r="C17" s="436">
        <f>'[4]VCO-QUALIDADEVIDA'!C8</f>
        <v>0.99999999999999989</v>
      </c>
      <c r="D17" s="439"/>
      <c r="E17" s="422">
        <f>'[4]VCO-QUALIDADEVIDA'!E8</f>
        <v>180</v>
      </c>
      <c r="F17" s="436">
        <f>'[4]VCO-QUALIDADEVIDA'!F8</f>
        <v>1</v>
      </c>
      <c r="G17" s="439"/>
      <c r="H17"/>
      <c r="I17" s="82" t="str">
        <f>'[4]VCO-QUALIDADEVIDA'!I8</f>
        <v>TOTAL</v>
      </c>
      <c r="J17" s="422">
        <f>'[4]VCO-QUALIDADEVIDA'!J8</f>
        <v>192</v>
      </c>
      <c r="K17" s="436">
        <f>'[4]VCO-QUALIDADEVIDA'!K8</f>
        <v>1</v>
      </c>
      <c r="L17" s="439"/>
      <c r="M17" s="422">
        <f>'[4]VCO-QUALIDADEVIDA'!M8</f>
        <v>180</v>
      </c>
      <c r="N17" s="436">
        <f>'[4]VCO-QUALIDADEVIDA'!N8</f>
        <v>1</v>
      </c>
      <c r="O17" s="439"/>
      <c r="P17"/>
      <c r="Q17" s="82" t="str">
        <f>'[4]VCO-QUALIDADEVIDA'!Q8</f>
        <v>TOTAL</v>
      </c>
      <c r="R17" s="422">
        <f>'[4]VCO-QUALIDADEVIDA'!R8</f>
        <v>192</v>
      </c>
      <c r="S17" s="436">
        <f>'[4]VCO-QUALIDADEVIDA'!S8</f>
        <v>1</v>
      </c>
      <c r="T17" s="439"/>
      <c r="U17" s="422">
        <f>'[4]VCO-QUALIDADEVIDA'!U8</f>
        <v>180</v>
      </c>
      <c r="V17" s="436">
        <f>'[4]VCO-QUALIDADEVIDA'!V8</f>
        <v>1</v>
      </c>
      <c r="W17" s="439"/>
      <c r="X17"/>
    </row>
    <row r="18" spans="1:24" x14ac:dyDescent="0.25">
      <c r="A18"/>
      <c r="B18"/>
      <c r="C18"/>
      <c r="D18"/>
      <c r="E18"/>
      <c r="F18"/>
      <c r="G18"/>
      <c r="H18"/>
      <c r="I18"/>
      <c r="J18"/>
      <c r="K18"/>
      <c r="L18"/>
      <c r="M18"/>
      <c r="N18"/>
      <c r="O18"/>
      <c r="P18"/>
      <c r="Q18"/>
      <c r="R18"/>
      <c r="S18"/>
      <c r="T18"/>
      <c r="U18"/>
      <c r="V18"/>
      <c r="W18"/>
      <c r="X18"/>
    </row>
    <row r="19" spans="1:24" x14ac:dyDescent="0.25">
      <c r="A19"/>
      <c r="B19"/>
      <c r="C19"/>
      <c r="D19"/>
      <c r="E19"/>
      <c r="F19"/>
      <c r="G19"/>
      <c r="H19"/>
      <c r="I19"/>
      <c r="J19"/>
      <c r="K19"/>
      <c r="L19"/>
      <c r="M19"/>
      <c r="N19"/>
      <c r="O19"/>
      <c r="P19"/>
      <c r="Q19"/>
      <c r="R19"/>
      <c r="S19"/>
      <c r="T19"/>
      <c r="U19"/>
      <c r="V19"/>
      <c r="W19"/>
      <c r="X19"/>
    </row>
    <row r="20" spans="1:24" x14ac:dyDescent="0.25">
      <c r="A20"/>
      <c r="B20"/>
      <c r="C20"/>
      <c r="D20"/>
      <c r="E20"/>
      <c r="F20"/>
      <c r="G20"/>
      <c r="H20"/>
      <c r="I20"/>
      <c r="J20"/>
      <c r="K20"/>
      <c r="L20"/>
      <c r="M20"/>
      <c r="N20"/>
      <c r="O20"/>
      <c r="P20"/>
      <c r="Q20"/>
      <c r="R20"/>
      <c r="S20"/>
      <c r="T20"/>
      <c r="U20"/>
      <c r="V20"/>
      <c r="W20"/>
      <c r="X20"/>
    </row>
    <row r="21" spans="1:24" x14ac:dyDescent="0.25">
      <c r="A21"/>
      <c r="B21"/>
      <c r="C21"/>
      <c r="D21"/>
      <c r="E21"/>
      <c r="F21"/>
      <c r="G21"/>
      <c r="H21"/>
      <c r="I21"/>
      <c r="J21"/>
      <c r="K21"/>
      <c r="L21"/>
      <c r="M21"/>
      <c r="N21"/>
      <c r="O21"/>
      <c r="P21"/>
      <c r="Q21"/>
      <c r="R21"/>
      <c r="S21"/>
      <c r="T21"/>
      <c r="U21"/>
      <c r="V21"/>
      <c r="W21"/>
      <c r="X21"/>
    </row>
    <row r="22" spans="1:24" x14ac:dyDescent="0.25">
      <c r="A22"/>
      <c r="B22"/>
      <c r="C22"/>
      <c r="D22"/>
      <c r="E22"/>
      <c r="F22"/>
      <c r="G22"/>
      <c r="H22"/>
      <c r="I22"/>
      <c r="J22"/>
      <c r="K22"/>
      <c r="L22"/>
      <c r="M22"/>
      <c r="N22"/>
      <c r="O22"/>
      <c r="P22"/>
      <c r="Q22"/>
      <c r="R22"/>
      <c r="S22"/>
      <c r="T22"/>
      <c r="U22"/>
      <c r="V22"/>
      <c r="W22"/>
      <c r="X22"/>
    </row>
    <row r="23" spans="1:24" x14ac:dyDescent="0.25">
      <c r="A23"/>
      <c r="B23"/>
      <c r="C23"/>
      <c r="D23"/>
      <c r="E23"/>
      <c r="F23"/>
      <c r="G23"/>
      <c r="H23"/>
      <c r="I23"/>
      <c r="J23"/>
      <c r="K23"/>
      <c r="L23"/>
      <c r="M23"/>
      <c r="N23"/>
      <c r="O23"/>
      <c r="P23"/>
      <c r="Q23"/>
      <c r="R23"/>
      <c r="S23"/>
      <c r="T23"/>
      <c r="U23"/>
      <c r="V23"/>
      <c r="W23"/>
      <c r="X23"/>
    </row>
    <row r="24" spans="1:24" x14ac:dyDescent="0.25">
      <c r="A24"/>
      <c r="B24"/>
      <c r="C24"/>
      <c r="D24"/>
      <c r="E24"/>
      <c r="F24"/>
      <c r="G24"/>
      <c r="H24"/>
      <c r="I24"/>
      <c r="J24"/>
      <c r="K24"/>
      <c r="L24"/>
      <c r="M24"/>
      <c r="N24"/>
      <c r="O24"/>
      <c r="P24"/>
      <c r="Q24"/>
      <c r="R24"/>
      <c r="S24"/>
      <c r="T24"/>
      <c r="U24"/>
      <c r="V24"/>
      <c r="W24"/>
      <c r="X24"/>
    </row>
    <row r="25" spans="1:24" x14ac:dyDescent="0.25">
      <c r="A25"/>
      <c r="B25"/>
      <c r="C25"/>
      <c r="D25"/>
      <c r="E25"/>
      <c r="F25"/>
      <c r="G25"/>
      <c r="H25"/>
      <c r="I25"/>
      <c r="J25"/>
      <c r="K25"/>
      <c r="L25"/>
      <c r="M25"/>
      <c r="N25"/>
      <c r="O25"/>
      <c r="P25"/>
      <c r="Q25"/>
      <c r="R25"/>
      <c r="S25"/>
      <c r="T25"/>
      <c r="U25"/>
      <c r="V25"/>
      <c r="W25"/>
      <c r="X25"/>
    </row>
    <row r="26" spans="1:24" x14ac:dyDescent="0.25">
      <c r="A26"/>
      <c r="B26"/>
      <c r="C26"/>
      <c r="D26"/>
      <c r="E26"/>
      <c r="F26"/>
      <c r="G26"/>
      <c r="H26"/>
      <c r="I26"/>
      <c r="J26"/>
      <c r="K26"/>
      <c r="L26"/>
      <c r="M26"/>
      <c r="N26"/>
      <c r="O26"/>
      <c r="P26"/>
      <c r="Q26"/>
      <c r="R26"/>
      <c r="S26"/>
      <c r="T26"/>
      <c r="U26"/>
      <c r="V26"/>
      <c r="W26"/>
      <c r="X26"/>
    </row>
    <row r="27" spans="1:24" x14ac:dyDescent="0.25">
      <c r="A27"/>
      <c r="B27"/>
      <c r="C27"/>
      <c r="D27"/>
      <c r="E27"/>
      <c r="F27"/>
      <c r="G27"/>
      <c r="H27"/>
      <c r="I27"/>
      <c r="J27"/>
      <c r="K27"/>
      <c r="L27"/>
      <c r="M27"/>
      <c r="N27"/>
      <c r="O27"/>
      <c r="P27"/>
      <c r="Q27"/>
      <c r="R27"/>
      <c r="S27"/>
      <c r="T27"/>
      <c r="U27"/>
      <c r="V27"/>
      <c r="W27"/>
      <c r="X27"/>
    </row>
    <row r="28" spans="1:24" x14ac:dyDescent="0.25">
      <c r="A28"/>
      <c r="B28"/>
      <c r="C28"/>
      <c r="D28"/>
      <c r="E28"/>
      <c r="F28"/>
      <c r="G28"/>
      <c r="H28"/>
      <c r="I28"/>
      <c r="J28"/>
      <c r="K28"/>
      <c r="L28"/>
      <c r="M28"/>
      <c r="N28"/>
      <c r="O28"/>
      <c r="P28"/>
      <c r="Q28"/>
      <c r="R28"/>
      <c r="S28"/>
      <c r="T28"/>
      <c r="U28"/>
      <c r="V28"/>
      <c r="W28"/>
      <c r="X28"/>
    </row>
    <row r="29" spans="1:24" x14ac:dyDescent="0.25">
      <c r="A29"/>
      <c r="B29"/>
      <c r="C29"/>
      <c r="D29"/>
      <c r="E29"/>
      <c r="F29"/>
      <c r="G29"/>
      <c r="H29"/>
      <c r="I29"/>
      <c r="J29"/>
      <c r="K29"/>
      <c r="L29"/>
      <c r="M29"/>
      <c r="N29"/>
      <c r="O29"/>
      <c r="P29"/>
      <c r="Q29"/>
      <c r="R29"/>
      <c r="S29"/>
      <c r="T29"/>
      <c r="U29"/>
      <c r="V29"/>
      <c r="W29"/>
      <c r="X29"/>
    </row>
    <row r="30" spans="1:24" x14ac:dyDescent="0.25">
      <c r="A30"/>
      <c r="B30"/>
      <c r="C30"/>
      <c r="D30"/>
      <c r="E30"/>
      <c r="F30"/>
      <c r="G30"/>
      <c r="H30"/>
      <c r="I30"/>
      <c r="J30"/>
      <c r="K30"/>
      <c r="L30"/>
      <c r="M30"/>
      <c r="N30"/>
      <c r="O30"/>
      <c r="P30"/>
      <c r="Q30"/>
      <c r="R30"/>
      <c r="S30"/>
      <c r="T30"/>
      <c r="U30"/>
      <c r="V30"/>
      <c r="W30"/>
      <c r="X30"/>
    </row>
    <row r="31" spans="1:24" x14ac:dyDescent="0.25">
      <c r="A31"/>
      <c r="B31"/>
      <c r="C31"/>
      <c r="D31"/>
      <c r="E31"/>
      <c r="F31"/>
      <c r="G31"/>
      <c r="H31"/>
      <c r="I31"/>
      <c r="J31"/>
      <c r="K31"/>
      <c r="L31"/>
      <c r="M31"/>
      <c r="N31"/>
      <c r="O31"/>
      <c r="P31"/>
      <c r="Q31"/>
      <c r="R31"/>
      <c r="S31"/>
      <c r="T31"/>
      <c r="U31"/>
      <c r="V31"/>
      <c r="W31"/>
      <c r="X31"/>
    </row>
    <row r="32" spans="1:24" x14ac:dyDescent="0.25">
      <c r="A32"/>
      <c r="B32"/>
      <c r="C32"/>
      <c r="D32"/>
      <c r="E32"/>
      <c r="F32"/>
      <c r="G32"/>
      <c r="H32"/>
      <c r="I32"/>
      <c r="J32"/>
      <c r="K32"/>
      <c r="L32"/>
      <c r="M32"/>
      <c r="N32"/>
      <c r="O32"/>
      <c r="P32"/>
      <c r="Q32"/>
      <c r="R32"/>
      <c r="S32"/>
      <c r="T32"/>
      <c r="U32"/>
      <c r="V32"/>
      <c r="W32"/>
      <c r="X32"/>
    </row>
    <row r="33" spans="1:24" x14ac:dyDescent="0.25">
      <c r="A33"/>
      <c r="B33"/>
      <c r="C33"/>
      <c r="D33"/>
      <c r="E33"/>
      <c r="F33"/>
      <c r="G33"/>
      <c r="H33"/>
      <c r="I33"/>
      <c r="J33"/>
      <c r="K33"/>
      <c r="L33"/>
      <c r="M33"/>
      <c r="N33"/>
      <c r="O33"/>
      <c r="P33"/>
      <c r="Q33"/>
      <c r="R33"/>
      <c r="S33"/>
      <c r="T33"/>
      <c r="U33"/>
      <c r="V33"/>
      <c r="W33"/>
      <c r="X33"/>
    </row>
    <row r="34" spans="1:24" x14ac:dyDescent="0.25">
      <c r="A34"/>
      <c r="B34"/>
      <c r="C34"/>
      <c r="D34"/>
      <c r="E34"/>
      <c r="F34"/>
      <c r="G34"/>
      <c r="H34"/>
      <c r="I34"/>
      <c r="J34"/>
      <c r="K34"/>
      <c r="L34"/>
      <c r="M34"/>
      <c r="N34"/>
      <c r="O34"/>
      <c r="P34"/>
      <c r="Q34"/>
      <c r="R34"/>
      <c r="S34"/>
      <c r="T34"/>
      <c r="U34"/>
      <c r="V34"/>
      <c r="W34"/>
      <c r="X34"/>
    </row>
    <row r="35" spans="1:24" x14ac:dyDescent="0.25">
      <c r="A35"/>
      <c r="B35"/>
      <c r="C35"/>
      <c r="D35"/>
      <c r="E35"/>
      <c r="F35"/>
      <c r="G35"/>
      <c r="H35"/>
      <c r="I35"/>
      <c r="J35"/>
      <c r="K35"/>
      <c r="L35"/>
      <c r="M35"/>
      <c r="N35"/>
      <c r="O35"/>
      <c r="P35"/>
      <c r="Q35"/>
      <c r="R35"/>
      <c r="S35"/>
      <c r="T35"/>
      <c r="U35"/>
      <c r="V35"/>
      <c r="W35"/>
      <c r="X35"/>
    </row>
    <row r="36" spans="1:24" x14ac:dyDescent="0.25">
      <c r="A36"/>
      <c r="B36"/>
      <c r="C36"/>
      <c r="D36"/>
      <c r="E36"/>
      <c r="F36"/>
      <c r="G36"/>
      <c r="H36"/>
      <c r="I36"/>
      <c r="J36"/>
      <c r="K36"/>
      <c r="L36"/>
      <c r="M36"/>
      <c r="N36"/>
      <c r="O36"/>
      <c r="P36"/>
      <c r="Q36"/>
      <c r="R36"/>
      <c r="S36"/>
      <c r="T36"/>
      <c r="U36"/>
      <c r="V36"/>
      <c r="W36"/>
      <c r="X36"/>
    </row>
    <row r="37" spans="1:24" x14ac:dyDescent="0.25">
      <c r="A37"/>
      <c r="B37"/>
      <c r="C37"/>
      <c r="D37"/>
      <c r="E37"/>
      <c r="F37"/>
      <c r="G37"/>
      <c r="H37"/>
      <c r="I37"/>
      <c r="J37"/>
      <c r="K37"/>
      <c r="L37"/>
      <c r="M37"/>
      <c r="N37"/>
      <c r="O37"/>
      <c r="P37"/>
      <c r="Q37"/>
      <c r="R37"/>
      <c r="S37"/>
      <c r="T37"/>
      <c r="U37"/>
      <c r="V37"/>
      <c r="W37"/>
      <c r="X37"/>
    </row>
    <row r="38" spans="1:24" x14ac:dyDescent="0.25">
      <c r="A38"/>
      <c r="B38"/>
      <c r="C38"/>
      <c r="D38"/>
      <c r="E38"/>
      <c r="F38"/>
      <c r="G38"/>
      <c r="H38"/>
      <c r="I38"/>
      <c r="J38"/>
      <c r="K38"/>
      <c r="L38"/>
      <c r="M38"/>
      <c r="N38"/>
      <c r="O38"/>
      <c r="P38"/>
      <c r="Q38"/>
      <c r="R38"/>
      <c r="S38"/>
      <c r="T38"/>
      <c r="U38"/>
      <c r="V38"/>
      <c r="W38"/>
      <c r="X38"/>
    </row>
    <row r="39" spans="1:24" x14ac:dyDescent="0.25">
      <c r="A39"/>
      <c r="B39"/>
      <c r="C39"/>
      <c r="D39"/>
      <c r="E39"/>
      <c r="F39"/>
      <c r="G39"/>
      <c r="H39"/>
      <c r="I39"/>
      <c r="J39"/>
      <c r="K39"/>
      <c r="L39"/>
      <c r="M39"/>
      <c r="N39"/>
      <c r="O39"/>
      <c r="P39"/>
      <c r="Q39"/>
      <c r="R39"/>
      <c r="S39"/>
      <c r="T39"/>
      <c r="U39"/>
      <c r="V39"/>
      <c r="W39"/>
      <c r="X39"/>
    </row>
    <row r="40" spans="1:24" x14ac:dyDescent="0.25">
      <c r="A40"/>
      <c r="B40"/>
      <c r="C40"/>
      <c r="D40"/>
      <c r="E40"/>
      <c r="F40"/>
      <c r="G40"/>
      <c r="H40"/>
      <c r="I40"/>
      <c r="J40"/>
      <c r="K40"/>
      <c r="L40"/>
      <c r="M40"/>
      <c r="N40"/>
      <c r="O40"/>
      <c r="P40"/>
      <c r="Q40"/>
      <c r="R40"/>
      <c r="S40"/>
      <c r="T40"/>
      <c r="U40"/>
      <c r="V40"/>
      <c r="W40"/>
      <c r="X40"/>
    </row>
    <row r="41" spans="1:24" x14ac:dyDescent="0.25">
      <c r="A41"/>
      <c r="B41"/>
      <c r="C41"/>
      <c r="D41"/>
      <c r="E41"/>
      <c r="F41"/>
      <c r="G41"/>
      <c r="H41"/>
      <c r="I41"/>
      <c r="J41"/>
      <c r="K41"/>
      <c r="L41"/>
      <c r="M41"/>
      <c r="N41"/>
      <c r="O41"/>
      <c r="P41"/>
      <c r="Q41"/>
      <c r="R41"/>
      <c r="S41"/>
      <c r="T41"/>
      <c r="U41"/>
      <c r="V41"/>
      <c r="W41"/>
      <c r="X41"/>
    </row>
    <row r="42" spans="1:24" x14ac:dyDescent="0.25">
      <c r="A42"/>
      <c r="B42"/>
      <c r="C42"/>
      <c r="D42"/>
      <c r="E42"/>
      <c r="F42"/>
      <c r="G42"/>
      <c r="H42"/>
      <c r="I42"/>
      <c r="J42"/>
      <c r="K42"/>
      <c r="L42"/>
      <c r="M42"/>
      <c r="N42"/>
      <c r="O42"/>
      <c r="P42"/>
      <c r="Q42"/>
      <c r="R42"/>
      <c r="S42"/>
      <c r="T42"/>
      <c r="U42"/>
      <c r="V42"/>
      <c r="W42"/>
      <c r="X42"/>
    </row>
    <row r="43" spans="1:24" x14ac:dyDescent="0.25">
      <c r="A43"/>
      <c r="B43"/>
      <c r="C43"/>
      <c r="D43"/>
      <c r="E43"/>
      <c r="F43"/>
      <c r="G43"/>
      <c r="H43"/>
      <c r="I43"/>
      <c r="J43"/>
      <c r="K43"/>
      <c r="L43"/>
      <c r="M43"/>
      <c r="N43"/>
      <c r="O43"/>
      <c r="P43"/>
      <c r="Q43"/>
      <c r="R43"/>
      <c r="S43"/>
      <c r="T43"/>
      <c r="U43"/>
      <c r="V43"/>
      <c r="W43"/>
      <c r="X43"/>
    </row>
    <row r="44" spans="1:24" x14ac:dyDescent="0.25">
      <c r="A44"/>
      <c r="B44"/>
      <c r="C44"/>
      <c r="D44"/>
      <c r="E44"/>
      <c r="F44"/>
      <c r="G44"/>
      <c r="H44"/>
      <c r="I44"/>
      <c r="J44"/>
      <c r="K44"/>
      <c r="L44"/>
      <c r="M44"/>
      <c r="N44"/>
      <c r="O44"/>
      <c r="P44"/>
      <c r="Q44"/>
      <c r="R44"/>
      <c r="S44"/>
      <c r="T44"/>
      <c r="U44"/>
      <c r="V44"/>
      <c r="W44"/>
      <c r="X44"/>
    </row>
    <row r="45" spans="1:24" x14ac:dyDescent="0.25">
      <c r="A45"/>
      <c r="B45"/>
      <c r="C45"/>
      <c r="D45"/>
      <c r="E45"/>
      <c r="F45"/>
      <c r="G45"/>
      <c r="H45"/>
      <c r="I45"/>
      <c r="J45"/>
      <c r="K45"/>
      <c r="L45"/>
      <c r="M45"/>
      <c r="N45"/>
      <c r="O45"/>
      <c r="P45"/>
      <c r="Q45"/>
      <c r="R45"/>
      <c r="S45"/>
      <c r="T45"/>
      <c r="U45"/>
      <c r="V45"/>
      <c r="W45"/>
      <c r="X45"/>
    </row>
    <row r="46" spans="1:24" x14ac:dyDescent="0.25">
      <c r="A46"/>
      <c r="B46"/>
      <c r="C46"/>
      <c r="D46"/>
      <c r="E46"/>
      <c r="F46"/>
      <c r="G46"/>
      <c r="H46"/>
      <c r="I46"/>
      <c r="J46"/>
      <c r="K46"/>
      <c r="L46"/>
      <c r="M46"/>
      <c r="N46"/>
      <c r="O46"/>
      <c r="P46"/>
      <c r="Q46"/>
      <c r="R46"/>
      <c r="S46"/>
      <c r="T46"/>
      <c r="U46"/>
      <c r="V46"/>
      <c r="W46"/>
      <c r="X46"/>
    </row>
    <row r="47" spans="1:24" x14ac:dyDescent="0.25">
      <c r="A47"/>
      <c r="B47"/>
      <c r="C47"/>
      <c r="D47"/>
      <c r="E47"/>
      <c r="F47"/>
      <c r="G47"/>
      <c r="H47"/>
      <c r="I47"/>
      <c r="J47"/>
      <c r="K47"/>
      <c r="L47"/>
      <c r="M47"/>
      <c r="N47"/>
      <c r="O47"/>
      <c r="P47"/>
      <c r="Q47"/>
      <c r="R47"/>
      <c r="S47"/>
      <c r="T47"/>
      <c r="U47"/>
      <c r="V47"/>
      <c r="W47"/>
      <c r="X47"/>
    </row>
    <row r="48" spans="1:24" x14ac:dyDescent="0.25">
      <c r="A48"/>
      <c r="B48"/>
      <c r="C48"/>
      <c r="D48"/>
      <c r="E48"/>
      <c r="F48"/>
      <c r="G48"/>
      <c r="H48"/>
      <c r="I48"/>
      <c r="J48"/>
      <c r="K48"/>
      <c r="L48"/>
      <c r="M48"/>
      <c r="N48"/>
      <c r="O48"/>
      <c r="P48"/>
      <c r="Q48"/>
      <c r="R48"/>
      <c r="S48"/>
      <c r="T48"/>
      <c r="U48"/>
      <c r="V48"/>
      <c r="W48"/>
      <c r="X48"/>
    </row>
    <row r="49" spans="1:24" x14ac:dyDescent="0.25">
      <c r="A49"/>
      <c r="B49"/>
      <c r="C49"/>
      <c r="D49"/>
      <c r="E49"/>
      <c r="F49"/>
      <c r="G49"/>
      <c r="H49"/>
      <c r="I49"/>
      <c r="J49"/>
      <c r="K49"/>
      <c r="L49"/>
      <c r="M49"/>
      <c r="N49"/>
      <c r="O49"/>
      <c r="P49"/>
      <c r="Q49"/>
      <c r="R49"/>
      <c r="S49"/>
      <c r="T49"/>
      <c r="U49"/>
      <c r="V49"/>
      <c r="W49"/>
      <c r="X49"/>
    </row>
  </sheetData>
  <mergeCells count="9">
    <mergeCell ref="Q12:Q13"/>
    <mergeCell ref="R12:T12"/>
    <mergeCell ref="U12:W12"/>
    <mergeCell ref="A12:A13"/>
    <mergeCell ref="B12:D12"/>
    <mergeCell ref="E12:G12"/>
    <mergeCell ref="I12:I13"/>
    <mergeCell ref="J12:L12"/>
    <mergeCell ref="M12:O12"/>
  </mergeCells>
  <conditionalFormatting sqref="D14:D16">
    <cfRule type="containsText" dxfId="159" priority="21" operator="containsText" text="CRÍTICO">
      <formula>NOT(ISERROR(SEARCH("CRÍTICO",D14)))</formula>
    </cfRule>
    <cfRule type="containsText" dxfId="158" priority="22" operator="containsText" text="INSATISFATÓRIO">
      <formula>NOT(ISERROR(SEARCH("INSATISFATÓRIO",D14)))</formula>
    </cfRule>
    <cfRule type="containsText" dxfId="157" priority="23" operator="containsText" text="DESEJÁVEL">
      <formula>NOT(ISERROR(SEARCH("DESEJÁVEL",D14)))</formula>
    </cfRule>
    <cfRule type="containsText" dxfId="156" priority="24" operator="containsText" text="SATISFATÓRIO">
      <formula>NOT(ISERROR(SEARCH("SATISFATÓRIO",D14)))</formula>
    </cfRule>
  </conditionalFormatting>
  <conditionalFormatting sqref="G14:G16">
    <cfRule type="containsText" dxfId="155" priority="17" operator="containsText" text="CRÍTICO">
      <formula>NOT(ISERROR(SEARCH("CRÍTICO",G14)))</formula>
    </cfRule>
    <cfRule type="containsText" dxfId="154" priority="18" operator="containsText" text="INSATISFATÓRIO">
      <formula>NOT(ISERROR(SEARCH("INSATISFATÓRIO",G14)))</formula>
    </cfRule>
    <cfRule type="containsText" dxfId="153" priority="19" operator="containsText" text="DESEJÁVEL">
      <formula>NOT(ISERROR(SEARCH("DESEJÁVEL",G14)))</formula>
    </cfRule>
    <cfRule type="containsText" dxfId="152" priority="20" operator="containsText" text="SATISFATÓRIO">
      <formula>NOT(ISERROR(SEARCH("SATISFATÓRIO",G14)))</formula>
    </cfRule>
  </conditionalFormatting>
  <conditionalFormatting sqref="L14:L16">
    <cfRule type="containsText" dxfId="151" priority="13" operator="containsText" text="CRÍTICO">
      <formula>NOT(ISERROR(SEARCH("CRÍTICO",L14)))</formula>
    </cfRule>
    <cfRule type="containsText" dxfId="150" priority="14" operator="containsText" text="INSATISFATÓRIO">
      <formula>NOT(ISERROR(SEARCH("INSATISFATÓRIO",L14)))</formula>
    </cfRule>
    <cfRule type="containsText" dxfId="149" priority="15" operator="containsText" text="DESEJÁVEL">
      <formula>NOT(ISERROR(SEARCH("DESEJÁVEL",L14)))</formula>
    </cfRule>
    <cfRule type="containsText" dxfId="148" priority="16" operator="containsText" text="SATISFATÓRIO">
      <formula>NOT(ISERROR(SEARCH("SATISFATÓRIO",L14)))</formula>
    </cfRule>
  </conditionalFormatting>
  <conditionalFormatting sqref="O14:O16">
    <cfRule type="containsText" dxfId="147" priority="9" operator="containsText" text="CRÍTICO">
      <formula>NOT(ISERROR(SEARCH("CRÍTICO",O14)))</formula>
    </cfRule>
    <cfRule type="containsText" dxfId="146" priority="10" operator="containsText" text="INSATISFATÓRIO">
      <formula>NOT(ISERROR(SEARCH("INSATISFATÓRIO",O14)))</formula>
    </cfRule>
    <cfRule type="containsText" dxfId="145" priority="11" operator="containsText" text="DESEJÁVEL">
      <formula>NOT(ISERROR(SEARCH("DESEJÁVEL",O14)))</formula>
    </cfRule>
    <cfRule type="containsText" dxfId="144" priority="12" operator="containsText" text="SATISFATÓRIO">
      <formula>NOT(ISERROR(SEARCH("SATISFATÓRIO",O14)))</formula>
    </cfRule>
  </conditionalFormatting>
  <conditionalFormatting sqref="T14:T16">
    <cfRule type="containsText" dxfId="143" priority="5" operator="containsText" text="CRÍTICO">
      <formula>NOT(ISERROR(SEARCH("CRÍTICO",T14)))</formula>
    </cfRule>
    <cfRule type="containsText" dxfId="142" priority="6" operator="containsText" text="INSATISFATÓRIO">
      <formula>NOT(ISERROR(SEARCH("INSATISFATÓRIO",T14)))</formula>
    </cfRule>
    <cfRule type="containsText" dxfId="141" priority="7" operator="containsText" text="DESEJÁVEL">
      <formula>NOT(ISERROR(SEARCH("DESEJÁVEL",T14)))</formula>
    </cfRule>
    <cfRule type="containsText" dxfId="140" priority="8" operator="containsText" text="SATISFATÓRIO">
      <formula>NOT(ISERROR(SEARCH("SATISFATÓRIO",T14)))</formula>
    </cfRule>
  </conditionalFormatting>
  <conditionalFormatting sqref="W14:W16">
    <cfRule type="containsText" dxfId="139" priority="1" operator="containsText" text="CRÍTICO">
      <formula>NOT(ISERROR(SEARCH("CRÍTICO",W14)))</formula>
    </cfRule>
    <cfRule type="containsText" dxfId="138" priority="2" operator="containsText" text="INSATISFATÓRIO">
      <formula>NOT(ISERROR(SEARCH("INSATISFATÓRIO",W14)))</formula>
    </cfRule>
    <cfRule type="containsText" dxfId="137" priority="3" operator="containsText" text="DESEJÁVEL">
      <formula>NOT(ISERROR(SEARCH("DESEJÁVEL",W14)))</formula>
    </cfRule>
    <cfRule type="containsText" dxfId="136" priority="4" operator="containsText" text="SATISFATÓRIO">
      <formula>NOT(ISERROR(SEARCH("SATISFATÓRIO",W14)))</formula>
    </cfRule>
  </conditionalFormatting>
  <pageMargins left="0.511811024" right="0.511811024" top="0.78740157499999996" bottom="0.78740157499999996" header="0.31496062000000002" footer="0.31496062000000002"/>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9"/>
  <dimension ref="A10:X50"/>
  <sheetViews>
    <sheetView showGridLines="0" topLeftCell="A10" workbookViewId="0">
      <selection activeCell="A9" sqref="A9"/>
    </sheetView>
  </sheetViews>
  <sheetFormatPr defaultRowHeight="15" x14ac:dyDescent="0.25"/>
  <cols>
    <col min="1" max="1" width="31.28515625" style="1" customWidth="1"/>
    <col min="2" max="3" width="13.7109375" style="1" customWidth="1"/>
    <col min="4" max="4" width="15.7109375" style="1" customWidth="1"/>
    <col min="5" max="6" width="13.7109375" style="1" customWidth="1"/>
    <col min="7" max="7" width="15.7109375" style="1" customWidth="1"/>
    <col min="8" max="8" width="3.85546875" style="1" customWidth="1"/>
    <col min="9" max="9" width="31.28515625" style="1" customWidth="1"/>
    <col min="10" max="11" width="13.7109375" style="1" customWidth="1"/>
    <col min="12" max="12" width="15.7109375" style="1" customWidth="1"/>
    <col min="13" max="14" width="13.7109375" style="1" customWidth="1"/>
    <col min="15" max="15" width="15.7109375" style="1" customWidth="1"/>
    <col min="16" max="16" width="3.85546875" style="1" customWidth="1"/>
    <col min="17" max="17" width="31.28515625" style="1" customWidth="1"/>
    <col min="18" max="19" width="13.7109375" style="1" customWidth="1"/>
    <col min="20" max="20" width="15.7109375" style="1" customWidth="1"/>
    <col min="21" max="22" width="13.7109375" style="1" customWidth="1"/>
    <col min="23" max="23" width="15.7109375" style="1" customWidth="1"/>
    <col min="24" max="16384" width="9.140625" style="1"/>
  </cols>
  <sheetData>
    <row r="10" spans="1:24" x14ac:dyDescent="0.25">
      <c r="A10"/>
      <c r="B10"/>
      <c r="C10"/>
      <c r="D10"/>
      <c r="E10"/>
      <c r="F10"/>
      <c r="G10"/>
      <c r="H10"/>
      <c r="I10"/>
      <c r="J10"/>
      <c r="K10"/>
      <c r="L10"/>
      <c r="M10"/>
      <c r="N10"/>
      <c r="O10"/>
      <c r="P10"/>
      <c r="Q10"/>
      <c r="R10"/>
      <c r="S10"/>
      <c r="T10"/>
      <c r="U10"/>
      <c r="V10"/>
      <c r="W10"/>
      <c r="X10"/>
    </row>
    <row r="11" spans="1:24" x14ac:dyDescent="0.25">
      <c r="A11"/>
      <c r="B11"/>
      <c r="C11"/>
      <c r="D11"/>
      <c r="E11"/>
      <c r="F11"/>
      <c r="G11"/>
      <c r="H11"/>
      <c r="I11"/>
      <c r="J11"/>
      <c r="K11"/>
      <c r="L11"/>
      <c r="M11"/>
      <c r="N11"/>
      <c r="O11"/>
      <c r="P11"/>
      <c r="Q11"/>
      <c r="R11"/>
      <c r="S11"/>
      <c r="T11"/>
      <c r="U11"/>
      <c r="V11"/>
      <c r="W11"/>
      <c r="X11"/>
    </row>
    <row r="12" spans="1:24" x14ac:dyDescent="0.25">
      <c r="A12" s="700" t="str">
        <f>'[4]VCO-SOCIOAMBIENTAL'!A3</f>
        <v>VOCÊ CONTRIBUI PARA REDUZIR A IMPRESSÃO OU CÓPIA DE DOCUMENTOS?</v>
      </c>
      <c r="B12" s="702">
        <f>'[4]VCO-SOCIOAMBIENTAL'!B3</f>
        <v>2020</v>
      </c>
      <c r="C12" s="702"/>
      <c r="D12" s="702"/>
      <c r="E12" s="702">
        <f>'[4]VCO-SOCIOAMBIENTAL'!E3</f>
        <v>2017</v>
      </c>
      <c r="F12" s="702"/>
      <c r="G12" s="702"/>
      <c r="H12"/>
      <c r="I12" s="700" t="str">
        <f>'[4]VCO-SOCIOAMBIENTAL'!I3</f>
        <v>VOCÊ CONTRIBUI PARA A ECONCOMIA E REAPROVEITAMENTO DO CONSUMO DE ÁGUA E ENERGIA?</v>
      </c>
      <c r="J12" s="702">
        <f>'[4]VCO-SOCIOAMBIENTAL'!J3</f>
        <v>2020</v>
      </c>
      <c r="K12" s="702"/>
      <c r="L12" s="702"/>
      <c r="M12" s="702">
        <f>'[4]VCO-SOCIOAMBIENTAL'!M3</f>
        <v>2017</v>
      </c>
      <c r="N12" s="702"/>
      <c r="O12" s="702"/>
      <c r="P12"/>
      <c r="Q12" s="700" t="str">
        <f>'[4]VCO-SOCIOAMBIENTAL'!Q3</f>
        <v>VOCÊ CONTRIBUI PARA A COLETA SELETIVA DO LIXO?</v>
      </c>
      <c r="R12" s="702">
        <f>'[4]VCO-SOCIOAMBIENTAL'!R3</f>
        <v>2020</v>
      </c>
      <c r="S12" s="702"/>
      <c r="T12" s="702"/>
      <c r="U12" s="702">
        <f>'[4]VCO-SOCIOAMBIENTAL'!U3</f>
        <v>2017</v>
      </c>
      <c r="V12" s="702"/>
      <c r="W12" s="702"/>
      <c r="X12"/>
    </row>
    <row r="13" spans="1:24" ht="52.5" customHeight="1" x14ac:dyDescent="0.25">
      <c r="A13" s="700"/>
      <c r="B13" s="426" t="str">
        <f>'[4]VCO-SOCIOAMBIENTAL'!B4</f>
        <v>TOTAL</v>
      </c>
      <c r="C13" s="426" t="str">
        <f>'[4]VCO-SOCIOAMBIENTAL'!C4</f>
        <v>%</v>
      </c>
      <c r="D13" s="426" t="str">
        <f>'[4]VCO-SOCIOAMBIENTAL'!D4</f>
        <v>RESULTADO</v>
      </c>
      <c r="E13" s="426" t="str">
        <f>'[4]VCO-SOCIOAMBIENTAL'!E4</f>
        <v>TOTAL</v>
      </c>
      <c r="F13" s="426" t="str">
        <f>'[4]VCO-SOCIOAMBIENTAL'!F4</f>
        <v>%</v>
      </c>
      <c r="G13" s="426" t="str">
        <f>'[4]VCO-SOCIOAMBIENTAL'!G4</f>
        <v>RESULTADO</v>
      </c>
      <c r="H13"/>
      <c r="I13" s="700"/>
      <c r="J13" s="426" t="str">
        <f>'[4]VCO-SOCIOAMBIENTAL'!J4</f>
        <v>TOTAL</v>
      </c>
      <c r="K13" s="426" t="str">
        <f>'[4]VCO-SOCIOAMBIENTAL'!K4</f>
        <v>%</v>
      </c>
      <c r="L13" s="426" t="str">
        <f>'[4]VCO-SOCIOAMBIENTAL'!L4</f>
        <v>RESULTADO</v>
      </c>
      <c r="M13" s="426" t="str">
        <f>'[4]VCO-SOCIOAMBIENTAL'!M4</f>
        <v>TOTAL</v>
      </c>
      <c r="N13" s="426" t="str">
        <f>'[4]VCO-SOCIOAMBIENTAL'!N4</f>
        <v>%</v>
      </c>
      <c r="O13" s="426" t="str">
        <f>'[4]VCO-SOCIOAMBIENTAL'!O4</f>
        <v>RESULTADO</v>
      </c>
      <c r="P13"/>
      <c r="Q13" s="700"/>
      <c r="R13" s="426" t="str">
        <f>'[4]VCO-SOCIOAMBIENTAL'!R4</f>
        <v>TOTAL</v>
      </c>
      <c r="S13" s="426" t="str">
        <f>'[4]VCO-SOCIOAMBIENTAL'!S4</f>
        <v>%</v>
      </c>
      <c r="T13" s="426" t="str">
        <f>'[4]VCO-SOCIOAMBIENTAL'!T4</f>
        <v>RESULTADO</v>
      </c>
      <c r="U13" s="426" t="str">
        <f>'[4]VCO-SOCIOAMBIENTAL'!U4</f>
        <v>TOTAL</v>
      </c>
      <c r="V13" s="426" t="str">
        <f>'[4]VCO-SOCIOAMBIENTAL'!V4</f>
        <v>%</v>
      </c>
      <c r="W13" s="426" t="str">
        <f>'[4]VCO-SOCIOAMBIENTAL'!W4</f>
        <v>RESULTADO</v>
      </c>
      <c r="X13"/>
    </row>
    <row r="14" spans="1:24" x14ac:dyDescent="0.25">
      <c r="A14" s="428" t="str">
        <f>'[4]VCO-SOCIOAMBIENTAL'!A5</f>
        <v>SIM</v>
      </c>
      <c r="B14" s="59">
        <f>'[4]VCO-SOCIOAMBIENTAL'!B5</f>
        <v>181</v>
      </c>
      <c r="C14" s="440">
        <f>'[4]VCO-SOCIOAMBIENTAL'!C5</f>
        <v>0.94270833333333337</v>
      </c>
      <c r="D14" s="430" t="str">
        <f>'[4]VCO-SOCIOAMBIENTAL'!D5</f>
        <v>DESEJÁVEL</v>
      </c>
      <c r="E14" s="452">
        <f>'[4]VCO-SOCIOAMBIENTAL'!E5</f>
        <v>157</v>
      </c>
      <c r="F14" s="430">
        <f>'[4]VCO-SOCIOAMBIENTAL'!F5</f>
        <v>0.87222222222222223</v>
      </c>
      <c r="G14" s="430" t="str">
        <f>'[4]VCO-SOCIOAMBIENTAL'!G5</f>
        <v>DESEJÁVEL</v>
      </c>
      <c r="H14"/>
      <c r="I14" s="428" t="str">
        <f>'[4]VCO-SOCIOAMBIENTAL'!I5</f>
        <v>SIM</v>
      </c>
      <c r="J14" s="59">
        <f>'[4]VCO-SOCIOAMBIENTAL'!J5</f>
        <v>184</v>
      </c>
      <c r="K14" s="440">
        <f>'[4]VCO-SOCIOAMBIENTAL'!K5</f>
        <v>0.95833333333333337</v>
      </c>
      <c r="L14" s="430" t="str">
        <f>'[4]VCO-SOCIOAMBIENTAL'!L5</f>
        <v>DESEJÁVEL</v>
      </c>
      <c r="M14" s="452">
        <f>'[4]VCO-SOCIOAMBIENTAL'!M5</f>
        <v>160</v>
      </c>
      <c r="N14" s="430">
        <f>'[4]VCO-SOCIOAMBIENTAL'!N5</f>
        <v>0.88888888888888884</v>
      </c>
      <c r="O14" s="430" t="str">
        <f>'[4]VCO-SOCIOAMBIENTAL'!O5</f>
        <v>DESEJÁVEL</v>
      </c>
      <c r="P14"/>
      <c r="Q14" s="428" t="str">
        <f>'[4]VCO-SOCIOAMBIENTAL'!Q5</f>
        <v>SIM</v>
      </c>
      <c r="R14" s="59">
        <f>'[4]VCO-SOCIOAMBIENTAL'!R5</f>
        <v>171</v>
      </c>
      <c r="S14" s="440">
        <f>'[4]VCO-SOCIOAMBIENTAL'!S5</f>
        <v>0.890625</v>
      </c>
      <c r="T14" s="430" t="str">
        <f>'[4]VCO-SOCIOAMBIENTAL'!T5</f>
        <v>DESEJÁVEL</v>
      </c>
      <c r="U14" s="452">
        <f>'[4]VCO-SOCIOAMBIENTAL'!U5</f>
        <v>139</v>
      </c>
      <c r="V14" s="430">
        <f>'[4]VCO-SOCIOAMBIENTAL'!V5</f>
        <v>0.77222222222222225</v>
      </c>
      <c r="W14" s="430" t="str">
        <f>'[4]VCO-SOCIOAMBIENTAL'!W5</f>
        <v>SATISFATÓRIO</v>
      </c>
      <c r="X14"/>
    </row>
    <row r="15" spans="1:24" x14ac:dyDescent="0.25">
      <c r="A15" s="433" t="str">
        <f>'[4]VCO-SOCIOAMBIENTAL'!A6</f>
        <v>PARCIAL</v>
      </c>
      <c r="B15" s="59">
        <f>'[4]VCO-SOCIOAMBIENTAL'!B6</f>
        <v>10</v>
      </c>
      <c r="C15" s="440">
        <f>'[4]VCO-SOCIOAMBIENTAL'!C6</f>
        <v>5.2083333333333336E-2</v>
      </c>
      <c r="D15" s="430" t="str">
        <f>'[4]VCO-SOCIOAMBIENTAL'!D6</f>
        <v>SATISFATÓRIO</v>
      </c>
      <c r="E15" s="452">
        <f>'[4]VCO-SOCIOAMBIENTAL'!E6</f>
        <v>21</v>
      </c>
      <c r="F15" s="430">
        <f>'[4]VCO-SOCIOAMBIENTAL'!F6</f>
        <v>0.11666666666666667</v>
      </c>
      <c r="G15" s="430" t="str">
        <f>'[4]VCO-SOCIOAMBIENTAL'!G6</f>
        <v>SATISFATÓRIO</v>
      </c>
      <c r="H15"/>
      <c r="I15" s="433" t="str">
        <f>'[4]VCO-SOCIOAMBIENTAL'!I6</f>
        <v>PARCIAL</v>
      </c>
      <c r="J15" s="59">
        <f>'[4]VCO-SOCIOAMBIENTAL'!J6</f>
        <v>8</v>
      </c>
      <c r="K15" s="440">
        <f>'[4]VCO-SOCIOAMBIENTAL'!K6</f>
        <v>4.1666666666666664E-2</v>
      </c>
      <c r="L15" s="430" t="str">
        <f>'[4]VCO-SOCIOAMBIENTAL'!L6</f>
        <v>SATISFATÓRIO</v>
      </c>
      <c r="M15" s="452">
        <f>'[4]VCO-SOCIOAMBIENTAL'!M6</f>
        <v>16</v>
      </c>
      <c r="N15" s="430">
        <f>'[4]VCO-SOCIOAMBIENTAL'!N6</f>
        <v>8.8888888888888892E-2</v>
      </c>
      <c r="O15" s="430" t="str">
        <f>'[4]VCO-SOCIOAMBIENTAL'!O6</f>
        <v>SATISFATÓRIO</v>
      </c>
      <c r="P15"/>
      <c r="Q15" s="433" t="str">
        <f>'[4]VCO-SOCIOAMBIENTAL'!Q6</f>
        <v>PARCIAL</v>
      </c>
      <c r="R15" s="59">
        <f>'[4]VCO-SOCIOAMBIENTAL'!R6</f>
        <v>21</v>
      </c>
      <c r="S15" s="440">
        <f>'[4]VCO-SOCIOAMBIENTAL'!S6</f>
        <v>0.109375</v>
      </c>
      <c r="T15" s="430" t="str">
        <f>'[4]VCO-SOCIOAMBIENTAL'!T6</f>
        <v>SATISFATÓRIO</v>
      </c>
      <c r="U15" s="452">
        <f>'[4]VCO-SOCIOAMBIENTAL'!U6</f>
        <v>34</v>
      </c>
      <c r="V15" s="430">
        <f>'[4]VCO-SOCIOAMBIENTAL'!V6</f>
        <v>0.18888888888888888</v>
      </c>
      <c r="W15" s="430" t="str">
        <f>'[4]VCO-SOCIOAMBIENTAL'!W6</f>
        <v>SATISFATÓRIO</v>
      </c>
      <c r="X15"/>
    </row>
    <row r="16" spans="1:24" x14ac:dyDescent="0.25">
      <c r="A16" s="433" t="str">
        <f>'[4]VCO-SOCIOAMBIENTAL'!A7</f>
        <v>NÃO</v>
      </c>
      <c r="B16" s="59">
        <f>'[4]VCO-SOCIOAMBIENTAL'!B7</f>
        <v>1</v>
      </c>
      <c r="C16" s="440">
        <f>'[4]VCO-SOCIOAMBIENTAL'!C7</f>
        <v>5.208333333333333E-3</v>
      </c>
      <c r="D16" s="430" t="str">
        <f>'[4]VCO-SOCIOAMBIENTAL'!D7</f>
        <v>DESEJÁVEL</v>
      </c>
      <c r="E16" s="452">
        <f>'[4]VCO-SOCIOAMBIENTAL'!E7</f>
        <v>2</v>
      </c>
      <c r="F16" s="430">
        <f>'[4]VCO-SOCIOAMBIENTAL'!F7</f>
        <v>1.1111111111111112E-2</v>
      </c>
      <c r="G16" s="430" t="str">
        <f>'[4]VCO-SOCIOAMBIENTAL'!G7</f>
        <v>DESEJÁVEL</v>
      </c>
      <c r="H16"/>
      <c r="I16" s="433" t="str">
        <f>'[4]VCO-SOCIOAMBIENTAL'!I7</f>
        <v>NÃO</v>
      </c>
      <c r="J16" s="59">
        <f>'[4]VCO-SOCIOAMBIENTAL'!J7</f>
        <v>0</v>
      </c>
      <c r="K16" s="440">
        <f>'[4]VCO-SOCIOAMBIENTAL'!K7</f>
        <v>0</v>
      </c>
      <c r="L16" s="430" t="str">
        <f>'[4]VCO-SOCIOAMBIENTAL'!L7</f>
        <v>DESEJÁVEL</v>
      </c>
      <c r="M16" s="452">
        <f>'[4]VCO-SOCIOAMBIENTAL'!M7</f>
        <v>4</v>
      </c>
      <c r="N16" s="430">
        <f>'[4]VCO-SOCIOAMBIENTAL'!N7</f>
        <v>2.2222222222222223E-2</v>
      </c>
      <c r="O16" s="430" t="str">
        <f>'[4]VCO-SOCIOAMBIENTAL'!O7</f>
        <v>DESEJÁVEL</v>
      </c>
      <c r="P16"/>
      <c r="Q16" s="433" t="str">
        <f>'[4]VCO-SOCIOAMBIENTAL'!Q7</f>
        <v>NÃO</v>
      </c>
      <c r="R16" s="59">
        <f>'[4]VCO-SOCIOAMBIENTAL'!R7</f>
        <v>0</v>
      </c>
      <c r="S16" s="440">
        <f>'[4]VCO-SOCIOAMBIENTAL'!S7</f>
        <v>0</v>
      </c>
      <c r="T16" s="430" t="str">
        <f>'[4]VCO-SOCIOAMBIENTAL'!T7</f>
        <v>DESEJÁVEL</v>
      </c>
      <c r="U16" s="452">
        <f>'[4]VCO-SOCIOAMBIENTAL'!U7</f>
        <v>7</v>
      </c>
      <c r="V16" s="430">
        <f>'[4]VCO-SOCIOAMBIENTAL'!V7</f>
        <v>3.888888888888889E-2</v>
      </c>
      <c r="W16" s="430" t="str">
        <f>'[4]VCO-SOCIOAMBIENTAL'!W7</f>
        <v>DESEJÁVEL</v>
      </c>
      <c r="X16"/>
    </row>
    <row r="17" spans="1:24" x14ac:dyDescent="0.25">
      <c r="A17" s="82" t="str">
        <f>'[4]VCO-SOCIOAMBIENTAL'!A8</f>
        <v>TOTAL</v>
      </c>
      <c r="B17" s="422">
        <f>'[4]VCO-SOCIOAMBIENTAL'!B8</f>
        <v>192</v>
      </c>
      <c r="C17" s="436">
        <f>'[4]VCO-SOCIOAMBIENTAL'!C8</f>
        <v>1</v>
      </c>
      <c r="D17" s="439"/>
      <c r="E17" s="422">
        <f>'[4]VCO-SOCIOAMBIENTAL'!E8</f>
        <v>180</v>
      </c>
      <c r="F17" s="436">
        <f>'[4]VCO-SOCIOAMBIENTAL'!F8</f>
        <v>1</v>
      </c>
      <c r="G17" s="439"/>
      <c r="H17"/>
      <c r="I17" s="82" t="str">
        <f>'[4]VCO-SOCIOAMBIENTAL'!I8</f>
        <v>TOTAL</v>
      </c>
      <c r="J17" s="422">
        <f>'[4]VCO-SOCIOAMBIENTAL'!J8</f>
        <v>192</v>
      </c>
      <c r="K17" s="436">
        <f>'[4]VCO-SOCIOAMBIENTAL'!K8</f>
        <v>1</v>
      </c>
      <c r="L17" s="439"/>
      <c r="M17" s="422">
        <f>'[4]VCO-SOCIOAMBIENTAL'!M8</f>
        <v>180</v>
      </c>
      <c r="N17" s="436">
        <f>'[4]VCO-SOCIOAMBIENTAL'!N8</f>
        <v>1</v>
      </c>
      <c r="O17" s="439"/>
      <c r="P17"/>
      <c r="Q17" s="82" t="str">
        <f>'[4]VCO-SOCIOAMBIENTAL'!Q8</f>
        <v>TOTAL</v>
      </c>
      <c r="R17" s="422">
        <f>'[4]VCO-SOCIOAMBIENTAL'!R8</f>
        <v>192</v>
      </c>
      <c r="S17" s="436">
        <f>'[4]VCO-SOCIOAMBIENTAL'!S8</f>
        <v>1</v>
      </c>
      <c r="T17" s="439"/>
      <c r="U17" s="422">
        <f>'[4]VCO-SOCIOAMBIENTAL'!U8</f>
        <v>180</v>
      </c>
      <c r="V17" s="436">
        <f>'[4]VCO-SOCIOAMBIENTAL'!V8</f>
        <v>1</v>
      </c>
      <c r="W17" s="439"/>
      <c r="X17"/>
    </row>
    <row r="18" spans="1:24" x14ac:dyDescent="0.25">
      <c r="A18"/>
      <c r="B18"/>
      <c r="C18"/>
      <c r="D18"/>
      <c r="E18"/>
      <c r="F18"/>
      <c r="G18"/>
      <c r="H18"/>
      <c r="I18"/>
      <c r="J18"/>
      <c r="K18"/>
      <c r="L18"/>
      <c r="M18"/>
      <c r="N18"/>
      <c r="O18"/>
      <c r="P18"/>
      <c r="Q18"/>
      <c r="R18"/>
      <c r="S18"/>
      <c r="T18"/>
      <c r="U18"/>
      <c r="V18"/>
      <c r="W18"/>
      <c r="X18"/>
    </row>
    <row r="19" spans="1:24" x14ac:dyDescent="0.25">
      <c r="A19"/>
      <c r="B19"/>
      <c r="C19"/>
      <c r="D19"/>
      <c r="E19"/>
      <c r="F19"/>
      <c r="G19"/>
      <c r="H19"/>
      <c r="I19"/>
      <c r="J19"/>
      <c r="K19"/>
      <c r="L19"/>
      <c r="M19"/>
      <c r="N19"/>
      <c r="O19"/>
      <c r="P19"/>
      <c r="Q19"/>
      <c r="R19"/>
      <c r="S19"/>
      <c r="T19"/>
      <c r="U19"/>
      <c r="V19"/>
      <c r="W19"/>
      <c r="X19"/>
    </row>
    <row r="20" spans="1:24" x14ac:dyDescent="0.25">
      <c r="A20"/>
      <c r="B20"/>
      <c r="C20"/>
      <c r="D20"/>
      <c r="E20"/>
      <c r="F20"/>
      <c r="G20"/>
      <c r="H20"/>
      <c r="I20"/>
      <c r="J20"/>
      <c r="K20"/>
      <c r="L20"/>
      <c r="M20"/>
      <c r="N20"/>
      <c r="O20"/>
      <c r="P20"/>
      <c r="Q20"/>
      <c r="R20"/>
      <c r="S20"/>
      <c r="T20"/>
      <c r="U20"/>
      <c r="V20"/>
      <c r="W20"/>
      <c r="X20"/>
    </row>
    <row r="21" spans="1:24" x14ac:dyDescent="0.25">
      <c r="A21"/>
      <c r="B21"/>
      <c r="C21"/>
      <c r="D21"/>
      <c r="E21"/>
      <c r="F21"/>
      <c r="G21"/>
      <c r="H21"/>
      <c r="I21"/>
      <c r="J21"/>
      <c r="K21"/>
      <c r="L21"/>
      <c r="M21"/>
      <c r="N21"/>
      <c r="O21"/>
      <c r="P21"/>
      <c r="Q21"/>
      <c r="R21"/>
      <c r="S21"/>
      <c r="T21"/>
      <c r="U21"/>
      <c r="V21"/>
      <c r="W21"/>
      <c r="X21"/>
    </row>
    <row r="22" spans="1:24" x14ac:dyDescent="0.25">
      <c r="A22"/>
      <c r="B22"/>
      <c r="C22"/>
      <c r="D22"/>
      <c r="E22"/>
      <c r="F22"/>
      <c r="G22"/>
      <c r="H22"/>
      <c r="I22"/>
      <c r="J22"/>
      <c r="K22"/>
      <c r="L22"/>
      <c r="M22"/>
      <c r="N22"/>
      <c r="O22"/>
      <c r="P22"/>
      <c r="Q22"/>
      <c r="R22"/>
      <c r="S22"/>
      <c r="T22"/>
      <c r="U22"/>
      <c r="V22"/>
      <c r="W22"/>
      <c r="X22"/>
    </row>
    <row r="23" spans="1:24" x14ac:dyDescent="0.25">
      <c r="A23"/>
      <c r="B23"/>
      <c r="C23"/>
      <c r="D23"/>
      <c r="E23"/>
      <c r="F23"/>
      <c r="G23"/>
      <c r="H23"/>
      <c r="I23"/>
      <c r="J23"/>
      <c r="K23"/>
      <c r="L23"/>
      <c r="M23"/>
      <c r="N23"/>
      <c r="O23"/>
      <c r="P23"/>
      <c r="Q23"/>
      <c r="R23"/>
      <c r="S23"/>
      <c r="T23"/>
      <c r="U23"/>
      <c r="V23"/>
      <c r="W23"/>
      <c r="X23"/>
    </row>
    <row r="24" spans="1:24" x14ac:dyDescent="0.25">
      <c r="A24"/>
      <c r="B24"/>
      <c r="C24"/>
      <c r="D24"/>
      <c r="E24"/>
      <c r="F24"/>
      <c r="G24"/>
      <c r="H24"/>
      <c r="I24"/>
      <c r="J24"/>
      <c r="K24"/>
      <c r="L24"/>
      <c r="M24"/>
      <c r="N24"/>
      <c r="O24"/>
      <c r="P24"/>
      <c r="Q24"/>
      <c r="R24"/>
      <c r="S24"/>
      <c r="T24"/>
      <c r="U24"/>
      <c r="V24"/>
      <c r="W24"/>
      <c r="X24"/>
    </row>
    <row r="25" spans="1:24" x14ac:dyDescent="0.25">
      <c r="A25"/>
      <c r="B25"/>
      <c r="C25"/>
      <c r="D25"/>
      <c r="E25"/>
      <c r="F25"/>
      <c r="G25"/>
      <c r="H25"/>
      <c r="I25"/>
      <c r="J25"/>
      <c r="K25"/>
      <c r="L25"/>
      <c r="M25"/>
      <c r="N25"/>
      <c r="O25"/>
      <c r="P25"/>
      <c r="Q25"/>
      <c r="R25"/>
      <c r="S25"/>
      <c r="T25"/>
      <c r="U25"/>
      <c r="V25"/>
      <c r="W25"/>
      <c r="X25"/>
    </row>
    <row r="26" spans="1:24" x14ac:dyDescent="0.25">
      <c r="A26"/>
      <c r="B26"/>
      <c r="C26"/>
      <c r="D26"/>
      <c r="E26"/>
      <c r="F26"/>
      <c r="G26"/>
      <c r="H26"/>
      <c r="I26"/>
      <c r="J26"/>
      <c r="K26"/>
      <c r="L26"/>
      <c r="M26"/>
      <c r="N26"/>
      <c r="O26"/>
      <c r="P26"/>
      <c r="Q26"/>
      <c r="R26"/>
      <c r="S26"/>
      <c r="T26"/>
      <c r="U26"/>
      <c r="V26"/>
      <c r="W26"/>
      <c r="X26"/>
    </row>
    <row r="27" spans="1:24" x14ac:dyDescent="0.25">
      <c r="A27"/>
      <c r="B27"/>
      <c r="C27"/>
      <c r="D27"/>
      <c r="E27"/>
      <c r="F27"/>
      <c r="G27"/>
      <c r="H27"/>
      <c r="I27"/>
      <c r="J27"/>
      <c r="K27"/>
      <c r="L27"/>
      <c r="M27"/>
      <c r="N27"/>
      <c r="O27"/>
      <c r="P27"/>
      <c r="Q27"/>
      <c r="R27"/>
      <c r="S27"/>
      <c r="T27"/>
      <c r="U27"/>
      <c r="V27"/>
      <c r="W27"/>
      <c r="X27"/>
    </row>
    <row r="28" spans="1:24" x14ac:dyDescent="0.25">
      <c r="A28"/>
      <c r="B28"/>
      <c r="C28"/>
      <c r="D28"/>
      <c r="E28"/>
      <c r="F28"/>
      <c r="G28"/>
      <c r="H28"/>
      <c r="I28"/>
      <c r="J28"/>
      <c r="K28"/>
      <c r="L28"/>
      <c r="M28"/>
      <c r="N28"/>
      <c r="O28"/>
      <c r="P28"/>
      <c r="Q28"/>
      <c r="R28"/>
      <c r="S28"/>
      <c r="T28"/>
      <c r="U28"/>
      <c r="V28"/>
      <c r="W28"/>
      <c r="X28"/>
    </row>
    <row r="29" spans="1:24" x14ac:dyDescent="0.25">
      <c r="A29"/>
      <c r="B29"/>
      <c r="C29"/>
      <c r="D29"/>
      <c r="E29"/>
      <c r="F29"/>
      <c r="G29"/>
      <c r="H29"/>
      <c r="I29"/>
      <c r="J29"/>
      <c r="K29"/>
      <c r="L29"/>
      <c r="M29"/>
      <c r="N29"/>
      <c r="O29"/>
      <c r="P29"/>
      <c r="Q29"/>
      <c r="R29"/>
      <c r="S29"/>
      <c r="T29"/>
      <c r="U29"/>
      <c r="V29"/>
      <c r="W29"/>
      <c r="X29"/>
    </row>
    <row r="30" spans="1:24" x14ac:dyDescent="0.25">
      <c r="A30"/>
      <c r="B30"/>
      <c r="C30"/>
      <c r="D30"/>
      <c r="E30"/>
      <c r="F30"/>
      <c r="G30"/>
      <c r="H30"/>
      <c r="I30"/>
      <c r="J30"/>
      <c r="K30"/>
      <c r="L30"/>
      <c r="M30"/>
      <c r="N30"/>
      <c r="O30"/>
      <c r="P30"/>
      <c r="Q30"/>
      <c r="R30"/>
      <c r="S30"/>
      <c r="T30"/>
      <c r="U30"/>
      <c r="V30"/>
      <c r="W30"/>
      <c r="X30"/>
    </row>
    <row r="31" spans="1:24" x14ac:dyDescent="0.25">
      <c r="A31"/>
      <c r="B31"/>
      <c r="C31"/>
      <c r="D31"/>
      <c r="E31"/>
      <c r="F31"/>
      <c r="G31"/>
      <c r="H31"/>
      <c r="I31"/>
      <c r="J31"/>
      <c r="K31"/>
      <c r="L31"/>
      <c r="M31"/>
      <c r="N31"/>
      <c r="O31"/>
      <c r="P31"/>
      <c r="Q31"/>
      <c r="R31"/>
      <c r="S31"/>
      <c r="T31"/>
      <c r="U31"/>
      <c r="V31"/>
      <c r="W31"/>
      <c r="X31"/>
    </row>
    <row r="32" spans="1:24" x14ac:dyDescent="0.25">
      <c r="A32"/>
      <c r="B32"/>
      <c r="C32"/>
      <c r="D32"/>
      <c r="E32"/>
      <c r="F32"/>
      <c r="G32"/>
      <c r="H32"/>
      <c r="I32"/>
      <c r="J32"/>
      <c r="K32"/>
      <c r="L32"/>
      <c r="M32"/>
      <c r="N32"/>
      <c r="O32"/>
      <c r="P32"/>
      <c r="Q32"/>
      <c r="R32"/>
      <c r="S32"/>
      <c r="T32"/>
      <c r="U32"/>
      <c r="V32"/>
      <c r="W32"/>
      <c r="X32"/>
    </row>
    <row r="33" spans="1:24" x14ac:dyDescent="0.25">
      <c r="A33"/>
      <c r="B33"/>
      <c r="C33"/>
      <c r="D33"/>
      <c r="E33"/>
      <c r="F33"/>
      <c r="G33"/>
      <c r="H33"/>
      <c r="I33"/>
      <c r="J33"/>
      <c r="K33"/>
      <c r="L33"/>
      <c r="M33"/>
      <c r="N33"/>
      <c r="O33"/>
      <c r="P33"/>
      <c r="Q33"/>
      <c r="R33"/>
      <c r="S33"/>
      <c r="T33"/>
      <c r="U33"/>
      <c r="V33"/>
      <c r="W33"/>
      <c r="X33"/>
    </row>
    <row r="34" spans="1:24" x14ac:dyDescent="0.25">
      <c r="A34"/>
      <c r="B34"/>
      <c r="C34"/>
      <c r="D34"/>
      <c r="E34"/>
      <c r="F34"/>
      <c r="G34"/>
      <c r="H34"/>
      <c r="I34"/>
      <c r="J34"/>
      <c r="K34"/>
      <c r="L34"/>
      <c r="M34"/>
      <c r="N34"/>
      <c r="O34"/>
      <c r="P34"/>
      <c r="Q34"/>
      <c r="R34"/>
      <c r="S34"/>
      <c r="T34"/>
      <c r="U34"/>
      <c r="V34"/>
      <c r="W34"/>
      <c r="X34"/>
    </row>
    <row r="35" spans="1:24" x14ac:dyDescent="0.25">
      <c r="A35"/>
      <c r="B35"/>
      <c r="C35"/>
      <c r="D35"/>
      <c r="E35"/>
      <c r="F35"/>
      <c r="G35"/>
      <c r="H35"/>
      <c r="I35"/>
      <c r="J35"/>
      <c r="K35"/>
      <c r="L35"/>
      <c r="M35"/>
      <c r="N35"/>
      <c r="O35"/>
      <c r="P35"/>
      <c r="Q35"/>
      <c r="R35"/>
      <c r="S35"/>
      <c r="T35"/>
      <c r="U35"/>
      <c r="V35"/>
      <c r="W35"/>
      <c r="X35"/>
    </row>
    <row r="36" spans="1:24" x14ac:dyDescent="0.25">
      <c r="A36"/>
      <c r="B36"/>
      <c r="C36"/>
      <c r="D36"/>
      <c r="E36"/>
      <c r="F36"/>
      <c r="G36"/>
      <c r="H36"/>
      <c r="I36"/>
      <c r="J36"/>
      <c r="K36"/>
      <c r="L36"/>
      <c r="M36"/>
      <c r="N36"/>
      <c r="O36"/>
      <c r="P36"/>
      <c r="Q36"/>
      <c r="R36"/>
      <c r="S36"/>
      <c r="T36"/>
      <c r="U36"/>
      <c r="V36"/>
      <c r="W36"/>
      <c r="X36"/>
    </row>
    <row r="37" spans="1:24" x14ac:dyDescent="0.25">
      <c r="A37"/>
      <c r="B37"/>
      <c r="C37"/>
      <c r="D37"/>
      <c r="E37"/>
      <c r="F37"/>
      <c r="G37"/>
      <c r="H37"/>
      <c r="I37"/>
      <c r="J37"/>
      <c r="K37"/>
      <c r="L37"/>
      <c r="M37"/>
      <c r="N37"/>
      <c r="O37"/>
      <c r="P37"/>
      <c r="Q37"/>
      <c r="R37"/>
      <c r="S37"/>
      <c r="T37"/>
      <c r="U37"/>
      <c r="V37"/>
      <c r="W37"/>
      <c r="X37"/>
    </row>
    <row r="38" spans="1:24" x14ac:dyDescent="0.25">
      <c r="A38"/>
      <c r="B38"/>
      <c r="C38"/>
      <c r="D38"/>
      <c r="E38"/>
      <c r="F38"/>
      <c r="G38"/>
      <c r="H38"/>
      <c r="I38"/>
      <c r="J38"/>
      <c r="K38"/>
      <c r="L38"/>
      <c r="M38"/>
      <c r="N38"/>
      <c r="O38"/>
      <c r="P38"/>
      <c r="Q38"/>
      <c r="R38"/>
      <c r="S38"/>
      <c r="T38"/>
      <c r="U38"/>
      <c r="V38"/>
      <c r="W38"/>
      <c r="X38"/>
    </row>
    <row r="39" spans="1:24" x14ac:dyDescent="0.25">
      <c r="A39"/>
      <c r="B39"/>
      <c r="C39"/>
      <c r="D39"/>
      <c r="E39"/>
      <c r="F39"/>
      <c r="G39"/>
      <c r="H39"/>
      <c r="I39"/>
      <c r="J39"/>
      <c r="K39"/>
      <c r="L39"/>
      <c r="M39"/>
      <c r="N39"/>
      <c r="O39"/>
      <c r="P39"/>
      <c r="Q39"/>
      <c r="R39"/>
      <c r="S39"/>
      <c r="T39"/>
      <c r="U39"/>
      <c r="V39"/>
      <c r="W39"/>
      <c r="X39"/>
    </row>
    <row r="40" spans="1:24" x14ac:dyDescent="0.25">
      <c r="A40"/>
      <c r="B40"/>
      <c r="C40"/>
      <c r="D40"/>
      <c r="E40"/>
      <c r="F40"/>
      <c r="G40"/>
      <c r="H40"/>
      <c r="I40"/>
      <c r="J40"/>
      <c r="K40"/>
      <c r="L40"/>
      <c r="M40"/>
      <c r="N40"/>
      <c r="O40"/>
      <c r="P40"/>
      <c r="Q40"/>
      <c r="R40"/>
      <c r="S40"/>
      <c r="T40"/>
      <c r="U40"/>
      <c r="V40"/>
      <c r="W40"/>
      <c r="X40"/>
    </row>
    <row r="41" spans="1:24" x14ac:dyDescent="0.25">
      <c r="A41"/>
      <c r="B41"/>
      <c r="C41"/>
      <c r="D41"/>
      <c r="E41"/>
      <c r="F41"/>
      <c r="G41"/>
      <c r="H41"/>
      <c r="I41"/>
      <c r="J41"/>
      <c r="K41"/>
      <c r="L41"/>
      <c r="M41"/>
      <c r="N41"/>
      <c r="O41"/>
      <c r="P41"/>
      <c r="Q41"/>
      <c r="R41"/>
      <c r="S41"/>
      <c r="T41"/>
      <c r="U41"/>
      <c r="V41"/>
      <c r="W41"/>
      <c r="X41"/>
    </row>
    <row r="42" spans="1:24" x14ac:dyDescent="0.25">
      <c r="A42"/>
      <c r="B42"/>
      <c r="C42"/>
      <c r="D42"/>
      <c r="E42"/>
      <c r="F42"/>
      <c r="G42"/>
      <c r="H42"/>
      <c r="I42"/>
      <c r="J42"/>
      <c r="K42"/>
      <c r="L42"/>
      <c r="M42"/>
      <c r="N42"/>
      <c r="O42"/>
      <c r="P42"/>
      <c r="Q42"/>
      <c r="R42"/>
      <c r="S42"/>
      <c r="T42"/>
      <c r="U42"/>
      <c r="V42"/>
      <c r="W42"/>
      <c r="X42"/>
    </row>
    <row r="43" spans="1:24" x14ac:dyDescent="0.25">
      <c r="A43"/>
      <c r="B43"/>
      <c r="C43"/>
      <c r="D43"/>
      <c r="E43"/>
      <c r="F43"/>
      <c r="G43"/>
      <c r="H43"/>
      <c r="I43"/>
      <c r="J43"/>
      <c r="K43"/>
      <c r="L43"/>
      <c r="M43"/>
      <c r="N43"/>
      <c r="O43"/>
      <c r="P43"/>
      <c r="Q43"/>
      <c r="R43"/>
      <c r="S43"/>
      <c r="T43"/>
      <c r="U43"/>
      <c r="V43"/>
      <c r="W43"/>
      <c r="X43"/>
    </row>
    <row r="44" spans="1:24" x14ac:dyDescent="0.25">
      <c r="A44"/>
      <c r="B44"/>
      <c r="C44"/>
      <c r="D44"/>
      <c r="E44"/>
      <c r="F44"/>
      <c r="G44"/>
      <c r="H44"/>
      <c r="I44"/>
      <c r="J44"/>
      <c r="K44"/>
      <c r="L44"/>
      <c r="M44"/>
      <c r="N44"/>
      <c r="O44"/>
      <c r="P44"/>
      <c r="Q44"/>
      <c r="R44"/>
      <c r="S44"/>
      <c r="T44"/>
      <c r="U44"/>
      <c r="V44"/>
      <c r="W44"/>
      <c r="X44"/>
    </row>
    <row r="45" spans="1:24" x14ac:dyDescent="0.25">
      <c r="A45"/>
      <c r="B45"/>
      <c r="C45"/>
      <c r="D45"/>
      <c r="E45"/>
      <c r="F45"/>
      <c r="G45"/>
      <c r="H45"/>
      <c r="I45"/>
      <c r="J45"/>
      <c r="K45"/>
      <c r="L45"/>
      <c r="M45"/>
      <c r="N45"/>
      <c r="O45"/>
      <c r="P45"/>
      <c r="Q45"/>
      <c r="R45"/>
      <c r="S45"/>
      <c r="T45"/>
      <c r="U45"/>
      <c r="V45"/>
      <c r="W45"/>
      <c r="X45"/>
    </row>
    <row r="46" spans="1:24" x14ac:dyDescent="0.25">
      <c r="A46"/>
      <c r="B46"/>
      <c r="C46"/>
      <c r="D46"/>
      <c r="E46"/>
      <c r="F46"/>
      <c r="G46"/>
      <c r="H46"/>
      <c r="I46"/>
      <c r="J46"/>
      <c r="K46"/>
      <c r="L46"/>
      <c r="M46"/>
      <c r="N46"/>
      <c r="O46"/>
      <c r="P46"/>
      <c r="Q46"/>
      <c r="R46"/>
      <c r="S46"/>
      <c r="T46"/>
      <c r="U46"/>
      <c r="V46"/>
      <c r="W46"/>
      <c r="X46"/>
    </row>
    <row r="47" spans="1:24" x14ac:dyDescent="0.25">
      <c r="A47"/>
      <c r="B47"/>
      <c r="C47"/>
      <c r="D47"/>
      <c r="E47"/>
      <c r="F47"/>
      <c r="G47"/>
      <c r="H47"/>
      <c r="I47"/>
      <c r="J47"/>
      <c r="K47"/>
      <c r="L47"/>
      <c r="M47"/>
      <c r="N47"/>
      <c r="O47"/>
      <c r="P47"/>
      <c r="Q47"/>
      <c r="R47"/>
      <c r="S47"/>
      <c r="T47"/>
      <c r="U47"/>
      <c r="V47"/>
      <c r="W47"/>
      <c r="X47"/>
    </row>
    <row r="48" spans="1:24" x14ac:dyDescent="0.25">
      <c r="A48"/>
      <c r="B48"/>
      <c r="C48"/>
      <c r="D48"/>
      <c r="E48"/>
      <c r="F48"/>
      <c r="G48"/>
      <c r="H48"/>
      <c r="I48"/>
      <c r="J48"/>
      <c r="K48"/>
      <c r="L48"/>
      <c r="M48"/>
      <c r="N48"/>
      <c r="O48"/>
      <c r="P48"/>
      <c r="Q48"/>
      <c r="R48"/>
      <c r="S48"/>
      <c r="T48"/>
      <c r="U48"/>
      <c r="V48"/>
      <c r="W48"/>
      <c r="X48"/>
    </row>
    <row r="49" spans="1:24" x14ac:dyDescent="0.25">
      <c r="A49"/>
      <c r="B49"/>
      <c r="C49"/>
      <c r="D49"/>
      <c r="E49"/>
      <c r="F49"/>
      <c r="G49"/>
      <c r="H49"/>
      <c r="I49"/>
      <c r="J49"/>
      <c r="K49"/>
      <c r="L49"/>
      <c r="M49"/>
      <c r="N49"/>
      <c r="O49"/>
      <c r="P49"/>
      <c r="Q49"/>
      <c r="R49"/>
      <c r="S49"/>
      <c r="T49"/>
      <c r="U49"/>
      <c r="V49"/>
      <c r="W49"/>
      <c r="X49"/>
    </row>
    <row r="50" spans="1:24" x14ac:dyDescent="0.25">
      <c r="A50"/>
      <c r="B50"/>
      <c r="C50"/>
      <c r="D50"/>
      <c r="E50"/>
      <c r="F50"/>
      <c r="G50"/>
      <c r="H50"/>
      <c r="I50"/>
      <c r="J50"/>
      <c r="K50"/>
      <c r="L50"/>
      <c r="M50"/>
      <c r="N50"/>
      <c r="O50"/>
      <c r="P50"/>
      <c r="Q50"/>
      <c r="R50"/>
      <c r="S50"/>
      <c r="T50"/>
      <c r="U50"/>
      <c r="V50"/>
      <c r="W50"/>
      <c r="X50"/>
    </row>
  </sheetData>
  <mergeCells count="9">
    <mergeCell ref="Q12:Q13"/>
    <mergeCell ref="R12:T12"/>
    <mergeCell ref="U12:W12"/>
    <mergeCell ref="A12:A13"/>
    <mergeCell ref="B12:D12"/>
    <mergeCell ref="E12:G12"/>
    <mergeCell ref="I12:I13"/>
    <mergeCell ref="J12:L12"/>
    <mergeCell ref="M12:O12"/>
  </mergeCells>
  <conditionalFormatting sqref="D14:D16">
    <cfRule type="containsText" dxfId="135" priority="21" operator="containsText" text="CRÍTICO">
      <formula>NOT(ISERROR(SEARCH("CRÍTICO",D14)))</formula>
    </cfRule>
    <cfRule type="containsText" dxfId="134" priority="22" operator="containsText" text="INSATISFATÓRIO">
      <formula>NOT(ISERROR(SEARCH("INSATISFATÓRIO",D14)))</formula>
    </cfRule>
    <cfRule type="containsText" dxfId="133" priority="23" operator="containsText" text="DESEJÁVEL">
      <formula>NOT(ISERROR(SEARCH("DESEJÁVEL",D14)))</formula>
    </cfRule>
    <cfRule type="containsText" dxfId="132" priority="24" operator="containsText" text="SATISFATÓRIO">
      <formula>NOT(ISERROR(SEARCH("SATISFATÓRIO",D14)))</formula>
    </cfRule>
  </conditionalFormatting>
  <conditionalFormatting sqref="L14:L16">
    <cfRule type="containsText" dxfId="131" priority="17" operator="containsText" text="CRÍTICO">
      <formula>NOT(ISERROR(SEARCH("CRÍTICO",L14)))</formula>
    </cfRule>
    <cfRule type="containsText" dxfId="130" priority="18" operator="containsText" text="INSATISFATÓRIO">
      <formula>NOT(ISERROR(SEARCH("INSATISFATÓRIO",L14)))</formula>
    </cfRule>
    <cfRule type="containsText" dxfId="129" priority="19" operator="containsText" text="DESEJÁVEL">
      <formula>NOT(ISERROR(SEARCH("DESEJÁVEL",L14)))</formula>
    </cfRule>
    <cfRule type="containsText" dxfId="128" priority="20" operator="containsText" text="SATISFATÓRIO">
      <formula>NOT(ISERROR(SEARCH("SATISFATÓRIO",L14)))</formula>
    </cfRule>
  </conditionalFormatting>
  <conditionalFormatting sqref="G14:G16">
    <cfRule type="containsText" dxfId="127" priority="13" operator="containsText" text="CRÍTICO">
      <formula>NOT(ISERROR(SEARCH("CRÍTICO",G14)))</formula>
    </cfRule>
    <cfRule type="containsText" dxfId="126" priority="14" operator="containsText" text="INSATISFATÓRIO">
      <formula>NOT(ISERROR(SEARCH("INSATISFATÓRIO",G14)))</formula>
    </cfRule>
    <cfRule type="containsText" dxfId="125" priority="15" operator="containsText" text="DESEJÁVEL">
      <formula>NOT(ISERROR(SEARCH("DESEJÁVEL",G14)))</formula>
    </cfRule>
    <cfRule type="containsText" dxfId="124" priority="16" operator="containsText" text="SATISFATÓRIO">
      <formula>NOT(ISERROR(SEARCH("SATISFATÓRIO",G14)))</formula>
    </cfRule>
  </conditionalFormatting>
  <conditionalFormatting sqref="O14:O16">
    <cfRule type="containsText" dxfId="123" priority="9" operator="containsText" text="CRÍTICO">
      <formula>NOT(ISERROR(SEARCH("CRÍTICO",O14)))</formula>
    </cfRule>
    <cfRule type="containsText" dxfId="122" priority="10" operator="containsText" text="INSATISFATÓRIO">
      <formula>NOT(ISERROR(SEARCH("INSATISFATÓRIO",O14)))</formula>
    </cfRule>
    <cfRule type="containsText" dxfId="121" priority="11" operator="containsText" text="DESEJÁVEL">
      <formula>NOT(ISERROR(SEARCH("DESEJÁVEL",O14)))</formula>
    </cfRule>
    <cfRule type="containsText" dxfId="120" priority="12" operator="containsText" text="SATISFATÓRIO">
      <formula>NOT(ISERROR(SEARCH("SATISFATÓRIO",O14)))</formula>
    </cfRule>
  </conditionalFormatting>
  <conditionalFormatting sqref="T14:T16">
    <cfRule type="containsText" dxfId="119" priority="5" operator="containsText" text="CRÍTICO">
      <formula>NOT(ISERROR(SEARCH("CRÍTICO",T14)))</formula>
    </cfRule>
    <cfRule type="containsText" dxfId="118" priority="6" operator="containsText" text="INSATISFATÓRIO">
      <formula>NOT(ISERROR(SEARCH("INSATISFATÓRIO",T14)))</formula>
    </cfRule>
    <cfRule type="containsText" dxfId="117" priority="7" operator="containsText" text="DESEJÁVEL">
      <formula>NOT(ISERROR(SEARCH("DESEJÁVEL",T14)))</formula>
    </cfRule>
    <cfRule type="containsText" dxfId="116" priority="8" operator="containsText" text="SATISFATÓRIO">
      <formula>NOT(ISERROR(SEARCH("SATISFATÓRIO",T14)))</formula>
    </cfRule>
  </conditionalFormatting>
  <conditionalFormatting sqref="W14:W16">
    <cfRule type="containsText" dxfId="115" priority="1" operator="containsText" text="CRÍTICO">
      <formula>NOT(ISERROR(SEARCH("CRÍTICO",W14)))</formula>
    </cfRule>
    <cfRule type="containsText" dxfId="114" priority="2" operator="containsText" text="INSATISFATÓRIO">
      <formula>NOT(ISERROR(SEARCH("INSATISFATÓRIO",W14)))</formula>
    </cfRule>
    <cfRule type="containsText" dxfId="113" priority="3" operator="containsText" text="DESEJÁVEL">
      <formula>NOT(ISERROR(SEARCH("DESEJÁVEL",W14)))</formula>
    </cfRule>
    <cfRule type="containsText" dxfId="112" priority="4" operator="containsText" text="SATISFATÓRIO">
      <formula>NOT(ISERROR(SEARCH("SATISFATÓRIO",W14)))</formula>
    </cfRule>
  </conditionalFormatting>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J533"/>
  <sheetViews>
    <sheetView showGridLines="0" zoomScaleNormal="100" workbookViewId="0">
      <selection activeCell="F35" sqref="F35"/>
    </sheetView>
  </sheetViews>
  <sheetFormatPr defaultColWidth="0" defaultRowHeight="15" zeroHeight="1" x14ac:dyDescent="0.25"/>
  <cols>
    <col min="1" max="1" width="44.5703125" customWidth="1"/>
    <col min="2" max="2" width="14.85546875" style="61" customWidth="1"/>
    <col min="3" max="3" width="52" customWidth="1"/>
    <col min="4" max="4" width="23.140625" style="61" customWidth="1"/>
    <col min="5" max="5" width="58.42578125" customWidth="1"/>
    <col min="6" max="6" width="10.28515625" style="61" bestFit="1" customWidth="1"/>
    <col min="7" max="7" width="21" style="61" customWidth="1"/>
    <col min="8" max="8" width="71.85546875" customWidth="1"/>
    <col min="9" max="9" width="11.7109375" style="259" customWidth="1"/>
    <col min="10" max="10" width="6" customWidth="1"/>
    <col min="11" max="16384" width="9.140625" hidden="1"/>
  </cols>
  <sheetData>
    <row r="1" spans="1:9" ht="51.75" customHeight="1" x14ac:dyDescent="0.25">
      <c r="A1" s="476" t="s">
        <v>164</v>
      </c>
      <c r="B1" s="476"/>
      <c r="C1" s="476"/>
      <c r="D1" s="476"/>
      <c r="E1" s="476"/>
      <c r="F1" s="476"/>
      <c r="G1" s="476"/>
      <c r="H1" s="476"/>
      <c r="I1" s="476"/>
    </row>
    <row r="2" spans="1:9" x14ac:dyDescent="0.25">
      <c r="A2" s="261">
        <f ca="1">NOW()</f>
        <v>44140.746340046295</v>
      </c>
    </row>
    <row r="3" spans="1:9" ht="51" customHeight="1" x14ac:dyDescent="0.25">
      <c r="A3" s="262" t="str">
        <f>[1]BASE!A6</f>
        <v>SERVIDOR/EMPREGADO</v>
      </c>
      <c r="B3" s="262" t="str">
        <f>[1]BASE!B6</f>
        <v>MATRÍCULA SIAPE</v>
      </c>
      <c r="C3" s="262" t="str">
        <f>[1]BASE!C6</f>
        <v>CARGO/EMPREGO</v>
      </c>
      <c r="D3" s="262" t="str">
        <f>[1]BASE!D6</f>
        <v>SITUAÇÃO FUNCIONAL</v>
      </c>
      <c r="E3" s="262" t="str">
        <f>[1]BASE!E6</f>
        <v>ORGÃO DE ORIGEM</v>
      </c>
      <c r="F3" s="262" t="str">
        <f>[1]BASE!F6</f>
        <v>FUNÇÃO</v>
      </c>
      <c r="G3" s="262" t="str">
        <f>[1]BASE!G6</f>
        <v>GRATIFICAÇÃO</v>
      </c>
      <c r="H3" s="262" t="str">
        <f>[1]BASE!H6</f>
        <v xml:space="preserve"> UNIDADE DE EXERCÍCIO</v>
      </c>
      <c r="I3" s="262" t="str">
        <f>[1]BASE!I6</f>
        <v>CÓDIGO UNIDADE</v>
      </c>
    </row>
    <row r="4" spans="1:9" x14ac:dyDescent="0.25">
      <c r="A4" s="257" t="str">
        <f>[1]BASE!A7</f>
        <v>ABADIA RODRIGUES DA SILVA</v>
      </c>
      <c r="B4" s="258">
        <f>[1]BASE!B7</f>
        <v>451653</v>
      </c>
      <c r="C4" s="257" t="str">
        <f>[1]BASE!C7</f>
        <v>Datilógrafo</v>
      </c>
      <c r="D4" s="258" t="str">
        <f>[1]BASE!D7</f>
        <v>Ativo Permanente</v>
      </c>
      <c r="E4" s="257" t="str">
        <f>[1]BASE!E7</f>
        <v>MME - Ministério de Minas e Energia</v>
      </c>
      <c r="F4" s="258" t="str">
        <f>[1]BASE!F7</f>
        <v>FGR 1</v>
      </c>
      <c r="G4" s="258" t="str">
        <f>[1]BASE!G7</f>
        <v xml:space="preserve"> </v>
      </c>
      <c r="H4" s="257" t="str">
        <f>[1]BASE!H7</f>
        <v>SPE / CHEFIA DE GABINETE SPE</v>
      </c>
      <c r="I4" s="260" t="str">
        <f>[1]BASE!I7</f>
        <v>10.100.000</v>
      </c>
    </row>
    <row r="5" spans="1:9" x14ac:dyDescent="0.25">
      <c r="A5" s="257" t="str">
        <f>[1]BASE!A8</f>
        <v>ABDON TAVARES REIS</v>
      </c>
      <c r="B5" s="258">
        <f>[1]BASE!B8</f>
        <v>7129830</v>
      </c>
      <c r="C5" s="257" t="str">
        <f>[1]BASE!C8</f>
        <v>Técnico de Orçamento</v>
      </c>
      <c r="D5" s="258" t="str">
        <f>[1]BASE!D8</f>
        <v>Exercício Descentralizado</v>
      </c>
      <c r="E5" s="257" t="str">
        <f>[1]BASE!E8</f>
        <v>ME - Ministério da Economia</v>
      </c>
      <c r="F5" s="258" t="str">
        <f>[1]BASE!F8</f>
        <v>FCPE 102.1</v>
      </c>
      <c r="G5" s="258" t="str">
        <f>[1]BASE!G8</f>
        <v xml:space="preserve"> </v>
      </c>
      <c r="H5" s="257" t="str">
        <f>[1]BASE!H8</f>
        <v>SE / SPOA / CGOF / COORDENAÇÃO DE ADMINISTRAÇÃO FINANCEIRA -COAF</v>
      </c>
      <c r="I5" s="260" t="str">
        <f>[1]BASE!I8</f>
        <v>8.105.510</v>
      </c>
    </row>
    <row r="6" spans="1:9" x14ac:dyDescent="0.25">
      <c r="A6" s="257" t="str">
        <f>[1]BASE!A9</f>
        <v>ADAO MARTINS TEIXEIRA JUNIOR</v>
      </c>
      <c r="B6" s="258">
        <f>[1]BASE!B9</f>
        <v>2280944</v>
      </c>
      <c r="C6" s="257" t="str">
        <f>[1]BASE!C9</f>
        <v>Auxiliar Administrativo</v>
      </c>
      <c r="D6" s="258" t="str">
        <f>[1]BASE!D9</f>
        <v>Anistiado MME</v>
      </c>
      <c r="E6" s="257" t="str">
        <f>[1]BASE!E9</f>
        <v>MME - Ministério de Minas e Energia</v>
      </c>
      <c r="F6" s="258" t="str">
        <f>[1]BASE!F9</f>
        <v xml:space="preserve"> </v>
      </c>
      <c r="G6" s="258" t="str">
        <f>[1]BASE!G9</f>
        <v xml:space="preserve"> </v>
      </c>
      <c r="H6" s="257" t="str">
        <f>[1]BASE!H9</f>
        <v>SPE / DEPARTAMENTO DE PLANEJAMENTO ENERGÉTICO - DPE</v>
      </c>
      <c r="I6" s="260" t="str">
        <f>[1]BASE!I9</f>
        <v>10.101.000</v>
      </c>
    </row>
    <row r="7" spans="1:9" x14ac:dyDescent="0.25">
      <c r="A7" s="257" t="str">
        <f>[1]BASE!A10</f>
        <v>ADÍLIA EVANGELISTA DE SOUSA</v>
      </c>
      <c r="B7" s="258">
        <f>[1]BASE!B10</f>
        <v>451457</v>
      </c>
      <c r="C7" s="257" t="str">
        <f>[1]BASE!C10</f>
        <v>Agente Administrativo</v>
      </c>
      <c r="D7" s="258" t="str">
        <f>[1]BASE!D10</f>
        <v>Ativo Permanente</v>
      </c>
      <c r="E7" s="257" t="str">
        <f>[1]BASE!E10</f>
        <v>MME - Ministério de Minas e Energia</v>
      </c>
      <c r="F7" s="258" t="str">
        <f>[1]BASE!F10</f>
        <v>FCT 11</v>
      </c>
      <c r="G7" s="258" t="str">
        <f>[1]BASE!G10</f>
        <v xml:space="preserve"> </v>
      </c>
      <c r="H7" s="257" t="str">
        <f>[1]BASE!H10</f>
        <v>SE / SPOA / CGRL / COORDENAÇÃO DE ADMINISTRAÇÃO DE MATERIAL E EXECUÇÃO FINANCEIRA - COMEF</v>
      </c>
      <c r="I7" s="260" t="str">
        <f>[1]BASE!I10</f>
        <v>8.105.110</v>
      </c>
    </row>
    <row r="8" spans="1:9" x14ac:dyDescent="0.25">
      <c r="A8" s="257" t="str">
        <f>[1]BASE!A11</f>
        <v>ADILSON DE MELO RAMOS</v>
      </c>
      <c r="B8" s="258">
        <f>[1]BASE!B11</f>
        <v>451568</v>
      </c>
      <c r="C8" s="257" t="str">
        <f>[1]BASE!C11</f>
        <v>Agente Administrativo</v>
      </c>
      <c r="D8" s="258" t="str">
        <f>[1]BASE!D11</f>
        <v>Ativo Permanente</v>
      </c>
      <c r="E8" s="257" t="str">
        <f>[1]BASE!E11</f>
        <v>MME - Ministério de Minas e Energia</v>
      </c>
      <c r="F8" s="258" t="str">
        <f>[1]BASE!F11</f>
        <v xml:space="preserve"> </v>
      </c>
      <c r="G8" s="258" t="str">
        <f>[1]BASE!G11</f>
        <v>GSISTE Intermediário</v>
      </c>
      <c r="H8" s="257" t="str">
        <f>[1]BASE!H11</f>
        <v>SE / SPOA / COORDENAÇÃO GERAL DE RECURSOS LOGÍSTICOS - CGRL</v>
      </c>
      <c r="I8" s="260" t="str">
        <f>[1]BASE!I11</f>
        <v>8.105.100</v>
      </c>
    </row>
    <row r="9" spans="1:9" x14ac:dyDescent="0.25">
      <c r="A9" s="257" t="str">
        <f>[1]BASE!A12</f>
        <v>ADRIMAR VENANCIO DO NASCIMENTO</v>
      </c>
      <c r="B9" s="258">
        <f>[1]BASE!B12</f>
        <v>5692188</v>
      </c>
      <c r="C9" s="257" t="str">
        <f>[1]BASE!C12</f>
        <v>Analista de Infraestrutura</v>
      </c>
      <c r="D9" s="258" t="str">
        <f>[1]BASE!D12</f>
        <v>Exercício Descentralizado</v>
      </c>
      <c r="E9" s="257" t="str">
        <f>[1]BASE!E12</f>
        <v>ME - Ministério da Economia</v>
      </c>
      <c r="F9" s="258" t="str">
        <f>[1]BASE!F12</f>
        <v>DAS 101.4</v>
      </c>
      <c r="G9" s="258" t="str">
        <f>[1]BASE!G12</f>
        <v xml:space="preserve"> </v>
      </c>
      <c r="H9" s="257" t="str">
        <f>[1]BASE!H12</f>
        <v>SEE / DGSE / COORDENAÇÃO GERAL DE GESTÃO DE PROGRAMAS E REGULAMENTAÇÃO</v>
      </c>
      <c r="I9" s="260" t="str">
        <f>[1]BASE!I12</f>
        <v>12.101.200</v>
      </c>
    </row>
    <row r="10" spans="1:9" x14ac:dyDescent="0.25">
      <c r="A10" s="257" t="str">
        <f>[1]BASE!A13</f>
        <v>AGDA LELES ZEDES</v>
      </c>
      <c r="B10" s="258">
        <f>[1]BASE!B13</f>
        <v>1974215</v>
      </c>
      <c r="C10" s="257" t="str">
        <f>[1]BASE!C13</f>
        <v>Analista de Infraestrutura</v>
      </c>
      <c r="D10" s="258" t="str">
        <f>[1]BASE!D13</f>
        <v>Exercício Descentralizado</v>
      </c>
      <c r="E10" s="257" t="str">
        <f>[1]BASE!E13</f>
        <v>ME - Ministério da Economia</v>
      </c>
      <c r="F10" s="258" t="str">
        <f>[1]BASE!F13</f>
        <v xml:space="preserve"> </v>
      </c>
      <c r="G10" s="258" t="str">
        <f>[1]BASE!G13</f>
        <v xml:space="preserve"> </v>
      </c>
      <c r="H10" s="257" t="str">
        <f>[1]BASE!H13</f>
        <v>SGM / DEPARTAMENTO DE GEOLOGIA E PRODUÇÃO MINERAL - DGPM</v>
      </c>
      <c r="I10" s="260" t="str">
        <f>[1]BASE!I13</f>
        <v>9.102.000</v>
      </c>
    </row>
    <row r="11" spans="1:9" x14ac:dyDescent="0.25">
      <c r="A11" s="257" t="str">
        <f>[1]BASE!A14</f>
        <v>AGNES MARIA DE ARAGAO DA COSTA</v>
      </c>
      <c r="B11" s="258">
        <f>[1]BASE!B14</f>
        <v>3482731</v>
      </c>
      <c r="C11" s="257" t="str">
        <f>[1]BASE!C14</f>
        <v>Especialista em Política Pública e Gestão Governamental</v>
      </c>
      <c r="D11" s="258" t="str">
        <f>[1]BASE!D14</f>
        <v>Exercício Descentralizado</v>
      </c>
      <c r="E11" s="257" t="str">
        <f>[1]BASE!E14</f>
        <v>ME - Ministério da Economia</v>
      </c>
      <c r="F11" s="258" t="str">
        <f>[1]BASE!F14</f>
        <v>DAS 101.5</v>
      </c>
      <c r="G11" s="258" t="str">
        <f>[1]BASE!G14</f>
        <v xml:space="preserve"> </v>
      </c>
      <c r="H11" s="257" t="str">
        <f>[1]BASE!H14</f>
        <v>SE / ASSESSORIA ESPECIAL EM ASSUNTOS REGULATÓRIOS - AEREG</v>
      </c>
      <c r="I11" s="260" t="str">
        <f>[1]BASE!I14</f>
        <v>8.102.000</v>
      </c>
    </row>
    <row r="12" spans="1:9" x14ac:dyDescent="0.25">
      <c r="A12" s="257" t="str">
        <f>[1]BASE!A15</f>
        <v>AIDA MARIA RODRIGUES CORDEIRO</v>
      </c>
      <c r="B12" s="258">
        <f>[1]BASE!B15</f>
        <v>2172526</v>
      </c>
      <c r="C12" s="257" t="str">
        <f>[1]BASE!C15</f>
        <v>Escriturário III</v>
      </c>
      <c r="D12" s="258" t="str">
        <f>[1]BASE!D15</f>
        <v>Anistiado MME</v>
      </c>
      <c r="E12" s="257" t="str">
        <f>[1]BASE!E15</f>
        <v>MME - Ministério de Minas e Energia</v>
      </c>
      <c r="F12" s="258" t="str">
        <f>[1]BASE!F15</f>
        <v xml:space="preserve"> </v>
      </c>
      <c r="G12" s="258" t="str">
        <f>[1]BASE!G15</f>
        <v xml:space="preserve"> </v>
      </c>
      <c r="H12" s="257" t="str">
        <f>[1]BASE!H15</f>
        <v>Aguardando Lotação/Exercício</v>
      </c>
      <c r="I12" s="260" t="str">
        <f>[1]BASE!I15</f>
        <v>88.000.000</v>
      </c>
    </row>
    <row r="13" spans="1:9" x14ac:dyDescent="0.25">
      <c r="A13" s="257" t="str">
        <f>[1]BASE!A16</f>
        <v>AIRTON OLIVEIRA LIMA</v>
      </c>
      <c r="B13" s="258">
        <f>[1]BASE!B16</f>
        <v>1466129</v>
      </c>
      <c r="C13" s="257" t="str">
        <f>[1]BASE!C16</f>
        <v>Sem Cargo/Emprego</v>
      </c>
      <c r="D13" s="258" t="str">
        <f>[1]BASE!D16</f>
        <v>Sem Vínculo</v>
      </c>
      <c r="E13" s="257" t="str">
        <f>[1]BASE!E16</f>
        <v>Sem Vínculo</v>
      </c>
      <c r="F13" s="258" t="str">
        <f>[1]BASE!F16</f>
        <v>DAS 102.1</v>
      </c>
      <c r="G13" s="258" t="str">
        <f>[1]BASE!G16</f>
        <v xml:space="preserve"> </v>
      </c>
      <c r="H13" s="257" t="str">
        <f>[1]BASE!H16</f>
        <v>SE / SPOA / CGRL / COORDENAÇÃO DE ATIVIDADES GERAIS - COAGE</v>
      </c>
      <c r="I13" s="260" t="str">
        <f>[1]BASE!I16</f>
        <v>8.105.120</v>
      </c>
    </row>
    <row r="14" spans="1:9" x14ac:dyDescent="0.25">
      <c r="A14" s="257" t="str">
        <f>[1]BASE!A17</f>
        <v>ALAN SAMPAIO SANTOS</v>
      </c>
      <c r="B14" s="258">
        <f>[1]BASE!B17</f>
        <v>1310848</v>
      </c>
      <c r="C14" s="257" t="str">
        <f>[1]BASE!C17</f>
        <v>Sem Cargo/Emprego</v>
      </c>
      <c r="D14" s="258" t="str">
        <f>[1]BASE!D17</f>
        <v>Sem Vínculo</v>
      </c>
      <c r="E14" s="257" t="str">
        <f>[1]BASE!E17</f>
        <v>Sem Vínculo</v>
      </c>
      <c r="F14" s="258" t="str">
        <f>[1]BASE!F17</f>
        <v>DAS 102.5</v>
      </c>
      <c r="G14" s="258" t="str">
        <f>[1]BASE!G17</f>
        <v xml:space="preserve"> </v>
      </c>
      <c r="H14" s="257" t="str">
        <f>[1]BASE!H17</f>
        <v>ASSESSORIA ESPECIAL DE ACOMPANHAMENTO DE POLÍTICAS, ESTRATÉGIAS E DESEMPENHO SETORIAL - AEPED</v>
      </c>
      <c r="I14" s="260" t="str">
        <f>[1]BASE!I17</f>
        <v>4.000.000</v>
      </c>
    </row>
    <row r="15" spans="1:9" x14ac:dyDescent="0.25">
      <c r="A15" s="257" t="str">
        <f>[1]BASE!A18</f>
        <v>ALCIDEMES LIMA FRANCO</v>
      </c>
      <c r="B15" s="258">
        <f>[1]BASE!B18</f>
        <v>454362</v>
      </c>
      <c r="C15" s="257" t="str">
        <f>[1]BASE!C18</f>
        <v>Agente Administrativo</v>
      </c>
      <c r="D15" s="258" t="str">
        <f>[1]BASE!D18</f>
        <v>Ativo Permanente</v>
      </c>
      <c r="E15" s="257" t="str">
        <f>[1]BASE!E18</f>
        <v>MME - Ministério de Minas e Energia</v>
      </c>
      <c r="F15" s="258" t="str">
        <f>[1]BASE!F18</f>
        <v>FCPE 102.1</v>
      </c>
      <c r="G15" s="258" t="str">
        <f>[1]BASE!G18</f>
        <v>GSISTE Intermediário</v>
      </c>
      <c r="H15" s="257" t="str">
        <f>[1]BASE!H18</f>
        <v>GM / ASTAD / COORDENAÇÃO DE ATIVIDADES ADMINISTRATIVAS</v>
      </c>
      <c r="I15" s="260" t="str">
        <f>[1]BASE!I18</f>
        <v>2.100.101</v>
      </c>
    </row>
    <row r="16" spans="1:9" x14ac:dyDescent="0.25">
      <c r="A16" s="257" t="str">
        <f>[1]BASE!A19</f>
        <v>ALDAIDES CAVALCANTE MAGALHAES</v>
      </c>
      <c r="B16" s="258">
        <f>[1]BASE!B19</f>
        <v>14800666</v>
      </c>
      <c r="C16" s="257" t="str">
        <f>[1]BASE!C19</f>
        <v>Sem Cargo/Emprego</v>
      </c>
      <c r="D16" s="258" t="str">
        <f>[1]BASE!D19</f>
        <v>Sem Vínculo</v>
      </c>
      <c r="E16" s="257" t="str">
        <f>[1]BASE!E19</f>
        <v>Sem Vínculo</v>
      </c>
      <c r="F16" s="258" t="str">
        <f>[1]BASE!F19</f>
        <v>DAS 102.2</v>
      </c>
      <c r="G16" s="258" t="str">
        <f>[1]BASE!G19</f>
        <v xml:space="preserve"> </v>
      </c>
      <c r="H16" s="257" t="str">
        <f>[1]BASE!H19</f>
        <v>SEE / CHEFIA DE GABINETE SEE</v>
      </c>
      <c r="I16" s="260" t="str">
        <f>[1]BASE!I19</f>
        <v>12.100.000</v>
      </c>
    </row>
    <row r="17" spans="1:9" x14ac:dyDescent="0.25">
      <c r="A17" s="257" t="str">
        <f>[1]BASE!A20</f>
        <v>ALDINEA DO CARMO CORDEIRO NOGUEIRA</v>
      </c>
      <c r="B17" s="258">
        <f>[1]BASE!B20</f>
        <v>1771716</v>
      </c>
      <c r="C17" s="257" t="str">
        <f>[1]BASE!C20</f>
        <v>Sem Cargo/Emprego</v>
      </c>
      <c r="D17" s="258" t="str">
        <f>[1]BASE!D20</f>
        <v>Sem Vínculo</v>
      </c>
      <c r="E17" s="257" t="str">
        <f>[1]BASE!E20</f>
        <v>Sem Vínculo</v>
      </c>
      <c r="F17" s="258" t="str">
        <f>[1]BASE!F20</f>
        <v>DAS 102.2</v>
      </c>
      <c r="G17" s="258" t="str">
        <f>[1]BASE!G20</f>
        <v xml:space="preserve"> </v>
      </c>
      <c r="H17" s="257" t="str">
        <f>[1]BASE!H20</f>
        <v>SE / CHEFIA DE GABINETE SE</v>
      </c>
      <c r="I17" s="260" t="str">
        <f>[1]BASE!I20</f>
        <v>8.100.000</v>
      </c>
    </row>
    <row r="18" spans="1:9" x14ac:dyDescent="0.25">
      <c r="A18" s="257" t="str">
        <f>[1]BASE!A21</f>
        <v>ALDO BARROSO CORES JUNIOR</v>
      </c>
      <c r="B18" s="258">
        <f>[1]BASE!B21</f>
        <v>2660765</v>
      </c>
      <c r="C18" s="257" t="str">
        <f>[1]BASE!C21</f>
        <v>Analista de Infraestrutura</v>
      </c>
      <c r="D18" s="258" t="str">
        <f>[1]BASE!D21</f>
        <v>Exercício Descentralizado</v>
      </c>
      <c r="E18" s="257" t="str">
        <f>[1]BASE!E21</f>
        <v>ME - Ministério da Economia</v>
      </c>
      <c r="F18" s="258" t="str">
        <f>[1]BASE!F21</f>
        <v>DAS 101.4</v>
      </c>
      <c r="G18" s="258" t="str">
        <f>[1]BASE!G21</f>
        <v xml:space="preserve"> </v>
      </c>
      <c r="H18" s="257" t="str">
        <f>[1]BASE!H21</f>
        <v>SPG / DGN / COORDENAÇÃO GERAL DE PROCESSAMENTO DE INFRAESTRUTURA E LOGÍSTICA</v>
      </c>
      <c r="I18" s="260" t="str">
        <f>[1]BASE!I21</f>
        <v>11.102.200</v>
      </c>
    </row>
    <row r="19" spans="1:9" x14ac:dyDescent="0.25">
      <c r="A19" s="257" t="str">
        <f>[1]BASE!A22</f>
        <v>ALEXANDRA ALBUQUERQUE MACIEL</v>
      </c>
      <c r="B19" s="258">
        <f>[1]BASE!B22</f>
        <v>1651345</v>
      </c>
      <c r="C19" s="257" t="str">
        <f>[1]BASE!C22</f>
        <v>Analista de Infraestrutura</v>
      </c>
      <c r="D19" s="258" t="str">
        <f>[1]BASE!D22</f>
        <v>Exercício Descentralizado</v>
      </c>
      <c r="E19" s="257" t="str">
        <f>[1]BASE!E22</f>
        <v>ME - Ministério da Economia</v>
      </c>
      <c r="F19" s="258" t="str">
        <f>[1]BASE!F22</f>
        <v xml:space="preserve"> </v>
      </c>
      <c r="G19" s="258" t="str">
        <f>[1]BASE!G22</f>
        <v xml:space="preserve"> </v>
      </c>
      <c r="H19" s="257" t="str">
        <f>[1]BASE!H22</f>
        <v>SPE / DEPARTAMENTO DE DESENVOLVIMENTO ENERGÉTICO - DDE</v>
      </c>
      <c r="I19" s="260" t="str">
        <f>[1]BASE!I22</f>
        <v>10.102.000</v>
      </c>
    </row>
    <row r="20" spans="1:9" x14ac:dyDescent="0.25">
      <c r="A20" s="257" t="str">
        <f>[1]BASE!A23</f>
        <v>ALEXANDRE BRAZ DA SILVA</v>
      </c>
      <c r="B20" s="258">
        <f>[1]BASE!B23</f>
        <v>2061035</v>
      </c>
      <c r="C20" s="257" t="str">
        <f>[1]BASE!C23</f>
        <v>Sem Cargo/Emprego</v>
      </c>
      <c r="D20" s="258" t="str">
        <f>[1]BASE!D23</f>
        <v>Sem Vínculo</v>
      </c>
      <c r="E20" s="257" t="str">
        <f>[1]BASE!E23</f>
        <v>Sem Vínculo</v>
      </c>
      <c r="F20" s="258" t="str">
        <f>[1]BASE!F23</f>
        <v>DAS 102.2</v>
      </c>
      <c r="G20" s="258" t="str">
        <f>[1]BASE!G23</f>
        <v xml:space="preserve"> </v>
      </c>
      <c r="H20" s="257" t="str">
        <f>[1]BASE!H23</f>
        <v>CONJUR / CGAA / COORDENAÇÃO DE APOIO ADMINISTRATIVO</v>
      </c>
      <c r="I20" s="260" t="str">
        <f>[1]BASE!I23</f>
        <v>7.100.310</v>
      </c>
    </row>
    <row r="21" spans="1:9" x14ac:dyDescent="0.25">
      <c r="A21" s="257" t="str">
        <f>[1]BASE!A24</f>
        <v>ALEXANDRE LAURI HENRIKSEN</v>
      </c>
      <c r="B21" s="258">
        <f>[1]BASE!B24</f>
        <v>2535472</v>
      </c>
      <c r="C21" s="257" t="str">
        <f>[1]BASE!C24</f>
        <v>Especialista em Política Pública e Gestão Governamental</v>
      </c>
      <c r="D21" s="258" t="str">
        <f>[1]BASE!D24</f>
        <v>Requisitado de Órgãos</v>
      </c>
      <c r="E21" s="257" t="str">
        <f>[1]BASE!E24</f>
        <v>ME - Ministério da Economia</v>
      </c>
      <c r="F21" s="258" t="str">
        <f>[1]BASE!F24</f>
        <v>DAS 102.4</v>
      </c>
      <c r="G21" s="258" t="str">
        <f>[1]BASE!G24</f>
        <v xml:space="preserve"> </v>
      </c>
      <c r="H21" s="257" t="str">
        <f>[1]BASE!H24</f>
        <v>ASSESSORIA ESPECIAL DE ASSUNTOS ECONÔMICOS - ASSEC</v>
      </c>
      <c r="I21" s="260" t="str">
        <f>[1]BASE!I24</f>
        <v>6.000.000</v>
      </c>
    </row>
    <row r="22" spans="1:9" x14ac:dyDescent="0.25">
      <c r="A22" s="257" t="str">
        <f>[1]BASE!A25</f>
        <v>ALEXANDRE LEME FRANCO</v>
      </c>
      <c r="B22" s="258">
        <f>[1]BASE!B25</f>
        <v>1356383</v>
      </c>
      <c r="C22" s="257" t="str">
        <f>[1]BASE!C25</f>
        <v>Advogado da União</v>
      </c>
      <c r="D22" s="258" t="str">
        <f>[1]BASE!D25</f>
        <v>Exercício Descentralizado</v>
      </c>
      <c r="E22" s="257" t="str">
        <f>[1]BASE!E25</f>
        <v>AGU - Advocacia Geral da União</v>
      </c>
      <c r="F22" s="258" t="str">
        <f>[1]BASE!F25</f>
        <v xml:space="preserve"> </v>
      </c>
      <c r="G22" s="258" t="str">
        <f>[1]BASE!G25</f>
        <v xml:space="preserve"> </v>
      </c>
      <c r="H22" s="257" t="str">
        <f>[1]BASE!H25</f>
        <v>CONJUR / COORDENAÇÃO GERAL DE ASSUNTOS DE PETRÓLEO E MINERAÇÃO</v>
      </c>
      <c r="I22" s="260" t="str">
        <f>[1]BASE!I25</f>
        <v>7.100.200</v>
      </c>
    </row>
    <row r="23" spans="1:9" x14ac:dyDescent="0.25">
      <c r="A23" s="257" t="str">
        <f>[1]BASE!A26</f>
        <v>ALEXANDRE VIDIGAL DE OLIVEIRA</v>
      </c>
      <c r="B23" s="258">
        <f>[1]BASE!B26</f>
        <v>3085737</v>
      </c>
      <c r="C23" s="257" t="str">
        <f>[1]BASE!C26</f>
        <v>Sem Cargo/Emprego</v>
      </c>
      <c r="D23" s="258" t="str">
        <f>[1]BASE!D26</f>
        <v>Sem Vínculo</v>
      </c>
      <c r="E23" s="257" t="str">
        <f>[1]BASE!E26</f>
        <v>Sem Vínculo</v>
      </c>
      <c r="F23" s="258" t="str">
        <f>[1]BASE!F26</f>
        <v>DAS 101.6</v>
      </c>
      <c r="G23" s="258" t="str">
        <f>[1]BASE!G26</f>
        <v xml:space="preserve"> </v>
      </c>
      <c r="H23" s="257" t="str">
        <f>[1]BASE!H26</f>
        <v>SECRETARIA DE GEOLOGIA, MINERAÇÃO E TRANSFORMAÇÃO MINERAL - SGM</v>
      </c>
      <c r="I23" s="260" t="str">
        <f>[1]BASE!I26</f>
        <v>9.000.000</v>
      </c>
    </row>
    <row r="24" spans="1:9" x14ac:dyDescent="0.25">
      <c r="A24" s="257" t="str">
        <f>[1]BASE!A27</f>
        <v>ALEXANDRE XISTO DE ASSIS</v>
      </c>
      <c r="B24" s="258">
        <f>[1]BASE!B27</f>
        <v>1092745</v>
      </c>
      <c r="C24" s="257" t="str">
        <f>[1]BASE!C27</f>
        <v>Agente Administrativo</v>
      </c>
      <c r="D24" s="258" t="str">
        <f>[1]BASE!D27</f>
        <v>Ativo Permanente</v>
      </c>
      <c r="E24" s="257" t="str">
        <f>[1]BASE!E27</f>
        <v>MME - Ministério de Minas e Energia</v>
      </c>
      <c r="F24" s="258" t="str">
        <f>[1]BASE!F27</f>
        <v>FCT 7</v>
      </c>
      <c r="G24" s="258" t="str">
        <f>[1]BASE!G27</f>
        <v>GSISTE Intermediário</v>
      </c>
      <c r="H24" s="257" t="str">
        <f>[1]BASE!H27</f>
        <v>SE / SPOA / CGRH / COORDENAÇÃO DE ADMINISTRAÇÃO DE PESSOAL - CAPES</v>
      </c>
      <c r="I24" s="260" t="str">
        <f>[1]BASE!I27</f>
        <v>8.105.210</v>
      </c>
    </row>
    <row r="25" spans="1:9" x14ac:dyDescent="0.25">
      <c r="A25" s="257" t="str">
        <f>[1]BASE!A28</f>
        <v>ALINE DA COSTA PINHEIRO</v>
      </c>
      <c r="B25" s="258">
        <f>[1]BASE!B28</f>
        <v>1753322</v>
      </c>
      <c r="C25" s="257" t="str">
        <f>[1]BASE!C28</f>
        <v>Sem Cargo/Emprego</v>
      </c>
      <c r="D25" s="258" t="str">
        <f>[1]BASE!D28</f>
        <v>Sem Vínculo</v>
      </c>
      <c r="E25" s="257" t="str">
        <f>[1]BASE!E28</f>
        <v>Sem Vínculo</v>
      </c>
      <c r="F25" s="258" t="str">
        <f>[1]BASE!F28</f>
        <v>DAS 101.2</v>
      </c>
      <c r="G25" s="258" t="str">
        <f>[1]BASE!G28</f>
        <v xml:space="preserve"> </v>
      </c>
      <c r="H25" s="257" t="str">
        <f>[1]BASE!H28</f>
        <v>SE / SPOA / CGRL / COORDENAÇÃO DE ADMINISTRAÇÃO DE MATERIAL E EXECUÇÃO FINANCEIRA - COMEF</v>
      </c>
      <c r="I25" s="260" t="str">
        <f>[1]BASE!I28</f>
        <v>8.105.110</v>
      </c>
    </row>
    <row r="26" spans="1:9" x14ac:dyDescent="0.25">
      <c r="A26" s="257" t="str">
        <f>[1]BASE!A29</f>
        <v>ALLAN CARLO LOPES DE MENEZES</v>
      </c>
      <c r="B26" s="258">
        <f>[1]BASE!B29</f>
        <v>54498</v>
      </c>
      <c r="C26" s="257" t="str">
        <f>[1]BASE!C29</f>
        <v>Sem Cargo/Emprego</v>
      </c>
      <c r="D26" s="258" t="str">
        <f>[1]BASE!D29</f>
        <v>Sem Vínculo</v>
      </c>
      <c r="E26" s="257" t="str">
        <f>[1]BASE!E29</f>
        <v>Sem Vínculo</v>
      </c>
      <c r="F26" s="258" t="str">
        <f>[1]BASE!F29</f>
        <v>DAS 102.2</v>
      </c>
      <c r="G26" s="258" t="str">
        <f>[1]BASE!G29</f>
        <v xml:space="preserve"> </v>
      </c>
      <c r="H26" s="257" t="str">
        <f>[1]BASE!H29</f>
        <v>SE / AEGE / CGPE / COORDENAÇÃO DE SUPERVISÃO E AVALIAÇÃO DA GESTÃO</v>
      </c>
      <c r="I26" s="260" t="str">
        <f>[1]BASE!I29</f>
        <v>8.101.120</v>
      </c>
    </row>
    <row r="27" spans="1:9" x14ac:dyDescent="0.25">
      <c r="A27" s="257" t="str">
        <f>[1]BASE!A30</f>
        <v>ALMIR DE SOUZA FIGUEIREDO</v>
      </c>
      <c r="B27" s="258">
        <f>[1]BASE!B30</f>
        <v>1093237</v>
      </c>
      <c r="C27" s="257" t="str">
        <f>[1]BASE!C30</f>
        <v>Motorista Oficial</v>
      </c>
      <c r="D27" s="258" t="str">
        <f>[1]BASE!D30</f>
        <v>Ativo Permanente</v>
      </c>
      <c r="E27" s="257" t="str">
        <f>[1]BASE!E30</f>
        <v>MME - Ministério de Minas e Energia</v>
      </c>
      <c r="F27" s="258" t="str">
        <f>[1]BASE!F30</f>
        <v>FCPE 102.1</v>
      </c>
      <c r="G27" s="258" t="str">
        <f>[1]BASE!G30</f>
        <v xml:space="preserve"> </v>
      </c>
      <c r="H27" s="257" t="str">
        <f>[1]BASE!H30</f>
        <v>GM / ASTAD / COORDENAÇÃO DE ATIVIDADES ADMINISTRATIVAS</v>
      </c>
      <c r="I27" s="260" t="str">
        <f>[1]BASE!I30</f>
        <v>2.100.101</v>
      </c>
    </row>
    <row r="28" spans="1:9" x14ac:dyDescent="0.25">
      <c r="A28" s="257" t="str">
        <f>[1]BASE!A31</f>
        <v>ALTAMIRO MOREIRA CALDEIRA</v>
      </c>
      <c r="B28" s="258">
        <f>[1]BASE!B31</f>
        <v>1094291</v>
      </c>
      <c r="C28" s="257" t="str">
        <f>[1]BASE!C31</f>
        <v>Agente Administrativo</v>
      </c>
      <c r="D28" s="258" t="str">
        <f>[1]BASE!D31</f>
        <v>Ativo Permanente</v>
      </c>
      <c r="E28" s="257" t="str">
        <f>[1]BASE!E31</f>
        <v>MME - Ministério de Minas e Energia</v>
      </c>
      <c r="F28" s="258" t="str">
        <f>[1]BASE!F31</f>
        <v>FCPE 102.2</v>
      </c>
      <c r="G28" s="258" t="str">
        <f>[1]BASE!G31</f>
        <v xml:space="preserve"> </v>
      </c>
      <c r="H28" s="257" t="str">
        <f>[1]BASE!H31</f>
        <v>GM / ASTAD / COORDENAÇÃO DE ATIVIDADES ADMINISTRATIVAS</v>
      </c>
      <c r="I28" s="260" t="str">
        <f>[1]BASE!I31</f>
        <v>2.100.101</v>
      </c>
    </row>
    <row r="29" spans="1:9" x14ac:dyDescent="0.25">
      <c r="A29" s="257" t="str">
        <f>[1]BASE!A32</f>
        <v>ALVANIR DA SILVA CARVALHO</v>
      </c>
      <c r="B29" s="258">
        <f>[1]BASE!B32</f>
        <v>6053314</v>
      </c>
      <c r="C29" s="257" t="str">
        <f>[1]BASE!C32</f>
        <v>Sem Cargo/Emprego</v>
      </c>
      <c r="D29" s="258" t="str">
        <f>[1]BASE!D32</f>
        <v>Sem Vínculo</v>
      </c>
      <c r="E29" s="257" t="str">
        <f>[1]BASE!E32</f>
        <v>Sem Vínculo</v>
      </c>
      <c r="F29" s="258" t="str">
        <f>[1]BASE!F32</f>
        <v>DAS 101.3</v>
      </c>
      <c r="G29" s="258" t="str">
        <f>[1]BASE!G32</f>
        <v xml:space="preserve"> </v>
      </c>
      <c r="H29" s="257" t="str">
        <f>[1]BASE!H32</f>
        <v>SE / SPOA / CGRL / COORDENAÇÃO DE ATIVIDADES GERAIS - COAGE</v>
      </c>
      <c r="I29" s="260" t="str">
        <f>[1]BASE!I32</f>
        <v>8.105.120</v>
      </c>
    </row>
    <row r="30" spans="1:9" x14ac:dyDescent="0.25">
      <c r="A30" s="257" t="str">
        <f>[1]BASE!A33</f>
        <v>ALYNE SOUSA CARVALHO LIBERAL FERREIRA</v>
      </c>
      <c r="B30" s="258">
        <f>[1]BASE!B33</f>
        <v>2745994</v>
      </c>
      <c r="C30" s="257" t="str">
        <f>[1]BASE!C33</f>
        <v>Sem Cargo/Emprego</v>
      </c>
      <c r="D30" s="258" t="str">
        <f>[1]BASE!D33</f>
        <v>Sem Vínculo</v>
      </c>
      <c r="E30" s="257" t="str">
        <f>[1]BASE!E33</f>
        <v>Sem Vínculo</v>
      </c>
      <c r="F30" s="258" t="str">
        <f>[1]BASE!F33</f>
        <v>DAS 102.2</v>
      </c>
      <c r="G30" s="258" t="str">
        <f>[1]BASE!G33</f>
        <v xml:space="preserve"> </v>
      </c>
      <c r="H30" s="257" t="str">
        <f>[1]BASE!H33</f>
        <v>SE / CHEFIA DE GABINETE SE</v>
      </c>
      <c r="I30" s="260" t="str">
        <f>[1]BASE!I33</f>
        <v>8.100.000</v>
      </c>
    </row>
    <row r="31" spans="1:9" x14ac:dyDescent="0.25">
      <c r="A31" s="257" t="str">
        <f>[1]BASE!A34</f>
        <v>AMANTINO SOARES DE OLIVEIRA</v>
      </c>
      <c r="B31" s="258">
        <f>[1]BASE!B34</f>
        <v>7129831</v>
      </c>
      <c r="C31" s="257" t="str">
        <f>[1]BASE!C34</f>
        <v>Técnico de Orçamento</v>
      </c>
      <c r="D31" s="258" t="str">
        <f>[1]BASE!D34</f>
        <v>Exercício Descentralizado</v>
      </c>
      <c r="E31" s="257" t="str">
        <f>[1]BASE!E34</f>
        <v>ME - Ministério da Economia</v>
      </c>
      <c r="F31" s="258" t="str">
        <f>[1]BASE!F34</f>
        <v>DAS 101.3</v>
      </c>
      <c r="G31" s="258" t="str">
        <f>[1]BASE!G34</f>
        <v xml:space="preserve"> </v>
      </c>
      <c r="H31" s="257" t="str">
        <f>[1]BASE!H34</f>
        <v>SE / SPOA / CGOF / COORDENAÇÃO DE ADMINISTRAÇÃO FINANCEIRA -COAF</v>
      </c>
      <c r="I31" s="260" t="str">
        <f>[1]BASE!I34</f>
        <v>8.105.510</v>
      </c>
    </row>
    <row r="32" spans="1:9" x14ac:dyDescent="0.25">
      <c r="A32" s="257" t="str">
        <f>[1]BASE!A35</f>
        <v>ANA CARLOTA OLIVEIRA VIEIRA</v>
      </c>
      <c r="B32" s="258">
        <f>[1]BASE!B35</f>
        <v>1686942</v>
      </c>
      <c r="C32" s="257" t="str">
        <f>[1]BASE!C35</f>
        <v>Telefonista</v>
      </c>
      <c r="D32" s="258" t="str">
        <f>[1]BASE!D35</f>
        <v>Anistiado MME</v>
      </c>
      <c r="E32" s="257" t="str">
        <f>[1]BASE!E35</f>
        <v>MME - Ministério de Minas e Energia</v>
      </c>
      <c r="F32" s="258" t="str">
        <f>[1]BASE!F35</f>
        <v xml:space="preserve"> </v>
      </c>
      <c r="G32" s="258" t="str">
        <f>[1]BASE!G35</f>
        <v xml:space="preserve"> </v>
      </c>
      <c r="H32" s="257" t="str">
        <f>[1]BASE!H35</f>
        <v>Aguardando Lotação/Exercício</v>
      </c>
      <c r="I32" s="260" t="str">
        <f>[1]BASE!I35</f>
        <v>88.000.000</v>
      </c>
    </row>
    <row r="33" spans="1:9" x14ac:dyDescent="0.25">
      <c r="A33" s="257" t="str">
        <f>[1]BASE!A36</f>
        <v>ANA CAROLINA CARVALHO RODRIGUES</v>
      </c>
      <c r="B33" s="258">
        <f>[1]BASE!B36</f>
        <v>1483473</v>
      </c>
      <c r="C33" s="257" t="str">
        <f>[1]BASE!C36</f>
        <v>Sem Cargo/Emprego</v>
      </c>
      <c r="D33" s="258" t="str">
        <f>[1]BASE!D36</f>
        <v>Sem Vínculo</v>
      </c>
      <c r="E33" s="257" t="str">
        <f>[1]BASE!E36</f>
        <v>Sem Vínculo</v>
      </c>
      <c r="F33" s="258" t="str">
        <f>[1]BASE!F36</f>
        <v>DAS 102.1</v>
      </c>
      <c r="G33" s="258" t="str">
        <f>[1]BASE!G36</f>
        <v xml:space="preserve"> </v>
      </c>
      <c r="H33" s="257" t="str">
        <f>[1]BASE!H36</f>
        <v>CONJUR / CGAA / COORDENAÇÃO DE APOIO ADMINISTRATIVO</v>
      </c>
      <c r="I33" s="260" t="str">
        <f>[1]BASE!I36</f>
        <v>7.100.310</v>
      </c>
    </row>
    <row r="34" spans="1:9" x14ac:dyDescent="0.25">
      <c r="A34" s="257" t="str">
        <f>[1]BASE!A37</f>
        <v>ANA CRISTINA NOGUEIRA GONCALVES</v>
      </c>
      <c r="B34" s="258">
        <f>[1]BASE!B37</f>
        <v>1586250</v>
      </c>
      <c r="C34" s="257" t="str">
        <f>[1]BASE!C37</f>
        <v>Codificador de Dados I</v>
      </c>
      <c r="D34" s="258" t="str">
        <f>[1]BASE!D37</f>
        <v>Anistiado MME</v>
      </c>
      <c r="E34" s="257" t="str">
        <f>[1]BASE!E37</f>
        <v>MME - Ministério de Minas e Energia</v>
      </c>
      <c r="F34" s="258" t="str">
        <f>[1]BASE!F37</f>
        <v xml:space="preserve"> </v>
      </c>
      <c r="G34" s="258" t="str">
        <f>[1]BASE!G37</f>
        <v xml:space="preserve"> </v>
      </c>
      <c r="H34" s="257" t="str">
        <f>[1]BASE!H37</f>
        <v>SE / SPOA / CGRH / COORDENAÇÃO DE DESENVOLVIMENTO E SEGURIDADE SOCIAL - CODES</v>
      </c>
      <c r="I34" s="260" t="str">
        <f>[1]BASE!I37</f>
        <v>8.105.220</v>
      </c>
    </row>
    <row r="35" spans="1:9" x14ac:dyDescent="0.25">
      <c r="A35" s="257" t="str">
        <f>[1]BASE!A38</f>
        <v>ANA LUCIA ALVARES ALVES</v>
      </c>
      <c r="B35" s="258">
        <f>[1]BASE!B38</f>
        <v>1165470</v>
      </c>
      <c r="C35" s="257" t="str">
        <f>[1]BASE!C38</f>
        <v>Analista de Infraestrutura</v>
      </c>
      <c r="D35" s="258" t="str">
        <f>[1]BASE!D38</f>
        <v>Requisitado de Órgãos</v>
      </c>
      <c r="E35" s="257" t="str">
        <f>[1]BASE!E38</f>
        <v>ME - Ministério da Economia</v>
      </c>
      <c r="F35" s="258" t="str">
        <f>[1]BASE!F38</f>
        <v>DAS 102.3</v>
      </c>
      <c r="G35" s="258" t="str">
        <f>[1]BASE!G38</f>
        <v xml:space="preserve"> </v>
      </c>
      <c r="H35" s="257" t="str">
        <f>[1]BASE!H38</f>
        <v>SEE / DMSE / COORDENAÇÃO GERAL DE MONITORAMENTO DO DESEMPENHO DO SISTEMA ELÉTRICO</v>
      </c>
      <c r="I35" s="260" t="str">
        <f>[1]BASE!I38</f>
        <v>12.102.400</v>
      </c>
    </row>
    <row r="36" spans="1:9" x14ac:dyDescent="0.25">
      <c r="A36" s="257" t="str">
        <f>[1]BASE!A39</f>
        <v>ANA MARIA DIAS DE OLIVEIRA DINIZ</v>
      </c>
      <c r="B36" s="258">
        <f>[1]BASE!B39</f>
        <v>451529</v>
      </c>
      <c r="C36" s="257" t="str">
        <f>[1]BASE!C39</f>
        <v>Agente Administrativo</v>
      </c>
      <c r="D36" s="258" t="str">
        <f>[1]BASE!D39</f>
        <v>Ativo Permanente</v>
      </c>
      <c r="E36" s="257" t="str">
        <f>[1]BASE!E39</f>
        <v>MME - Ministério de Minas e Energia</v>
      </c>
      <c r="F36" s="258" t="str">
        <f>[1]BASE!F39</f>
        <v>FGR 1</v>
      </c>
      <c r="G36" s="258" t="str">
        <f>[1]BASE!G39</f>
        <v xml:space="preserve"> </v>
      </c>
      <c r="H36" s="257" t="str">
        <f>[1]BASE!H39</f>
        <v>SE / SPOA / CGRH / COORDENAÇÃO DE DESENVOLVIMENTO E SEGURIDADE SOCIAL - CODES</v>
      </c>
      <c r="I36" s="260" t="str">
        <f>[1]BASE!I39</f>
        <v>8.105.220</v>
      </c>
    </row>
    <row r="37" spans="1:9" x14ac:dyDescent="0.25">
      <c r="A37" s="257" t="str">
        <f>[1]BASE!A40</f>
        <v>ANA MARIA FIGUEIREDO AGUIAR</v>
      </c>
      <c r="B37" s="258">
        <f>[1]BASE!B40</f>
        <v>452229</v>
      </c>
      <c r="C37" s="257" t="str">
        <f>[1]BASE!C40</f>
        <v>Agente Administrativo</v>
      </c>
      <c r="D37" s="258" t="str">
        <f>[1]BASE!D40</f>
        <v>Ativo Permanente</v>
      </c>
      <c r="E37" s="257" t="str">
        <f>[1]BASE!E40</f>
        <v>MME - Ministério de Minas e Energia</v>
      </c>
      <c r="F37" s="258" t="str">
        <f>[1]BASE!F40</f>
        <v xml:space="preserve"> </v>
      </c>
      <c r="G37" s="258" t="str">
        <f>[1]BASE!G40</f>
        <v>GSISTE Intermediário</v>
      </c>
      <c r="H37" s="257" t="str">
        <f>[1]BASE!H40</f>
        <v>SE / SPOA / CGRL / COORDENAÇÃO DE ATIVIDADES GERAIS - COAGE</v>
      </c>
      <c r="I37" s="260" t="str">
        <f>[1]BASE!I40</f>
        <v>8.105.120</v>
      </c>
    </row>
    <row r="38" spans="1:9" x14ac:dyDescent="0.25">
      <c r="A38" s="257" t="str">
        <f>[1]BASE!A41</f>
        <v>ANA PAULA ALVES DE SOUZA</v>
      </c>
      <c r="B38" s="258">
        <f>[1]BASE!B41</f>
        <v>2603376</v>
      </c>
      <c r="C38" s="257" t="str">
        <f>[1]BASE!C41</f>
        <v>Marinha</v>
      </c>
      <c r="D38" s="258" t="str">
        <f>[1]BASE!D41</f>
        <v>Requisitado Militar</v>
      </c>
      <c r="E38" s="257" t="str">
        <f>[1]BASE!E41</f>
        <v>Marinha</v>
      </c>
      <c r="F38" s="258" t="str">
        <f>[1]BASE!F41</f>
        <v>DAS 102.5</v>
      </c>
      <c r="G38" s="258" t="str">
        <f>[1]BASE!G41</f>
        <v xml:space="preserve"> </v>
      </c>
      <c r="H38" s="257" t="str">
        <f>[1]BASE!H41</f>
        <v>GABINETE DO MINISTRO - GM</v>
      </c>
      <c r="I38" s="260" t="str">
        <f>[1]BASE!I41</f>
        <v>2.000.000</v>
      </c>
    </row>
    <row r="39" spans="1:9" x14ac:dyDescent="0.25">
      <c r="A39" s="257" t="str">
        <f>[1]BASE!A42</f>
        <v>ANA PAULA DE CASTRO</v>
      </c>
      <c r="B39" s="258">
        <f>[1]BASE!B42</f>
        <v>1100246</v>
      </c>
      <c r="C39" s="257" t="str">
        <f>[1]BASE!C42</f>
        <v>Técnico de Arquivo</v>
      </c>
      <c r="D39" s="258" t="str">
        <f>[1]BASE!D42</f>
        <v>Ativo Permanente</v>
      </c>
      <c r="E39" s="257" t="str">
        <f>[1]BASE!E42</f>
        <v>MME - Ministério de Minas e Energia</v>
      </c>
      <c r="F39" s="258" t="str">
        <f>[1]BASE!F42</f>
        <v>FGR 1</v>
      </c>
      <c r="G39" s="258" t="str">
        <f>[1]BASE!G42</f>
        <v xml:space="preserve"> </v>
      </c>
      <c r="H39" s="257" t="str">
        <f>[1]BASE!H42</f>
        <v>SE / SPOA / CGRH / COORDENAÇÃO DE ADMINISTRAÇÃO DE PESSOAL - CAPES</v>
      </c>
      <c r="I39" s="260" t="str">
        <f>[1]BASE!I42</f>
        <v>8.105.210</v>
      </c>
    </row>
    <row r="40" spans="1:9" x14ac:dyDescent="0.25">
      <c r="A40" s="257" t="str">
        <f>[1]BASE!A43</f>
        <v>ANA PAULA NOGUEIRA RIGAUD</v>
      </c>
      <c r="B40" s="258">
        <f>[1]BASE!B43</f>
        <v>1670483</v>
      </c>
      <c r="C40" s="257" t="str">
        <f>[1]BASE!C43</f>
        <v>Codificador de Dados I</v>
      </c>
      <c r="D40" s="258" t="str">
        <f>[1]BASE!D43</f>
        <v>Anistiado MME</v>
      </c>
      <c r="E40" s="257" t="str">
        <f>[1]BASE!E43</f>
        <v>MME - Ministério de Minas e Energia</v>
      </c>
      <c r="F40" s="258" t="str">
        <f>[1]BASE!F43</f>
        <v xml:space="preserve"> </v>
      </c>
      <c r="G40" s="258" t="str">
        <f>[1]BASE!G43</f>
        <v xml:space="preserve"> </v>
      </c>
      <c r="H40" s="257" t="str">
        <f>[1]BASE!H43</f>
        <v>SE / SPOA / CGRH / COORDENAÇÃO DE DESENVOLVIMENTO E SEGURIDADE SOCIAL - CODES</v>
      </c>
      <c r="I40" s="260" t="str">
        <f>[1]BASE!I43</f>
        <v>8.105.220</v>
      </c>
    </row>
    <row r="41" spans="1:9" x14ac:dyDescent="0.25">
      <c r="A41" s="257" t="str">
        <f>[1]BASE!A44</f>
        <v>ANADERGI ROSA DE FREITAS</v>
      </c>
      <c r="B41" s="258">
        <f>[1]BASE!B44</f>
        <v>2666801</v>
      </c>
      <c r="C41" s="257" t="str">
        <f>[1]BASE!C44</f>
        <v>Sem Cargo/Emprego</v>
      </c>
      <c r="D41" s="258" t="str">
        <f>[1]BASE!D44</f>
        <v>Sem Vínculo</v>
      </c>
      <c r="E41" s="257" t="str">
        <f>[1]BASE!E44</f>
        <v>Sem Vínculo</v>
      </c>
      <c r="F41" s="258" t="str">
        <f>[1]BASE!F44</f>
        <v>DAS 102.2</v>
      </c>
      <c r="G41" s="258" t="str">
        <f>[1]BASE!G44</f>
        <v xml:space="preserve"> </v>
      </c>
      <c r="H41" s="257" t="str">
        <f>[1]BASE!H44</f>
        <v>SE / SPOA / CGRL / COORDENAÇÃO DE ATIVIDADES GERAIS - COAGE</v>
      </c>
      <c r="I41" s="260" t="str">
        <f>[1]BASE!I44</f>
        <v>8.105.120</v>
      </c>
    </row>
    <row r="42" spans="1:9" x14ac:dyDescent="0.25">
      <c r="A42" s="257" t="str">
        <f>[1]BASE!A45</f>
        <v>ANAHIDES SANTOS BUCAR</v>
      </c>
      <c r="B42" s="258">
        <f>[1]BASE!B45</f>
        <v>6225035</v>
      </c>
      <c r="C42" s="257" t="str">
        <f>[1]BASE!C45</f>
        <v>Sem Cargo/Emprego</v>
      </c>
      <c r="D42" s="258" t="str">
        <f>[1]BASE!D45</f>
        <v>Sem Vínculo</v>
      </c>
      <c r="E42" s="257" t="str">
        <f>[1]BASE!E45</f>
        <v>Sem Vínculo</v>
      </c>
      <c r="F42" s="258" t="str">
        <f>[1]BASE!F45</f>
        <v>DAS 102.2</v>
      </c>
      <c r="G42" s="258" t="str">
        <f>[1]BASE!G45</f>
        <v xml:space="preserve"> </v>
      </c>
      <c r="H42" s="257" t="str">
        <f>[1]BASE!H45</f>
        <v>SGM / DEPARTAMENTO DE GESTÃO DAS POLÍTICAS DE GEOLOGIA, MINERAÇÃOE TRANSFORMAÇÃO - DPGM</v>
      </c>
      <c r="I42" s="260" t="str">
        <f>[1]BASE!I45</f>
        <v>9.101.000</v>
      </c>
    </row>
    <row r="43" spans="1:9" x14ac:dyDescent="0.25">
      <c r="A43" s="257" t="str">
        <f>[1]BASE!A46</f>
        <v>ANDERSON DA CRUZ NEVES</v>
      </c>
      <c r="B43" s="258">
        <f>[1]BASE!B46</f>
        <v>1729574</v>
      </c>
      <c r="C43" s="257" t="str">
        <f>[1]BASE!C46</f>
        <v>Analista Técnico Administrativo</v>
      </c>
      <c r="D43" s="258" t="str">
        <f>[1]BASE!D46</f>
        <v>Requisitado de Órgãos</v>
      </c>
      <c r="E43" s="257" t="str">
        <f>[1]BASE!E46</f>
        <v>MDR - Ministério do Desenvolvimento Regional</v>
      </c>
      <c r="F43" s="258" t="str">
        <f>[1]BASE!F46</f>
        <v xml:space="preserve"> </v>
      </c>
      <c r="G43" s="258" t="str">
        <f>[1]BASE!G46</f>
        <v>GSISTE Superior (MPEOF)</v>
      </c>
      <c r="H43" s="257" t="str">
        <f>[1]BASE!H46</f>
        <v>SE / SPOA / CGOF / COORDENAÇÃO DE ADMINISTRAÇÃO FINANCEIRA -COAF</v>
      </c>
      <c r="I43" s="260" t="str">
        <f>[1]BASE!I46</f>
        <v>8.105.510</v>
      </c>
    </row>
    <row r="44" spans="1:9" x14ac:dyDescent="0.25">
      <c r="A44" s="257" t="str">
        <f>[1]BASE!A47</f>
        <v>ANDERSON MARCIO DE OLIVEIRA</v>
      </c>
      <c r="B44" s="258">
        <f>[1]BASE!B47</f>
        <v>1793429</v>
      </c>
      <c r="C44" s="257" t="str">
        <f>[1]BASE!C47</f>
        <v>Advogado</v>
      </c>
      <c r="D44" s="258" t="str">
        <f>[1]BASE!D47</f>
        <v>Requisitado de Empresa</v>
      </c>
      <c r="E44" s="257" t="str">
        <f>[1]BASE!E47</f>
        <v>BNDES - Banco Nacional de Desenvolvimento Econômico e Social</v>
      </c>
      <c r="F44" s="258" t="str">
        <f>[1]BASE!F47</f>
        <v>DAS 101.5</v>
      </c>
      <c r="G44" s="258" t="str">
        <f>[1]BASE!G47</f>
        <v xml:space="preserve"> </v>
      </c>
      <c r="H44" s="257" t="str">
        <f>[1]BASE!H47</f>
        <v>SE / CHEFIA DE GABINETE SE</v>
      </c>
      <c r="I44" s="260" t="str">
        <f>[1]BASE!I47</f>
        <v>8.100.000</v>
      </c>
    </row>
    <row r="45" spans="1:9" x14ac:dyDescent="0.25">
      <c r="A45" s="257" t="str">
        <f>[1]BASE!A48</f>
        <v>ANDRÉ GROBÉRIO LOPES PERIM</v>
      </c>
      <c r="B45" s="258">
        <f>[1]BASE!B48</f>
        <v>2974323</v>
      </c>
      <c r="C45" s="257" t="str">
        <f>[1]BASE!C48</f>
        <v>Analista de Infraestrutura</v>
      </c>
      <c r="D45" s="258" t="str">
        <f>[1]BASE!D48</f>
        <v>Exercício Descentralizado</v>
      </c>
      <c r="E45" s="257" t="str">
        <f>[1]BASE!E48</f>
        <v>ME - Ministério da Economia</v>
      </c>
      <c r="F45" s="258" t="str">
        <f>[1]BASE!F48</f>
        <v>FCPE 101.4</v>
      </c>
      <c r="G45" s="258" t="str">
        <f>[1]BASE!G48</f>
        <v xml:space="preserve"> </v>
      </c>
      <c r="H45" s="257" t="str">
        <f>[1]BASE!H48</f>
        <v>SEE / DMSE / COORDENAÇÃO GERAL DE MONITORAMENTO DA EXPANSÃO DA TRANSMISSÃO</v>
      </c>
      <c r="I45" s="260" t="str">
        <f>[1]BASE!I48</f>
        <v>12.102.200</v>
      </c>
    </row>
    <row r="46" spans="1:9" x14ac:dyDescent="0.25">
      <c r="A46" s="257" t="str">
        <f>[1]BASE!A49</f>
        <v>ANDRE KRAUSS QUEIROZ</v>
      </c>
      <c r="B46" s="258">
        <f>[1]BASE!B49</f>
        <v>2660202</v>
      </c>
      <c r="C46" s="257" t="str">
        <f>[1]BASE!C49</f>
        <v>Analista de Infraestrutura</v>
      </c>
      <c r="D46" s="258" t="str">
        <f>[1]BASE!D49</f>
        <v>Exercício Descentralizado</v>
      </c>
      <c r="E46" s="257" t="str">
        <f>[1]BASE!E49</f>
        <v>ME - Ministério da Economia</v>
      </c>
      <c r="F46" s="258" t="str">
        <f>[1]BASE!F49</f>
        <v>DAS 101.5</v>
      </c>
      <c r="G46" s="258" t="str">
        <f>[1]BASE!G49</f>
        <v xml:space="preserve"> </v>
      </c>
      <c r="H46" s="257" t="str">
        <f>[1]BASE!H49</f>
        <v>SPE / DEPARTAMENTO DE OUTORGAS DE CONCESSÕES, PERMISSÕES E AUTORIZAÇÕES - DOC</v>
      </c>
      <c r="I46" s="260" t="str">
        <f>[1]BASE!I49</f>
        <v>10.103.000</v>
      </c>
    </row>
    <row r="47" spans="1:9" x14ac:dyDescent="0.25">
      <c r="A47" s="257" t="str">
        <f>[1]BASE!A50</f>
        <v>ANDRÉ LUIS GONÇALVES DE OLIVEIRA</v>
      </c>
      <c r="B47" s="258">
        <f>[1]BASE!B50</f>
        <v>3660584</v>
      </c>
      <c r="C47" s="257" t="str">
        <f>[1]BASE!C50</f>
        <v>Analista de Infraestrutura</v>
      </c>
      <c r="D47" s="258" t="str">
        <f>[1]BASE!D50</f>
        <v>Exercício Descentralizado</v>
      </c>
      <c r="E47" s="257" t="str">
        <f>[1]BASE!E50</f>
        <v>ME - Ministério da Economia</v>
      </c>
      <c r="F47" s="258" t="str">
        <f>[1]BASE!F50</f>
        <v>FCPE 102.3</v>
      </c>
      <c r="G47" s="258" t="str">
        <f>[1]BASE!G50</f>
        <v xml:space="preserve"> </v>
      </c>
      <c r="H47" s="257" t="str">
        <f>[1]BASE!H50</f>
        <v>SEE / CHEFIA DE GABINETE SEE</v>
      </c>
      <c r="I47" s="260" t="str">
        <f>[1]BASE!I50</f>
        <v>12.100.000</v>
      </c>
    </row>
    <row r="48" spans="1:9" x14ac:dyDescent="0.25">
      <c r="A48" s="257" t="str">
        <f>[1]BASE!A51</f>
        <v>ANDRÉ LUIZ DIAS DE OLIVEIRA</v>
      </c>
      <c r="B48" s="258">
        <f>[1]BASE!B51</f>
        <v>2425941</v>
      </c>
      <c r="C48" s="257" t="str">
        <f>[1]BASE!C51</f>
        <v>Especialista em Política Pública e Gestão Governamental</v>
      </c>
      <c r="D48" s="258" t="str">
        <f>[1]BASE!D51</f>
        <v>Exercício Descentralizado</v>
      </c>
      <c r="E48" s="257" t="str">
        <f>[1]BASE!E51</f>
        <v>ME - Ministério da Economia</v>
      </c>
      <c r="F48" s="258" t="str">
        <f>[1]BASE!F51</f>
        <v>FCPE 102.3</v>
      </c>
      <c r="G48" s="258" t="str">
        <f>[1]BASE!G51</f>
        <v xml:space="preserve"> </v>
      </c>
      <c r="H48" s="257" t="str">
        <f>[1]BASE!H51</f>
        <v>SEE / DGSE / COORDENAÇÃO GERAL DE GESTÃO DE PROGRAMAS E REGULAMENTAÇÃO</v>
      </c>
      <c r="I48" s="260" t="str">
        <f>[1]BASE!I51</f>
        <v>12.101.200</v>
      </c>
    </row>
    <row r="49" spans="1:9" x14ac:dyDescent="0.25">
      <c r="A49" s="257" t="str">
        <f>[1]BASE!A52</f>
        <v>ANDRE LUIZ RODRIGUES OSORIO</v>
      </c>
      <c r="B49" s="258">
        <f>[1]BASE!B52</f>
        <v>1677889</v>
      </c>
      <c r="C49" s="257" t="str">
        <f>[1]BASE!C52</f>
        <v>Analista de Pesquisa Energética</v>
      </c>
      <c r="D49" s="258" t="str">
        <f>[1]BASE!D52</f>
        <v>Requisitado de Órgãos</v>
      </c>
      <c r="E49" s="257" t="str">
        <f>[1]BASE!E52</f>
        <v>EPE - Empresa de Pesquisa Energética</v>
      </c>
      <c r="F49" s="258" t="str">
        <f>[1]BASE!F52</f>
        <v>DAS 101.5</v>
      </c>
      <c r="G49" s="258" t="str">
        <f>[1]BASE!G52</f>
        <v xml:space="preserve"> </v>
      </c>
      <c r="H49" s="257" t="str">
        <f>[1]BASE!H52</f>
        <v>SPE / DEPARTAMENTO DE INFORMAÇÕES E ESTUDOS ENERGÉTICOS - DIEE</v>
      </c>
      <c r="I49" s="260" t="str">
        <f>[1]BASE!I52</f>
        <v>10.104.000</v>
      </c>
    </row>
    <row r="50" spans="1:9" x14ac:dyDescent="0.25">
      <c r="A50" s="257" t="str">
        <f>[1]BASE!A53</f>
        <v>ANDRE ROBERTO CORTEZ</v>
      </c>
      <c r="B50" s="258">
        <f>[1]BASE!B53</f>
        <v>455219</v>
      </c>
      <c r="C50" s="257" t="str">
        <f>[1]BASE!C53</f>
        <v>Agente Administrativo</v>
      </c>
      <c r="D50" s="258" t="str">
        <f>[1]BASE!D53</f>
        <v>Ativo Permanente</v>
      </c>
      <c r="E50" s="257" t="str">
        <f>[1]BASE!E53</f>
        <v>MME - Ministério de Minas e Energia</v>
      </c>
      <c r="F50" s="258" t="str">
        <f>[1]BASE!F53</f>
        <v>FCPE 102.1</v>
      </c>
      <c r="G50" s="258" t="str">
        <f>[1]BASE!G53</f>
        <v xml:space="preserve"> </v>
      </c>
      <c r="H50" s="257" t="str">
        <f>[1]BASE!H53</f>
        <v>SE / AEGE / COORDENAÇÃO GERAL DE PLANEJAMENTO ESTRATÉGICO, SUPERVISÃO E AVALIAÇÃO - CGPE</v>
      </c>
      <c r="I50" s="260" t="str">
        <f>[1]BASE!I53</f>
        <v>8.101.100</v>
      </c>
    </row>
    <row r="51" spans="1:9" x14ac:dyDescent="0.25">
      <c r="A51" s="257" t="str">
        <f>[1]BASE!A54</f>
        <v>ANDREA CRISTINA ANDRADE SANTOS CARVALHO</v>
      </c>
      <c r="B51" s="258">
        <f>[1]BASE!B54</f>
        <v>1095477</v>
      </c>
      <c r="C51" s="257" t="str">
        <f>[1]BASE!C54</f>
        <v>Administrador</v>
      </c>
      <c r="D51" s="258" t="str">
        <f>[1]BASE!D54</f>
        <v>Ativo Permanente</v>
      </c>
      <c r="E51" s="257" t="str">
        <f>[1]BASE!E54</f>
        <v>MME - Ministério de Minas e Energia</v>
      </c>
      <c r="F51" s="258" t="str">
        <f>[1]BASE!F54</f>
        <v>DAS 101.4</v>
      </c>
      <c r="G51" s="258" t="str">
        <f>[1]BASE!G54</f>
        <v>GSISTE Superior</v>
      </c>
      <c r="H51" s="257" t="str">
        <f>[1]BASE!H54</f>
        <v>SE / SPOA / COORDENAÇÃO GERAL DE RECURSOS LOGÍSTICOS - CGRL</v>
      </c>
      <c r="I51" s="260" t="str">
        <f>[1]BASE!I54</f>
        <v>8.105.100</v>
      </c>
    </row>
    <row r="52" spans="1:9" x14ac:dyDescent="0.25">
      <c r="A52" s="257" t="str">
        <f>[1]BASE!A55</f>
        <v>ANDREA CRISTINA GOMES PEREIRA</v>
      </c>
      <c r="B52" s="258">
        <f>[1]BASE!B55</f>
        <v>2637600</v>
      </c>
      <c r="C52" s="257" t="str">
        <f>[1]BASE!C55</f>
        <v>Sem Cargo/Emprego</v>
      </c>
      <c r="D52" s="258" t="str">
        <f>[1]BASE!D55</f>
        <v>Sem Vínculo</v>
      </c>
      <c r="E52" s="257" t="str">
        <f>[1]BASE!E55</f>
        <v>Sem Vínculo</v>
      </c>
      <c r="F52" s="258" t="str">
        <f>[1]BASE!F55</f>
        <v>DAS 102.4</v>
      </c>
      <c r="G52" s="258" t="str">
        <f>[1]BASE!G55</f>
        <v xml:space="preserve"> </v>
      </c>
      <c r="H52" s="257" t="str">
        <f>[1]BASE!H55</f>
        <v>SPE / CHEFIA DE GABINETE SPE</v>
      </c>
      <c r="I52" s="260" t="str">
        <f>[1]BASE!I55</f>
        <v>10.100.000</v>
      </c>
    </row>
    <row r="53" spans="1:9" x14ac:dyDescent="0.25">
      <c r="A53" s="257" t="str">
        <f>[1]BASE!A56</f>
        <v>ANDREIA ALVES NASCIMENTO FRAGA</v>
      </c>
      <c r="B53" s="258">
        <f>[1]BASE!B56</f>
        <v>3373715</v>
      </c>
      <c r="C53" s="257" t="str">
        <f>[1]BASE!C56</f>
        <v>Sem Cargo/Emprego</v>
      </c>
      <c r="D53" s="258" t="str">
        <f>[1]BASE!D56</f>
        <v>Sem Vínculo</v>
      </c>
      <c r="E53" s="257" t="str">
        <f>[1]BASE!E56</f>
        <v>Sem Vínculo</v>
      </c>
      <c r="F53" s="258" t="str">
        <f>[1]BASE!F56</f>
        <v>DAS 102.4</v>
      </c>
      <c r="G53" s="258" t="str">
        <f>[1]BASE!G56</f>
        <v xml:space="preserve"> </v>
      </c>
      <c r="H53" s="257" t="str">
        <f>[1]BASE!H56</f>
        <v>GABINETE DO MINISTRO - GM</v>
      </c>
      <c r="I53" s="260" t="str">
        <f>[1]BASE!I56</f>
        <v>2.000.000</v>
      </c>
    </row>
    <row r="54" spans="1:9" x14ac:dyDescent="0.25">
      <c r="A54" s="257" t="str">
        <f>[1]BASE!A57</f>
        <v>ANGELITA SIQUEIRA FAUSTINO</v>
      </c>
      <c r="B54" s="258">
        <f>[1]BASE!B57</f>
        <v>451563</v>
      </c>
      <c r="C54" s="257" t="str">
        <f>[1]BASE!C57</f>
        <v>Agente Administrativo</v>
      </c>
      <c r="D54" s="258" t="str">
        <f>[1]BASE!D57</f>
        <v>Ativo Permanente</v>
      </c>
      <c r="E54" s="257" t="str">
        <f>[1]BASE!E57</f>
        <v>MME - Ministério de Minas e Energia</v>
      </c>
      <c r="F54" s="258" t="str">
        <f>[1]BASE!F57</f>
        <v xml:space="preserve"> </v>
      </c>
      <c r="G54" s="258" t="str">
        <f>[1]BASE!G57</f>
        <v xml:space="preserve"> </v>
      </c>
      <c r="H54" s="257" t="str">
        <f>[1]BASE!H57</f>
        <v>SE / SPOA / CGRL / COORDENAÇÃO DE ATIVIDADES GERAIS - COAGE</v>
      </c>
      <c r="I54" s="260" t="str">
        <f>[1]BASE!I57</f>
        <v>8.105.120</v>
      </c>
    </row>
    <row r="55" spans="1:9" x14ac:dyDescent="0.25">
      <c r="A55" s="257" t="str">
        <f>[1]BASE!A58</f>
        <v>ANTONIA GONCALVES FILHA PEREIRA</v>
      </c>
      <c r="B55" s="258">
        <f>[1]BASE!B58</f>
        <v>455918</v>
      </c>
      <c r="C55" s="257" t="str">
        <f>[1]BASE!C58</f>
        <v>Agente Administrativo</v>
      </c>
      <c r="D55" s="258" t="str">
        <f>[1]BASE!D58</f>
        <v>Ativo Permanente</v>
      </c>
      <c r="E55" s="257" t="str">
        <f>[1]BASE!E58</f>
        <v>MME - Ministério de Minas e Energia</v>
      </c>
      <c r="F55" s="258" t="str">
        <f>[1]BASE!F58</f>
        <v>FCT 10</v>
      </c>
      <c r="G55" s="258" t="str">
        <f>[1]BASE!G58</f>
        <v>GSISTE Intermediário</v>
      </c>
      <c r="H55" s="257" t="str">
        <f>[1]BASE!H58</f>
        <v>SE / SUBSECRETARIA DE PLANEJAMENTO, ORÇAMENTO E ADMINISTRAÇÃO - SPOA</v>
      </c>
      <c r="I55" s="260" t="str">
        <f>[1]BASE!I58</f>
        <v>8.105.000</v>
      </c>
    </row>
    <row r="56" spans="1:9" x14ac:dyDescent="0.25">
      <c r="A56" s="257" t="str">
        <f>[1]BASE!A59</f>
        <v>ANTONIA TRIPODI</v>
      </c>
      <c r="B56" s="258">
        <f>[1]BASE!B59</f>
        <v>1669595</v>
      </c>
      <c r="C56" s="257" t="str">
        <f>[1]BASE!C59</f>
        <v>Escriturário III</v>
      </c>
      <c r="D56" s="258" t="str">
        <f>[1]BASE!D59</f>
        <v>Anistiado MME</v>
      </c>
      <c r="E56" s="257" t="str">
        <f>[1]BASE!E59</f>
        <v>MME - Ministério de Minas e Energia</v>
      </c>
      <c r="F56" s="258" t="str">
        <f>[1]BASE!F59</f>
        <v xml:space="preserve"> </v>
      </c>
      <c r="G56" s="258" t="str">
        <f>[1]BASE!G59</f>
        <v xml:space="preserve"> </v>
      </c>
      <c r="H56" s="257" t="str">
        <f>[1]BASE!H59</f>
        <v>SE / SPOA / CGRH / COORDENAÇÃO DE DESENVOLVIMENTO E SEGURIDADE SOCIAL - CODES</v>
      </c>
      <c r="I56" s="260" t="str">
        <f>[1]BASE!I59</f>
        <v>8.105.220</v>
      </c>
    </row>
    <row r="57" spans="1:9" x14ac:dyDescent="0.25">
      <c r="A57" s="257" t="str">
        <f>[1]BASE!A60</f>
        <v>ANTONIELA BRAGGIO STAMM</v>
      </c>
      <c r="B57" s="258">
        <f>[1]BASE!B60</f>
        <v>1836721</v>
      </c>
      <c r="C57" s="257" t="str">
        <f>[1]BASE!C60</f>
        <v>Agente Administrativo</v>
      </c>
      <c r="D57" s="258" t="str">
        <f>[1]BASE!D60</f>
        <v>Requisitado de Órgãos</v>
      </c>
      <c r="E57" s="257" t="str">
        <f>[1]BASE!E60</f>
        <v>ME - Ministério da Economia</v>
      </c>
      <c r="F57" s="258" t="str">
        <f>[1]BASE!F60</f>
        <v>FCPE 102.1</v>
      </c>
      <c r="G57" s="258" t="str">
        <f>[1]BASE!G60</f>
        <v>GSISTE Intermediário</v>
      </c>
      <c r="H57" s="257" t="str">
        <f>[1]BASE!H60</f>
        <v>SE / SPOA / CGRL / COORDENAÇÃO DE ATIVIDADES GERAIS - COAGE</v>
      </c>
      <c r="I57" s="260" t="str">
        <f>[1]BASE!I60</f>
        <v>8.105.120</v>
      </c>
    </row>
    <row r="58" spans="1:9" x14ac:dyDescent="0.25">
      <c r="A58" s="257" t="str">
        <f>[1]BASE!A61</f>
        <v>ANTONIO BENEDITO CAMARGOS</v>
      </c>
      <c r="B58" s="258">
        <f>[1]BASE!B61</f>
        <v>1670894</v>
      </c>
      <c r="C58" s="257" t="str">
        <f>[1]BASE!C61</f>
        <v>Desenhista</v>
      </c>
      <c r="D58" s="258" t="str">
        <f>[1]BASE!D61</f>
        <v>Anistiado MME</v>
      </c>
      <c r="E58" s="257" t="str">
        <f>[1]BASE!E61</f>
        <v>MME - Ministério de Minas e Energia</v>
      </c>
      <c r="F58" s="258" t="str">
        <f>[1]BASE!F61</f>
        <v xml:space="preserve"> </v>
      </c>
      <c r="G58" s="258" t="str">
        <f>[1]BASE!G61</f>
        <v xml:space="preserve"> </v>
      </c>
      <c r="H58" s="257" t="str">
        <f>[1]BASE!H61</f>
        <v>SE / SPOA / CGRL / COORDENAÇÃO DE ADMINISTRAÇÃO DE MATERIAL E EXECUÇÃO FINANCEIRA - COMEF</v>
      </c>
      <c r="I58" s="260" t="str">
        <f>[1]BASE!I61</f>
        <v>8.105.110</v>
      </c>
    </row>
    <row r="59" spans="1:9" x14ac:dyDescent="0.25">
      <c r="A59" s="257" t="str">
        <f>[1]BASE!A62</f>
        <v>ANTONIO CARLOS ACIOLY FILHO</v>
      </c>
      <c r="B59" s="258">
        <f>[1]BASE!B62</f>
        <v>2378913</v>
      </c>
      <c r="C59" s="257" t="str">
        <f>[1]BASE!C62</f>
        <v>Analista de Licitação</v>
      </c>
      <c r="D59" s="258" t="str">
        <f>[1]BASE!D62</f>
        <v>Contrato Temporário</v>
      </c>
      <c r="E59" s="257" t="str">
        <f>[1]BASE!E62</f>
        <v>MME - Ministério de Minas e Energia</v>
      </c>
      <c r="F59" s="258" t="str">
        <f>[1]BASE!F62</f>
        <v xml:space="preserve"> </v>
      </c>
      <c r="G59" s="258" t="str">
        <f>[1]BASE!G62</f>
        <v xml:space="preserve"> </v>
      </c>
      <c r="H59" s="257" t="str">
        <f>[1]BASE!H62</f>
        <v>SE / AEGP / CGGP / COORDENAÇÃO DE LICITAÇÃO</v>
      </c>
      <c r="I59" s="260" t="str">
        <f>[1]BASE!I62</f>
        <v>8.103.210</v>
      </c>
    </row>
    <row r="60" spans="1:9" x14ac:dyDescent="0.25">
      <c r="A60" s="257" t="str">
        <f>[1]BASE!A63</f>
        <v>ANTONIO CARLOS DA SILVA LIMA</v>
      </c>
      <c r="B60" s="258">
        <f>[1]BASE!B63</f>
        <v>1586232</v>
      </c>
      <c r="C60" s="257" t="str">
        <f>[1]BASE!C63</f>
        <v>Agente Administrativo</v>
      </c>
      <c r="D60" s="258" t="str">
        <f>[1]BASE!D63</f>
        <v>Anistiado MME</v>
      </c>
      <c r="E60" s="257" t="str">
        <f>[1]BASE!E63</f>
        <v>MME - Ministério de Minas e Energia</v>
      </c>
      <c r="F60" s="258" t="str">
        <f>[1]BASE!F63</f>
        <v xml:space="preserve"> </v>
      </c>
      <c r="G60" s="258" t="str">
        <f>[1]BASE!G63</f>
        <v xml:space="preserve"> </v>
      </c>
      <c r="H60" s="257" t="str">
        <f>[1]BASE!H63</f>
        <v>Aguardando Lotação/Exercício</v>
      </c>
      <c r="I60" s="260" t="str">
        <f>[1]BASE!I63</f>
        <v>88.000.000</v>
      </c>
    </row>
    <row r="61" spans="1:9" x14ac:dyDescent="0.25">
      <c r="A61" s="257" t="str">
        <f>[1]BASE!A64</f>
        <v>ANTONIO CARLOS DE ANDRADE REZENDE</v>
      </c>
      <c r="B61" s="258">
        <f>[1]BASE!B64</f>
        <v>778828</v>
      </c>
      <c r="C61" s="257" t="str">
        <f>[1]BASE!C64</f>
        <v>Sem Cargo/Emprego</v>
      </c>
      <c r="D61" s="258" t="str">
        <f>[1]BASE!D64</f>
        <v>Sem Vínculo</v>
      </c>
      <c r="E61" s="257" t="str">
        <f>[1]BASE!E64</f>
        <v>Sem Vínculo</v>
      </c>
      <c r="F61" s="258" t="str">
        <f>[1]BASE!F64</f>
        <v>DAS 102.2</v>
      </c>
      <c r="G61" s="258" t="str">
        <f>[1]BASE!G64</f>
        <v xml:space="preserve"> </v>
      </c>
      <c r="H61" s="257" t="str">
        <f>[1]BASE!H64</f>
        <v>SGM / DDM / COORDENAÇÃO GERAL DE DESENVOLVIMENTO SOCIOAMBIENTAL NA MINERAÇÃO</v>
      </c>
      <c r="I61" s="260" t="str">
        <f>[1]BASE!I64</f>
        <v>9.104.100</v>
      </c>
    </row>
    <row r="62" spans="1:9" x14ac:dyDescent="0.25">
      <c r="A62" s="257" t="str">
        <f>[1]BASE!A65</f>
        <v>ANTONIO CARLOS RAMOS DE BARROS MELLO</v>
      </c>
      <c r="B62" s="258">
        <f>[1]BASE!B65</f>
        <v>7455789</v>
      </c>
      <c r="C62" s="257" t="str">
        <f>[1]BASE!C65</f>
        <v>Sem Cargo/Emprego</v>
      </c>
      <c r="D62" s="258" t="str">
        <f>[1]BASE!D65</f>
        <v>Sem Vínculo</v>
      </c>
      <c r="E62" s="257" t="str">
        <f>[1]BASE!E65</f>
        <v>Sem Vínculo</v>
      </c>
      <c r="F62" s="258" t="str">
        <f>[1]BASE!F65</f>
        <v>DAS 102.5</v>
      </c>
      <c r="G62" s="258" t="str">
        <f>[1]BASE!G65</f>
        <v xml:space="preserve"> </v>
      </c>
      <c r="H62" s="257" t="str">
        <f>[1]BASE!H65</f>
        <v>GABINETE DO MINISTRO - GM</v>
      </c>
      <c r="I62" s="260" t="str">
        <f>[1]BASE!I65</f>
        <v>2.000.000</v>
      </c>
    </row>
    <row r="63" spans="1:9" x14ac:dyDescent="0.25">
      <c r="A63" s="257" t="str">
        <f>[1]BASE!A66</f>
        <v>ANTONIO DANTAS DE ALENCAR</v>
      </c>
      <c r="B63" s="258">
        <f>[1]BASE!B66</f>
        <v>1439176</v>
      </c>
      <c r="C63" s="257" t="str">
        <f>[1]BASE!C66</f>
        <v>Analista de Infraestrutura</v>
      </c>
      <c r="D63" s="258" t="str">
        <f>[1]BASE!D66</f>
        <v>Exercício Descentralizado</v>
      </c>
      <c r="E63" s="257" t="str">
        <f>[1]BASE!E66</f>
        <v>ME - Ministério da Economia</v>
      </c>
      <c r="F63" s="258" t="str">
        <f>[1]BASE!F66</f>
        <v xml:space="preserve"> </v>
      </c>
      <c r="G63" s="258" t="str">
        <f>[1]BASE!G66</f>
        <v xml:space="preserve"> </v>
      </c>
      <c r="H63" s="257" t="str">
        <f>[1]BASE!H66</f>
        <v>SPE / DOC / COORDENAÇÃO GERAL DE OUTORGAS DE GERAÇÃO DE ENERGIA ELÉTRICA</v>
      </c>
      <c r="I63" s="260" t="str">
        <f>[1]BASE!I66</f>
        <v>10.103.100</v>
      </c>
    </row>
    <row r="64" spans="1:9" x14ac:dyDescent="0.25">
      <c r="A64" s="257" t="str">
        <f>[1]BASE!A67</f>
        <v>ANTONIO HENRIQUE GODOY RAMOS</v>
      </c>
      <c r="B64" s="258">
        <f>[1]BASE!B67</f>
        <v>3364613</v>
      </c>
      <c r="C64" s="257" t="str">
        <f>[1]BASE!C67</f>
        <v>Especialista em Política Pública e Gestão Governamental</v>
      </c>
      <c r="D64" s="258" t="str">
        <f>[1]BASE!D67</f>
        <v>Exercício Descentralizado</v>
      </c>
      <c r="E64" s="257" t="str">
        <f>[1]BASE!E67</f>
        <v>ME - Ministério da Economia</v>
      </c>
      <c r="F64" s="258" t="str">
        <f>[1]BASE!F67</f>
        <v xml:space="preserve"> </v>
      </c>
      <c r="G64" s="258" t="str">
        <f>[1]BASE!G67</f>
        <v xml:space="preserve"> </v>
      </c>
      <c r="H64" s="257" t="str">
        <f>[1]BASE!H67</f>
        <v>SPG / DEPARTAMENTO DE POLÍTICA DE EXPLORAÇÃO E PRODUÇÃO DE PETRÓLEO E GÁS NATURAL - DPGN</v>
      </c>
      <c r="I64" s="260" t="str">
        <f>[1]BASE!I67</f>
        <v>11.101.000</v>
      </c>
    </row>
    <row r="65" spans="1:9" x14ac:dyDescent="0.25">
      <c r="A65" s="257" t="str">
        <f>[1]BASE!A68</f>
        <v>ANTONIO JOSE GADELHA ALVES</v>
      </c>
      <c r="B65" s="258">
        <f>[1]BASE!B68</f>
        <v>1076077</v>
      </c>
      <c r="C65" s="257" t="str">
        <f>[1]BASE!C68</f>
        <v>Engenheiro IV</v>
      </c>
      <c r="D65" s="258" t="str">
        <f>[1]BASE!D68</f>
        <v>Anistiado MME</v>
      </c>
      <c r="E65" s="257" t="str">
        <f>[1]BASE!E68</f>
        <v>MME - Ministério de Minas e Energia</v>
      </c>
      <c r="F65" s="258" t="str">
        <f>[1]BASE!F68</f>
        <v xml:space="preserve"> </v>
      </c>
      <c r="G65" s="258" t="str">
        <f>[1]BASE!G68</f>
        <v xml:space="preserve"> </v>
      </c>
      <c r="H65" s="257" t="str">
        <f>[1]BASE!H68</f>
        <v>SGM / DEPARTAMENTO DE TRANSFORMAÇÃO E TECNOLOGIA MINERAL - DTTM</v>
      </c>
      <c r="I65" s="260" t="str">
        <f>[1]BASE!I68</f>
        <v>9.103.000</v>
      </c>
    </row>
    <row r="66" spans="1:9" x14ac:dyDescent="0.25">
      <c r="A66" s="257" t="str">
        <f>[1]BASE!A69</f>
        <v>ANTONIO JOSE IRMAO</v>
      </c>
      <c r="B66" s="258">
        <f>[1]BASE!B69</f>
        <v>1314171</v>
      </c>
      <c r="C66" s="257" t="str">
        <f>[1]BASE!C69</f>
        <v>Agente de Portaria</v>
      </c>
      <c r="D66" s="258" t="str">
        <f>[1]BASE!D69</f>
        <v>Ativo Permanente</v>
      </c>
      <c r="E66" s="257" t="str">
        <f>[1]BASE!E69</f>
        <v>MME - Ministério de Minas e Energia</v>
      </c>
      <c r="F66" s="258" t="str">
        <f>[1]BASE!F69</f>
        <v>FGR 1</v>
      </c>
      <c r="G66" s="258" t="str">
        <f>[1]BASE!G69</f>
        <v xml:space="preserve"> </v>
      </c>
      <c r="H66" s="257" t="str">
        <f>[1]BASE!H69</f>
        <v>GM / ASTAD / COORDENAÇÃO DE ATIVIDADES ADMINISTRATIVAS</v>
      </c>
      <c r="I66" s="260" t="str">
        <f>[1]BASE!I69</f>
        <v>2.100.101</v>
      </c>
    </row>
    <row r="67" spans="1:9" x14ac:dyDescent="0.25">
      <c r="A67" s="257" t="str">
        <f>[1]BASE!A70</f>
        <v>ANTONIO LISBOA DE OLIVEIRA</v>
      </c>
      <c r="B67" s="258">
        <f>[1]BASE!B70</f>
        <v>451592</v>
      </c>
      <c r="C67" s="257" t="str">
        <f>[1]BASE!C70</f>
        <v>Agente Administrativo</v>
      </c>
      <c r="D67" s="258" t="str">
        <f>[1]BASE!D70</f>
        <v>Ativo Permanente</v>
      </c>
      <c r="E67" s="257" t="str">
        <f>[1]BASE!E70</f>
        <v>MME - Ministério de Minas e Energia</v>
      </c>
      <c r="F67" s="258" t="str">
        <f>[1]BASE!F70</f>
        <v xml:space="preserve"> </v>
      </c>
      <c r="G67" s="258" t="str">
        <f>[1]BASE!G70</f>
        <v xml:space="preserve"> </v>
      </c>
      <c r="H67" s="257" t="str">
        <f>[1]BASE!H70</f>
        <v>Aguardando Lotação/Exercício</v>
      </c>
      <c r="I67" s="260" t="str">
        <f>[1]BASE!I70</f>
        <v>88.000.000</v>
      </c>
    </row>
    <row r="68" spans="1:9" x14ac:dyDescent="0.25">
      <c r="A68" s="257" t="str">
        <f>[1]BASE!A71</f>
        <v>ANTONIO ROBERTO COIMBRA</v>
      </c>
      <c r="B68" s="258">
        <f>[1]BASE!B71</f>
        <v>2393047</v>
      </c>
      <c r="C68" s="257" t="str">
        <f>[1]BASE!C71</f>
        <v>Sem Cargo/Emprego</v>
      </c>
      <c r="D68" s="258" t="str">
        <f>[1]BASE!D71</f>
        <v>Sem Vínculo</v>
      </c>
      <c r="E68" s="257" t="str">
        <f>[1]BASE!E71</f>
        <v>Sem Vínculo</v>
      </c>
      <c r="F68" s="258" t="str">
        <f>[1]BASE!F71</f>
        <v>DAS 101.4</v>
      </c>
      <c r="G68" s="258" t="str">
        <f>[1]BASE!G71</f>
        <v xml:space="preserve"> </v>
      </c>
      <c r="H68" s="257" t="str">
        <f>[1]BASE!H71</f>
        <v>SPE / DPE / COORDENAÇÃO GERAL DE PLANEJAMENTO DA TRANSMISSÃO</v>
      </c>
      <c r="I68" s="260" t="str">
        <f>[1]BASE!I71</f>
        <v>10.101.100</v>
      </c>
    </row>
    <row r="69" spans="1:9" x14ac:dyDescent="0.25">
      <c r="A69" s="257" t="str">
        <f>[1]BASE!A72</f>
        <v>ANTONIO RODRIGUES MONTEIRO</v>
      </c>
      <c r="B69" s="258">
        <f>[1]BASE!B72</f>
        <v>1096296</v>
      </c>
      <c r="C69" s="257" t="str">
        <f>[1]BASE!C72</f>
        <v>Agente de Vigilância</v>
      </c>
      <c r="D69" s="258" t="str">
        <f>[1]BASE!D72</f>
        <v>Ativo Permanente</v>
      </c>
      <c r="E69" s="257" t="str">
        <f>[1]BASE!E72</f>
        <v>MME - Ministério de Minas e Energia</v>
      </c>
      <c r="F69" s="258" t="str">
        <f>[1]BASE!F72</f>
        <v>FGR 1</v>
      </c>
      <c r="G69" s="258" t="str">
        <f>[1]BASE!G72</f>
        <v xml:space="preserve"> </v>
      </c>
      <c r="H69" s="257" t="str">
        <f>[1]BASE!H72</f>
        <v>SE / SPOA / CGRL / COORDENAÇÃO DE ATIVIDADES GERAIS - COAGE</v>
      </c>
      <c r="I69" s="260" t="str">
        <f>[1]BASE!I72</f>
        <v>8.105.120</v>
      </c>
    </row>
    <row r="70" spans="1:9" x14ac:dyDescent="0.25">
      <c r="A70" s="257" t="str">
        <f>[1]BASE!A73</f>
        <v>AZENIO GONCALVES DOS SANTOS</v>
      </c>
      <c r="B70" s="258">
        <f>[1]BASE!B73</f>
        <v>452190</v>
      </c>
      <c r="C70" s="257" t="str">
        <f>[1]BASE!C73</f>
        <v>Agente de Vigilância</v>
      </c>
      <c r="D70" s="258" t="str">
        <f>[1]BASE!D73</f>
        <v>Ativo Permanente</v>
      </c>
      <c r="E70" s="257" t="str">
        <f>[1]BASE!E73</f>
        <v>MME - Ministério de Minas e Energia</v>
      </c>
      <c r="F70" s="258" t="str">
        <f>[1]BASE!F73</f>
        <v>FGR 1</v>
      </c>
      <c r="G70" s="258" t="str">
        <f>[1]BASE!G73</f>
        <v xml:space="preserve"> </v>
      </c>
      <c r="H70" s="257" t="str">
        <f>[1]BASE!H73</f>
        <v>SE / SPOA / CGRL / COORDENAÇÃO DE ATIVIDADES GERAIS - COAGE</v>
      </c>
      <c r="I70" s="260" t="str">
        <f>[1]BASE!I73</f>
        <v>8.105.120</v>
      </c>
    </row>
    <row r="71" spans="1:9" x14ac:dyDescent="0.25">
      <c r="A71" s="257" t="str">
        <f>[1]BASE!A74</f>
        <v>BÁRBARA BÉLKIOR DE SOUZA E SILVA</v>
      </c>
      <c r="B71" s="258">
        <f>[1]BASE!B74</f>
        <v>1338161</v>
      </c>
      <c r="C71" s="257" t="str">
        <f>[1]BASE!C74</f>
        <v>Conselheiro</v>
      </c>
      <c r="D71" s="258" t="str">
        <f>[1]BASE!D74</f>
        <v>Requisitado de Órgãos</v>
      </c>
      <c r="E71" s="257" t="str">
        <f>[1]BASE!E74</f>
        <v>MRE - Ministério das Relações Exteriores</v>
      </c>
      <c r="F71" s="258" t="str">
        <f>[1]BASE!F74</f>
        <v>DAS 101.4</v>
      </c>
      <c r="G71" s="258" t="str">
        <f>[1]BASE!G74</f>
        <v xml:space="preserve"> </v>
      </c>
      <c r="H71" s="257" t="str">
        <f>[1]BASE!H74</f>
        <v>GM / ASSESSORIA DE APOIO AO MINISTRO - AAM</v>
      </c>
      <c r="I71" s="260" t="str">
        <f>[1]BASE!I74</f>
        <v>2.100.400</v>
      </c>
    </row>
    <row r="72" spans="1:9" x14ac:dyDescent="0.25">
      <c r="A72" s="257" t="str">
        <f>[1]BASE!A75</f>
        <v>BEATRIZ BARBOSA DE MELO</v>
      </c>
      <c r="B72" s="258">
        <f>[1]BASE!B75</f>
        <v>1658236</v>
      </c>
      <c r="C72" s="257" t="str">
        <f>[1]BASE!C75</f>
        <v>Sem Cargo/Emprego</v>
      </c>
      <c r="D72" s="258" t="str">
        <f>[1]BASE!D75</f>
        <v>Sem Vínculo</v>
      </c>
      <c r="E72" s="257" t="str">
        <f>[1]BASE!E75</f>
        <v>Sem Vínculo</v>
      </c>
      <c r="F72" s="258" t="str">
        <f>[1]BASE!F75</f>
        <v>DAS 102.2</v>
      </c>
      <c r="G72" s="258" t="str">
        <f>[1]BASE!G75</f>
        <v xml:space="preserve"> </v>
      </c>
      <c r="H72" s="257" t="str">
        <f>[1]BASE!H75</f>
        <v>SEE / DEPARTAMENTO DE MONITORAMENTO DO SISTEMA ELÉTRICO - DMSE</v>
      </c>
      <c r="I72" s="260" t="str">
        <f>[1]BASE!I75</f>
        <v>12.102.000</v>
      </c>
    </row>
    <row r="73" spans="1:9" x14ac:dyDescent="0.25">
      <c r="A73" s="257" t="str">
        <f>[1]BASE!A76</f>
        <v>BENILDE DOS SANTOS GONCALVES</v>
      </c>
      <c r="B73" s="258">
        <f>[1]BASE!B76</f>
        <v>451845</v>
      </c>
      <c r="C73" s="257" t="str">
        <f>[1]BASE!C76</f>
        <v>Agente Administrativo</v>
      </c>
      <c r="D73" s="258" t="str">
        <f>[1]BASE!D76</f>
        <v>Ativo Permanente</v>
      </c>
      <c r="E73" s="257" t="str">
        <f>[1]BASE!E76</f>
        <v>MME - Ministério de Minas e Energia</v>
      </c>
      <c r="F73" s="258" t="str">
        <f>[1]BASE!F76</f>
        <v>FGR 1</v>
      </c>
      <c r="G73" s="258" t="str">
        <f>[1]BASE!G76</f>
        <v xml:space="preserve"> </v>
      </c>
      <c r="H73" s="257" t="str">
        <f>[1]BASE!H76</f>
        <v>Aguardando Lotação/Exercício</v>
      </c>
      <c r="I73" s="260" t="str">
        <f>[1]BASE!I76</f>
        <v>88.000.000</v>
      </c>
    </row>
    <row r="74" spans="1:9" x14ac:dyDescent="0.25">
      <c r="A74" s="257" t="str">
        <f>[1]BASE!A77</f>
        <v>BENTO COSTA LIMA LEITE DE ALBUQUERQUE JUNIOR</v>
      </c>
      <c r="B74" s="258">
        <f>[1]BASE!B77</f>
        <v>1315936</v>
      </c>
      <c r="C74" s="257" t="str">
        <f>[1]BASE!C77</f>
        <v>Ministro de Estado</v>
      </c>
      <c r="D74" s="258" t="str">
        <f>[1]BASE!D77</f>
        <v>Sem Vínculo</v>
      </c>
      <c r="E74" s="257" t="str">
        <f>[1]BASE!E77</f>
        <v>Marinha</v>
      </c>
      <c r="F74" s="258" t="str">
        <f>[1]BASE!F77</f>
        <v>NES NES</v>
      </c>
      <c r="G74" s="258" t="str">
        <f>[1]BASE!G77</f>
        <v xml:space="preserve"> </v>
      </c>
      <c r="H74" s="257" t="str">
        <f>[1]BASE!H77</f>
        <v>MINISTRO</v>
      </c>
      <c r="I74" s="260" t="str">
        <f>[1]BASE!I77</f>
        <v>1.000.000</v>
      </c>
    </row>
    <row r="75" spans="1:9" x14ac:dyDescent="0.25">
      <c r="A75" s="257" t="str">
        <f>[1]BASE!A78</f>
        <v>BIANCA MAGALHAES</v>
      </c>
      <c r="B75" s="258">
        <f>[1]BASE!B78</f>
        <v>1467247</v>
      </c>
      <c r="C75" s="257" t="str">
        <f>[1]BASE!C78</f>
        <v>Sem Cargo/Emprego</v>
      </c>
      <c r="D75" s="258" t="str">
        <f>[1]BASE!D78</f>
        <v>Sem Vínculo</v>
      </c>
      <c r="E75" s="257" t="str">
        <f>[1]BASE!E78</f>
        <v>Sem Vínculo</v>
      </c>
      <c r="F75" s="258" t="str">
        <f>[1]BASE!F78</f>
        <v>DAS 102.2</v>
      </c>
      <c r="G75" s="258" t="str">
        <f>[1]BASE!G78</f>
        <v xml:space="preserve"> </v>
      </c>
      <c r="H75" s="257" t="str">
        <f>[1]BASE!H78</f>
        <v>CONJUR / CHEFIA DE GABINETE CONJUR</v>
      </c>
      <c r="I75" s="260" t="str">
        <f>[1]BASE!I78</f>
        <v>7.100.000</v>
      </c>
    </row>
    <row r="76" spans="1:9" x14ac:dyDescent="0.25">
      <c r="A76" s="257" t="str">
        <f>[1]BASE!A79</f>
        <v>BIANCA MARIA MATOS DE ALENCAR BRAGA</v>
      </c>
      <c r="B76" s="258">
        <f>[1]BASE!B79</f>
        <v>4974375</v>
      </c>
      <c r="C76" s="257" t="str">
        <f>[1]BASE!C79</f>
        <v>Analista de Infraestrutura</v>
      </c>
      <c r="D76" s="258" t="str">
        <f>[1]BASE!D79</f>
        <v>Exercício Descentralizado</v>
      </c>
      <c r="E76" s="257" t="str">
        <f>[1]BASE!E79</f>
        <v>ME - Ministério da Economia</v>
      </c>
      <c r="F76" s="258" t="str">
        <f>[1]BASE!F79</f>
        <v>DAS 101.4</v>
      </c>
      <c r="G76" s="258" t="str">
        <f>[1]BASE!G79</f>
        <v xml:space="preserve"> </v>
      </c>
      <c r="H76" s="257" t="str">
        <f>[1]BASE!H79</f>
        <v>SEE / DMSE / COORDENAÇÃO GERAL DE MONITORAMENTO DO DESEMPENHO DO SISTEMA ELÉTRICO</v>
      </c>
      <c r="I76" s="260" t="str">
        <f>[1]BASE!I79</f>
        <v>12.102.400</v>
      </c>
    </row>
    <row r="77" spans="1:9" x14ac:dyDescent="0.25">
      <c r="A77" s="257" t="str">
        <f>[1]BASE!A80</f>
        <v>BRENNA KAREN DE OLIVEIRA</v>
      </c>
      <c r="B77" s="258">
        <f>[1]BASE!B80</f>
        <v>2617601</v>
      </c>
      <c r="C77" s="257" t="str">
        <f>[1]BASE!C80</f>
        <v>Analista Técnico Administrativo</v>
      </c>
      <c r="D77" s="258" t="str">
        <f>[1]BASE!D80</f>
        <v>Requisitado de Órgãos</v>
      </c>
      <c r="E77" s="257" t="str">
        <f>[1]BASE!E80</f>
        <v>MDR - Ministério do Desenvolvimento Regional</v>
      </c>
      <c r="F77" s="258" t="str">
        <f>[1]BASE!F80</f>
        <v>FGR 1</v>
      </c>
      <c r="G77" s="258" t="str">
        <f>[1]BASE!G80</f>
        <v>GSISTE Superior</v>
      </c>
      <c r="H77" s="257" t="str">
        <f>[1]BASE!H80</f>
        <v>SE / SPOA / CGRH / COORDENAÇÃO DE ADMINISTRAÇÃO DE PESSOAL - CAPES</v>
      </c>
      <c r="I77" s="260" t="str">
        <f>[1]BASE!I80</f>
        <v>8.105.210</v>
      </c>
    </row>
    <row r="78" spans="1:9" x14ac:dyDescent="0.25">
      <c r="A78" s="257" t="str">
        <f>[1]BASE!A81</f>
        <v>BRENNO LEOPOLDO CAVALCANTE DE PAULA</v>
      </c>
      <c r="B78" s="258">
        <f>[1]BASE!B81</f>
        <v>1821871</v>
      </c>
      <c r="C78" s="257" t="str">
        <f>[1]BASE!C81</f>
        <v>Sem Cargo/Emprego</v>
      </c>
      <c r="D78" s="258" t="str">
        <f>[1]BASE!D81</f>
        <v>Sem Vínculo</v>
      </c>
      <c r="E78" s="257" t="str">
        <f>[1]BASE!E81</f>
        <v>Sem Vínculo</v>
      </c>
      <c r="F78" s="258" t="str">
        <f>[1]BASE!F81</f>
        <v>DAS 101.4</v>
      </c>
      <c r="G78" s="258" t="str">
        <f>[1]BASE!G81</f>
        <v xml:space="preserve"> </v>
      </c>
      <c r="H78" s="257" t="str">
        <f>[1]BASE!H81</f>
        <v>GM / ASSESSORIA TÉCNICA E ADMINISTRATIVA - ASTAD</v>
      </c>
      <c r="I78" s="260" t="str">
        <f>[1]BASE!I81</f>
        <v>2.100.100</v>
      </c>
    </row>
    <row r="79" spans="1:9" x14ac:dyDescent="0.25">
      <c r="A79" s="257" t="str">
        <f>[1]BASE!A82</f>
        <v>BRUNA RODRIGUES DE OLIVEIRA</v>
      </c>
      <c r="B79" s="258">
        <f>[1]BASE!B82</f>
        <v>2839362</v>
      </c>
      <c r="C79" s="257" t="str">
        <f>[1]BASE!C82</f>
        <v>Sem Cargo/Emprego</v>
      </c>
      <c r="D79" s="258" t="str">
        <f>[1]BASE!D82</f>
        <v>Sem Vínculo</v>
      </c>
      <c r="E79" s="257" t="str">
        <f>[1]BASE!E82</f>
        <v>Sem Vínculo</v>
      </c>
      <c r="F79" s="258" t="str">
        <f>[1]BASE!F82</f>
        <v>DAS 102.2</v>
      </c>
      <c r="G79" s="258" t="str">
        <f>[1]BASE!G82</f>
        <v xml:space="preserve"> </v>
      </c>
      <c r="H79" s="257" t="str">
        <f>[1]BASE!H82</f>
        <v>SPE / CHEFIA DE GABINETE SPE</v>
      </c>
      <c r="I79" s="260" t="str">
        <f>[1]BASE!I82</f>
        <v>10.100.000</v>
      </c>
    </row>
    <row r="80" spans="1:9" x14ac:dyDescent="0.25">
      <c r="A80" s="257" t="str">
        <f>[1]BASE!A83</f>
        <v>BRUNO CESAR SPADA</v>
      </c>
      <c r="B80" s="258">
        <f>[1]BASE!B83</f>
        <v>3117873</v>
      </c>
      <c r="C80" s="257" t="str">
        <f>[1]BASE!C83</f>
        <v>Sem Cargo/Emprego</v>
      </c>
      <c r="D80" s="258" t="str">
        <f>[1]BASE!D83</f>
        <v>Sem Vínculo</v>
      </c>
      <c r="E80" s="257" t="str">
        <f>[1]BASE!E83</f>
        <v>Sem Vínculo</v>
      </c>
      <c r="F80" s="258" t="str">
        <f>[1]BASE!F83</f>
        <v>DAS 102.3</v>
      </c>
      <c r="G80" s="258" t="str">
        <f>[1]BASE!G83</f>
        <v xml:space="preserve"> </v>
      </c>
      <c r="H80" s="257" t="str">
        <f>[1]BASE!H83</f>
        <v>GM / ASSESSORIA DE COMUNICAÇÃO SOCIAL - ASCOM</v>
      </c>
      <c r="I80" s="260" t="str">
        <f>[1]BASE!I83</f>
        <v>2.100.300</v>
      </c>
    </row>
    <row r="81" spans="1:9" x14ac:dyDescent="0.25">
      <c r="A81" s="257" t="str">
        <f>[1]BASE!A84</f>
        <v>BRUNO EUSTÁQUIO FERREIRA CASTRO DE CARVALHO</v>
      </c>
      <c r="B81" s="258">
        <f>[1]BASE!B84</f>
        <v>1671760</v>
      </c>
      <c r="C81" s="257" t="str">
        <f>[1]BASE!C84</f>
        <v>Analista de Infraestrutura</v>
      </c>
      <c r="D81" s="258" t="str">
        <f>[1]BASE!D84</f>
        <v>Requisitado de Órgãos</v>
      </c>
      <c r="E81" s="257" t="str">
        <f>[1]BASE!E84</f>
        <v>ME - Ministério da Economia</v>
      </c>
      <c r="F81" s="258" t="str">
        <f>[1]BASE!F84</f>
        <v>DAS 101.6</v>
      </c>
      <c r="G81" s="258" t="str">
        <f>[1]BASE!G84</f>
        <v xml:space="preserve"> </v>
      </c>
      <c r="H81" s="257" t="str">
        <f>[1]BASE!H84</f>
        <v>SE / CHEFIA DE GABINETE SE</v>
      </c>
      <c r="I81" s="260" t="str">
        <f>[1]BASE!I84</f>
        <v>8.100.000</v>
      </c>
    </row>
    <row r="82" spans="1:9" x14ac:dyDescent="0.25">
      <c r="A82" s="257" t="str">
        <f>[1]BASE!A85</f>
        <v>CAMILLA DE ANDRADE GONÇALVES FERNANDES</v>
      </c>
      <c r="B82" s="258">
        <f>[1]BASE!B85</f>
        <v>1559017</v>
      </c>
      <c r="C82" s="257" t="str">
        <f>[1]BASE!C85</f>
        <v>Especialista em Regulamentação em Energia Elétrica</v>
      </c>
      <c r="D82" s="258" t="str">
        <f>[1]BASE!D85</f>
        <v>Requisitado de Órgãos</v>
      </c>
      <c r="E82" s="257" t="str">
        <f>[1]BASE!E85</f>
        <v>ANEEL - Agência Nacional de Energia Elétrica</v>
      </c>
      <c r="F82" s="258" t="str">
        <f>[1]BASE!F85</f>
        <v>DAS 101.5</v>
      </c>
      <c r="G82" s="258" t="str">
        <f>[1]BASE!G85</f>
        <v xml:space="preserve"> </v>
      </c>
      <c r="H82" s="257" t="str">
        <f>[1]BASE!H85</f>
        <v>SE / CHEFIA DE GABINETE SE</v>
      </c>
      <c r="I82" s="260" t="str">
        <f>[1]BASE!I85</f>
        <v>8.100.000</v>
      </c>
    </row>
    <row r="83" spans="1:9" x14ac:dyDescent="0.25">
      <c r="A83" s="257" t="str">
        <f>[1]BASE!A86</f>
        <v>CANDICE SOUSA COSTA</v>
      </c>
      <c r="B83" s="258">
        <f>[1]BASE!B86</f>
        <v>1553178</v>
      </c>
      <c r="C83" s="257" t="str">
        <f>[1]BASE!C86</f>
        <v>Procuradora Federal</v>
      </c>
      <c r="D83" s="258" t="str">
        <f>[1]BASE!D86</f>
        <v>Exercício Descentralizado</v>
      </c>
      <c r="E83" s="257" t="str">
        <f>[1]BASE!E86</f>
        <v>AGU - Advocacia Geral da União</v>
      </c>
      <c r="F83" s="258" t="str">
        <f>[1]BASE!F86</f>
        <v>FCPE 101.4</v>
      </c>
      <c r="G83" s="258" t="str">
        <f>[1]BASE!G86</f>
        <v xml:space="preserve"> </v>
      </c>
      <c r="H83" s="257" t="str">
        <f>[1]BASE!H86</f>
        <v>CONJUR / COORDENAÇÃO GERAL DE ASSUNTOS DE ENERGIA</v>
      </c>
      <c r="I83" s="260" t="str">
        <f>[1]BASE!I86</f>
        <v>7.100.100</v>
      </c>
    </row>
    <row r="84" spans="1:9" x14ac:dyDescent="0.25">
      <c r="A84" s="257" t="str">
        <f>[1]BASE!A87</f>
        <v>CARLOS AGENOR ONOFRE CABRAL</v>
      </c>
      <c r="B84" s="258">
        <f>[1]BASE!B87</f>
        <v>1650109</v>
      </c>
      <c r="C84" s="257" t="str">
        <f>[1]BASE!C87</f>
        <v>Especialista em Regulamentação de Petróleo e Der Alc Com e Gás Natural</v>
      </c>
      <c r="D84" s="258" t="str">
        <f>[1]BASE!D87</f>
        <v>Requisitado de Órgãos</v>
      </c>
      <c r="E84" s="257" t="str">
        <f>[1]BASE!E87</f>
        <v>ANP - Agência Nacional do Petróleo, Gás Natural e Biocombustíveis</v>
      </c>
      <c r="F84" s="258" t="str">
        <f>[1]BASE!F87</f>
        <v>DAS 101.4</v>
      </c>
      <c r="G84" s="258" t="str">
        <f>[1]BASE!G87</f>
        <v xml:space="preserve"> </v>
      </c>
      <c r="H84" s="257" t="str">
        <f>[1]BASE!H87</f>
        <v>SPG / DEPARTAMENTO DE POLÍTICA DE EXPLORAÇÃO E PRODUÇÃO DE PETRÓLEO E GÁS NATURAL - DPGN</v>
      </c>
      <c r="I84" s="260" t="str">
        <f>[1]BASE!I87</f>
        <v>11.101.000</v>
      </c>
    </row>
    <row r="85" spans="1:9" x14ac:dyDescent="0.25">
      <c r="A85" s="257" t="str">
        <f>[1]BASE!A88</f>
        <v>CARLOS ALBERTO DE OLIVEIRA</v>
      </c>
      <c r="B85" s="258">
        <f>[1]BASE!B88</f>
        <v>6451596</v>
      </c>
      <c r="C85" s="257" t="str">
        <f>[1]BASE!C88</f>
        <v>Arquivista</v>
      </c>
      <c r="D85" s="258" t="str">
        <f>[1]BASE!D88</f>
        <v>Ativo Permanente</v>
      </c>
      <c r="E85" s="257" t="str">
        <f>[1]BASE!E88</f>
        <v>MME - Ministério de Minas e Energia</v>
      </c>
      <c r="F85" s="258" t="str">
        <f>[1]BASE!F88</f>
        <v>FGR 1</v>
      </c>
      <c r="G85" s="258" t="str">
        <f>[1]BASE!G88</f>
        <v xml:space="preserve"> </v>
      </c>
      <c r="H85" s="257" t="str">
        <f>[1]BASE!H88</f>
        <v>SE / AEGP / COORDENAÇÃO GERAL DE GESTÃO DE PROJETOS - CGGP</v>
      </c>
      <c r="I85" s="260" t="str">
        <f>[1]BASE!I88</f>
        <v>8.103.200</v>
      </c>
    </row>
    <row r="86" spans="1:9" x14ac:dyDescent="0.25">
      <c r="A86" s="257" t="str">
        <f>[1]BASE!A89</f>
        <v>CARLOS ALEXANDRE PRINCIPE PIRES</v>
      </c>
      <c r="B86" s="258">
        <f>[1]BASE!B89</f>
        <v>2438064</v>
      </c>
      <c r="C86" s="257" t="str">
        <f>[1]BASE!C89</f>
        <v>Especialista em Política Pública e Gestão Governamental</v>
      </c>
      <c r="D86" s="258" t="str">
        <f>[1]BASE!D89</f>
        <v>Requisitado de Órgãos</v>
      </c>
      <c r="E86" s="257" t="str">
        <f>[1]BASE!E89</f>
        <v>ME - Ministério da Economia</v>
      </c>
      <c r="F86" s="258" t="str">
        <f>[1]BASE!F89</f>
        <v>DAS 101.5</v>
      </c>
      <c r="G86" s="258" t="str">
        <f>[1]BASE!G89</f>
        <v xml:space="preserve"> </v>
      </c>
      <c r="H86" s="257" t="str">
        <f>[1]BASE!H89</f>
        <v>SPE / DEPARTAMENTO DE DESENVOLVIMENTO ENERGÉTICO - DDE</v>
      </c>
      <c r="I86" s="260" t="str">
        <f>[1]BASE!I89</f>
        <v>10.102.000</v>
      </c>
    </row>
    <row r="87" spans="1:9" x14ac:dyDescent="0.25">
      <c r="A87" s="257" t="str">
        <f>[1]BASE!A90</f>
        <v>CARLOS ANTONIO DE ABREU</v>
      </c>
      <c r="B87" s="258">
        <f>[1]BASE!B90</f>
        <v>161427</v>
      </c>
      <c r="C87" s="257" t="str">
        <f>[1]BASE!C90</f>
        <v>Agente de Vigilância</v>
      </c>
      <c r="D87" s="258" t="str">
        <f>[1]BASE!D90</f>
        <v>Ativo Permanente</v>
      </c>
      <c r="E87" s="257" t="str">
        <f>[1]BASE!E90</f>
        <v>MME - Ministério de Minas e Energia</v>
      </c>
      <c r="F87" s="258" t="str">
        <f>[1]BASE!F90</f>
        <v xml:space="preserve"> </v>
      </c>
      <c r="G87" s="258" t="str">
        <f>[1]BASE!G90</f>
        <v xml:space="preserve"> </v>
      </c>
      <c r="H87" s="257" t="str">
        <f>[1]BASE!H90</f>
        <v>SE / SPOA / CGRL / COORDENAÇÃO DE ATIVIDADES GERAIS - COAGE</v>
      </c>
      <c r="I87" s="260" t="str">
        <f>[1]BASE!I90</f>
        <v>8.105.120</v>
      </c>
    </row>
    <row r="88" spans="1:9" x14ac:dyDescent="0.25">
      <c r="A88" s="257" t="str">
        <f>[1]BASE!A91</f>
        <v>CARLOS AUGUSTO FURTADO DE OLIVEIRA NOVAES</v>
      </c>
      <c r="B88" s="258">
        <f>[1]BASE!B91</f>
        <v>1547827</v>
      </c>
      <c r="C88" s="257" t="str">
        <f>[1]BASE!C91</f>
        <v>Analista de Infraestrutura</v>
      </c>
      <c r="D88" s="258" t="str">
        <f>[1]BASE!D91</f>
        <v>Exercício Descentralizado</v>
      </c>
      <c r="E88" s="257" t="str">
        <f>[1]BASE!E91</f>
        <v>ME - Ministério da Economia</v>
      </c>
      <c r="F88" s="258" t="str">
        <f>[1]BASE!F91</f>
        <v xml:space="preserve"> </v>
      </c>
      <c r="G88" s="258" t="str">
        <f>[1]BASE!G91</f>
        <v xml:space="preserve"> </v>
      </c>
      <c r="H88" s="257" t="str">
        <f>[1]BASE!H91</f>
        <v>SEE / DMSE / COORDENAÇÃO GERAL DE MONITORAMENTO DO DESEMPENHO DO SISTEMA ELÉTRICO</v>
      </c>
      <c r="I88" s="260" t="str">
        <f>[1]BASE!I91</f>
        <v>12.102.400</v>
      </c>
    </row>
    <row r="89" spans="1:9" x14ac:dyDescent="0.25">
      <c r="A89" s="257" t="str">
        <f>[1]BASE!A92</f>
        <v>CARLOS EDUARDO MENDES GALVAO</v>
      </c>
      <c r="B89" s="258">
        <f>[1]BASE!B92</f>
        <v>454695</v>
      </c>
      <c r="C89" s="257" t="str">
        <f>[1]BASE!C92</f>
        <v>Agente Administrativo</v>
      </c>
      <c r="D89" s="258" t="str">
        <f>[1]BASE!D92</f>
        <v>Ativo Permanente</v>
      </c>
      <c r="E89" s="257" t="str">
        <f>[1]BASE!E92</f>
        <v>MME - Ministério de Minas e Energia</v>
      </c>
      <c r="F89" s="258" t="str">
        <f>[1]BASE!F92</f>
        <v>DAS 101.4</v>
      </c>
      <c r="G89" s="258" t="str">
        <f>[1]BASE!G92</f>
        <v>GSISTE Intermediário</v>
      </c>
      <c r="H89" s="257" t="str">
        <f>[1]BASE!H92</f>
        <v>SE / SPOA / COORDENAÇÃO GERAL DE RECURSOS HUMANOS - CGRH</v>
      </c>
      <c r="I89" s="260" t="str">
        <f>[1]BASE!I92</f>
        <v>8.105.200</v>
      </c>
    </row>
    <row r="90" spans="1:9" x14ac:dyDescent="0.25">
      <c r="A90" s="257" t="str">
        <f>[1]BASE!A93</f>
        <v>CARLOS GERARDO DE MESQUITA</v>
      </c>
      <c r="B90" s="258">
        <f>[1]BASE!B93</f>
        <v>454390</v>
      </c>
      <c r="C90" s="257" t="str">
        <f>[1]BASE!C93</f>
        <v>Agente de Portaria</v>
      </c>
      <c r="D90" s="258" t="str">
        <f>[1]BASE!D93</f>
        <v>Ativo Permanente</v>
      </c>
      <c r="E90" s="257" t="str">
        <f>[1]BASE!E93</f>
        <v>MME - Ministério de Minas e Energia</v>
      </c>
      <c r="F90" s="258" t="str">
        <f>[1]BASE!F93</f>
        <v>FGR 1</v>
      </c>
      <c r="G90" s="258" t="str">
        <f>[1]BASE!G93</f>
        <v xml:space="preserve"> </v>
      </c>
      <c r="H90" s="257" t="str">
        <f>[1]BASE!H93</f>
        <v>CONJUR / CGAA / COORDENAÇÃO DE APOIO ADMINISTRATIVO</v>
      </c>
      <c r="I90" s="260" t="str">
        <f>[1]BASE!I93</f>
        <v>7.100.310</v>
      </c>
    </row>
    <row r="91" spans="1:9" x14ac:dyDescent="0.25">
      <c r="A91" s="257" t="str">
        <f>[1]BASE!A94</f>
        <v>CARLOS JORGE PAVAO DIAS</v>
      </c>
      <c r="B91" s="258">
        <f>[1]BASE!B94</f>
        <v>1482723</v>
      </c>
      <c r="C91" s="257" t="str">
        <f>[1]BASE!C94</f>
        <v>Sem Cargo/Emprego</v>
      </c>
      <c r="D91" s="258" t="str">
        <f>[1]BASE!D94</f>
        <v>Sem Vínculo</v>
      </c>
      <c r="E91" s="257" t="str">
        <f>[1]BASE!E94</f>
        <v>Sem Vínculo</v>
      </c>
      <c r="F91" s="258" t="str">
        <f>[1]BASE!F94</f>
        <v>DAS 102.3</v>
      </c>
      <c r="G91" s="258" t="str">
        <f>[1]BASE!G94</f>
        <v xml:space="preserve"> </v>
      </c>
      <c r="H91" s="257" t="str">
        <f>[1]BASE!H94</f>
        <v>SPG / CHEFIA DE GABINETE SPG</v>
      </c>
      <c r="I91" s="260" t="str">
        <f>[1]BASE!I94</f>
        <v>11.100.000</v>
      </c>
    </row>
    <row r="92" spans="1:9" x14ac:dyDescent="0.25">
      <c r="A92" s="257" t="str">
        <f>[1]BASE!A95</f>
        <v>CARLOS MODESTO DE ARAUJO</v>
      </c>
      <c r="B92" s="258">
        <f>[1]BASE!B95</f>
        <v>1092793</v>
      </c>
      <c r="C92" s="257" t="str">
        <f>[1]BASE!C95</f>
        <v>Agente Administrativo</v>
      </c>
      <c r="D92" s="258" t="str">
        <f>[1]BASE!D95</f>
        <v>Ativo Permanente</v>
      </c>
      <c r="E92" s="257" t="str">
        <f>[1]BASE!E95</f>
        <v>MME - Ministério de Minas e Energia</v>
      </c>
      <c r="F92" s="258" t="str">
        <f>[1]BASE!F95</f>
        <v xml:space="preserve"> </v>
      </c>
      <c r="G92" s="258" t="str">
        <f>[1]BASE!G95</f>
        <v xml:space="preserve"> </v>
      </c>
      <c r="H92" s="257" t="str">
        <f>[1]BASE!H95</f>
        <v>Aguardando Lotação/Exercício</v>
      </c>
      <c r="I92" s="260" t="str">
        <f>[1]BASE!I95</f>
        <v>88.000.000</v>
      </c>
    </row>
    <row r="93" spans="1:9" x14ac:dyDescent="0.25">
      <c r="A93" s="257" t="str">
        <f>[1]BASE!A96</f>
        <v>CARLOS ROBERTO NOVAIS DE ALMEIDA</v>
      </c>
      <c r="B93" s="258">
        <f>[1]BASE!B96</f>
        <v>455044</v>
      </c>
      <c r="C93" s="257" t="str">
        <f>[1]BASE!C96</f>
        <v>Agente Administrativo</v>
      </c>
      <c r="D93" s="258" t="str">
        <f>[1]BASE!D96</f>
        <v>Ativo Permanente</v>
      </c>
      <c r="E93" s="257" t="str">
        <f>[1]BASE!E96</f>
        <v>MME - Ministério de Minas e Energia</v>
      </c>
      <c r="F93" s="258" t="str">
        <f>[1]BASE!F96</f>
        <v>FCPE 101.3</v>
      </c>
      <c r="G93" s="258" t="str">
        <f>[1]BASE!G96</f>
        <v xml:space="preserve"> </v>
      </c>
      <c r="H93" s="257" t="str">
        <f>[1]BASE!H96</f>
        <v>GM / ASTAD / COORDENAÇÃO DE ATIVIDADES ADMINISTRATIVAS</v>
      </c>
      <c r="I93" s="260" t="str">
        <f>[1]BASE!I96</f>
        <v>2.100.101</v>
      </c>
    </row>
    <row r="94" spans="1:9" x14ac:dyDescent="0.25">
      <c r="A94" s="257" t="str">
        <f>[1]BASE!A97</f>
        <v>CASSIO GIULIANI CARVALHO</v>
      </c>
      <c r="B94" s="258">
        <f>[1]BASE!B97</f>
        <v>5660896</v>
      </c>
      <c r="C94" s="257" t="str">
        <f>[1]BASE!C97</f>
        <v>Especialista em Regulamentação de Aviação Civil</v>
      </c>
      <c r="D94" s="258" t="str">
        <f>[1]BASE!D97</f>
        <v>Requisitado de Órgãos</v>
      </c>
      <c r="E94" s="257" t="str">
        <f>[1]BASE!E97</f>
        <v>ANAC - Agência Nacional de Aviação Civil</v>
      </c>
      <c r="F94" s="258" t="str">
        <f>[1]BASE!F97</f>
        <v>DAS 101.4</v>
      </c>
      <c r="G94" s="258" t="str">
        <f>[1]BASE!G97</f>
        <v xml:space="preserve"> </v>
      </c>
      <c r="H94" s="257" t="str">
        <f>[1]BASE!H97</f>
        <v>SPE / DPE / COORDENAÇÃO GERAL DA EXPANSÃO ELETROENERGÉTICA</v>
      </c>
      <c r="I94" s="260" t="str">
        <f>[1]BASE!I97</f>
        <v>10.101.300</v>
      </c>
    </row>
    <row r="95" spans="1:9" x14ac:dyDescent="0.25">
      <c r="A95" s="257" t="str">
        <f>[1]BASE!A98</f>
        <v>CELIA MARIA BOMTEMPO</v>
      </c>
      <c r="B95" s="258">
        <f>[1]BASE!B98</f>
        <v>454348</v>
      </c>
      <c r="C95" s="257" t="str">
        <f>[1]BASE!C98</f>
        <v>Agente Administrativo</v>
      </c>
      <c r="D95" s="258" t="str">
        <f>[1]BASE!D98</f>
        <v>Ativo Permanente</v>
      </c>
      <c r="E95" s="257" t="str">
        <f>[1]BASE!E98</f>
        <v>MME - Ministério de Minas e Energia</v>
      </c>
      <c r="F95" s="258" t="str">
        <f>[1]BASE!F98</f>
        <v>FCT 5</v>
      </c>
      <c r="G95" s="258" t="str">
        <f>[1]BASE!G98</f>
        <v>GSISTE Intermediário (MPPFS)</v>
      </c>
      <c r="H95" s="257" t="str">
        <f>[1]BASE!H98</f>
        <v>SE / SPOA / CGOF / COORDENAÇÃO DE CONTABILIDADE - CONT</v>
      </c>
      <c r="I95" s="260" t="str">
        <f>[1]BASE!I98</f>
        <v>8.105.520</v>
      </c>
    </row>
    <row r="96" spans="1:9" x14ac:dyDescent="0.25">
      <c r="A96" s="257" t="str">
        <f>[1]BASE!A99</f>
        <v>CESAR FERREIRA BORGES</v>
      </c>
      <c r="B96" s="258">
        <f>[1]BASE!B99</f>
        <v>1281488</v>
      </c>
      <c r="C96" s="257" t="str">
        <f>[1]BASE!C99</f>
        <v>Sem Cargo/Emprego</v>
      </c>
      <c r="D96" s="258" t="str">
        <f>[1]BASE!D99</f>
        <v>Sem Vínculo</v>
      </c>
      <c r="E96" s="257" t="str">
        <f>[1]BASE!E99</f>
        <v>Sem Vínculo</v>
      </c>
      <c r="F96" s="258" t="str">
        <f>[1]BASE!F99</f>
        <v>DAS 102.5</v>
      </c>
      <c r="G96" s="258" t="str">
        <f>[1]BASE!G99</f>
        <v xml:space="preserve"> </v>
      </c>
      <c r="H96" s="257" t="str">
        <f>[1]BASE!H99</f>
        <v>GM / ASSESSORIA DE COMUNICAÇÃO SOCIAL - ASCOM</v>
      </c>
      <c r="I96" s="260" t="str">
        <f>[1]BASE!I99</f>
        <v>2.100.300</v>
      </c>
    </row>
    <row r="97" spans="1:9" x14ac:dyDescent="0.25">
      <c r="A97" s="257" t="str">
        <f>[1]BASE!A100</f>
        <v>CHRISTIAN DE OLIVEIRA E FERNANDES</v>
      </c>
      <c r="B97" s="258">
        <f>[1]BASE!B100</f>
        <v>3355829</v>
      </c>
      <c r="C97" s="257" t="str">
        <f>[1]BASE!C100</f>
        <v>Advogado da União</v>
      </c>
      <c r="D97" s="258" t="str">
        <f>[1]BASE!D100</f>
        <v>Exercício Descentralizado</v>
      </c>
      <c r="E97" s="257" t="str">
        <f>[1]BASE!E100</f>
        <v>AGU - Advocacia Geral da União</v>
      </c>
      <c r="F97" s="258" t="str">
        <f>[1]BASE!F100</f>
        <v xml:space="preserve"> </v>
      </c>
      <c r="G97" s="258" t="str">
        <f>[1]BASE!G100</f>
        <v xml:space="preserve"> </v>
      </c>
      <c r="H97" s="257" t="str">
        <f>[1]BASE!H100</f>
        <v>CONJUR / COORDENAÇÃO GERAL DE ASSUNTOS DE ENERGIA</v>
      </c>
      <c r="I97" s="260" t="str">
        <f>[1]BASE!I100</f>
        <v>7.100.100</v>
      </c>
    </row>
    <row r="98" spans="1:9" x14ac:dyDescent="0.25">
      <c r="A98" s="257" t="str">
        <f>[1]BASE!A101</f>
        <v>CHRISTIAN VARGAS</v>
      </c>
      <c r="B98" s="258">
        <f>[1]BASE!B101</f>
        <v>0</v>
      </c>
      <c r="C98" s="257" t="str">
        <f>[1]BASE!C101</f>
        <v>Ministro de Segunda Classe</v>
      </c>
      <c r="D98" s="258" t="str">
        <f>[1]BASE!D101</f>
        <v>Requisitado de Órgãos</v>
      </c>
      <c r="E98" s="257" t="str">
        <f>[1]BASE!E101</f>
        <v>MRE - Ministério das Relações Exteriores</v>
      </c>
      <c r="F98" s="258" t="str">
        <f>[1]BASE!F101</f>
        <v>DAS 101.5</v>
      </c>
      <c r="G98" s="258" t="str">
        <f>[1]BASE!G101</f>
        <v xml:space="preserve"> </v>
      </c>
      <c r="H98" s="257" t="str">
        <f>[1]BASE!H101</f>
        <v>ASSESSORIA ESPECIAL DE RELAÇÕES INTERNACIONAIS - ASSINT</v>
      </c>
      <c r="I98" s="260" t="str">
        <f>[1]BASE!I101</f>
        <v>3.000.000</v>
      </c>
    </row>
    <row r="99" spans="1:9" x14ac:dyDescent="0.25">
      <c r="A99" s="257" t="str">
        <f>[1]BASE!A102</f>
        <v>CHRISTIANY SALGADO FARIA</v>
      </c>
      <c r="B99" s="258">
        <f>[1]BASE!B102</f>
        <v>1453978</v>
      </c>
      <c r="C99" s="257" t="str">
        <f>[1]BASE!C102</f>
        <v>Analista de Infraestrutura</v>
      </c>
      <c r="D99" s="258" t="str">
        <f>[1]BASE!D102</f>
        <v>Requisitado de Órgãos</v>
      </c>
      <c r="E99" s="257" t="str">
        <f>[1]BASE!E102</f>
        <v>ME - Ministério da Economia</v>
      </c>
      <c r="F99" s="258" t="str">
        <f>[1]BASE!F102</f>
        <v>DAS 102.4</v>
      </c>
      <c r="G99" s="258" t="str">
        <f>[1]BASE!G102</f>
        <v xml:space="preserve"> </v>
      </c>
      <c r="H99" s="257" t="str">
        <f>[1]BASE!H102</f>
        <v>ASSESSORIA ESPECIAL DE ASSUNTOS ECONÔMICOS - ASSEC</v>
      </c>
      <c r="I99" s="260" t="str">
        <f>[1]BASE!I102</f>
        <v>6.000.000</v>
      </c>
    </row>
    <row r="100" spans="1:9" x14ac:dyDescent="0.25">
      <c r="A100" s="257" t="str">
        <f>[1]BASE!A103</f>
        <v>CICERO DA ROSA ROCHA</v>
      </c>
      <c r="B100" s="258">
        <f>[1]BASE!B103</f>
        <v>1669516</v>
      </c>
      <c r="C100" s="257" t="str">
        <f>[1]BASE!C103</f>
        <v>Escriturário II</v>
      </c>
      <c r="D100" s="258" t="str">
        <f>[1]BASE!D103</f>
        <v>Anistiado MME</v>
      </c>
      <c r="E100" s="257" t="str">
        <f>[1]BASE!E103</f>
        <v>MME - Ministério de Minas e Energia</v>
      </c>
      <c r="F100" s="258" t="str">
        <f>[1]BASE!F103</f>
        <v xml:space="preserve"> </v>
      </c>
      <c r="G100" s="258" t="str">
        <f>[1]BASE!G103</f>
        <v xml:space="preserve"> </v>
      </c>
      <c r="H100" s="257" t="str">
        <f>[1]BASE!H103</f>
        <v>SE / SPOA / CGRH / COORDENAÇÃO DE DESENVOLVIMENTO E SEGURIDADE SOCIAL - CODES</v>
      </c>
      <c r="I100" s="260" t="str">
        <f>[1]BASE!I103</f>
        <v>8.105.220</v>
      </c>
    </row>
    <row r="101" spans="1:9" x14ac:dyDescent="0.25">
      <c r="A101" s="257" t="str">
        <f>[1]BASE!A104</f>
        <v>CICERO RONALDO VIEIRA DA SILVA</v>
      </c>
      <c r="B101" s="258">
        <f>[1]BASE!B104</f>
        <v>451627</v>
      </c>
      <c r="C101" s="257" t="str">
        <f>[1]BASE!C104</f>
        <v>Agente de Portaria</v>
      </c>
      <c r="D101" s="258" t="str">
        <f>[1]BASE!D104</f>
        <v>Ativo Permanente</v>
      </c>
      <c r="E101" s="257" t="str">
        <f>[1]BASE!E104</f>
        <v>MME - Ministério de Minas e Energia</v>
      </c>
      <c r="F101" s="258" t="str">
        <f>[1]BASE!F104</f>
        <v>FCT 7</v>
      </c>
      <c r="G101" s="258" t="str">
        <f>[1]BASE!G104</f>
        <v xml:space="preserve"> </v>
      </c>
      <c r="H101" s="257" t="str">
        <f>[1]BASE!H104</f>
        <v>SE / SPOA / CGRL / COORDENAÇÃO DE ATIVIDADES GERAIS - COAGE</v>
      </c>
      <c r="I101" s="260" t="str">
        <f>[1]BASE!I104</f>
        <v>8.105.120</v>
      </c>
    </row>
    <row r="102" spans="1:9" x14ac:dyDescent="0.25">
      <c r="A102" s="257" t="str">
        <f>[1]BASE!A105</f>
        <v>CLARA DE JESUS SILVA</v>
      </c>
      <c r="B102" s="258">
        <f>[1]BASE!B105</f>
        <v>1772834</v>
      </c>
      <c r="C102" s="257" t="str">
        <f>[1]BASE!C105</f>
        <v>Auxiliar Administrativo</v>
      </c>
      <c r="D102" s="258" t="str">
        <f>[1]BASE!D105</f>
        <v>Anistiado MME</v>
      </c>
      <c r="E102" s="257" t="str">
        <f>[1]BASE!E105</f>
        <v>MME - Ministério de Minas e Energia</v>
      </c>
      <c r="F102" s="258" t="str">
        <f>[1]BASE!F105</f>
        <v xml:space="preserve"> </v>
      </c>
      <c r="G102" s="258" t="str">
        <f>[1]BASE!G105</f>
        <v xml:space="preserve"> </v>
      </c>
      <c r="H102" s="257" t="str">
        <f>[1]BASE!H105</f>
        <v>Aguardando Lotação/Exercício</v>
      </c>
      <c r="I102" s="260" t="str">
        <f>[1]BASE!I105</f>
        <v>88.000.000</v>
      </c>
    </row>
    <row r="103" spans="1:9" x14ac:dyDescent="0.25">
      <c r="A103" s="257" t="str">
        <f>[1]BASE!A106</f>
        <v>CLAREN MARCIA DE AZEVEDO</v>
      </c>
      <c r="B103" s="258">
        <f>[1]BASE!B106</f>
        <v>1340463</v>
      </c>
      <c r="C103" s="257" t="str">
        <f>[1]BASE!C106</f>
        <v>Sem Cargo/Emprego</v>
      </c>
      <c r="D103" s="258" t="str">
        <f>[1]BASE!D106</f>
        <v>Sem Vínculo</v>
      </c>
      <c r="E103" s="257" t="str">
        <f>[1]BASE!E106</f>
        <v>Sem Vínculo</v>
      </c>
      <c r="F103" s="258" t="str">
        <f>[1]BASE!F106</f>
        <v>DAS 102.2</v>
      </c>
      <c r="G103" s="258" t="str">
        <f>[1]BASE!G106</f>
        <v xml:space="preserve"> </v>
      </c>
      <c r="H103" s="257" t="str">
        <f>[1]BASE!H106</f>
        <v>SE / CHEFIA DE GABINETE SE</v>
      </c>
      <c r="I103" s="260" t="str">
        <f>[1]BASE!I106</f>
        <v>8.100.000</v>
      </c>
    </row>
    <row r="104" spans="1:9" x14ac:dyDescent="0.25">
      <c r="A104" s="257" t="str">
        <f>[1]BASE!A107</f>
        <v>CLARICE GOMES DA SILVA</v>
      </c>
      <c r="B104" s="258">
        <f>[1]BASE!B107</f>
        <v>1696906</v>
      </c>
      <c r="C104" s="257" t="str">
        <f>[1]BASE!C107</f>
        <v>Escriturário I</v>
      </c>
      <c r="D104" s="258" t="str">
        <f>[1]BASE!D107</f>
        <v>Anistiado MME</v>
      </c>
      <c r="E104" s="257" t="str">
        <f>[1]BASE!E107</f>
        <v>MME - Ministério de Minas e Energia</v>
      </c>
      <c r="F104" s="258" t="str">
        <f>[1]BASE!F107</f>
        <v>DAS 102.2</v>
      </c>
      <c r="G104" s="258" t="str">
        <f>[1]BASE!G107</f>
        <v xml:space="preserve"> </v>
      </c>
      <c r="H104" s="257" t="str">
        <f>[1]BASE!H107</f>
        <v>SE / SPOA / CGRL / COORDENAÇÃO DE ATIVIDADES GERAIS - COAGE</v>
      </c>
      <c r="I104" s="260" t="str">
        <f>[1]BASE!I107</f>
        <v>8.105.120</v>
      </c>
    </row>
    <row r="105" spans="1:9" x14ac:dyDescent="0.25">
      <c r="A105" s="257" t="str">
        <f>[1]BASE!A108</f>
        <v>CLAUDIA CRISTINA DE OLIVEIRA F SILVA</v>
      </c>
      <c r="B105" s="258">
        <f>[1]BASE!B108</f>
        <v>455479</v>
      </c>
      <c r="C105" s="257" t="str">
        <f>[1]BASE!C108</f>
        <v>Telefonista</v>
      </c>
      <c r="D105" s="258" t="str">
        <f>[1]BASE!D108</f>
        <v>Ativo Permanente</v>
      </c>
      <c r="E105" s="257" t="str">
        <f>[1]BASE!E108</f>
        <v>MME - Ministério de Minas e Energia</v>
      </c>
      <c r="F105" s="258" t="str">
        <f>[1]BASE!F108</f>
        <v>FGR 1</v>
      </c>
      <c r="G105" s="258" t="str">
        <f>[1]BASE!G108</f>
        <v xml:space="preserve"> </v>
      </c>
      <c r="H105" s="257" t="str">
        <f>[1]BASE!H108</f>
        <v>SE / SPOA / CGRH / COORDENAÇÃO DE DESENVOLVIMENTO E SEGURIDADE SOCIAL - CODES</v>
      </c>
      <c r="I105" s="260" t="str">
        <f>[1]BASE!I108</f>
        <v>8.105.220</v>
      </c>
    </row>
    <row r="106" spans="1:9" x14ac:dyDescent="0.25">
      <c r="A106" s="257" t="str">
        <f>[1]BASE!A109</f>
        <v>CLAUDIA MARIA DA SILVA MEIRA</v>
      </c>
      <c r="B106" s="258">
        <f>[1]BASE!B109</f>
        <v>1783636</v>
      </c>
      <c r="C106" s="257" t="str">
        <f>[1]BASE!C109</f>
        <v>Sem Cargo/Emprego</v>
      </c>
      <c r="D106" s="258" t="str">
        <f>[1]BASE!D109</f>
        <v>Sem Vínculo</v>
      </c>
      <c r="E106" s="257" t="str">
        <f>[1]BASE!E109</f>
        <v>Sem Vínculo</v>
      </c>
      <c r="F106" s="258" t="str">
        <f>[1]BASE!F109</f>
        <v>DAS 102.2</v>
      </c>
      <c r="G106" s="258" t="str">
        <f>[1]BASE!G109</f>
        <v xml:space="preserve"> </v>
      </c>
      <c r="H106" s="257" t="str">
        <f>[1]BASE!H109</f>
        <v>SE / ASSESSORIA ESPECIAL DE GESTÃO ESTRATÉGICA - AEGE</v>
      </c>
      <c r="I106" s="260" t="str">
        <f>[1]BASE!I109</f>
        <v>8.101.000</v>
      </c>
    </row>
    <row r="107" spans="1:9" x14ac:dyDescent="0.25">
      <c r="A107" s="257" t="str">
        <f>[1]BASE!A110</f>
        <v>CLÁUDIA MOTA MONTEIRO</v>
      </c>
      <c r="B107" s="258">
        <f>[1]BASE!B110</f>
        <v>454709</v>
      </c>
      <c r="C107" s="257" t="str">
        <f>[1]BASE!C110</f>
        <v>Agente Administrativo</v>
      </c>
      <c r="D107" s="258" t="str">
        <f>[1]BASE!D110</f>
        <v>Ativo Permanente</v>
      </c>
      <c r="E107" s="257" t="str">
        <f>[1]BASE!E110</f>
        <v>MME - Ministério de Minas e Energia</v>
      </c>
      <c r="F107" s="258" t="str">
        <f>[1]BASE!F110</f>
        <v>DAS 101.3</v>
      </c>
      <c r="G107" s="258" t="str">
        <f>[1]BASE!G110</f>
        <v>GSISTE Intermediário</v>
      </c>
      <c r="H107" s="257" t="str">
        <f>[1]BASE!H110</f>
        <v>SE / SPOA / CGCC / COORDENAÇÃO DE ADMINISTRAÇÃO DE CONTRATOS - CAC</v>
      </c>
      <c r="I107" s="260" t="str">
        <f>[1]BASE!I110</f>
        <v>8.105.410</v>
      </c>
    </row>
    <row r="108" spans="1:9" x14ac:dyDescent="0.25">
      <c r="A108" s="257" t="str">
        <f>[1]BASE!A111</f>
        <v>CLAUDIO OLIMAR INATOMI</v>
      </c>
      <c r="B108" s="258">
        <f>[1]BASE!B111</f>
        <v>455322</v>
      </c>
      <c r="C108" s="257" t="str">
        <f>[1]BASE!C111</f>
        <v>Agente Administrativo</v>
      </c>
      <c r="D108" s="258" t="str">
        <f>[1]BASE!D111</f>
        <v>Ativo Permanente</v>
      </c>
      <c r="E108" s="257" t="str">
        <f>[1]BASE!E111</f>
        <v>MME - Ministério de Minas e Energia</v>
      </c>
      <c r="F108" s="258" t="str">
        <f>[1]BASE!F111</f>
        <v>FCPE 102.2</v>
      </c>
      <c r="G108" s="258" t="str">
        <f>[1]BASE!G111</f>
        <v xml:space="preserve"> </v>
      </c>
      <c r="H108" s="257" t="str">
        <f>[1]BASE!H111</f>
        <v>ASSESSORIA ESPECIAL DE RELAÇÕES INTERNACIONAIS - ASSINT</v>
      </c>
      <c r="I108" s="260" t="str">
        <f>[1]BASE!I111</f>
        <v>3.000.000</v>
      </c>
    </row>
    <row r="109" spans="1:9" x14ac:dyDescent="0.25">
      <c r="A109" s="257" t="str">
        <f>[1]BASE!A112</f>
        <v>CLAUDIO XAVIER PEREIRA</v>
      </c>
      <c r="B109" s="258">
        <f>[1]BASE!B112</f>
        <v>1202804</v>
      </c>
      <c r="C109" s="257" t="str">
        <f>[1]BASE!C112</f>
        <v>Analista de Planejamento e Orçamento</v>
      </c>
      <c r="D109" s="258" t="str">
        <f>[1]BASE!D112</f>
        <v>Exercício Descentralizado</v>
      </c>
      <c r="E109" s="257" t="str">
        <f>[1]BASE!E112</f>
        <v>ME - Ministério da Economia</v>
      </c>
      <c r="F109" s="258" t="str">
        <f>[1]BASE!F112</f>
        <v>DAS 101.4</v>
      </c>
      <c r="G109" s="258" t="str">
        <f>[1]BASE!G112</f>
        <v xml:space="preserve"> </v>
      </c>
      <c r="H109" s="257" t="str">
        <f>[1]BASE!H112</f>
        <v>SE / SPOA / COORDENAÇÃO GERAL DE ORÇAMENTO E FINANÇAS - CGOF</v>
      </c>
      <c r="I109" s="260" t="str">
        <f>[1]BASE!I112</f>
        <v>8.105.500</v>
      </c>
    </row>
    <row r="110" spans="1:9" x14ac:dyDescent="0.25">
      <c r="A110" s="257" t="str">
        <f>[1]BASE!A113</f>
        <v>CLAYTON DE SOUZA PONTES</v>
      </c>
      <c r="B110" s="258">
        <f>[1]BASE!B113</f>
        <v>3482082</v>
      </c>
      <c r="C110" s="257" t="str">
        <f>[1]BASE!C113</f>
        <v>Sem Cargo/Emprego</v>
      </c>
      <c r="D110" s="258" t="str">
        <f>[1]BASE!D113</f>
        <v>Sem Vínculo</v>
      </c>
      <c r="E110" s="257" t="str">
        <f>[1]BASE!E113</f>
        <v>Sem Vínculo</v>
      </c>
      <c r="F110" s="258" t="str">
        <f>[1]BASE!F113</f>
        <v>DAS 101.4</v>
      </c>
      <c r="G110" s="258" t="str">
        <f>[1]BASE!G113</f>
        <v xml:space="preserve"> </v>
      </c>
      <c r="H110" s="257" t="str">
        <f>[1]BASE!H113</f>
        <v>SPG / DPGN / COORDENAÇÃO GERAL DE POLÍTICA DE CONCESSÃO DE BLOCOS EXPLORATÓRIOS</v>
      </c>
      <c r="I110" s="260" t="str">
        <f>[1]BASE!I113</f>
        <v>11.101.200</v>
      </c>
    </row>
    <row r="111" spans="1:9" x14ac:dyDescent="0.25">
      <c r="A111" s="257" t="str">
        <f>[1]BASE!A114</f>
        <v>CLEONICE DE FREITAS DE ALMEIDA</v>
      </c>
      <c r="B111" s="258">
        <f>[1]BASE!B114</f>
        <v>2586386</v>
      </c>
      <c r="C111" s="257" t="str">
        <f>[1]BASE!C114</f>
        <v>Escriturário II</v>
      </c>
      <c r="D111" s="258" t="str">
        <f>[1]BASE!D114</f>
        <v>Anistiado MME</v>
      </c>
      <c r="E111" s="257" t="str">
        <f>[1]BASE!E114</f>
        <v>MME - Ministério de Minas e Energia</v>
      </c>
      <c r="F111" s="258" t="str">
        <f>[1]BASE!F114</f>
        <v xml:space="preserve"> </v>
      </c>
      <c r="G111" s="258" t="str">
        <f>[1]BASE!G114</f>
        <v xml:space="preserve"> </v>
      </c>
      <c r="H111" s="257" t="str">
        <f>[1]BASE!H114</f>
        <v>SE / SPOA / CGRH / COORDENAÇÃO DE DESENVOLVIMENTO E SEGURIDADE SOCIAL - CODES</v>
      </c>
      <c r="I111" s="260" t="str">
        <f>[1]BASE!I114</f>
        <v>8.105.220</v>
      </c>
    </row>
    <row r="112" spans="1:9" x14ac:dyDescent="0.25">
      <c r="A112" s="257" t="str">
        <f>[1]BASE!A115</f>
        <v>CLEUSA COSTA DE JESUS</v>
      </c>
      <c r="B112" s="258">
        <f>[1]BASE!B115</f>
        <v>454729</v>
      </c>
      <c r="C112" s="257" t="str">
        <f>[1]BASE!C115</f>
        <v>Agente Administrativo</v>
      </c>
      <c r="D112" s="258" t="str">
        <f>[1]BASE!D115</f>
        <v>Ativo Permanente</v>
      </c>
      <c r="E112" s="257" t="str">
        <f>[1]BASE!E115</f>
        <v>MME - Ministério de Minas e Energia</v>
      </c>
      <c r="F112" s="258" t="str">
        <f>[1]BASE!F115</f>
        <v>FGR 1</v>
      </c>
      <c r="G112" s="258" t="str">
        <f>[1]BASE!G115</f>
        <v>GSISTE Intermediário</v>
      </c>
      <c r="H112" s="257" t="str">
        <f>[1]BASE!H115</f>
        <v>SE / SPOA / CGCC / COORDENAÇÃO DE ADMINISTRAÇÃO DE CONTRATOS - CAC</v>
      </c>
      <c r="I112" s="260" t="str">
        <f>[1]BASE!I115</f>
        <v>8.105.410</v>
      </c>
    </row>
    <row r="113" spans="1:9" x14ac:dyDescent="0.25">
      <c r="A113" s="257" t="str">
        <f>[1]BASE!A116</f>
        <v>CONCEICAO CRISTINA ARAUJO LIMA</v>
      </c>
      <c r="B113" s="258">
        <f>[1]BASE!B116</f>
        <v>5300147</v>
      </c>
      <c r="C113" s="257" t="str">
        <f>[1]BASE!C116</f>
        <v>Sem Cargo/Emprego</v>
      </c>
      <c r="D113" s="258" t="str">
        <f>[1]BASE!D116</f>
        <v>Sem Vínculo</v>
      </c>
      <c r="E113" s="257" t="str">
        <f>[1]BASE!E116</f>
        <v>Sem Vínculo</v>
      </c>
      <c r="F113" s="258" t="str">
        <f>[1]BASE!F116</f>
        <v>DAS 101.4</v>
      </c>
      <c r="G113" s="258" t="str">
        <f>[1]BASE!G116</f>
        <v xml:space="preserve"> </v>
      </c>
      <c r="H113" s="257" t="str">
        <f>[1]BASE!H116</f>
        <v>SEE / DPUE / COORDENAÇÃO GERAL DE UNIVERSALIZAÇÃO DO ACESSO À ENERGIA</v>
      </c>
      <c r="I113" s="260" t="str">
        <f>[1]BASE!I116</f>
        <v>12.103.200</v>
      </c>
    </row>
    <row r="114" spans="1:9" x14ac:dyDescent="0.25">
      <c r="A114" s="257" t="str">
        <f>[1]BASE!A117</f>
        <v>CONCEICAO DE MARIA OLIVEIRA COSTA</v>
      </c>
      <c r="B114" s="258">
        <f>[1]BASE!B117</f>
        <v>1094208</v>
      </c>
      <c r="C114" s="257" t="str">
        <f>[1]BASE!C117</f>
        <v>Administrador</v>
      </c>
      <c r="D114" s="258" t="str">
        <f>[1]BASE!D117</f>
        <v>Ativo Permanente</v>
      </c>
      <c r="E114" s="257" t="str">
        <f>[1]BASE!E117</f>
        <v>MME - Ministério de Minas e Energia</v>
      </c>
      <c r="F114" s="258" t="str">
        <f>[1]BASE!F117</f>
        <v>FCPE 102.1</v>
      </c>
      <c r="G114" s="258" t="str">
        <f>[1]BASE!G117</f>
        <v>GSISTE Superior</v>
      </c>
      <c r="H114" s="257" t="str">
        <f>[1]BASE!H117</f>
        <v>SE / SPOA / COORDENAÇÃO DE MODERNIZAÇÃO ADMINISTRATIVA - CMA</v>
      </c>
      <c r="I114" s="260" t="str">
        <f>[1]BASE!I117</f>
        <v>8.105.010</v>
      </c>
    </row>
    <row r="115" spans="1:9" x14ac:dyDescent="0.25">
      <c r="A115" s="257" t="str">
        <f>[1]BASE!A118</f>
        <v>CORACY NOGUEIRA LOSSO</v>
      </c>
      <c r="B115" s="258">
        <f>[1]BASE!B118</f>
        <v>1681461</v>
      </c>
      <c r="C115" s="257" t="str">
        <f>[1]BASE!C118</f>
        <v>Programador de Sistema III</v>
      </c>
      <c r="D115" s="258" t="str">
        <f>[1]BASE!D118</f>
        <v>Anistiado MME</v>
      </c>
      <c r="E115" s="257" t="str">
        <f>[1]BASE!E118</f>
        <v>MME - Ministério de Minas e Energia</v>
      </c>
      <c r="F115" s="258" t="str">
        <f>[1]BASE!F118</f>
        <v xml:space="preserve"> </v>
      </c>
      <c r="G115" s="258" t="str">
        <f>[1]BASE!G118</f>
        <v xml:space="preserve"> </v>
      </c>
      <c r="H115" s="257" t="str">
        <f>[1]BASE!H118</f>
        <v>Aguardando Lotação/Exercício</v>
      </c>
      <c r="I115" s="260" t="str">
        <f>[1]BASE!I118</f>
        <v>88.000.000</v>
      </c>
    </row>
    <row r="116" spans="1:9" x14ac:dyDescent="0.25">
      <c r="A116" s="257" t="str">
        <f>[1]BASE!A119</f>
        <v>CRISTIANO MASAYOSHI MENEZES FURUHASHI</v>
      </c>
      <c r="B116" s="258">
        <f>[1]BASE!B119</f>
        <v>2661367</v>
      </c>
      <c r="C116" s="257" t="str">
        <f>[1]BASE!C119</f>
        <v>Analista de Infraestrutura</v>
      </c>
      <c r="D116" s="258" t="str">
        <f>[1]BASE!D119</f>
        <v>Exercício Descentralizado</v>
      </c>
      <c r="E116" s="257" t="str">
        <f>[1]BASE!E119</f>
        <v>ME - Ministério da Economia</v>
      </c>
      <c r="F116" s="258" t="str">
        <f>[1]BASE!F119</f>
        <v xml:space="preserve"> </v>
      </c>
      <c r="G116" s="258" t="str">
        <f>[1]BASE!G119</f>
        <v xml:space="preserve"> </v>
      </c>
      <c r="H116" s="257" t="str">
        <f>[1]BASE!H119</f>
        <v>SGM / DEPARTAMENTO DE DESENVOLVIMENTO SUSTENTÁVEL NA MINERAÇÃO - DDM</v>
      </c>
      <c r="I116" s="260" t="str">
        <f>[1]BASE!I119</f>
        <v>9.104.000</v>
      </c>
    </row>
    <row r="117" spans="1:9" x14ac:dyDescent="0.25">
      <c r="A117" s="257" t="str">
        <f>[1]BASE!A120</f>
        <v>CRISTOVAO EPAMINONDAS DE LIMA</v>
      </c>
      <c r="B117" s="258">
        <f>[1]BASE!B120</f>
        <v>2798687</v>
      </c>
      <c r="C117" s="257" t="str">
        <f>[1]BASE!C120</f>
        <v>Agente Administrativo</v>
      </c>
      <c r="D117" s="258" t="str">
        <f>[1]BASE!D120</f>
        <v>Requisitado de Órgãos</v>
      </c>
      <c r="E117" s="257" t="str">
        <f>[1]BASE!E120</f>
        <v>MAPA - Ministério da Agricultura, Pecuário e Abastecimento</v>
      </c>
      <c r="F117" s="258" t="str">
        <f>[1]BASE!F120</f>
        <v>FCT 10</v>
      </c>
      <c r="G117" s="258" t="str">
        <f>[1]BASE!G120</f>
        <v>GSISTE Intermediário</v>
      </c>
      <c r="H117" s="257" t="str">
        <f>[1]BASE!H120</f>
        <v>SE / SPOA / CGRL / COORDENAÇÃO DE ATIVIDADES GERAIS - COAGE</v>
      </c>
      <c r="I117" s="260" t="str">
        <f>[1]BASE!I120</f>
        <v>8.105.120</v>
      </c>
    </row>
    <row r="118" spans="1:9" x14ac:dyDescent="0.25">
      <c r="A118" s="257" t="str">
        <f>[1]BASE!A121</f>
        <v>CUSTÓDIA OLIVEIRA PEREIRA</v>
      </c>
      <c r="B118" s="258">
        <f>[1]BASE!B121</f>
        <v>2344185</v>
      </c>
      <c r="C118" s="257" t="str">
        <f>[1]BASE!C121</f>
        <v>Sem Cargo/Emprego</v>
      </c>
      <c r="D118" s="258" t="str">
        <f>[1]BASE!D121</f>
        <v>Sem Vínculo</v>
      </c>
      <c r="E118" s="257" t="str">
        <f>[1]BASE!E121</f>
        <v>Sem Vínculo</v>
      </c>
      <c r="F118" s="258" t="str">
        <f>[1]BASE!F121</f>
        <v>DAS 101.2</v>
      </c>
      <c r="G118" s="258" t="str">
        <f>[1]BASE!G121</f>
        <v xml:space="preserve"> </v>
      </c>
      <c r="H118" s="257" t="str">
        <f>[1]BASE!H121</f>
        <v>SE / SPOA / CGRL / COORDENAÇÃO DE ADMINISTRAÇÃO DE MATERIAL E EXECUÇÃO FINANCEIRA - COMEF</v>
      </c>
      <c r="I118" s="260" t="str">
        <f>[1]BASE!I121</f>
        <v>8.105.110</v>
      </c>
    </row>
    <row r="119" spans="1:9" x14ac:dyDescent="0.25">
      <c r="A119" s="257" t="str">
        <f>[1]BASE!A122</f>
        <v>DALTON JOSE DE OLIVEIRA</v>
      </c>
      <c r="B119" s="258">
        <f>[1]BASE!B122</f>
        <v>452266</v>
      </c>
      <c r="C119" s="257" t="str">
        <f>[1]BASE!C122</f>
        <v>Administrador</v>
      </c>
      <c r="D119" s="258" t="str">
        <f>[1]BASE!D122</f>
        <v>Ativo Permanente</v>
      </c>
      <c r="E119" s="257" t="str">
        <f>[1]BASE!E122</f>
        <v>MME - Ministério de Minas e Energia</v>
      </c>
      <c r="F119" s="258" t="str">
        <f>[1]BASE!F122</f>
        <v>DAS 102.3</v>
      </c>
      <c r="G119" s="258" t="str">
        <f>[1]BASE!G122</f>
        <v xml:space="preserve"> </v>
      </c>
      <c r="H119" s="257" t="str">
        <f>[1]BASE!H122</f>
        <v>ASSESSORIA ESPECIAL DE ACOMPANHAMENTO DE POLÍTICAS, ESTRATÉGIAS E DESEMPENHO SETORIAL - AEPED</v>
      </c>
      <c r="I119" s="260" t="str">
        <f>[1]BASE!I122</f>
        <v>4.000.000</v>
      </c>
    </row>
    <row r="120" spans="1:9" x14ac:dyDescent="0.25">
      <c r="A120" s="257" t="str">
        <f>[1]BASE!A123</f>
        <v>DANIEL ALVES LIMA</v>
      </c>
      <c r="B120" s="258">
        <f>[1]BASE!B123</f>
        <v>3561759</v>
      </c>
      <c r="C120" s="257" t="str">
        <f>[1]BASE!C123</f>
        <v>Analista de Infraestrutura</v>
      </c>
      <c r="D120" s="258" t="str">
        <f>[1]BASE!D123</f>
        <v>Requisitado de Órgãos</v>
      </c>
      <c r="E120" s="257" t="str">
        <f>[1]BASE!E123</f>
        <v>ME - Ministério da Economia</v>
      </c>
      <c r="F120" s="258" t="str">
        <f>[1]BASE!F123</f>
        <v>FCPE 101.4</v>
      </c>
      <c r="G120" s="258" t="str">
        <f>[1]BASE!G123</f>
        <v xml:space="preserve"> </v>
      </c>
      <c r="H120" s="257" t="str">
        <f>[1]BASE!H123</f>
        <v>SGM / DPGM / COORDENAÇÃO GERAL DE POLÍTICA E PROGRAMAS PARA MINERAÇÃO</v>
      </c>
      <c r="I120" s="260" t="str">
        <f>[1]BASE!I123</f>
        <v>9.101.100</v>
      </c>
    </row>
    <row r="121" spans="1:9" x14ac:dyDescent="0.25">
      <c r="A121" s="257" t="str">
        <f>[1]BASE!A124</f>
        <v>DANIEL LOPES PÊGO</v>
      </c>
      <c r="B121" s="258">
        <f>[1]BASE!B124</f>
        <v>1048617</v>
      </c>
      <c r="C121" s="257" t="str">
        <f>[1]BASE!C124</f>
        <v>Analista de Infraestrutura</v>
      </c>
      <c r="D121" s="258" t="str">
        <f>[1]BASE!D124</f>
        <v>Exercício Descentralizado</v>
      </c>
      <c r="E121" s="257" t="str">
        <f>[1]BASE!E124</f>
        <v>ME - Ministério da Economia</v>
      </c>
      <c r="F121" s="258" t="str">
        <f>[1]BASE!F124</f>
        <v>FCPE 102.2</v>
      </c>
      <c r="G121" s="258" t="str">
        <f>[1]BASE!G124</f>
        <v xml:space="preserve"> </v>
      </c>
      <c r="H121" s="257" t="str">
        <f>[1]BASE!H124</f>
        <v>SPG / DEPARTAMENTO DE GÁS NATURAL - DGN</v>
      </c>
      <c r="I121" s="260" t="str">
        <f>[1]BASE!I124</f>
        <v>11.102.000</v>
      </c>
    </row>
    <row r="122" spans="1:9" x14ac:dyDescent="0.25">
      <c r="A122" s="257" t="str">
        <f>[1]BASE!A125</f>
        <v>DANIELE DE OLIVEIRA BANDEIRA</v>
      </c>
      <c r="B122" s="258">
        <f>[1]BASE!B125</f>
        <v>1433965</v>
      </c>
      <c r="C122" s="257" t="str">
        <f>[1]BASE!C125</f>
        <v>Sem Cargo/Emprego</v>
      </c>
      <c r="D122" s="258" t="str">
        <f>[1]BASE!D125</f>
        <v>Sem Vínculo</v>
      </c>
      <c r="E122" s="257" t="str">
        <f>[1]BASE!E125</f>
        <v>Sem Vínculo</v>
      </c>
      <c r="F122" s="258" t="str">
        <f>[1]BASE!F125</f>
        <v>DAS 102.3</v>
      </c>
      <c r="G122" s="258" t="str">
        <f>[1]BASE!G125</f>
        <v xml:space="preserve"> </v>
      </c>
      <c r="H122" s="257" t="str">
        <f>[1]BASE!H125</f>
        <v>SPE / DIEE / COORDENAÇÃO GERAL DE INFORMAÇÕES ENERGÉTICAS</v>
      </c>
      <c r="I122" s="260" t="str">
        <f>[1]BASE!I125</f>
        <v>10.104.100</v>
      </c>
    </row>
    <row r="123" spans="1:9" x14ac:dyDescent="0.25">
      <c r="A123" s="257" t="str">
        <f>[1]BASE!A126</f>
        <v>DANIELLE GONCALVES BRITTO</v>
      </c>
      <c r="B123" s="258">
        <f>[1]BASE!B126</f>
        <v>3133022</v>
      </c>
      <c r="C123" s="257" t="str">
        <f>[1]BASE!C126</f>
        <v>Marinha</v>
      </c>
      <c r="D123" s="258" t="str">
        <f>[1]BASE!D126</f>
        <v>Requisitado Militar</v>
      </c>
      <c r="E123" s="257" t="str">
        <f>[1]BASE!E126</f>
        <v>Marinha</v>
      </c>
      <c r="F123" s="258" t="str">
        <f>[1]BASE!F126</f>
        <v>DAS 102.3</v>
      </c>
      <c r="G123" s="258" t="str">
        <f>[1]BASE!G126</f>
        <v xml:space="preserve"> </v>
      </c>
      <c r="H123" s="257" t="str">
        <f>[1]BASE!H126</f>
        <v>Escritório Rio de Janeiro/RJ</v>
      </c>
      <c r="I123" s="260" t="str">
        <f>[1]BASE!I126</f>
        <v>99.000.000</v>
      </c>
    </row>
    <row r="124" spans="1:9" x14ac:dyDescent="0.25">
      <c r="A124" s="257" t="str">
        <f>[1]BASE!A127</f>
        <v>DANIELLE LANCHARES ORNELAS</v>
      </c>
      <c r="B124" s="258">
        <f>[1]BASE!B127</f>
        <v>1650027</v>
      </c>
      <c r="C124" s="257" t="str">
        <f>[1]BASE!C127</f>
        <v>Especialista em Regulamentação de Petróleo e Der Alc Com e Gás Natural</v>
      </c>
      <c r="D124" s="258" t="str">
        <f>[1]BASE!D127</f>
        <v>Requisitado de Órgãos</v>
      </c>
      <c r="E124" s="257" t="str">
        <f>[1]BASE!E127</f>
        <v>ANP - Agência Nacional do Petróleo, Gás Natural e Biocombustíveis</v>
      </c>
      <c r="F124" s="258" t="str">
        <f>[1]BASE!F127</f>
        <v>DAS 101.4</v>
      </c>
      <c r="G124" s="258" t="str">
        <f>[1]BASE!G127</f>
        <v xml:space="preserve"> </v>
      </c>
      <c r="H124" s="257" t="str">
        <f>[1]BASE!H127</f>
        <v>SPG / DCDP / COORDENAÇÃO GERAL DE REFINO, ABASTECIMENTO ......</v>
      </c>
      <c r="I124" s="260" t="str">
        <f>[1]BASE!I127</f>
        <v>11.103.200</v>
      </c>
    </row>
    <row r="125" spans="1:9" x14ac:dyDescent="0.25">
      <c r="A125" s="257" t="str">
        <f>[1]BASE!A128</f>
        <v>DANIELLE SIMOES GUIMARAES</v>
      </c>
      <c r="B125" s="258">
        <f>[1]BASE!B128</f>
        <v>2444145</v>
      </c>
      <c r="C125" s="257" t="str">
        <f>[1]BASE!C128</f>
        <v>Sem Cargo/Emprego</v>
      </c>
      <c r="D125" s="258" t="str">
        <f>[1]BASE!D128</f>
        <v>Sem Vínculo</v>
      </c>
      <c r="E125" s="257" t="str">
        <f>[1]BASE!E128</f>
        <v>Sem Vínculo</v>
      </c>
      <c r="F125" s="258" t="str">
        <f>[1]BASE!F128</f>
        <v>DAS 102.4</v>
      </c>
      <c r="G125" s="258" t="str">
        <f>[1]BASE!G128</f>
        <v xml:space="preserve"> </v>
      </c>
      <c r="H125" s="257" t="str">
        <f>[1]BASE!H128</f>
        <v>ASSESSORIA ESPECIAL DE RELAÇÕES INTERNACIONAIS - ASSINT</v>
      </c>
      <c r="I125" s="260" t="str">
        <f>[1]BASE!I128</f>
        <v>3.000.000</v>
      </c>
    </row>
    <row r="126" spans="1:9" x14ac:dyDescent="0.25">
      <c r="A126" s="257" t="str">
        <f>[1]BASE!A129</f>
        <v>DARIO SPEGIORIN SILVEIRA</v>
      </c>
      <c r="B126" s="258">
        <f>[1]BASE!B129</f>
        <v>2499671</v>
      </c>
      <c r="C126" s="257" t="str">
        <f>[1]BASE!C129</f>
        <v>Advogado da União</v>
      </c>
      <c r="D126" s="258" t="str">
        <f>[1]BASE!D129</f>
        <v>Exercício Descentralizado</v>
      </c>
      <c r="E126" s="257" t="str">
        <f>[1]BASE!E129</f>
        <v>AGU - Advocacia Geral da União</v>
      </c>
      <c r="F126" s="258" t="str">
        <f>[1]BASE!F129</f>
        <v>FCPE 102.3</v>
      </c>
      <c r="G126" s="258" t="str">
        <f>[1]BASE!G129</f>
        <v xml:space="preserve"> </v>
      </c>
      <c r="H126" s="257" t="str">
        <f>[1]BASE!H129</f>
        <v>CONJUR / CHEFIA DE GABINETE CONJUR</v>
      </c>
      <c r="I126" s="260" t="str">
        <f>[1]BASE!I129</f>
        <v>7.100.000</v>
      </c>
    </row>
    <row r="127" spans="1:9" x14ac:dyDescent="0.25">
      <c r="A127" s="257" t="str">
        <f>[1]BASE!A130</f>
        <v>DEIVSON MATOS TIMBÓ</v>
      </c>
      <c r="B127" s="258">
        <f>[1]BASE!B130</f>
        <v>2661231</v>
      </c>
      <c r="C127" s="257" t="str">
        <f>[1]BASE!C130</f>
        <v>Analista de Infraestrutura</v>
      </c>
      <c r="D127" s="258" t="str">
        <f>[1]BASE!D130</f>
        <v>Exercício Descentralizado</v>
      </c>
      <c r="E127" s="257" t="str">
        <f>[1]BASE!E130</f>
        <v>ME - Ministério da Economia</v>
      </c>
      <c r="F127" s="258" t="str">
        <f>[1]BASE!F130</f>
        <v>DAS 101.4</v>
      </c>
      <c r="G127" s="258" t="str">
        <f>[1]BASE!G130</f>
        <v xml:space="preserve"> </v>
      </c>
      <c r="H127" s="257" t="str">
        <f>[1]BASE!H130</f>
        <v>SPG / DCDP / COORDENAÇÃO GERAL DE ACOMPANHAMENTO DO MERCADO</v>
      </c>
      <c r="I127" s="260" t="str">
        <f>[1]BASE!I130</f>
        <v>11.103.100</v>
      </c>
    </row>
    <row r="128" spans="1:9" x14ac:dyDescent="0.25">
      <c r="A128" s="257" t="str">
        <f>[1]BASE!A131</f>
        <v>DENIS DE MOURA SOARES</v>
      </c>
      <c r="B128" s="258">
        <f>[1]BASE!B131</f>
        <v>1334799</v>
      </c>
      <c r="C128" s="257" t="str">
        <f>[1]BASE!C131</f>
        <v>Analista de Planejamento e Orçamento</v>
      </c>
      <c r="D128" s="258" t="str">
        <f>[1]BASE!D131</f>
        <v>Requisitado de Órgãos</v>
      </c>
      <c r="E128" s="257" t="str">
        <f>[1]BASE!E131</f>
        <v>ME - Ministério da Economia</v>
      </c>
      <c r="F128" s="258" t="str">
        <f>[1]BASE!F131</f>
        <v>DAS 101.5</v>
      </c>
      <c r="G128" s="258" t="str">
        <f>[1]BASE!G131</f>
        <v xml:space="preserve"> </v>
      </c>
      <c r="H128" s="257" t="str">
        <f>[1]BASE!H131</f>
        <v>SE / ASSESSORIA ESPECIAL DE GESTÃO DE PROJETOS - AEGP</v>
      </c>
      <c r="I128" s="260" t="str">
        <f>[1]BASE!I131</f>
        <v>8.103.000</v>
      </c>
    </row>
    <row r="129" spans="1:9" x14ac:dyDescent="0.25">
      <c r="A129" s="257" t="str">
        <f>[1]BASE!A132</f>
        <v>DENIZE VALENTIM</v>
      </c>
      <c r="B129" s="258">
        <f>[1]BASE!B132</f>
        <v>1678550</v>
      </c>
      <c r="C129" s="257" t="str">
        <f>[1]BASE!C132</f>
        <v>Auxiliar Codificação e Conferência</v>
      </c>
      <c r="D129" s="258" t="str">
        <f>[1]BASE!D132</f>
        <v>Anistiado MME</v>
      </c>
      <c r="E129" s="257" t="str">
        <f>[1]BASE!E132</f>
        <v>MME - Ministério de Minas e Energia</v>
      </c>
      <c r="F129" s="258" t="str">
        <f>[1]BASE!F132</f>
        <v xml:space="preserve"> </v>
      </c>
      <c r="G129" s="258" t="str">
        <f>[1]BASE!G132</f>
        <v xml:space="preserve"> </v>
      </c>
      <c r="H129" s="257" t="str">
        <f>[1]BASE!H132</f>
        <v>SE / SPOA / COORDENAÇÃO GERAL DE RECURSOS HUMANOS - CGRH</v>
      </c>
      <c r="I129" s="260" t="str">
        <f>[1]BASE!I132</f>
        <v>8.105.200</v>
      </c>
    </row>
    <row r="130" spans="1:9" x14ac:dyDescent="0.25">
      <c r="A130" s="257" t="str">
        <f>[1]BASE!A133</f>
        <v>DENNIS OTTO CHAMORRO ZELAYA</v>
      </c>
      <c r="B130" s="258">
        <f>[1]BASE!B133</f>
        <v>1669878</v>
      </c>
      <c r="C130" s="257" t="str">
        <f>[1]BASE!C133</f>
        <v>Analista de Sistema</v>
      </c>
      <c r="D130" s="258" t="str">
        <f>[1]BASE!D133</f>
        <v>Anistiado MME</v>
      </c>
      <c r="E130" s="257" t="str">
        <f>[1]BASE!E133</f>
        <v>MME - Ministério de Minas e Energia</v>
      </c>
      <c r="F130" s="258" t="str">
        <f>[1]BASE!F133</f>
        <v xml:space="preserve"> </v>
      </c>
      <c r="G130" s="258" t="str">
        <f>[1]BASE!G133</f>
        <v xml:space="preserve"> </v>
      </c>
      <c r="H130" s="257" t="str">
        <f>[1]BASE!H133</f>
        <v>Aguardando Lotação/Exercício</v>
      </c>
      <c r="I130" s="260" t="str">
        <f>[1]BASE!I133</f>
        <v>88.000.000</v>
      </c>
    </row>
    <row r="131" spans="1:9" x14ac:dyDescent="0.25">
      <c r="A131" s="257" t="str">
        <f>[1]BASE!A134</f>
        <v>DIANA BISPO DE JESUS</v>
      </c>
      <c r="B131" s="258">
        <f>[1]BASE!B134</f>
        <v>0</v>
      </c>
      <c r="C131" s="257" t="str">
        <f>[1]BASE!C134</f>
        <v>Sem Cargo/Emprego</v>
      </c>
      <c r="D131" s="258" t="str">
        <f>[1]BASE!D134</f>
        <v>Sem Vínculo</v>
      </c>
      <c r="E131" s="257" t="str">
        <f>[1]BASE!E134</f>
        <v>Sem Vínculo</v>
      </c>
      <c r="F131" s="258" t="str">
        <f>[1]BASE!F134</f>
        <v>DAS 102.2</v>
      </c>
      <c r="G131" s="258" t="str">
        <f>[1]BASE!G134</f>
        <v xml:space="preserve"> </v>
      </c>
      <c r="H131" s="257" t="str">
        <f>[1]BASE!H134</f>
        <v>GM / ASSESSORIA DE COMUNICAÇÃO SOCIAL - ASCOM</v>
      </c>
      <c r="I131" s="260" t="str">
        <f>[1]BASE!I134</f>
        <v>2.100.300</v>
      </c>
    </row>
    <row r="132" spans="1:9" x14ac:dyDescent="0.25">
      <c r="A132" s="257" t="str">
        <f>[1]BASE!A135</f>
        <v>DIMAS FIGUEIREDO NOBREGA</v>
      </c>
      <c r="B132" s="258">
        <f>[1]BASE!B135</f>
        <v>2230294</v>
      </c>
      <c r="C132" s="257" t="str">
        <f>[1]BASE!C135</f>
        <v>Codificador de Dados I</v>
      </c>
      <c r="D132" s="258" t="str">
        <f>[1]BASE!D135</f>
        <v>Anistiado MME</v>
      </c>
      <c r="E132" s="257" t="str">
        <f>[1]BASE!E135</f>
        <v>MME - Ministério de Minas e Energia</v>
      </c>
      <c r="F132" s="258" t="str">
        <f>[1]BASE!F135</f>
        <v xml:space="preserve"> </v>
      </c>
      <c r="G132" s="258" t="str">
        <f>[1]BASE!G135</f>
        <v xml:space="preserve"> </v>
      </c>
      <c r="H132" s="257" t="str">
        <f>[1]BASE!H135</f>
        <v>SE / SPOA / CGRL / COORDENAÇÃO DE ATIVIDADES GERAIS - COAGE</v>
      </c>
      <c r="I132" s="260" t="str">
        <f>[1]BASE!I135</f>
        <v>8.105.120</v>
      </c>
    </row>
    <row r="133" spans="1:9" x14ac:dyDescent="0.25">
      <c r="A133" s="257" t="str">
        <f>[1]BASE!A136</f>
        <v>DINALVA FEIJO DE MELO MENDES</v>
      </c>
      <c r="B133" s="258">
        <f>[1]BASE!B136</f>
        <v>2083513</v>
      </c>
      <c r="C133" s="257" t="str">
        <f>[1]BASE!C136</f>
        <v>Advogado</v>
      </c>
      <c r="D133" s="258" t="str">
        <f>[1]BASE!D136</f>
        <v>Anistiado MME</v>
      </c>
      <c r="E133" s="257" t="str">
        <f>[1]BASE!E136</f>
        <v>MME - Ministério de Minas e Energia</v>
      </c>
      <c r="F133" s="258" t="str">
        <f>[1]BASE!F136</f>
        <v xml:space="preserve"> </v>
      </c>
      <c r="G133" s="258" t="str">
        <f>[1]BASE!G136</f>
        <v xml:space="preserve"> </v>
      </c>
      <c r="H133" s="257" t="str">
        <f>[1]BASE!H136</f>
        <v>Aguardando Lotação/Exercício</v>
      </c>
      <c r="I133" s="260" t="str">
        <f>[1]BASE!I136</f>
        <v>88.000.000</v>
      </c>
    </row>
    <row r="134" spans="1:9" x14ac:dyDescent="0.25">
      <c r="A134" s="257" t="str">
        <f>[1]BASE!A137</f>
        <v>DIOGO SANTOS BALEEIRO</v>
      </c>
      <c r="B134" s="258">
        <f>[1]BASE!B137</f>
        <v>2659082</v>
      </c>
      <c r="C134" s="257" t="str">
        <f>[1]BASE!C137</f>
        <v>Analista de Infraestrutura</v>
      </c>
      <c r="D134" s="258" t="str">
        <f>[1]BASE!D137</f>
        <v>Exercício Descentralizado</v>
      </c>
      <c r="E134" s="257" t="str">
        <f>[1]BASE!E137</f>
        <v>ME - Ministério da Economia</v>
      </c>
      <c r="F134" s="258" t="str">
        <f>[1]BASE!F137</f>
        <v>FCPE 102.2</v>
      </c>
      <c r="G134" s="258" t="str">
        <f>[1]BASE!G137</f>
        <v xml:space="preserve"> </v>
      </c>
      <c r="H134" s="257" t="str">
        <f>[1]BASE!H137</f>
        <v>SPG / DEPARTAMENTO DE POLÍTICA DE EXPLORAÇÃO E PRODUÇÃO DE PETRÓLEO E GÁS NATURAL - DPGN</v>
      </c>
      <c r="I134" s="260" t="str">
        <f>[1]BASE!I137</f>
        <v>11.101.000</v>
      </c>
    </row>
    <row r="135" spans="1:9" x14ac:dyDescent="0.25">
      <c r="A135" s="257" t="str">
        <f>[1]BASE!A138</f>
        <v>DIONE MACEDO</v>
      </c>
      <c r="B135" s="258">
        <f>[1]BASE!B138</f>
        <v>1583128</v>
      </c>
      <c r="C135" s="257" t="str">
        <f>[1]BASE!C138</f>
        <v>Sem Cargo/Emprego</v>
      </c>
      <c r="D135" s="258" t="str">
        <f>[1]BASE!D138</f>
        <v>Sem Vínculo</v>
      </c>
      <c r="E135" s="257" t="str">
        <f>[1]BASE!E138</f>
        <v>Sem Vínculo</v>
      </c>
      <c r="F135" s="258" t="str">
        <f>[1]BASE!F138</f>
        <v>DAS 101.4</v>
      </c>
      <c r="G135" s="258" t="str">
        <f>[1]BASE!G138</f>
        <v xml:space="preserve"> </v>
      </c>
      <c r="H135" s="257" t="str">
        <f>[1]BASE!H138</f>
        <v>SGM / DDM / COORDENAÇÃO GERAL DE DESENVOLVIMENTO SOCIOAMBIENTAL NA MINERAÇÃO</v>
      </c>
      <c r="I135" s="260" t="str">
        <f>[1]BASE!I138</f>
        <v>9.104.100</v>
      </c>
    </row>
    <row r="136" spans="1:9" x14ac:dyDescent="0.25">
      <c r="A136" s="257" t="str">
        <f>[1]BASE!A139</f>
        <v>DOMINGOS ROMEU ANDREATTA</v>
      </c>
      <c r="B136" s="258">
        <f>[1]BASE!B139</f>
        <v>1495892</v>
      </c>
      <c r="C136" s="257" t="str">
        <f>[1]BASE!C139</f>
        <v>Engenheiro</v>
      </c>
      <c r="D136" s="258" t="str">
        <f>[1]BASE!D139</f>
        <v>Requisitado de Empresa</v>
      </c>
      <c r="E136" s="257" t="str">
        <f>[1]BASE!E139</f>
        <v>ELETROSUL - Companhia de Geração e Transmissão de Energia Elétrica do Sul do Brasil</v>
      </c>
      <c r="F136" s="258" t="str">
        <f>[1]BASE!F139</f>
        <v>DAS 101.5</v>
      </c>
      <c r="G136" s="258" t="str">
        <f>[1]BASE!G139</f>
        <v xml:space="preserve"> </v>
      </c>
      <c r="H136" s="257" t="str">
        <f>[1]BASE!H139</f>
        <v>SEE / CHEFIA DE GABINETE SEE</v>
      </c>
      <c r="I136" s="260" t="str">
        <f>[1]BASE!I139</f>
        <v>12.100.000</v>
      </c>
    </row>
    <row r="137" spans="1:9" x14ac:dyDescent="0.25">
      <c r="A137" s="257" t="str">
        <f>[1]BASE!A140</f>
        <v>EDNA PATRICIA DE SENA</v>
      </c>
      <c r="B137" s="258">
        <f>[1]BASE!B140</f>
        <v>1669537</v>
      </c>
      <c r="C137" s="257" t="str">
        <f>[1]BASE!C140</f>
        <v>Escriturário III</v>
      </c>
      <c r="D137" s="258" t="str">
        <f>[1]BASE!D140</f>
        <v>Anistiado MME</v>
      </c>
      <c r="E137" s="257" t="str">
        <f>[1]BASE!E140</f>
        <v>MME - Ministério de Minas e Energia</v>
      </c>
      <c r="F137" s="258" t="str">
        <f>[1]BASE!F140</f>
        <v xml:space="preserve"> </v>
      </c>
      <c r="G137" s="258" t="str">
        <f>[1]BASE!G140</f>
        <v xml:space="preserve"> </v>
      </c>
      <c r="H137" s="257" t="str">
        <f>[1]BASE!H140</f>
        <v>SE / SPOA / CGRH / COORDENAÇÃO DE DESENVOLVIMENTO E SEGURIDADE SOCIAL - CODES</v>
      </c>
      <c r="I137" s="260" t="str">
        <f>[1]BASE!I140</f>
        <v>8.105.220</v>
      </c>
    </row>
    <row r="138" spans="1:9" x14ac:dyDescent="0.25">
      <c r="A138" s="257" t="str">
        <f>[1]BASE!A141</f>
        <v>EDUARDO JOSÉ FERNANDES PRATA</v>
      </c>
      <c r="B138" s="258">
        <f>[1]BASE!B141</f>
        <v>455167</v>
      </c>
      <c r="C138" s="257" t="str">
        <f>[1]BASE!C141</f>
        <v>Administrador</v>
      </c>
      <c r="D138" s="258" t="str">
        <f>[1]BASE!D141</f>
        <v>Ativo Permanente</v>
      </c>
      <c r="E138" s="257" t="str">
        <f>[1]BASE!E141</f>
        <v>MME - Ministério de Minas e Energia</v>
      </c>
      <c r="F138" s="258" t="str">
        <f>[1]BASE!F141</f>
        <v>FCPE 102.1</v>
      </c>
      <c r="G138" s="258" t="str">
        <f>[1]BASE!G141</f>
        <v>GSISTE Superior</v>
      </c>
      <c r="H138" s="257" t="str">
        <f>[1]BASE!H141</f>
        <v>SE / SPOA / COORDENAÇÃO DE MODERNIZAÇÃO ADMINISTRATIVA - CMA</v>
      </c>
      <c r="I138" s="260" t="str">
        <f>[1]BASE!I141</f>
        <v>8.105.010</v>
      </c>
    </row>
    <row r="139" spans="1:9" x14ac:dyDescent="0.25">
      <c r="A139" s="257" t="str">
        <f>[1]BASE!A142</f>
        <v>EDUARDO SOUZA GRIVOT DE GRAND COURT</v>
      </c>
      <c r="B139" s="258">
        <f>[1]BASE!B142</f>
        <v>3204382</v>
      </c>
      <c r="C139" s="257" t="str">
        <f>[1]BASE!C142</f>
        <v>Sem Cargo/Emprego</v>
      </c>
      <c r="D139" s="258" t="str">
        <f>[1]BASE!D142</f>
        <v>Sem Vínculo</v>
      </c>
      <c r="E139" s="257" t="str">
        <f>[1]BASE!E142</f>
        <v>S/VÍNCULO</v>
      </c>
      <c r="F139" s="258" t="str">
        <f>[1]BASE!F142</f>
        <v>DAS 102.4</v>
      </c>
      <c r="G139" s="258" t="str">
        <f>[1]BASE!G142</f>
        <v xml:space="preserve"> </v>
      </c>
      <c r="H139" s="257" t="str">
        <f>[1]BASE!H142</f>
        <v>SE / ASSESSORIA ESPECIAL DE GESTÃO ESTRATÉGICA - AEGE</v>
      </c>
      <c r="I139" s="260" t="str">
        <f>[1]BASE!I142</f>
        <v>8.101.000</v>
      </c>
    </row>
    <row r="140" spans="1:9" x14ac:dyDescent="0.25">
      <c r="A140" s="257" t="str">
        <f>[1]BASE!A143</f>
        <v>EDVANDA BARBOSA DA SILVA MELO</v>
      </c>
      <c r="B140" s="258">
        <f>[1]BASE!B143</f>
        <v>451530</v>
      </c>
      <c r="C140" s="257" t="str">
        <f>[1]BASE!C143</f>
        <v>Datilógrafo</v>
      </c>
      <c r="D140" s="258" t="str">
        <f>[1]BASE!D143</f>
        <v>Ativo Permanente</v>
      </c>
      <c r="E140" s="257" t="str">
        <f>[1]BASE!E143</f>
        <v>MME - Ministério de Minas e Energia</v>
      </c>
      <c r="F140" s="258" t="str">
        <f>[1]BASE!F143</f>
        <v xml:space="preserve"> </v>
      </c>
      <c r="G140" s="258" t="str">
        <f>[1]BASE!G143</f>
        <v>GSISTE Intermediário</v>
      </c>
      <c r="H140" s="257" t="str">
        <f>[1]BASE!H143</f>
        <v>SE / SPOA / CGRL / COORDENAÇÃO DE ATIVIDADES GERAIS - COAGE</v>
      </c>
      <c r="I140" s="260" t="str">
        <f>[1]BASE!I143</f>
        <v>8.105.120</v>
      </c>
    </row>
    <row r="141" spans="1:9" x14ac:dyDescent="0.25">
      <c r="A141" s="257" t="str">
        <f>[1]BASE!A144</f>
        <v>ELEAZAR HEPNER</v>
      </c>
      <c r="B141" s="258">
        <f>[1]BASE!B144</f>
        <v>1800748</v>
      </c>
      <c r="C141" s="257" t="str">
        <f>[1]BASE!C144</f>
        <v>Analista de Infraestrutura</v>
      </c>
      <c r="D141" s="258" t="str">
        <f>[1]BASE!D144</f>
        <v>Exercício Descentralizado</v>
      </c>
      <c r="E141" s="257" t="str">
        <f>[1]BASE!E144</f>
        <v>ME - Ministério da Economia</v>
      </c>
      <c r="F141" s="258" t="str">
        <f>[1]BASE!F144</f>
        <v xml:space="preserve"> </v>
      </c>
      <c r="G141" s="258" t="str">
        <f>[1]BASE!G144</f>
        <v xml:space="preserve"> </v>
      </c>
      <c r="H141" s="257" t="str">
        <f>[1]BASE!H144</f>
        <v>SPG / DEPARTAMENTO DE GÁS NATURAL - DGN</v>
      </c>
      <c r="I141" s="260" t="str">
        <f>[1]BASE!I144</f>
        <v>11.102.000</v>
      </c>
    </row>
    <row r="142" spans="1:9" x14ac:dyDescent="0.25">
      <c r="A142" s="257" t="str">
        <f>[1]BASE!A145</f>
        <v>ELIAS PEREIRA</v>
      </c>
      <c r="B142" s="258">
        <f>[1]BASE!B145</f>
        <v>455294</v>
      </c>
      <c r="C142" s="257" t="str">
        <f>[1]BASE!C145</f>
        <v>Agente de Portaria</v>
      </c>
      <c r="D142" s="258" t="str">
        <f>[1]BASE!D145</f>
        <v>Ativo Permanente</v>
      </c>
      <c r="E142" s="257" t="str">
        <f>[1]BASE!E145</f>
        <v>MME - Ministério de Minas e Energia</v>
      </c>
      <c r="F142" s="258" t="str">
        <f>[1]BASE!F145</f>
        <v>FCT 2</v>
      </c>
      <c r="G142" s="258" t="str">
        <f>[1]BASE!G145</f>
        <v xml:space="preserve"> </v>
      </c>
      <c r="H142" s="257" t="str">
        <f>[1]BASE!H145</f>
        <v>SE / SPOA / CGRH / COORDENAÇÃO DE DESENVOLVIMENTO E SEGURIDADE SOCIAL - CODES</v>
      </c>
      <c r="I142" s="260" t="str">
        <f>[1]BASE!I145</f>
        <v>8.105.220</v>
      </c>
    </row>
    <row r="143" spans="1:9" x14ac:dyDescent="0.25">
      <c r="A143" s="257" t="str">
        <f>[1]BASE!A146</f>
        <v>ELIS REGINA PIRES GARCIA</v>
      </c>
      <c r="B143" s="258">
        <f>[1]BASE!B146</f>
        <v>455221</v>
      </c>
      <c r="C143" s="257" t="str">
        <f>[1]BASE!C146</f>
        <v>Agente Administrativo</v>
      </c>
      <c r="D143" s="258" t="str">
        <f>[1]BASE!D146</f>
        <v>Ativo Permanente</v>
      </c>
      <c r="E143" s="257" t="str">
        <f>[1]BASE!E146</f>
        <v>MME - Ministério de Minas e Energia</v>
      </c>
      <c r="F143" s="258" t="str">
        <f>[1]BASE!F146</f>
        <v>FCPE 102.2</v>
      </c>
      <c r="G143" s="258" t="str">
        <f>[1]BASE!G146</f>
        <v xml:space="preserve"> </v>
      </c>
      <c r="H143" s="257" t="str">
        <f>[1]BASE!H146</f>
        <v>GM / ASTAD / COORDENAÇÃO DE ATIVIDADES ADMINISTRATIVAS</v>
      </c>
      <c r="I143" s="260" t="str">
        <f>[1]BASE!I146</f>
        <v>2.100.101</v>
      </c>
    </row>
    <row r="144" spans="1:9" x14ac:dyDescent="0.25">
      <c r="A144" s="257" t="str">
        <f>[1]BASE!A147</f>
        <v>ELISANGELA APARECIDA FERNANDES</v>
      </c>
      <c r="B144" s="258">
        <f>[1]BASE!B147</f>
        <v>1331098</v>
      </c>
      <c r="C144" s="257" t="str">
        <f>[1]BASE!C147</f>
        <v>Sem Cargo/Emprego</v>
      </c>
      <c r="D144" s="258" t="str">
        <f>[1]BASE!D147</f>
        <v>Sem Vínculo</v>
      </c>
      <c r="E144" s="257" t="str">
        <f>[1]BASE!E147</f>
        <v>Sem Vínculo</v>
      </c>
      <c r="F144" s="258" t="str">
        <f>[1]BASE!F147</f>
        <v>DAS 102.1</v>
      </c>
      <c r="G144" s="258" t="str">
        <f>[1]BASE!G147</f>
        <v xml:space="preserve"> </v>
      </c>
      <c r="H144" s="257" t="str">
        <f>[1]BASE!H147</f>
        <v>GM / ASSESSORIA PARLAMENTAR - ASPAR</v>
      </c>
      <c r="I144" s="260" t="str">
        <f>[1]BASE!I147</f>
        <v>2.100.200</v>
      </c>
    </row>
    <row r="145" spans="1:9" x14ac:dyDescent="0.25">
      <c r="A145" s="257" t="str">
        <f>[1]BASE!A148</f>
        <v>ELIZABETE TEIXEIRA SA FREIRE DE ABREU</v>
      </c>
      <c r="B145" s="258">
        <f>[1]BASE!B148</f>
        <v>266924</v>
      </c>
      <c r="C145" s="257" t="str">
        <f>[1]BASE!C148</f>
        <v>Enfermeiro</v>
      </c>
      <c r="D145" s="258" t="str">
        <f>[1]BASE!D148</f>
        <v>Ativo Permanente</v>
      </c>
      <c r="E145" s="257" t="str">
        <f>[1]BASE!E148</f>
        <v>MME - Ministério de Minas e Energia</v>
      </c>
      <c r="F145" s="258" t="str">
        <f>[1]BASE!F148</f>
        <v>FCT 3</v>
      </c>
      <c r="G145" s="258" t="str">
        <f>[1]BASE!G148</f>
        <v>GSISTE Superior</v>
      </c>
      <c r="H145" s="257" t="str">
        <f>[1]BASE!H148</f>
        <v>SE / SPOA / CGRH / COORDENAÇÃO DE DESENVOLVIMENTO E SEGURIDADE SOCIAL - CODES</v>
      </c>
      <c r="I145" s="260" t="str">
        <f>[1]BASE!I148</f>
        <v>8.105.220</v>
      </c>
    </row>
    <row r="146" spans="1:9" x14ac:dyDescent="0.25">
      <c r="A146" s="257" t="str">
        <f>[1]BASE!A149</f>
        <v>ELIZABETH NOGUEIRA</v>
      </c>
      <c r="B146" s="258">
        <f>[1]BASE!B149</f>
        <v>1587079</v>
      </c>
      <c r="C146" s="257" t="str">
        <f>[1]BASE!C149</f>
        <v>Escriturário IV</v>
      </c>
      <c r="D146" s="258" t="str">
        <f>[1]BASE!D149</f>
        <v>Anistiado MME</v>
      </c>
      <c r="E146" s="257" t="str">
        <f>[1]BASE!E149</f>
        <v>MME - Ministério de Minas e Energia</v>
      </c>
      <c r="F146" s="258" t="str">
        <f>[1]BASE!F149</f>
        <v xml:space="preserve"> </v>
      </c>
      <c r="G146" s="258" t="str">
        <f>[1]BASE!G149</f>
        <v xml:space="preserve"> </v>
      </c>
      <c r="H146" s="257" t="str">
        <f>[1]BASE!H149</f>
        <v>SE / SPOA / CGRH / COORDENAÇÃO DE ADMINISTRAÇÃO DE PESSOAL - CAPES</v>
      </c>
      <c r="I146" s="260" t="str">
        <f>[1]BASE!I149</f>
        <v>8.105.210</v>
      </c>
    </row>
    <row r="147" spans="1:9" x14ac:dyDescent="0.25">
      <c r="A147" s="257" t="str">
        <f>[1]BASE!A150</f>
        <v>ELIZABETH TAYLOR SOUSA MENESES DE AGUIAR</v>
      </c>
      <c r="B147" s="258">
        <f>[1]BASE!B150</f>
        <v>1494863</v>
      </c>
      <c r="C147" s="257" t="str">
        <f>[1]BASE!C150</f>
        <v>Sem Cargo/Emprego</v>
      </c>
      <c r="D147" s="258" t="str">
        <f>[1]BASE!D150</f>
        <v>Sem Vínculo</v>
      </c>
      <c r="E147" s="257" t="str">
        <f>[1]BASE!E150</f>
        <v>Sem Vínculo</v>
      </c>
      <c r="F147" s="258" t="str">
        <f>[1]BASE!F150</f>
        <v>DAS 102.2</v>
      </c>
      <c r="G147" s="258" t="str">
        <f>[1]BASE!G150</f>
        <v xml:space="preserve"> </v>
      </c>
      <c r="H147" s="257" t="str">
        <f>[1]BASE!H150</f>
        <v>CONJUR / CGAA / COORDENAÇÃO DE APOIO ADMINISTRATIVO</v>
      </c>
      <c r="I147" s="260" t="str">
        <f>[1]BASE!I150</f>
        <v>7.100.310</v>
      </c>
    </row>
    <row r="148" spans="1:9" x14ac:dyDescent="0.25">
      <c r="A148" s="257" t="str">
        <f>[1]BASE!A151</f>
        <v>ELIZANE VELOZO COSTA GUEDES</v>
      </c>
      <c r="B148" s="258">
        <f>[1]BASE!B151</f>
        <v>1095447</v>
      </c>
      <c r="C148" s="257" t="str">
        <f>[1]BASE!C151</f>
        <v>Agente Administrativo</v>
      </c>
      <c r="D148" s="258" t="str">
        <f>[1]BASE!D151</f>
        <v>Ativo Permanente</v>
      </c>
      <c r="E148" s="257" t="str">
        <f>[1]BASE!E151</f>
        <v>MME - Ministério de Minas e Energia</v>
      </c>
      <c r="F148" s="258" t="str">
        <f>[1]BASE!F151</f>
        <v>DAS 101.3</v>
      </c>
      <c r="G148" s="258" t="str">
        <f>[1]BASE!G151</f>
        <v>GSISTE Intermediário (MPAAC)</v>
      </c>
      <c r="H148" s="257" t="str">
        <f>[1]BASE!H151</f>
        <v>SE / SPOA / CGOF / COORDENAÇÃO DE CONTABILIDADE - CONT</v>
      </c>
      <c r="I148" s="260" t="str">
        <f>[1]BASE!I151</f>
        <v>8.105.520</v>
      </c>
    </row>
    <row r="149" spans="1:9" x14ac:dyDescent="0.25">
      <c r="A149" s="257" t="str">
        <f>[1]BASE!A152</f>
        <v>ELZA MARIA DA ROCHA</v>
      </c>
      <c r="B149" s="258">
        <f>[1]BASE!B152</f>
        <v>1669651</v>
      </c>
      <c r="C149" s="257" t="str">
        <f>[1]BASE!C152</f>
        <v>Auxiliar de Biblioteca</v>
      </c>
      <c r="D149" s="258" t="str">
        <f>[1]BASE!D152</f>
        <v>Anistiado MME</v>
      </c>
      <c r="E149" s="257" t="str">
        <f>[1]BASE!E152</f>
        <v>MME - Ministério de Minas e Energia</v>
      </c>
      <c r="F149" s="258" t="str">
        <f>[1]BASE!F152</f>
        <v xml:space="preserve"> </v>
      </c>
      <c r="G149" s="258" t="str">
        <f>[1]BASE!G152</f>
        <v xml:space="preserve"> </v>
      </c>
      <c r="H149" s="257" t="str">
        <f>[1]BASE!H152</f>
        <v>SE / SPOA / CGRH / COORDENAÇÃO DE DESENVOLVIMENTO E SEGURIDADE SOCIAL - CODES</v>
      </c>
      <c r="I149" s="260" t="str">
        <f>[1]BASE!I152</f>
        <v>8.105.220</v>
      </c>
    </row>
    <row r="150" spans="1:9" x14ac:dyDescent="0.25">
      <c r="A150" s="257" t="str">
        <f>[1]BASE!A153</f>
        <v>EMANOELLE DE OLIVEIRA LIMA</v>
      </c>
      <c r="B150" s="258">
        <f>[1]BASE!B153</f>
        <v>1461010</v>
      </c>
      <c r="C150" s="257" t="str">
        <f>[1]BASE!C153</f>
        <v>Sem Cargo/Emprego</v>
      </c>
      <c r="D150" s="258" t="str">
        <f>[1]BASE!D153</f>
        <v>Sem Vínculo</v>
      </c>
      <c r="E150" s="257" t="str">
        <f>[1]BASE!E153</f>
        <v>Sem Vínculo</v>
      </c>
      <c r="F150" s="258" t="str">
        <f>[1]BASE!F153</f>
        <v>DAS 102.3</v>
      </c>
      <c r="G150" s="258" t="str">
        <f>[1]BASE!G153</f>
        <v xml:space="preserve"> </v>
      </c>
      <c r="H150" s="257" t="str">
        <f>[1]BASE!H153</f>
        <v>SEE / DMSE / COORDENAÇÃO GERAL DE MONITORAMENTO DA EXPANSÃO DA TRANSMISSÃO</v>
      </c>
      <c r="I150" s="260" t="str">
        <f>[1]BASE!I153</f>
        <v>12.102.200</v>
      </c>
    </row>
    <row r="151" spans="1:9" x14ac:dyDescent="0.25">
      <c r="A151" s="257" t="str">
        <f>[1]BASE!A154</f>
        <v>EMIDIO JOSE DA SILVA NETO</v>
      </c>
      <c r="B151" s="258">
        <f>[1]BASE!B154</f>
        <v>1280722</v>
      </c>
      <c r="C151" s="257" t="str">
        <f>[1]BASE!C154</f>
        <v>Escriturário</v>
      </c>
      <c r="D151" s="258" t="str">
        <f>[1]BASE!D154</f>
        <v>Anistiado MME</v>
      </c>
      <c r="E151" s="257" t="str">
        <f>[1]BASE!E154</f>
        <v>MME - Ministério de Minas e Energia</v>
      </c>
      <c r="F151" s="258" t="str">
        <f>[1]BASE!F154</f>
        <v xml:space="preserve"> </v>
      </c>
      <c r="G151" s="258" t="str">
        <f>[1]BASE!G154</f>
        <v xml:space="preserve"> </v>
      </c>
      <c r="H151" s="257" t="str">
        <f>[1]BASE!H154</f>
        <v>SEE / DGSE / COORDENAÇÃO GERAL DE GESTÃO DA COMERCIALIZAÇÃO DE ENERGIA</v>
      </c>
      <c r="I151" s="260" t="str">
        <f>[1]BASE!I154</f>
        <v>12.101.100</v>
      </c>
    </row>
    <row r="152" spans="1:9" x14ac:dyDescent="0.25">
      <c r="A152" s="257" t="str">
        <f>[1]BASE!A155</f>
        <v>ENIR SEBASTIAO MENDES</v>
      </c>
      <c r="B152" s="258">
        <f>[1]BASE!B155</f>
        <v>2663548</v>
      </c>
      <c r="C152" s="257" t="str">
        <f>[1]BASE!C155</f>
        <v>Analista de Infraestrutura</v>
      </c>
      <c r="D152" s="258" t="str">
        <f>[1]BASE!D155</f>
        <v>Exercício Descentralizado</v>
      </c>
      <c r="E152" s="257" t="str">
        <f>[1]BASE!E155</f>
        <v>ME - Ministério da Economia</v>
      </c>
      <c r="F152" s="258" t="str">
        <f>[1]BASE!F155</f>
        <v>DAS 101.5</v>
      </c>
      <c r="G152" s="258" t="str">
        <f>[1]BASE!G155</f>
        <v xml:space="preserve"> </v>
      </c>
      <c r="H152" s="257" t="str">
        <f>[1]BASE!H155</f>
        <v>SGM / DEPARTAMENTO DE TRANSFORMAÇÃO E TECNOLOGIA MINERAL - DTTM</v>
      </c>
      <c r="I152" s="260" t="str">
        <f>[1]BASE!I155</f>
        <v>9.103.000</v>
      </c>
    </row>
    <row r="153" spans="1:9" x14ac:dyDescent="0.25">
      <c r="A153" s="257" t="str">
        <f>[1]BASE!A156</f>
        <v>ERIKA FLAVIA PFEILSTICKER RIBAS</v>
      </c>
      <c r="B153" s="258">
        <f>[1]BASE!B156</f>
        <v>1095148</v>
      </c>
      <c r="C153" s="257" t="str">
        <f>[1]BASE!C156</f>
        <v>Agente Administrativo</v>
      </c>
      <c r="D153" s="258" t="str">
        <f>[1]BASE!D156</f>
        <v>Ativo Permanente</v>
      </c>
      <c r="E153" s="257" t="str">
        <f>[1]BASE!E156</f>
        <v>MME - Ministério de Minas e Energia</v>
      </c>
      <c r="F153" s="258" t="str">
        <f>[1]BASE!F156</f>
        <v>FCT 2</v>
      </c>
      <c r="G153" s="258" t="str">
        <f>[1]BASE!G156</f>
        <v>GSISTE Intermediário</v>
      </c>
      <c r="H153" s="257" t="str">
        <f>[1]BASE!H156</f>
        <v>SE / SPOA / COORDENAÇÃO GERAL DE RECURSOS HUMANOS - CGRH</v>
      </c>
      <c r="I153" s="260" t="str">
        <f>[1]BASE!I156</f>
        <v>8.105.200</v>
      </c>
    </row>
    <row r="154" spans="1:9" x14ac:dyDescent="0.25">
      <c r="A154" s="257" t="str">
        <f>[1]BASE!A157</f>
        <v>ERIKA TAVARES AGUIRRES</v>
      </c>
      <c r="B154" s="258">
        <f>[1]BASE!B157</f>
        <v>1586382</v>
      </c>
      <c r="C154" s="257" t="str">
        <f>[1]BASE!C157</f>
        <v>Sem Cargo/Emprego</v>
      </c>
      <c r="D154" s="258" t="str">
        <f>[1]BASE!D157</f>
        <v>Sem Vínculo</v>
      </c>
      <c r="E154" s="257" t="str">
        <f>[1]BASE!E157</f>
        <v>Sem Vínculo</v>
      </c>
      <c r="F154" s="258" t="str">
        <f>[1]BASE!F157</f>
        <v>DAS 102.2</v>
      </c>
      <c r="G154" s="258" t="str">
        <f>[1]BASE!G157</f>
        <v xml:space="preserve"> </v>
      </c>
      <c r="H154" s="257" t="str">
        <f>[1]BASE!H157</f>
        <v>SE / SPOA / CGCC / COORDENAÇÃO DE ADMINISTRAÇÃO DE CONTRATOS - CAC</v>
      </c>
      <c r="I154" s="260" t="str">
        <f>[1]BASE!I157</f>
        <v>8.105.410</v>
      </c>
    </row>
    <row r="155" spans="1:9" x14ac:dyDescent="0.25">
      <c r="A155" s="257" t="str">
        <f>[1]BASE!A158</f>
        <v>ERIVELTO FURTADO NEVES</v>
      </c>
      <c r="B155" s="258">
        <f>[1]BASE!B158</f>
        <v>452971</v>
      </c>
      <c r="C155" s="257" t="str">
        <f>[1]BASE!C158</f>
        <v>Técnico de Contabilidade</v>
      </c>
      <c r="D155" s="258" t="str">
        <f>[1]BASE!D158</f>
        <v>Ativo Permanente</v>
      </c>
      <c r="E155" s="257" t="str">
        <f>[1]BASE!E158</f>
        <v>MME - Ministério de Minas e Energia</v>
      </c>
      <c r="F155" s="258" t="str">
        <f>[1]BASE!F158</f>
        <v>FCPE 102.1</v>
      </c>
      <c r="G155" s="258" t="str">
        <f>[1]BASE!G158</f>
        <v xml:space="preserve"> </v>
      </c>
      <c r="H155" s="257" t="str">
        <f>[1]BASE!H158</f>
        <v>GM / ASTAD / COORDENAÇÃO DE ATIVIDADES ADMINISTRATIVAS</v>
      </c>
      <c r="I155" s="260" t="str">
        <f>[1]BASE!I158</f>
        <v>2.100.101</v>
      </c>
    </row>
    <row r="156" spans="1:9" x14ac:dyDescent="0.25">
      <c r="A156" s="257" t="str">
        <f>[1]BASE!A159</f>
        <v>ERLENE MARIA LIMA</v>
      </c>
      <c r="B156" s="258">
        <f>[1]BASE!B159</f>
        <v>3089519</v>
      </c>
      <c r="C156" s="257" t="str">
        <f>[1]BASE!C159</f>
        <v>Sem Cargo/Emprego</v>
      </c>
      <c r="D156" s="258" t="str">
        <f>[1]BASE!D159</f>
        <v>Sem Vínculo</v>
      </c>
      <c r="E156" s="257" t="str">
        <f>[1]BASE!E159</f>
        <v>Sem Vínculo</v>
      </c>
      <c r="F156" s="258" t="str">
        <f>[1]BASE!F159</f>
        <v>DAS 101.4</v>
      </c>
      <c r="G156" s="258" t="str">
        <f>[1]BASE!G159</f>
        <v xml:space="preserve"> </v>
      </c>
      <c r="H156" s="257" t="str">
        <f>[1]BASE!H159</f>
        <v>SGM / DPGM / COORDENAÇÃO GERAL DE MONITORAMENTO E CONTROLE DA GESTÃO DE PROGRAMA</v>
      </c>
      <c r="I156" s="260" t="str">
        <f>[1]BASE!I159</f>
        <v>9.101.200</v>
      </c>
    </row>
    <row r="157" spans="1:9" x14ac:dyDescent="0.25">
      <c r="A157" s="257" t="str">
        <f>[1]BASE!A160</f>
        <v>ESDRAS GODINHO RAMOS</v>
      </c>
      <c r="B157" s="258">
        <f>[1]BASE!B160</f>
        <v>1901880</v>
      </c>
      <c r="C157" s="257" t="str">
        <f>[1]BASE!C160</f>
        <v>Analista de Infraestrutura</v>
      </c>
      <c r="D157" s="258" t="str">
        <f>[1]BASE!D160</f>
        <v>Requisitado de Órgãos</v>
      </c>
      <c r="E157" s="257" t="str">
        <f>[1]BASE!E160</f>
        <v>ME - Ministério da Economia</v>
      </c>
      <c r="F157" s="258" t="str">
        <f>[1]BASE!F160</f>
        <v>DAS 102.2</v>
      </c>
      <c r="G157" s="258" t="str">
        <f>[1]BASE!G160</f>
        <v xml:space="preserve"> </v>
      </c>
      <c r="H157" s="257" t="str">
        <f>[1]BASE!H160</f>
        <v>SPG / CHEFIA DE GABINETE SPG</v>
      </c>
      <c r="I157" s="260" t="str">
        <f>[1]BASE!I160</f>
        <v>11.100.000</v>
      </c>
    </row>
    <row r="158" spans="1:9" x14ac:dyDescent="0.25">
      <c r="A158" s="257" t="str">
        <f>[1]BASE!A161</f>
        <v>EUCIMAR KWIATKOWSKI AUGUSTINHAK</v>
      </c>
      <c r="B158" s="258">
        <f>[1]BASE!B161</f>
        <v>4878036</v>
      </c>
      <c r="C158" s="257" t="str">
        <f>[1]BASE!C161</f>
        <v>Analista de Infraestrutura</v>
      </c>
      <c r="D158" s="258" t="str">
        <f>[1]BASE!D161</f>
        <v>Exercício Descentralizado</v>
      </c>
      <c r="E158" s="257" t="str">
        <f>[1]BASE!E161</f>
        <v>ME - Ministério da Economia</v>
      </c>
      <c r="F158" s="258" t="str">
        <f>[1]BASE!F161</f>
        <v>FGR 1</v>
      </c>
      <c r="G158" s="258" t="str">
        <f>[1]BASE!G161</f>
        <v xml:space="preserve"> </v>
      </c>
      <c r="H158" s="257" t="str">
        <f>[1]BASE!H161</f>
        <v>SEE / DMSE / COORDENAÇÃO GERAL DE MONITORAMENTO DA EXPANSÃO DA TRANSMISSÃO</v>
      </c>
      <c r="I158" s="260" t="str">
        <f>[1]BASE!I161</f>
        <v>12.102.200</v>
      </c>
    </row>
    <row r="159" spans="1:9" x14ac:dyDescent="0.25">
      <c r="A159" s="257" t="str">
        <f>[1]BASE!A162</f>
        <v>EVERALDO FERNANDES DE MEDEIROS</v>
      </c>
      <c r="B159" s="258">
        <f>[1]BASE!B162</f>
        <v>451511</v>
      </c>
      <c r="C159" s="257" t="str">
        <f>[1]BASE!C162</f>
        <v>Agente de Portaria</v>
      </c>
      <c r="D159" s="258" t="str">
        <f>[1]BASE!D162</f>
        <v>Ativo Permanente</v>
      </c>
      <c r="E159" s="257" t="str">
        <f>[1]BASE!E162</f>
        <v>MME - Ministério de Minas e Energia</v>
      </c>
      <c r="F159" s="258" t="str">
        <f>[1]BASE!F162</f>
        <v>FCT 11</v>
      </c>
      <c r="G159" s="258" t="str">
        <f>[1]BASE!G162</f>
        <v xml:space="preserve"> </v>
      </c>
      <c r="H159" s="257" t="str">
        <f>[1]BASE!H162</f>
        <v>SE / SPOA / COORDENAÇÃO GERAL DE RECURSOS LOGÍSTICOS - CGRL</v>
      </c>
      <c r="I159" s="260" t="str">
        <f>[1]BASE!I162</f>
        <v>8.105.100</v>
      </c>
    </row>
    <row r="160" spans="1:9" x14ac:dyDescent="0.25">
      <c r="A160" s="257" t="str">
        <f>[1]BASE!A163</f>
        <v>FABIAN DIE MENEZES CARVALHO</v>
      </c>
      <c r="B160" s="258">
        <f>[1]BASE!B163</f>
        <v>2209139</v>
      </c>
      <c r="C160" s="257" t="str">
        <f>[1]BASE!C163</f>
        <v>Sem Cargo/Emprego</v>
      </c>
      <c r="D160" s="258" t="str">
        <f>[1]BASE!D163</f>
        <v>Sem Vínculo</v>
      </c>
      <c r="E160" s="257" t="str">
        <f>[1]BASE!E163</f>
        <v>Sem Vínculo</v>
      </c>
      <c r="F160" s="258" t="str">
        <f>[1]BASE!F163</f>
        <v>DAS 102.2</v>
      </c>
      <c r="G160" s="258" t="str">
        <f>[1]BASE!G163</f>
        <v xml:space="preserve"> </v>
      </c>
      <c r="H160" s="257" t="str">
        <f>[1]BASE!H163</f>
        <v>ASSESSORIA ESPECIAL DE RELAÇÕES INTERNACIONAIS - ASSINT</v>
      </c>
      <c r="I160" s="260" t="str">
        <f>[1]BASE!I163</f>
        <v>3.000.000</v>
      </c>
    </row>
    <row r="161" spans="1:9" x14ac:dyDescent="0.25">
      <c r="A161" s="257" t="str">
        <f>[1]BASE!A164</f>
        <v>FABIANA ANGELICA AIRES</v>
      </c>
      <c r="B161" s="258">
        <f>[1]BASE!B164</f>
        <v>1339230</v>
      </c>
      <c r="C161" s="257" t="str">
        <f>[1]BASE!C164</f>
        <v>Sem Cargo/Emprego</v>
      </c>
      <c r="D161" s="258" t="str">
        <f>[1]BASE!D164</f>
        <v>Sem Vínculo</v>
      </c>
      <c r="E161" s="257" t="str">
        <f>[1]BASE!E164</f>
        <v>Sem Vínculo</v>
      </c>
      <c r="F161" s="258" t="str">
        <f>[1]BASE!F164</f>
        <v>DAS 102.2</v>
      </c>
      <c r="G161" s="258" t="str">
        <f>[1]BASE!G164</f>
        <v xml:space="preserve"> </v>
      </c>
      <c r="H161" s="257" t="str">
        <f>[1]BASE!H164</f>
        <v>SEE / DEPARTAMENTO DE MONITORAMENTO DO SISTEMA ELÉTRICO - DMSE</v>
      </c>
      <c r="I161" s="260" t="str">
        <f>[1]BASE!I164</f>
        <v>12.102.000</v>
      </c>
    </row>
    <row r="162" spans="1:9" x14ac:dyDescent="0.25">
      <c r="A162" s="257" t="str">
        <f>[1]BASE!A165</f>
        <v>FABIANA GAZZONI CEPEDA</v>
      </c>
      <c r="B162" s="258">
        <f>[1]BASE!B165</f>
        <v>3090896</v>
      </c>
      <c r="C162" s="257" t="str">
        <f>[1]BASE!C165</f>
        <v>Especialista em Política Pública e Gestão Governamental</v>
      </c>
      <c r="D162" s="258" t="str">
        <f>[1]BASE!D165</f>
        <v>Exercício Descentralizado</v>
      </c>
      <c r="E162" s="257" t="str">
        <f>[1]BASE!E165</f>
        <v>ME - Ministério da Economia</v>
      </c>
      <c r="F162" s="258" t="str">
        <f>[1]BASE!F165</f>
        <v>DAS 101.5</v>
      </c>
      <c r="G162" s="258" t="str">
        <f>[1]BASE!G165</f>
        <v xml:space="preserve"> </v>
      </c>
      <c r="H162" s="257" t="str">
        <f>[1]BASE!H165</f>
        <v>SEE / DEPARTAMENTO DE GESTÃO DO SETOR ELÉTRICO - DGSE</v>
      </c>
      <c r="I162" s="260" t="str">
        <f>[1]BASE!I165</f>
        <v>12.101.000</v>
      </c>
    </row>
    <row r="163" spans="1:9" x14ac:dyDescent="0.25">
      <c r="A163" s="257" t="str">
        <f>[1]BASE!A166</f>
        <v>FABIO SKAF NACFUR</v>
      </c>
      <c r="B163" s="258">
        <f>[1]BASE!B166</f>
        <v>1047866</v>
      </c>
      <c r="C163" s="257" t="str">
        <f>[1]BASE!C166</f>
        <v>Sem Cargo/Emprego</v>
      </c>
      <c r="D163" s="258" t="str">
        <f>[1]BASE!D166</f>
        <v>Sem Vínculo</v>
      </c>
      <c r="E163" s="257" t="str">
        <f>[1]BASE!E166</f>
        <v>Sem Vínculo</v>
      </c>
      <c r="F163" s="258" t="str">
        <f>[1]BASE!F166</f>
        <v>DAS 102.2</v>
      </c>
      <c r="G163" s="258" t="str">
        <f>[1]BASE!G166</f>
        <v xml:space="preserve"> </v>
      </c>
      <c r="H163" s="257" t="str">
        <f>[1]BASE!H166</f>
        <v>GM / OUVIDORIA GERAL - OUVIR</v>
      </c>
      <c r="I163" s="260" t="str">
        <f>[1]BASE!I166</f>
        <v>2.100.500</v>
      </c>
    </row>
    <row r="164" spans="1:9" x14ac:dyDescent="0.25">
      <c r="A164" s="257" t="str">
        <f>[1]BASE!A167</f>
        <v>FÁBIO SOUSA DO VALE</v>
      </c>
      <c r="B164" s="258">
        <f>[1]BASE!B167</f>
        <v>1126019</v>
      </c>
      <c r="C164" s="257" t="str">
        <f>[1]BASE!C167</f>
        <v>Assistente em Administração</v>
      </c>
      <c r="D164" s="258" t="str">
        <f>[1]BASE!D167</f>
        <v>Requisitado de Órgãos</v>
      </c>
      <c r="E164" s="257" t="str">
        <f>[1]BASE!E167</f>
        <v>FUB - Fundação Universidade de Brasília</v>
      </c>
      <c r="F164" s="258" t="str">
        <f>[1]BASE!F167</f>
        <v>DAS 101.2</v>
      </c>
      <c r="G164" s="258" t="str">
        <f>[1]BASE!G167</f>
        <v xml:space="preserve"> </v>
      </c>
      <c r="H164" s="257" t="str">
        <f>[1]BASE!H167</f>
        <v>SE / SPOA / CGRH / COORDENAÇÃO DE ADMINISTRAÇÃO DE PESSOAL - CAPES</v>
      </c>
      <c r="I164" s="260" t="str">
        <f>[1]BASE!I167</f>
        <v>8.105.210</v>
      </c>
    </row>
    <row r="165" spans="1:9" x14ac:dyDescent="0.25">
      <c r="A165" s="257" t="str">
        <f>[1]BASE!A168</f>
        <v>FABRICCIO QUIXADA STEINDORFER PROENCA</v>
      </c>
      <c r="B165" s="258">
        <f>[1]BASE!B168</f>
        <v>1200330</v>
      </c>
      <c r="C165" s="257" t="str">
        <f>[1]BASE!C168</f>
        <v>Advogado da União</v>
      </c>
      <c r="D165" s="258" t="str">
        <f>[1]BASE!D168</f>
        <v>Exercício Descentralizado</v>
      </c>
      <c r="E165" s="257" t="str">
        <f>[1]BASE!E168</f>
        <v>AGU - Advocacia Geral da União</v>
      </c>
      <c r="F165" s="258" t="str">
        <f>[1]BASE!F168</f>
        <v xml:space="preserve"> </v>
      </c>
      <c r="G165" s="258" t="str">
        <f>[1]BASE!G168</f>
        <v xml:space="preserve"> </v>
      </c>
      <c r="H165" s="257" t="str">
        <f>[1]BASE!H168</f>
        <v>CONJUR / COORDENAÇÃO GERAL DE ASSSUNTOS ADMINISTRATIVOS - CGAA</v>
      </c>
      <c r="I165" s="260" t="str">
        <f>[1]BASE!I168</f>
        <v>7.100.300</v>
      </c>
    </row>
    <row r="166" spans="1:9" x14ac:dyDescent="0.25">
      <c r="A166" s="257" t="str">
        <f>[1]BASE!A169</f>
        <v>FABRÍCIO DAIREL DE CAMPOS LACERDA</v>
      </c>
      <c r="B166" s="258">
        <f>[1]BASE!B169</f>
        <v>3708809</v>
      </c>
      <c r="C166" s="257" t="str">
        <f>[1]BASE!C169</f>
        <v>Analista de Infraestrutura</v>
      </c>
      <c r="D166" s="258" t="str">
        <f>[1]BASE!D169</f>
        <v>Exercício Descentralizado</v>
      </c>
      <c r="E166" s="257" t="str">
        <f>[1]BASE!E169</f>
        <v>ME - Ministério da Economia</v>
      </c>
      <c r="F166" s="258" t="str">
        <f>[1]BASE!F169</f>
        <v>DAS 101.4</v>
      </c>
      <c r="G166" s="258" t="str">
        <f>[1]BASE!G169</f>
        <v xml:space="preserve"> </v>
      </c>
      <c r="H166" s="257" t="str">
        <f>[1]BASE!H169</f>
        <v>SEE / DGSE / COORDENAÇÃO GERAL DE GESTÃO DA COMERCIALIZAÇÃO DE ENERGIA</v>
      </c>
      <c r="I166" s="260" t="str">
        <f>[1]BASE!I169</f>
        <v>12.101.100</v>
      </c>
    </row>
    <row r="167" spans="1:9" x14ac:dyDescent="0.25">
      <c r="A167" s="257" t="str">
        <f>[1]BASE!A170</f>
        <v>FATIMA ROSA TEIXEIRA</v>
      </c>
      <c r="B167" s="258">
        <f>[1]BASE!B170</f>
        <v>1867203</v>
      </c>
      <c r="C167" s="257" t="str">
        <f>[1]BASE!C170</f>
        <v>Técnico Industrial Especializado</v>
      </c>
      <c r="D167" s="258" t="str">
        <f>[1]BASE!D170</f>
        <v>Anistiado outros Órgãos</v>
      </c>
      <c r="E167" s="257" t="str">
        <f>[1]BASE!E170</f>
        <v>IMBEL - Indústria de Material Bélico do Brasil</v>
      </c>
      <c r="F167" s="258" t="str">
        <f>[1]BASE!F170</f>
        <v xml:space="preserve"> </v>
      </c>
      <c r="G167" s="258" t="str">
        <f>[1]BASE!G170</f>
        <v xml:space="preserve"> </v>
      </c>
      <c r="H167" s="257" t="str">
        <f>[1]BASE!H170</f>
        <v>SE / SPOA / COORDENAÇÃO GERAL DE RECURSOS HUMANOS - CGRH</v>
      </c>
      <c r="I167" s="260" t="str">
        <f>[1]BASE!I170</f>
        <v>8.105.200</v>
      </c>
    </row>
    <row r="168" spans="1:9" x14ac:dyDescent="0.25">
      <c r="A168" s="257" t="str">
        <f>[1]BASE!A171</f>
        <v>FERNANDA DE ANDRADE NOVAES</v>
      </c>
      <c r="B168" s="258">
        <f>[1]BASE!B171</f>
        <v>1568546</v>
      </c>
      <c r="C168" s="257" t="str">
        <f>[1]BASE!C171</f>
        <v>Técnico Comunicação Social</v>
      </c>
      <c r="D168" s="258" t="str">
        <f>[1]BASE!D171</f>
        <v>Requisitado de Órgãos</v>
      </c>
      <c r="E168" s="257" t="str">
        <f>[1]BASE!E171</f>
        <v>MDR - Ministério do Desenvolvimento Regional</v>
      </c>
      <c r="F168" s="258" t="str">
        <f>[1]BASE!F171</f>
        <v xml:space="preserve"> </v>
      </c>
      <c r="G168" s="258" t="str">
        <f>[1]BASE!G171</f>
        <v>GSISTE Superior</v>
      </c>
      <c r="H168" s="257" t="str">
        <f>[1]BASE!H171</f>
        <v>SE / SPOA / CGRH / COORDENAÇÃO DE ADMINISTRAÇÃO DE PESSOAL - CAPES</v>
      </c>
      <c r="I168" s="260" t="str">
        <f>[1]BASE!I171</f>
        <v>8.105.210</v>
      </c>
    </row>
    <row r="169" spans="1:9" x14ac:dyDescent="0.25">
      <c r="A169" s="257" t="str">
        <f>[1]BASE!A172</f>
        <v>FERNANDA MARIA DE MELO SILVA MARRA</v>
      </c>
      <c r="B169" s="258">
        <f>[1]BASE!B172</f>
        <v>6184178</v>
      </c>
      <c r="C169" s="257" t="str">
        <f>[1]BASE!C172</f>
        <v>Administrador</v>
      </c>
      <c r="D169" s="258" t="str">
        <f>[1]BASE!D172</f>
        <v>Ativo Permanente</v>
      </c>
      <c r="E169" s="257" t="str">
        <f>[1]BASE!E172</f>
        <v>MME - Ministério de Minas e Energia</v>
      </c>
      <c r="F169" s="258" t="str">
        <f>[1]BASE!F172</f>
        <v>FCPE 102.1</v>
      </c>
      <c r="G169" s="258" t="str">
        <f>[1]BASE!G172</f>
        <v>GSISTE Superior</v>
      </c>
      <c r="H169" s="257" t="str">
        <f>[1]BASE!H172</f>
        <v>SE / SPOA / COORDENAÇÃO DE MODERNIZAÇÃO ADMINISTRATIVA - CMA</v>
      </c>
      <c r="I169" s="260" t="str">
        <f>[1]BASE!I172</f>
        <v>8.105.010</v>
      </c>
    </row>
    <row r="170" spans="1:9" x14ac:dyDescent="0.25">
      <c r="A170" s="257" t="str">
        <f>[1]BASE!A173</f>
        <v>FERNANDO ANTONIO GIFFONI NORONHA LUZ</v>
      </c>
      <c r="B170" s="258">
        <f>[1]BASE!B173</f>
        <v>3333896</v>
      </c>
      <c r="C170" s="257" t="str">
        <f>[1]BASE!C173</f>
        <v>Sem Cargo/Emprego</v>
      </c>
      <c r="D170" s="258" t="str">
        <f>[1]BASE!D173</f>
        <v>Sem Vínculo</v>
      </c>
      <c r="E170" s="257" t="str">
        <f>[1]BASE!E173</f>
        <v>Sem Vínculo</v>
      </c>
      <c r="F170" s="258" t="str">
        <f>[1]BASE!F173</f>
        <v>DAS 101.4</v>
      </c>
      <c r="G170" s="258" t="str">
        <f>[1]BASE!G173</f>
        <v xml:space="preserve"> </v>
      </c>
      <c r="H170" s="257" t="str">
        <f>[1]BASE!H173</f>
        <v>SEE / DMSE / COORDENAÇÃO GERAL DE MONITORAMENTO DA EXPANSÃO DA GERAÇÃO</v>
      </c>
      <c r="I170" s="260" t="str">
        <f>[1]BASE!I173</f>
        <v>12.102.100</v>
      </c>
    </row>
    <row r="171" spans="1:9" x14ac:dyDescent="0.25">
      <c r="A171" s="257" t="str">
        <f>[1]BASE!A174</f>
        <v>FERNANDO MASSAHARU MATSUMOTO</v>
      </c>
      <c r="B171" s="258">
        <f>[1]BASE!B174</f>
        <v>3799409</v>
      </c>
      <c r="C171" s="257" t="str">
        <f>[1]BASE!C174</f>
        <v>Auditor Federal de Finanças e Controle</v>
      </c>
      <c r="D171" s="258" t="str">
        <f>[1]BASE!D174</f>
        <v>Requisitado de Órgãos</v>
      </c>
      <c r="E171" s="257" t="str">
        <f>[1]BASE!E174</f>
        <v>ME - Ministério da Economia</v>
      </c>
      <c r="F171" s="258" t="str">
        <f>[1]BASE!F174</f>
        <v>DAS 101.4</v>
      </c>
      <c r="G171" s="258" t="str">
        <f>[1]BASE!G174</f>
        <v xml:space="preserve"> </v>
      </c>
      <c r="H171" s="257" t="str">
        <f>[1]BASE!H174</f>
        <v>SPG / DEPARTAMENTO DE GÁS NATURAL - DGN</v>
      </c>
      <c r="I171" s="260" t="str">
        <f>[1]BASE!I174</f>
        <v>11.102.000</v>
      </c>
    </row>
    <row r="172" spans="1:9" x14ac:dyDescent="0.25">
      <c r="A172" s="257" t="str">
        <f>[1]BASE!A175</f>
        <v>FERNANDO PORTELLA ROSA</v>
      </c>
      <c r="B172" s="258">
        <f>[1]BASE!B175</f>
        <v>2393116</v>
      </c>
      <c r="C172" s="257" t="str">
        <f>[1]BASE!C175</f>
        <v>Gerente de Projeto</v>
      </c>
      <c r="D172" s="258" t="str">
        <f>[1]BASE!D175</f>
        <v>Contrato Temporário</v>
      </c>
      <c r="E172" s="257" t="str">
        <f>[1]BASE!E175</f>
        <v>MME - Ministério de Minas e Energia</v>
      </c>
      <c r="F172" s="258" t="str">
        <f>[1]BASE!F175</f>
        <v xml:space="preserve"> </v>
      </c>
      <c r="G172" s="258" t="str">
        <f>[1]BASE!G175</f>
        <v xml:space="preserve"> </v>
      </c>
      <c r="H172" s="257" t="str">
        <f>[1]BASE!H175</f>
        <v>SE / AEGP / COORDENAÇÃO GERAL DE GESTÃO DE PROJETOS - CGGP</v>
      </c>
      <c r="I172" s="260" t="str">
        <f>[1]BASE!I175</f>
        <v>8.103.200</v>
      </c>
    </row>
    <row r="173" spans="1:9" x14ac:dyDescent="0.25">
      <c r="A173" s="257" t="str">
        <f>[1]BASE!A176</f>
        <v>FERNANDO YAMASHITA</v>
      </c>
      <c r="B173" s="258">
        <f>[1]BASE!B176</f>
        <v>2085644</v>
      </c>
      <c r="C173" s="257" t="str">
        <f>[1]BASE!C176</f>
        <v>Assistente Técnico Administrativo</v>
      </c>
      <c r="D173" s="258" t="str">
        <f>[1]BASE!D176</f>
        <v>Requisitado de Órgãos</v>
      </c>
      <c r="E173" s="257" t="str">
        <f>[1]BASE!E176</f>
        <v>MDR - Ministério do Desenvolvimento Regional</v>
      </c>
      <c r="F173" s="258" t="str">
        <f>[1]BASE!F176</f>
        <v>DAS 101.3</v>
      </c>
      <c r="G173" s="258" t="str">
        <f>[1]BASE!G176</f>
        <v>GSISTE Intermediário</v>
      </c>
      <c r="H173" s="257" t="str">
        <f>[1]BASE!H176</f>
        <v>SE / SPOA / CGRL / COORDENAÇÃO DE ADMINISTRAÇÃO DE MATERIAL E EXECUÇÃO FINANCEIRA - COMEF</v>
      </c>
      <c r="I173" s="260" t="str">
        <f>[1]BASE!I176</f>
        <v>8.105.110</v>
      </c>
    </row>
    <row r="174" spans="1:9" x14ac:dyDescent="0.25">
      <c r="A174" s="257" t="str">
        <f>[1]BASE!A177</f>
        <v>FLAMARION SOUZA MATOS</v>
      </c>
      <c r="B174" s="258">
        <f>[1]BASE!B177</f>
        <v>6028993</v>
      </c>
      <c r="C174" s="257" t="str">
        <f>[1]BASE!C177</f>
        <v>Sem Cargo/Emprego</v>
      </c>
      <c r="D174" s="258" t="str">
        <f>[1]BASE!D177</f>
        <v>Sem Vínculo</v>
      </c>
      <c r="E174" s="257" t="str">
        <f>[1]BASE!E177</f>
        <v>Sem Vínculo</v>
      </c>
      <c r="F174" s="258" t="str">
        <f>[1]BASE!F177</f>
        <v>DAS 101.5</v>
      </c>
      <c r="G174" s="258" t="str">
        <f>[1]BASE!G177</f>
        <v xml:space="preserve"> </v>
      </c>
      <c r="H174" s="257" t="str">
        <f>[1]BASE!H177</f>
        <v>SEE / DEPARTAMENTO DE POLÍTICAS SOCIAIS E UNIVERSALIZAÇÃO DO ACESSO À ENERGIA ELÉTRICA - DPUE</v>
      </c>
      <c r="I174" s="260" t="str">
        <f>[1]BASE!I177</f>
        <v>12.103.000</v>
      </c>
    </row>
    <row r="175" spans="1:9" x14ac:dyDescent="0.25">
      <c r="A175" s="257" t="str">
        <f>[1]BASE!A178</f>
        <v>FLAVIO ALVES CARDOSO</v>
      </c>
      <c r="B175" s="258">
        <f>[1]BASE!B178</f>
        <v>2280405</v>
      </c>
      <c r="C175" s="257" t="str">
        <f>[1]BASE!C178</f>
        <v>Advogado</v>
      </c>
      <c r="D175" s="258" t="str">
        <f>[1]BASE!D178</f>
        <v>Anistiado MME</v>
      </c>
      <c r="E175" s="257" t="str">
        <f>[1]BASE!E178</f>
        <v>MME - Ministério de Minas e Energia</v>
      </c>
      <c r="F175" s="258" t="str">
        <f>[1]BASE!F178</f>
        <v xml:space="preserve"> </v>
      </c>
      <c r="G175" s="258" t="str">
        <f>[1]BASE!G178</f>
        <v xml:space="preserve"> </v>
      </c>
      <c r="H175" s="257" t="str">
        <f>[1]BASE!H178</f>
        <v>SPE / DEPARTAMENTO DE OUTORGAS DE CONCESSÕES, PERMISSÕES E AUTORIZAÇÕES - DOC</v>
      </c>
      <c r="I175" s="260" t="str">
        <f>[1]BASE!I178</f>
        <v>10.103.000</v>
      </c>
    </row>
    <row r="176" spans="1:9" x14ac:dyDescent="0.25">
      <c r="A176" s="257" t="str">
        <f>[1]BASE!A179</f>
        <v>FRANCIMAR SOUSA DE LIMA SAKAMOTO</v>
      </c>
      <c r="B176" s="258">
        <f>[1]BASE!B179</f>
        <v>2069736</v>
      </c>
      <c r="C176" s="257" t="str">
        <f>[1]BASE!C179</f>
        <v>Sem Cargo/Emprego</v>
      </c>
      <c r="D176" s="258" t="str">
        <f>[1]BASE!D179</f>
        <v>Sem Vínculo</v>
      </c>
      <c r="E176" s="257" t="str">
        <f>[1]BASE!E179</f>
        <v>Sem Vínculo</v>
      </c>
      <c r="F176" s="258" t="str">
        <f>[1]BASE!F179</f>
        <v>DAS 102.1</v>
      </c>
      <c r="G176" s="258" t="str">
        <f>[1]BASE!G179</f>
        <v xml:space="preserve"> </v>
      </c>
      <c r="H176" s="257" t="str">
        <f>[1]BASE!H179</f>
        <v>SGM / CHEFIA DE GABINETE SGM</v>
      </c>
      <c r="I176" s="260" t="str">
        <f>[1]BASE!I179</f>
        <v>9.100.000</v>
      </c>
    </row>
    <row r="177" spans="1:9" x14ac:dyDescent="0.25">
      <c r="A177" s="257" t="str">
        <f>[1]BASE!A180</f>
        <v>FRANCISCA DE FATIMA SOARES DE SOUZA</v>
      </c>
      <c r="B177" s="258">
        <f>[1]BASE!B180</f>
        <v>451566</v>
      </c>
      <c r="C177" s="257" t="str">
        <f>[1]BASE!C180</f>
        <v>Agente Administrativo</v>
      </c>
      <c r="D177" s="258" t="str">
        <f>[1]BASE!D180</f>
        <v>Ativo Permanente</v>
      </c>
      <c r="E177" s="257" t="str">
        <f>[1]BASE!E180</f>
        <v>MME - Ministério de Minas e Energia</v>
      </c>
      <c r="F177" s="258" t="str">
        <f>[1]BASE!F180</f>
        <v>FCT 11</v>
      </c>
      <c r="G177" s="258" t="str">
        <f>[1]BASE!G180</f>
        <v xml:space="preserve"> </v>
      </c>
      <c r="H177" s="257" t="str">
        <f>[1]BASE!H180</f>
        <v>SE / SPOA / CGRL / COORDENAÇÃO DE ATIVIDADES GERAIS - COAGE</v>
      </c>
      <c r="I177" s="260" t="str">
        <f>[1]BASE!I180</f>
        <v>8.105.120</v>
      </c>
    </row>
    <row r="178" spans="1:9" x14ac:dyDescent="0.25">
      <c r="A178" s="257" t="str">
        <f>[1]BASE!A181</f>
        <v>FRANCISCO ALEXANDRE STECHER DE OLIVEIRA</v>
      </c>
      <c r="B178" s="258">
        <f>[1]BASE!B181</f>
        <v>1586720</v>
      </c>
      <c r="C178" s="257" t="str">
        <f>[1]BASE!C181</f>
        <v>Programador de Sistemas</v>
      </c>
      <c r="D178" s="258" t="str">
        <f>[1]BASE!D181</f>
        <v>Anistiado MME</v>
      </c>
      <c r="E178" s="257" t="str">
        <f>[1]BASE!E181</f>
        <v>MME - Ministério de Minas e Energia</v>
      </c>
      <c r="F178" s="258" t="str">
        <f>[1]BASE!F181</f>
        <v>DAS 102.2</v>
      </c>
      <c r="G178" s="258" t="str">
        <f>[1]BASE!G181</f>
        <v xml:space="preserve"> </v>
      </c>
      <c r="H178" s="257" t="str">
        <f>[1]BASE!H181</f>
        <v xml:space="preserve">SE / SPOA / CGTI / COORDENAÇÃO DE INFRAESTRUTURA TECNOLÓGICA - </v>
      </c>
      <c r="I178" s="260" t="str">
        <f>[1]BASE!I181</f>
        <v>8.105.310</v>
      </c>
    </row>
    <row r="179" spans="1:9" x14ac:dyDescent="0.25">
      <c r="A179" s="257" t="str">
        <f>[1]BASE!A182</f>
        <v>FRANCISCO AUGUSTO NOGUEIRA DA SILVA</v>
      </c>
      <c r="B179" s="258">
        <f>[1]BASE!B182</f>
        <v>1669854</v>
      </c>
      <c r="C179" s="257" t="str">
        <f>[1]BASE!C182</f>
        <v>Auxiliar Codificação e Conferência</v>
      </c>
      <c r="D179" s="258" t="str">
        <f>[1]BASE!D182</f>
        <v>Anistiado MME</v>
      </c>
      <c r="E179" s="257" t="str">
        <f>[1]BASE!E182</f>
        <v>MME - Ministério de Minas e Energia</v>
      </c>
      <c r="F179" s="258" t="str">
        <f>[1]BASE!F182</f>
        <v xml:space="preserve"> </v>
      </c>
      <c r="G179" s="258" t="str">
        <f>[1]BASE!G182</f>
        <v xml:space="preserve"> </v>
      </c>
      <c r="H179" s="257" t="str">
        <f>[1]BASE!H182</f>
        <v>GM / ASTAD / COORDENAÇÃO DE ATIVIDADES ADMINISTRATIVAS</v>
      </c>
      <c r="I179" s="260" t="str">
        <f>[1]BASE!I182</f>
        <v>2.100.101</v>
      </c>
    </row>
    <row r="180" spans="1:9" x14ac:dyDescent="0.25">
      <c r="A180" s="257" t="str">
        <f>[1]BASE!A183</f>
        <v>FRANCISCO BARBOSA DE MORAIS</v>
      </c>
      <c r="B180" s="258">
        <f>[1]BASE!B183</f>
        <v>1669557</v>
      </c>
      <c r="C180" s="257" t="str">
        <f>[1]BASE!C183</f>
        <v>Advogado</v>
      </c>
      <c r="D180" s="258" t="str">
        <f>[1]BASE!D183</f>
        <v>Anistiado MME</v>
      </c>
      <c r="E180" s="257" t="str">
        <f>[1]BASE!E183</f>
        <v>MME - Ministério de Minas e Energia</v>
      </c>
      <c r="F180" s="258" t="str">
        <f>[1]BASE!F183</f>
        <v xml:space="preserve"> </v>
      </c>
      <c r="G180" s="258" t="str">
        <f>[1]BASE!G183</f>
        <v xml:space="preserve"> </v>
      </c>
      <c r="H180" s="257" t="str">
        <f>[1]BASE!H183</f>
        <v>Aguardando Lotação/Exercício</v>
      </c>
      <c r="I180" s="260" t="str">
        <f>[1]BASE!I183</f>
        <v>88.000.000</v>
      </c>
    </row>
    <row r="181" spans="1:9" x14ac:dyDescent="0.25">
      <c r="A181" s="257" t="str">
        <f>[1]BASE!A184</f>
        <v>FRANCISCO CARLOS FERREIRA RIBEIRO</v>
      </c>
      <c r="B181" s="258">
        <f>[1]BASE!B184</f>
        <v>451646</v>
      </c>
      <c r="C181" s="257" t="str">
        <f>[1]BASE!C184</f>
        <v>Agente Administrativo</v>
      </c>
      <c r="D181" s="258" t="str">
        <f>[1]BASE!D184</f>
        <v>Ativo Permanente</v>
      </c>
      <c r="E181" s="257" t="str">
        <f>[1]BASE!E184</f>
        <v>MME - Ministério de Minas e Energia</v>
      </c>
      <c r="F181" s="258" t="str">
        <f>[1]BASE!F184</f>
        <v>FCT 7</v>
      </c>
      <c r="G181" s="258" t="str">
        <f>[1]BASE!G184</f>
        <v>GSISTE Intermediário</v>
      </c>
      <c r="H181" s="257" t="str">
        <f>[1]BASE!H184</f>
        <v>SE / SPOA / CGRL / COORDENAÇÃO DE ATIVIDADES GERAIS - COAGE</v>
      </c>
      <c r="I181" s="260" t="str">
        <f>[1]BASE!I184</f>
        <v>8.105.120</v>
      </c>
    </row>
    <row r="182" spans="1:9" x14ac:dyDescent="0.25">
      <c r="A182" s="257" t="str">
        <f>[1]BASE!A185</f>
        <v>FRANCISCO DAS CHAGAS FONTELE</v>
      </c>
      <c r="B182" s="258">
        <f>[1]BASE!B185</f>
        <v>6001438</v>
      </c>
      <c r="C182" s="257" t="str">
        <f>[1]BASE!C185</f>
        <v>Agente de Portaria</v>
      </c>
      <c r="D182" s="258" t="str">
        <f>[1]BASE!D185</f>
        <v>Ativo Permanente</v>
      </c>
      <c r="E182" s="257" t="str">
        <f>[1]BASE!E185</f>
        <v>MME - Ministério de Minas e Energia</v>
      </c>
      <c r="F182" s="258" t="str">
        <f>[1]BASE!F185</f>
        <v>FGR 1</v>
      </c>
      <c r="G182" s="258" t="str">
        <f>[1]BASE!G185</f>
        <v xml:space="preserve"> </v>
      </c>
      <c r="H182" s="257" t="str">
        <f>[1]BASE!H185</f>
        <v>SE / SPOA / CGRL / COORDENAÇÃO DE ATIVIDADES GERAIS - COAGE</v>
      </c>
      <c r="I182" s="260" t="str">
        <f>[1]BASE!I185</f>
        <v>8.105.120</v>
      </c>
    </row>
    <row r="183" spans="1:9" x14ac:dyDescent="0.25">
      <c r="A183" s="257" t="str">
        <f>[1]BASE!A186</f>
        <v>FRANCISCO DAS CHAGAS GOMES DE BRITO</v>
      </c>
      <c r="B183" s="258">
        <f>[1]BASE!B186</f>
        <v>452175</v>
      </c>
      <c r="C183" s="257" t="str">
        <f>[1]BASE!C186</f>
        <v>Agente de Portaria</v>
      </c>
      <c r="D183" s="258" t="str">
        <f>[1]BASE!D186</f>
        <v>Ativo Permanente</v>
      </c>
      <c r="E183" s="257" t="str">
        <f>[1]BASE!E186</f>
        <v>MME - Ministério de Minas e Energia</v>
      </c>
      <c r="F183" s="258" t="str">
        <f>[1]BASE!F186</f>
        <v>FGR 1</v>
      </c>
      <c r="G183" s="258" t="str">
        <f>[1]BASE!G186</f>
        <v xml:space="preserve"> </v>
      </c>
      <c r="H183" s="257" t="str">
        <f>[1]BASE!H186</f>
        <v>SE / SPOA / CGRL / COORDENAÇÃO DE ATIVIDADES GERAIS - COAGE</v>
      </c>
      <c r="I183" s="260" t="str">
        <f>[1]BASE!I186</f>
        <v>8.105.120</v>
      </c>
    </row>
    <row r="184" spans="1:9" x14ac:dyDescent="0.25">
      <c r="A184" s="257" t="str">
        <f>[1]BASE!A187</f>
        <v>FRANCISCO GOMES DE MATOS</v>
      </c>
      <c r="B184" s="258">
        <f>[1]BASE!B187</f>
        <v>454825</v>
      </c>
      <c r="C184" s="257" t="str">
        <f>[1]BASE!C187</f>
        <v>Motorista Oficial</v>
      </c>
      <c r="D184" s="258" t="str">
        <f>[1]BASE!D187</f>
        <v>Ativo Permanente</v>
      </c>
      <c r="E184" s="257" t="str">
        <f>[1]BASE!E187</f>
        <v>MME - Ministério de Minas e Energia</v>
      </c>
      <c r="F184" s="258" t="str">
        <f>[1]BASE!F187</f>
        <v>FCPE 102.1</v>
      </c>
      <c r="G184" s="258" t="str">
        <f>[1]BASE!G187</f>
        <v xml:space="preserve"> </v>
      </c>
      <c r="H184" s="257" t="str">
        <f>[1]BASE!H187</f>
        <v>SE / SPOA / CGRL / COORDENAÇÃO DE ATIVIDADES GERAIS - COAGE</v>
      </c>
      <c r="I184" s="260" t="str">
        <f>[1]BASE!I187</f>
        <v>8.105.120</v>
      </c>
    </row>
    <row r="185" spans="1:9" x14ac:dyDescent="0.25">
      <c r="A185" s="257" t="str">
        <f>[1]BASE!A188</f>
        <v>FRANCISCO PAULO RUBINO</v>
      </c>
      <c r="B185" s="258">
        <f>[1]BASE!B188</f>
        <v>2839155</v>
      </c>
      <c r="C185" s="257" t="str">
        <f>[1]BASE!C188</f>
        <v>Analista de Programação Controle Obras</v>
      </c>
      <c r="D185" s="258" t="str">
        <f>[1]BASE!D188</f>
        <v>Anistiado outros Órgãos</v>
      </c>
      <c r="E185" s="257" t="str">
        <f>[1]BASE!E188</f>
        <v>ANM - Agência Nacional de Mineração</v>
      </c>
      <c r="F185" s="258" t="str">
        <f>[1]BASE!F188</f>
        <v xml:space="preserve"> </v>
      </c>
      <c r="G185" s="258" t="str">
        <f>[1]BASE!G188</f>
        <v xml:space="preserve"> </v>
      </c>
      <c r="H185" s="257" t="str">
        <f>[1]BASE!H188</f>
        <v>SGM / DPGM / COORDENAÇÃO GERAL DE ECONOMIA MINERAL</v>
      </c>
      <c r="I185" s="260" t="str">
        <f>[1]BASE!I188</f>
        <v>9.101.300</v>
      </c>
    </row>
    <row r="186" spans="1:9" x14ac:dyDescent="0.25">
      <c r="A186" s="257" t="str">
        <f>[1]BASE!A189</f>
        <v>FRANCISCO SALES DA SILVA</v>
      </c>
      <c r="B186" s="258">
        <f>[1]BASE!B189</f>
        <v>455378</v>
      </c>
      <c r="C186" s="257" t="str">
        <f>[1]BASE!C189</f>
        <v>Auxiliar Operacional de Serviços Diversos</v>
      </c>
      <c r="D186" s="258" t="str">
        <f>[1]BASE!D189</f>
        <v>Ativo Permanente</v>
      </c>
      <c r="E186" s="257" t="str">
        <f>[1]BASE!E189</f>
        <v>MME - Ministério de Minas e Energia</v>
      </c>
      <c r="F186" s="258" t="str">
        <f>[1]BASE!F189</f>
        <v>FCT 10</v>
      </c>
      <c r="G186" s="258" t="str">
        <f>[1]BASE!G189</f>
        <v xml:space="preserve"> </v>
      </c>
      <c r="H186" s="257" t="str">
        <f>[1]BASE!H189</f>
        <v>SPG / CHEFIA DE GABINETE SPG</v>
      </c>
      <c r="I186" s="260" t="str">
        <f>[1]BASE!I189</f>
        <v>11.100.000</v>
      </c>
    </row>
    <row r="187" spans="1:9" x14ac:dyDescent="0.25">
      <c r="A187" s="257" t="str">
        <f>[1]BASE!A190</f>
        <v>FRANCISCO SANTANA PEREIRA</v>
      </c>
      <c r="B187" s="258">
        <f>[1]BASE!B190</f>
        <v>452270</v>
      </c>
      <c r="C187" s="257" t="str">
        <f>[1]BASE!C190</f>
        <v>Agente Administrativo</v>
      </c>
      <c r="D187" s="258" t="str">
        <f>[1]BASE!D190</f>
        <v>Ativo Permanente</v>
      </c>
      <c r="E187" s="257" t="str">
        <f>[1]BASE!E190</f>
        <v>MME - Ministério de Minas e Energia</v>
      </c>
      <c r="F187" s="258" t="str">
        <f>[1]BASE!F190</f>
        <v>DAS 102.1</v>
      </c>
      <c r="G187" s="258" t="str">
        <f>[1]BASE!G190</f>
        <v xml:space="preserve"> </v>
      </c>
      <c r="H187" s="257" t="str">
        <f>[1]BASE!H190</f>
        <v>GM / ASSESSORIA DE COMUNICAÇÃO SOCIAL - ASCOM</v>
      </c>
      <c r="I187" s="260" t="str">
        <f>[1]BASE!I190</f>
        <v>2.100.300</v>
      </c>
    </row>
    <row r="188" spans="1:9" x14ac:dyDescent="0.25">
      <c r="A188" s="257" t="str">
        <f>[1]BASE!A191</f>
        <v>FREDERICO BEDRAN OLIVEIRA</v>
      </c>
      <c r="B188" s="258">
        <f>[1]BASE!B191</f>
        <v>2530526</v>
      </c>
      <c r="C188" s="257" t="str">
        <f>[1]BASE!C191</f>
        <v>Analista de Infraestrutura</v>
      </c>
      <c r="D188" s="258" t="str">
        <f>[1]BASE!D191</f>
        <v>Exercício Descentralizado</v>
      </c>
      <c r="E188" s="257" t="str">
        <f>[1]BASE!E191</f>
        <v>ME - Ministério da Economia</v>
      </c>
      <c r="F188" s="258" t="str">
        <f>[1]BASE!F191</f>
        <v>DAS 101.5</v>
      </c>
      <c r="G188" s="258" t="str">
        <f>[1]BASE!G191</f>
        <v xml:space="preserve"> </v>
      </c>
      <c r="H188" s="257" t="str">
        <f>[1]BASE!H191</f>
        <v>SGM / DEPARTAMENTO DE GEOLOGIA E PRODUÇÃO MINERAL - DGPM</v>
      </c>
      <c r="I188" s="260" t="str">
        <f>[1]BASE!I191</f>
        <v>9.102.000</v>
      </c>
    </row>
    <row r="189" spans="1:9" x14ac:dyDescent="0.25">
      <c r="A189" s="257" t="str">
        <f>[1]BASE!A192</f>
        <v>FREDERICO DE ARAUJO TELES</v>
      </c>
      <c r="B189" s="258">
        <f>[1]BASE!B192</f>
        <v>1558450</v>
      </c>
      <c r="C189" s="257" t="str">
        <f>[1]BASE!C192</f>
        <v>Especialista em Regulação de Serv Púb de Energia</v>
      </c>
      <c r="D189" s="258" t="str">
        <f>[1]BASE!D192</f>
        <v>Requisitado de Órgãos</v>
      </c>
      <c r="E189" s="257" t="str">
        <f>[1]BASE!E192</f>
        <v>ANEEL - Agência Nacional de Energia Elétrica</v>
      </c>
      <c r="F189" s="258" t="str">
        <f>[1]BASE!F192</f>
        <v>FCPE 102.4</v>
      </c>
      <c r="G189" s="258" t="str">
        <f>[1]BASE!G192</f>
        <v xml:space="preserve"> </v>
      </c>
      <c r="H189" s="257" t="str">
        <f>[1]BASE!H192</f>
        <v>ASSESSORIA ESPECIAL DE ASSUNTOS ECONÔMICOS - ASSEC</v>
      </c>
      <c r="I189" s="260" t="str">
        <f>[1]BASE!I192</f>
        <v>6.000.000</v>
      </c>
    </row>
    <row r="190" spans="1:9" x14ac:dyDescent="0.25">
      <c r="A190" s="257" t="str">
        <f>[1]BASE!A193</f>
        <v>FRUTUOSO DA SILVA LOREGA NETO</v>
      </c>
      <c r="B190" s="258">
        <f>[1]BASE!B193</f>
        <v>3085966</v>
      </c>
      <c r="C190" s="257" t="str">
        <f>[1]BASE!C193</f>
        <v>Marinha</v>
      </c>
      <c r="D190" s="258" t="str">
        <f>[1]BASE!D193</f>
        <v>Requisitado Militar</v>
      </c>
      <c r="E190" s="257" t="str">
        <f>[1]BASE!E193</f>
        <v>Marinha</v>
      </c>
      <c r="F190" s="258" t="str">
        <f>[1]BASE!F193</f>
        <v>DAS 102.2</v>
      </c>
      <c r="G190" s="258" t="str">
        <f>[1]BASE!G193</f>
        <v xml:space="preserve"> </v>
      </c>
      <c r="H190" s="257" t="str">
        <f>[1]BASE!H193</f>
        <v>GABINETE DO MINISTRO - GM</v>
      </c>
      <c r="I190" s="260" t="str">
        <f>[1]BASE!I193</f>
        <v>2.000.000</v>
      </c>
    </row>
    <row r="191" spans="1:9" x14ac:dyDescent="0.25">
      <c r="A191" s="257" t="str">
        <f>[1]BASE!A194</f>
        <v>GABRIEL MOTA MALDONADO</v>
      </c>
      <c r="B191" s="258">
        <f>[1]BASE!B194</f>
        <v>3090889</v>
      </c>
      <c r="C191" s="257" t="str">
        <f>[1]BASE!C194</f>
        <v>Sem Cargo/Emprego</v>
      </c>
      <c r="D191" s="258" t="str">
        <f>[1]BASE!D194</f>
        <v>Sem Vínculo</v>
      </c>
      <c r="E191" s="257" t="str">
        <f>[1]BASE!E194</f>
        <v>Sem Vínculo</v>
      </c>
      <c r="F191" s="258" t="str">
        <f>[1]BASE!F194</f>
        <v>DAS 101.5</v>
      </c>
      <c r="G191" s="258" t="str">
        <f>[1]BASE!G194</f>
        <v xml:space="preserve"> </v>
      </c>
      <c r="H191" s="257" t="str">
        <f>[1]BASE!H194</f>
        <v>SGM / DEPARTAMENTO DE DESENVOLVIMENTO SUSTENTÁVEL NA MINERAÇÃO - DDM</v>
      </c>
      <c r="I191" s="260" t="str">
        <f>[1]BASE!I194</f>
        <v>9.104.000</v>
      </c>
    </row>
    <row r="192" spans="1:9" x14ac:dyDescent="0.25">
      <c r="A192" s="257" t="str">
        <f>[1]BASE!A195</f>
        <v>GABRIELA PEREIRA GONCALVES</v>
      </c>
      <c r="B192" s="258">
        <f>[1]BASE!B195</f>
        <v>1844328</v>
      </c>
      <c r="C192" s="257" t="str">
        <f>[1]BASE!C195</f>
        <v>Sem Cargo/Emprego</v>
      </c>
      <c r="D192" s="258" t="str">
        <f>[1]BASE!D195</f>
        <v>Sem Vínculo</v>
      </c>
      <c r="E192" s="257" t="str">
        <f>[1]BASE!E195</f>
        <v>Sem Vínculo</v>
      </c>
      <c r="F192" s="258" t="str">
        <f>[1]BASE!F195</f>
        <v>DAS 102.3</v>
      </c>
      <c r="G192" s="258" t="str">
        <f>[1]BASE!G195</f>
        <v xml:space="preserve"> </v>
      </c>
      <c r="H192" s="257" t="str">
        <f>[1]BASE!H195</f>
        <v>GM / ASSESSORIA PARLAMENTAR - ASPAR</v>
      </c>
      <c r="I192" s="260" t="str">
        <f>[1]BASE!I195</f>
        <v>2.100.200</v>
      </c>
    </row>
    <row r="193" spans="1:9" x14ac:dyDescent="0.25">
      <c r="A193" s="257" t="str">
        <f>[1]BASE!A196</f>
        <v>GENESIO SOARES DE OLIVEIRA</v>
      </c>
      <c r="B193" s="258">
        <f>[1]BASE!B196</f>
        <v>6460451</v>
      </c>
      <c r="C193" s="257" t="str">
        <f>[1]BASE!C196</f>
        <v>Sem Cargo/Emprego</v>
      </c>
      <c r="D193" s="258" t="str">
        <f>[1]BASE!D196</f>
        <v>Sem Vínculo</v>
      </c>
      <c r="E193" s="257" t="str">
        <f>[1]BASE!E196</f>
        <v>Sem Vínculo</v>
      </c>
      <c r="F193" s="258" t="str">
        <f>[1]BASE!F196</f>
        <v>DAS 102.1</v>
      </c>
      <c r="G193" s="258" t="str">
        <f>[1]BASE!G196</f>
        <v xml:space="preserve"> </v>
      </c>
      <c r="H193" s="257" t="str">
        <f>[1]BASE!H196</f>
        <v>GM / ASTAD / COORDENAÇÃO DE ATIVIDADES ADMINISTRATIVAS</v>
      </c>
      <c r="I193" s="260" t="str">
        <f>[1]BASE!I196</f>
        <v>2.100.101</v>
      </c>
    </row>
    <row r="194" spans="1:9" x14ac:dyDescent="0.25">
      <c r="A194" s="257" t="str">
        <f>[1]BASE!A197</f>
        <v>GERALDO DEOCLECIANO DE AZEVEDO</v>
      </c>
      <c r="B194" s="258">
        <f>[1]BASE!B197</f>
        <v>455338</v>
      </c>
      <c r="C194" s="257" t="str">
        <f>[1]BASE!C197</f>
        <v>Agente de Portaria</v>
      </c>
      <c r="D194" s="258" t="str">
        <f>[1]BASE!D197</f>
        <v>Ativo Permanente</v>
      </c>
      <c r="E194" s="257" t="str">
        <f>[1]BASE!E197</f>
        <v>MME - Ministério de Minas e Energia</v>
      </c>
      <c r="F194" s="258" t="str">
        <f>[1]BASE!F197</f>
        <v>FGR 1</v>
      </c>
      <c r="G194" s="258" t="str">
        <f>[1]BASE!G197</f>
        <v xml:space="preserve"> </v>
      </c>
      <c r="H194" s="257" t="str">
        <f>[1]BASE!H197</f>
        <v>SE / SPOA / CGRL / COORDENAÇÃO DE ATIVIDADES GERAIS - COAGE</v>
      </c>
      <c r="I194" s="260" t="str">
        <f>[1]BASE!I197</f>
        <v>8.105.120</v>
      </c>
    </row>
    <row r="195" spans="1:9" x14ac:dyDescent="0.25">
      <c r="A195" s="257" t="str">
        <f>[1]BASE!A198</f>
        <v>GERALDO RIBEIRO DOS SANTOS</v>
      </c>
      <c r="B195" s="258">
        <f>[1]BASE!B198</f>
        <v>451522</v>
      </c>
      <c r="C195" s="257" t="str">
        <f>[1]BASE!C198</f>
        <v>Datilógrafo</v>
      </c>
      <c r="D195" s="258" t="str">
        <f>[1]BASE!D198</f>
        <v>Ativo Permanente</v>
      </c>
      <c r="E195" s="257" t="str">
        <f>[1]BASE!E198</f>
        <v>MME - Ministério de Minas e Energia</v>
      </c>
      <c r="F195" s="258" t="str">
        <f>[1]BASE!F198</f>
        <v>FCT 7</v>
      </c>
      <c r="G195" s="258" t="str">
        <f>[1]BASE!G198</f>
        <v xml:space="preserve"> </v>
      </c>
      <c r="H195" s="257" t="str">
        <f>[1]BASE!H198</f>
        <v>SE / SPOA / CGRL / COORDENAÇÃO DE ATIVIDADES GERAIS - COAGE</v>
      </c>
      <c r="I195" s="260" t="str">
        <f>[1]BASE!I198</f>
        <v>8.105.120</v>
      </c>
    </row>
    <row r="196" spans="1:9" x14ac:dyDescent="0.25">
      <c r="A196" s="257" t="str">
        <f>[1]BASE!A199</f>
        <v>GEVALTER DE FREITAS NEVES</v>
      </c>
      <c r="B196" s="258">
        <f>[1]BASE!B199</f>
        <v>451635</v>
      </c>
      <c r="C196" s="257" t="str">
        <f>[1]BASE!C199</f>
        <v>Agente Administrativo</v>
      </c>
      <c r="D196" s="258" t="str">
        <f>[1]BASE!D199</f>
        <v>Ativo Permanente</v>
      </c>
      <c r="E196" s="257" t="str">
        <f>[1]BASE!E199</f>
        <v>MME - Ministério de Minas e Energia</v>
      </c>
      <c r="F196" s="258" t="str">
        <f>[1]BASE!F199</f>
        <v>FCPE 102.3</v>
      </c>
      <c r="G196" s="258" t="str">
        <f>[1]BASE!G199</f>
        <v xml:space="preserve"> </v>
      </c>
      <c r="H196" s="257" t="str">
        <f>[1]BASE!H199</f>
        <v>SPE / CHEFIA DE GABINETE SPE</v>
      </c>
      <c r="I196" s="260" t="str">
        <f>[1]BASE!I199</f>
        <v>10.100.000</v>
      </c>
    </row>
    <row r="197" spans="1:9" x14ac:dyDescent="0.25">
      <c r="A197" s="257" t="str">
        <f>[1]BASE!A200</f>
        <v>GIACOMO PERROTTA</v>
      </c>
      <c r="B197" s="258">
        <f>[1]BASE!B200</f>
        <v>2662515</v>
      </c>
      <c r="C197" s="257" t="str">
        <f>[1]BASE!C200</f>
        <v>Analista de Infraestrutura</v>
      </c>
      <c r="D197" s="258" t="str">
        <f>[1]BASE!D200</f>
        <v>Exercício Descentralizado</v>
      </c>
      <c r="E197" s="257" t="str">
        <f>[1]BASE!E200</f>
        <v>ME - Ministério da Economia</v>
      </c>
      <c r="F197" s="258" t="str">
        <f>[1]BASE!F200</f>
        <v xml:space="preserve"> </v>
      </c>
      <c r="G197" s="258" t="str">
        <f>[1]BASE!G200</f>
        <v xml:space="preserve"> </v>
      </c>
      <c r="H197" s="257" t="str">
        <f>[1]BASE!H200</f>
        <v>SPE / DPE / COORDENAÇÃO GERAL DE PLANEJAMENTO DA TRANSMISSÃO</v>
      </c>
      <c r="I197" s="260" t="str">
        <f>[1]BASE!I200</f>
        <v>10.101.100</v>
      </c>
    </row>
    <row r="198" spans="1:9" x14ac:dyDescent="0.25">
      <c r="A198" s="257" t="str">
        <f>[1]BASE!A201</f>
        <v>GILBERTO KWITKO RIBEIRO</v>
      </c>
      <c r="B198" s="258">
        <f>[1]BASE!B201</f>
        <v>3310644</v>
      </c>
      <c r="C198" s="257" t="str">
        <f>[1]BASE!C201</f>
        <v>Especialista em Política Pública e Gestão Governamental</v>
      </c>
      <c r="D198" s="258" t="str">
        <f>[1]BASE!D201</f>
        <v>Exercício Descentralizado</v>
      </c>
      <c r="E198" s="257" t="str">
        <f>[1]BASE!E201</f>
        <v>ME - Ministério da Economia</v>
      </c>
      <c r="F198" s="258" t="str">
        <f>[1]BASE!F201</f>
        <v xml:space="preserve"> </v>
      </c>
      <c r="G198" s="258" t="str">
        <f>[1]BASE!G201</f>
        <v xml:space="preserve"> </v>
      </c>
      <c r="H198" s="257" t="str">
        <f>[1]BASE!H201</f>
        <v>SPE / DIEE / COORDENAÇÃO GERAL DE INFORMAÇÕES ENERGÉTICAS</v>
      </c>
      <c r="I198" s="260" t="str">
        <f>[1]BASE!I201</f>
        <v>10.104.100</v>
      </c>
    </row>
    <row r="199" spans="1:9" x14ac:dyDescent="0.25">
      <c r="A199" s="257" t="str">
        <f>[1]BASE!A202</f>
        <v>GILDA MARIA LEITE DA FONSECA</v>
      </c>
      <c r="B199" s="258">
        <f>[1]BASE!B202</f>
        <v>452261</v>
      </c>
      <c r="C199" s="257" t="str">
        <f>[1]BASE!C202</f>
        <v>Datilógrafo</v>
      </c>
      <c r="D199" s="258" t="str">
        <f>[1]BASE!D202</f>
        <v>Ativo Permanente</v>
      </c>
      <c r="E199" s="257" t="str">
        <f>[1]BASE!E202</f>
        <v>MME - Ministério de Minas e Energia</v>
      </c>
      <c r="F199" s="258" t="str">
        <f>[1]BASE!F202</f>
        <v>FCPE 102.2</v>
      </c>
      <c r="G199" s="258" t="str">
        <f>[1]BASE!G202</f>
        <v xml:space="preserve"> </v>
      </c>
      <c r="H199" s="257" t="str">
        <f>[1]BASE!H202</f>
        <v>SPE / DEPARTAMENTO DE PLANEJAMENTO ENERGÉTICO - DPE</v>
      </c>
      <c r="I199" s="260" t="str">
        <f>[1]BASE!I202</f>
        <v>10.101.000</v>
      </c>
    </row>
    <row r="200" spans="1:9" x14ac:dyDescent="0.25">
      <c r="A200" s="257" t="str">
        <f>[1]BASE!A203</f>
        <v>GILVAN DE BARROS COELHO</v>
      </c>
      <c r="B200" s="258">
        <f>[1]BASE!B203</f>
        <v>1680740</v>
      </c>
      <c r="C200" s="257" t="str">
        <f>[1]BASE!C203</f>
        <v>Administrador</v>
      </c>
      <c r="D200" s="258" t="str">
        <f>[1]BASE!D203</f>
        <v>Anistiado MME</v>
      </c>
      <c r="E200" s="257" t="str">
        <f>[1]BASE!E203</f>
        <v>MME - Ministério de Minas e Energia</v>
      </c>
      <c r="F200" s="258" t="str">
        <f>[1]BASE!F203</f>
        <v xml:space="preserve"> </v>
      </c>
      <c r="G200" s="258" t="str">
        <f>[1]BASE!G203</f>
        <v xml:space="preserve"> </v>
      </c>
      <c r="H200" s="257" t="str">
        <f>[1]BASE!H203</f>
        <v>Aguardando Lotação/Exercício</v>
      </c>
      <c r="I200" s="260" t="str">
        <f>[1]BASE!I203</f>
        <v>88.000.000</v>
      </c>
    </row>
    <row r="201" spans="1:9" x14ac:dyDescent="0.25">
      <c r="A201" s="257" t="str">
        <f>[1]BASE!A204</f>
        <v>GILVAN DE CASTRO ARARUNA</v>
      </c>
      <c r="B201" s="258">
        <f>[1]BASE!B204</f>
        <v>452342</v>
      </c>
      <c r="C201" s="257" t="str">
        <f>[1]BASE!C204</f>
        <v>Datilógrafo</v>
      </c>
      <c r="D201" s="258" t="str">
        <f>[1]BASE!D204</f>
        <v>Ativo Permanente</v>
      </c>
      <c r="E201" s="257" t="str">
        <f>[1]BASE!E204</f>
        <v>MME - Ministério de Minas e Energia</v>
      </c>
      <c r="F201" s="258" t="str">
        <f>[1]BASE!F204</f>
        <v>FCT 10</v>
      </c>
      <c r="G201" s="258" t="str">
        <f>[1]BASE!G204</f>
        <v xml:space="preserve"> </v>
      </c>
      <c r="H201" s="257" t="str">
        <f>[1]BASE!H204</f>
        <v>GM / ASTAD / COORDENAÇÃO DE ATIVIDADES ADMINISTRATIVAS</v>
      </c>
      <c r="I201" s="260" t="str">
        <f>[1]BASE!I204</f>
        <v>2.100.101</v>
      </c>
    </row>
    <row r="202" spans="1:9" x14ac:dyDescent="0.25">
      <c r="A202" s="257" t="str">
        <f>[1]BASE!A205</f>
        <v>GILVAN MARQUES TEODORO</v>
      </c>
      <c r="B202" s="258">
        <f>[1]BASE!B205</f>
        <v>1105547</v>
      </c>
      <c r="C202" s="257" t="str">
        <f>[1]BASE!C205</f>
        <v>Médico</v>
      </c>
      <c r="D202" s="258" t="str">
        <f>[1]BASE!D205</f>
        <v>Ativo Permanente</v>
      </c>
      <c r="E202" s="257" t="str">
        <f>[1]BASE!E205</f>
        <v>MME - Ministério de Minas e Energia</v>
      </c>
      <c r="F202" s="258" t="str">
        <f>[1]BASE!F205</f>
        <v xml:space="preserve"> </v>
      </c>
      <c r="G202" s="258" t="str">
        <f>[1]BASE!G205</f>
        <v>GSISTE Superior</v>
      </c>
      <c r="H202" s="257" t="str">
        <f>[1]BASE!H205</f>
        <v>SE / SPOA / CGRH / COORDENAÇÃO DE DESENVOLVIMENTO E SEGURIDADE SOCIAL - CODES</v>
      </c>
      <c r="I202" s="260" t="str">
        <f>[1]BASE!I205</f>
        <v>8.105.220</v>
      </c>
    </row>
    <row r="203" spans="1:9" x14ac:dyDescent="0.25">
      <c r="A203" s="257" t="str">
        <f>[1]BASE!A206</f>
        <v>GISELIA MARQUES DE SOUZA</v>
      </c>
      <c r="B203" s="258">
        <f>[1]BASE!B206</f>
        <v>451712</v>
      </c>
      <c r="C203" s="257" t="str">
        <f>[1]BASE!C206</f>
        <v>Agente Administrativo</v>
      </c>
      <c r="D203" s="258" t="str">
        <f>[1]BASE!D206</f>
        <v>Ativo Permanente</v>
      </c>
      <c r="E203" s="257" t="str">
        <f>[1]BASE!E206</f>
        <v>MME - Ministério de Minas e Energia</v>
      </c>
      <c r="F203" s="258" t="str">
        <f>[1]BASE!F206</f>
        <v>FCT 9</v>
      </c>
      <c r="G203" s="258" t="str">
        <f>[1]BASE!G206</f>
        <v>GSISP Intermediário</v>
      </c>
      <c r="H203" s="257" t="str">
        <f>[1]BASE!H206</f>
        <v xml:space="preserve">SE / SPOA / CGTI / COORDENAÇÃO DE INFRAESTRUTURA TECNOLÓGICA - </v>
      </c>
      <c r="I203" s="260" t="str">
        <f>[1]BASE!I206</f>
        <v>8.105.310</v>
      </c>
    </row>
    <row r="204" spans="1:9" x14ac:dyDescent="0.25">
      <c r="A204" s="257" t="str">
        <f>[1]BASE!A207</f>
        <v>GLAUCIA MARIA DE MEIRELES</v>
      </c>
      <c r="B204" s="258">
        <f>[1]BASE!B207</f>
        <v>1479945</v>
      </c>
      <c r="C204" s="257" t="str">
        <f>[1]BASE!C207</f>
        <v>Sem Cargo/Emprego</v>
      </c>
      <c r="D204" s="258" t="str">
        <f>[1]BASE!D207</f>
        <v>Sem Vínculo</v>
      </c>
      <c r="E204" s="257" t="str">
        <f>[1]BASE!E207</f>
        <v>Sem Vínculo</v>
      </c>
      <c r="F204" s="258" t="str">
        <f>[1]BASE!F207</f>
        <v>DAS 102.3</v>
      </c>
      <c r="G204" s="258" t="str">
        <f>[1]BASE!G207</f>
        <v xml:space="preserve"> </v>
      </c>
      <c r="H204" s="257" t="str">
        <f>[1]BASE!H207</f>
        <v>SE / CHEFIA DE GABINETE SE</v>
      </c>
      <c r="I204" s="260" t="str">
        <f>[1]BASE!I207</f>
        <v>8.100.000</v>
      </c>
    </row>
    <row r="205" spans="1:9" x14ac:dyDescent="0.25">
      <c r="A205" s="257" t="str">
        <f>[1]BASE!A208</f>
        <v>GLEYSIELEN CARDOSO NEVES</v>
      </c>
      <c r="B205" s="258">
        <f>[1]BASE!B208</f>
        <v>2675984</v>
      </c>
      <c r="C205" s="257" t="str">
        <f>[1]BASE!C208</f>
        <v>Sem Cargo/Emprego</v>
      </c>
      <c r="D205" s="258" t="str">
        <f>[1]BASE!D208</f>
        <v>Sem Vínculo</v>
      </c>
      <c r="E205" s="257" t="str">
        <f>[1]BASE!E208</f>
        <v>Sem Vínculo</v>
      </c>
      <c r="F205" s="258" t="str">
        <f>[1]BASE!F208</f>
        <v>DAS 101.2</v>
      </c>
      <c r="G205" s="258" t="str">
        <f>[1]BASE!G208</f>
        <v xml:space="preserve"> </v>
      </c>
      <c r="H205" s="257" t="str">
        <f>[1]BASE!H208</f>
        <v>SE / SPOA / CGRL / COORDENAÇÃO DE ATIVIDADES GERAIS - COAGE</v>
      </c>
      <c r="I205" s="260" t="str">
        <f>[1]BASE!I208</f>
        <v>8.105.120</v>
      </c>
    </row>
    <row r="206" spans="1:9" x14ac:dyDescent="0.25">
      <c r="A206" s="257" t="str">
        <f>[1]BASE!A209</f>
        <v>GRAYCE MARTINS DA SILVA GONCALVES</v>
      </c>
      <c r="B206" s="258">
        <f>[1]BASE!B209</f>
        <v>1804230</v>
      </c>
      <c r="C206" s="257" t="str">
        <f>[1]BASE!C209</f>
        <v>Analista Técnico Administrativo</v>
      </c>
      <c r="D206" s="258" t="str">
        <f>[1]BASE!D209</f>
        <v>Requisitado de Órgãos</v>
      </c>
      <c r="E206" s="257" t="str">
        <f>[1]BASE!E209</f>
        <v>MDR - Ministério do Desenvolvimento Regional</v>
      </c>
      <c r="F206" s="258" t="str">
        <f>[1]BASE!F209</f>
        <v>FCPE 101.4</v>
      </c>
      <c r="G206" s="258" t="str">
        <f>[1]BASE!G209</f>
        <v xml:space="preserve"> </v>
      </c>
      <c r="H206" s="257" t="str">
        <f>[1]BASE!H209</f>
        <v>GM / OUVIDORIA GERAL - OUVIR</v>
      </c>
      <c r="I206" s="260" t="str">
        <f>[1]BASE!I209</f>
        <v>2.100.500</v>
      </c>
    </row>
    <row r="207" spans="1:9" x14ac:dyDescent="0.25">
      <c r="A207" s="257" t="str">
        <f>[1]BASE!A210</f>
        <v>GUALTER DE CARVALHO MENDES</v>
      </c>
      <c r="B207" s="258">
        <f>[1]BASE!B210</f>
        <v>5293689</v>
      </c>
      <c r="C207" s="257" t="str">
        <f>[1]BASE!C210</f>
        <v>Sem Cargo/Emprego</v>
      </c>
      <c r="D207" s="258" t="str">
        <f>[1]BASE!D210</f>
        <v>Sem Vínculo</v>
      </c>
      <c r="E207" s="257" t="str">
        <f>[1]BASE!E210</f>
        <v>Sem Vínculo</v>
      </c>
      <c r="F207" s="258" t="str">
        <f>[1]BASE!F210</f>
        <v>DAS 102.4</v>
      </c>
      <c r="G207" s="258" t="str">
        <f>[1]BASE!G210</f>
        <v xml:space="preserve"> </v>
      </c>
      <c r="H207" s="257" t="str">
        <f>[1]BASE!H210</f>
        <v>SEE / CHEFIA DE GABINETE SEE</v>
      </c>
      <c r="I207" s="260" t="str">
        <f>[1]BASE!I210</f>
        <v>12.100.000</v>
      </c>
    </row>
    <row r="208" spans="1:9" x14ac:dyDescent="0.25">
      <c r="A208" s="257" t="str">
        <f>[1]BASE!A211</f>
        <v>GUILHERME BRUM DE ALMEIDA</v>
      </c>
      <c r="B208" s="258">
        <f>[1]BASE!B211</f>
        <v>1507340</v>
      </c>
      <c r="C208" s="257" t="str">
        <f>[1]BASE!C211</f>
        <v>Advogado da União</v>
      </c>
      <c r="D208" s="258" t="str">
        <f>[1]BASE!D211</f>
        <v>Exercício Descentralizado</v>
      </c>
      <c r="E208" s="257" t="str">
        <f>[1]BASE!E211</f>
        <v>AGU - Advocacia Geral da União</v>
      </c>
      <c r="F208" s="258" t="str">
        <f>[1]BASE!F211</f>
        <v>FCPE 101.4</v>
      </c>
      <c r="G208" s="258" t="str">
        <f>[1]BASE!G211</f>
        <v xml:space="preserve"> </v>
      </c>
      <c r="H208" s="257" t="str">
        <f>[1]BASE!H211</f>
        <v>CONJUR / COORDENAÇÃO GERAL DE ASSSUNTOS ADMINISTRATIVOS - CGAA</v>
      </c>
      <c r="I208" s="260" t="str">
        <f>[1]BASE!I211</f>
        <v>7.100.300</v>
      </c>
    </row>
    <row r="209" spans="1:9" x14ac:dyDescent="0.25">
      <c r="A209" s="257" t="str">
        <f>[1]BASE!A212</f>
        <v>GUILHERME SILVA DE GODOI</v>
      </c>
      <c r="B209" s="258">
        <f>[1]BASE!B212</f>
        <v>3688550</v>
      </c>
      <c r="C209" s="257" t="str">
        <f>[1]BASE!C212</f>
        <v>Analista de Infraestrutura</v>
      </c>
      <c r="D209" s="258" t="str">
        <f>[1]BASE!D212</f>
        <v>Exercício Descentralizado</v>
      </c>
      <c r="E209" s="257" t="str">
        <f>[1]BASE!E212</f>
        <v>ME - Ministério da Economia</v>
      </c>
      <c r="F209" s="258" t="str">
        <f>[1]BASE!F212</f>
        <v>DAS 101.5</v>
      </c>
      <c r="G209" s="258" t="str">
        <f>[1]BASE!G212</f>
        <v xml:space="preserve"> </v>
      </c>
      <c r="H209" s="257" t="str">
        <f>[1]BASE!H212</f>
        <v>SEE / DEPARTAMENTO DE MONITORAMENTO DO SISTEMA ELÉTRICO - DMSE</v>
      </c>
      <c r="I209" s="260" t="str">
        <f>[1]BASE!I212</f>
        <v>12.102.000</v>
      </c>
    </row>
    <row r="210" spans="1:9" x14ac:dyDescent="0.25">
      <c r="A210" s="257" t="str">
        <f>[1]BASE!A213</f>
        <v>GUILHERME ZANETTI ROSA</v>
      </c>
      <c r="B210" s="258">
        <f>[1]BASE!B213</f>
        <v>2799234</v>
      </c>
      <c r="C210" s="257" t="str">
        <f>[1]BASE!C213</f>
        <v>Analista de Infraestrutura</v>
      </c>
      <c r="D210" s="258" t="str">
        <f>[1]BASE!D213</f>
        <v>Exercício Descentralizado</v>
      </c>
      <c r="E210" s="257" t="str">
        <f>[1]BASE!E213</f>
        <v>ME - Ministério da Economia</v>
      </c>
      <c r="F210" s="258" t="str">
        <f>[1]BASE!F213</f>
        <v>DAS 102.3</v>
      </c>
      <c r="G210" s="258" t="str">
        <f>[1]BASE!G213</f>
        <v xml:space="preserve"> </v>
      </c>
      <c r="H210" s="257" t="str">
        <f>[1]BASE!H213</f>
        <v>SPE / DPE / COORDENAÇÃO GERAL DE PLANEJAMENTO DA TRANSMISSÃO</v>
      </c>
      <c r="I210" s="260" t="str">
        <f>[1]BASE!I213</f>
        <v>10.101.100</v>
      </c>
    </row>
    <row r="211" spans="1:9" x14ac:dyDescent="0.25">
      <c r="A211" s="257" t="str">
        <f>[1]BASE!A214</f>
        <v>GUSTAVO CERQUEIRA ATAIDE</v>
      </c>
      <c r="B211" s="258">
        <f>[1]BASE!B214</f>
        <v>1653173</v>
      </c>
      <c r="C211" s="257" t="str">
        <f>[1]BASE!C214</f>
        <v>Analista de Infraestrutura</v>
      </c>
      <c r="D211" s="258" t="str">
        <f>[1]BASE!D214</f>
        <v>Requisitado de Órgãos</v>
      </c>
      <c r="E211" s="257" t="str">
        <f>[1]BASE!E214</f>
        <v>ME - Ministério da Economia</v>
      </c>
      <c r="F211" s="258" t="str">
        <f>[1]BASE!F214</f>
        <v>DAS 102.4</v>
      </c>
      <c r="G211" s="258" t="str">
        <f>[1]BASE!G214</f>
        <v xml:space="preserve"> </v>
      </c>
      <c r="H211" s="257" t="str">
        <f>[1]BASE!H214</f>
        <v>SPE / DEPARTAMENTO DE PLANEJAMENTO ENERGÉTICO - DPE</v>
      </c>
      <c r="I211" s="260" t="str">
        <f>[1]BASE!I214</f>
        <v>10.101.000</v>
      </c>
    </row>
    <row r="212" spans="1:9" x14ac:dyDescent="0.25">
      <c r="A212" s="257" t="str">
        <f>[1]BASE!A215</f>
        <v>GUSTAVO LUIS DE SOUZA MOTTA</v>
      </c>
      <c r="B212" s="258">
        <f>[1]BASE!B215</f>
        <v>2983503</v>
      </c>
      <c r="C212" s="257" t="str">
        <f>[1]BASE!C215</f>
        <v>Especialista em Política Pública e Gestão Governamental</v>
      </c>
      <c r="D212" s="258" t="str">
        <f>[1]BASE!D215</f>
        <v>Exercício Descentralizado</v>
      </c>
      <c r="E212" s="257" t="str">
        <f>[1]BASE!E215</f>
        <v>ME - Ministério da Economia</v>
      </c>
      <c r="F212" s="258" t="str">
        <f>[1]BASE!F215</f>
        <v>FCPE 102.2</v>
      </c>
      <c r="G212" s="258" t="str">
        <f>[1]BASE!G215</f>
        <v xml:space="preserve"> </v>
      </c>
      <c r="H212" s="257" t="str">
        <f>[1]BASE!H215</f>
        <v>SPG / DBIO / COORDENAÇÃO GERAL DE BIODIESEL E OUTROS BIOCOMBUSTÍVEIS</v>
      </c>
      <c r="I212" s="260" t="str">
        <f>[1]BASE!I215</f>
        <v>11.104.100</v>
      </c>
    </row>
    <row r="213" spans="1:9" x14ac:dyDescent="0.25">
      <c r="A213" s="257" t="str">
        <f>[1]BASE!A216</f>
        <v>GUSTAVO SANTOS MASILI</v>
      </c>
      <c r="B213" s="258">
        <f>[1]BASE!B216</f>
        <v>3663022</v>
      </c>
      <c r="C213" s="257" t="str">
        <f>[1]BASE!C216</f>
        <v>Auditor Federal de Finanças e Controle</v>
      </c>
      <c r="D213" s="258" t="str">
        <f>[1]BASE!D216</f>
        <v>Requisitado de Órgãos</v>
      </c>
      <c r="E213" s="257" t="str">
        <f>[1]BASE!E216</f>
        <v>ME - Ministério da Economia</v>
      </c>
      <c r="F213" s="258" t="str">
        <f>[1]BASE!F216</f>
        <v>FCPE 101.4</v>
      </c>
      <c r="G213" s="258" t="str">
        <f>[1]BASE!G216</f>
        <v xml:space="preserve"> </v>
      </c>
      <c r="H213" s="257" t="str">
        <f>[1]BASE!H216</f>
        <v>SE / AEGP / COORDENAÇÃO GERAL DE PLANEJAMENTO, FINANÇAS E CONTROLE - CGPF</v>
      </c>
      <c r="I213" s="260" t="str">
        <f>[1]BASE!I216</f>
        <v>8.103.100</v>
      </c>
    </row>
    <row r="214" spans="1:9" x14ac:dyDescent="0.25">
      <c r="A214" s="257" t="str">
        <f>[1]BASE!A217</f>
        <v>HAILTON MADUREIRA DE ALMEIDA</v>
      </c>
      <c r="B214" s="258">
        <f>[1]BASE!B217</f>
        <v>1370766</v>
      </c>
      <c r="C214" s="257" t="str">
        <f>[1]BASE!C217</f>
        <v>Auditor Federal de Finanças e Controle</v>
      </c>
      <c r="D214" s="258" t="str">
        <f>[1]BASE!D217</f>
        <v>Requisitado de Órgãos</v>
      </c>
      <c r="E214" s="257" t="str">
        <f>[1]BASE!E217</f>
        <v>ME - Ministério da Economia</v>
      </c>
      <c r="F214" s="258" t="str">
        <f>[1]BASE!F217</f>
        <v>DAS 101.5</v>
      </c>
      <c r="G214" s="258" t="str">
        <f>[1]BASE!G217</f>
        <v xml:space="preserve"> </v>
      </c>
      <c r="H214" s="257" t="str">
        <f>[1]BASE!H217</f>
        <v>ASSESSORIA ESPECIAL DE ASSUNTOS ECONÔMICOS - ASSEC</v>
      </c>
      <c r="I214" s="260" t="str">
        <f>[1]BASE!I217</f>
        <v>6.000.000</v>
      </c>
    </row>
    <row r="215" spans="1:9" x14ac:dyDescent="0.25">
      <c r="A215" s="257" t="str">
        <f>[1]BASE!A218</f>
        <v>HAMILTON CHIARINI DE ALCÂNTARA</v>
      </c>
      <c r="B215" s="258">
        <f>[1]BASE!B218</f>
        <v>4499226</v>
      </c>
      <c r="C215" s="257" t="str">
        <f>[1]BASE!C218</f>
        <v>Analista de Infraestrutura</v>
      </c>
      <c r="D215" s="258" t="str">
        <f>[1]BASE!D218</f>
        <v>Exercício Descentralizado</v>
      </c>
      <c r="E215" s="257" t="str">
        <f>[1]BASE!E218</f>
        <v>ME - Ministério da Economia</v>
      </c>
      <c r="F215" s="258" t="str">
        <f>[1]BASE!F218</f>
        <v>FGR 1</v>
      </c>
      <c r="G215" s="258" t="str">
        <f>[1]BASE!G218</f>
        <v xml:space="preserve"> </v>
      </c>
      <c r="H215" s="257" t="str">
        <f>[1]BASE!H218</f>
        <v>SEE / DPUE / COORDENAÇÃO GERAL DE DESENVOLVIMENTO DE POLÍTICAS SOCIAIS</v>
      </c>
      <c r="I215" s="260" t="str">
        <f>[1]BASE!I218</f>
        <v>12.103.100</v>
      </c>
    </row>
    <row r="216" spans="1:9" x14ac:dyDescent="0.25">
      <c r="A216" s="257" t="str">
        <f>[1]BASE!A219</f>
        <v>HELIO MAURO FRANCA</v>
      </c>
      <c r="B216" s="258">
        <f>[1]BASE!B219</f>
        <v>6439807</v>
      </c>
      <c r="C216" s="257" t="str">
        <f>[1]BASE!C219</f>
        <v>Advogado I</v>
      </c>
      <c r="D216" s="258" t="str">
        <f>[1]BASE!D219</f>
        <v>Anistiado MME</v>
      </c>
      <c r="E216" s="257" t="str">
        <f>[1]BASE!E219</f>
        <v>MME - Ministério de Minas e Energia</v>
      </c>
      <c r="F216" s="258" t="str">
        <f>[1]BASE!F219</f>
        <v xml:space="preserve"> </v>
      </c>
      <c r="G216" s="258" t="str">
        <f>[1]BASE!G219</f>
        <v xml:space="preserve"> </v>
      </c>
      <c r="H216" s="257" t="str">
        <f>[1]BASE!H219</f>
        <v>SGM / DEPARTAMENTO DE GESTÃO DAS POLÍTICAS DE GEOLOGIA, MINERAÇÃOE TRANSFORMAÇÃO - DPGM</v>
      </c>
      <c r="I216" s="260" t="str">
        <f>[1]BASE!I219</f>
        <v>9.101.000</v>
      </c>
    </row>
    <row r="217" spans="1:9" x14ac:dyDescent="0.25">
      <c r="A217" s="257" t="str">
        <f>[1]BASE!A220</f>
        <v>HELIO MOURINHO GARCIA JUNIOR</v>
      </c>
      <c r="B217" s="258">
        <f>[1]BASE!B220</f>
        <v>1243343</v>
      </c>
      <c r="C217" s="257" t="str">
        <f>[1]BASE!C220</f>
        <v>Sem Cargo/Emprego</v>
      </c>
      <c r="D217" s="258" t="str">
        <f>[1]BASE!D220</f>
        <v>Sem Vínculo</v>
      </c>
      <c r="E217" s="257" t="str">
        <f>[1]BASE!E220</f>
        <v>Sem Vínculo</v>
      </c>
      <c r="F217" s="258" t="str">
        <f>[1]BASE!F220</f>
        <v>DAS 101.5</v>
      </c>
      <c r="G217" s="258" t="str">
        <f>[1]BASE!G220</f>
        <v xml:space="preserve"> </v>
      </c>
      <c r="H217" s="257" t="str">
        <f>[1]BASE!H220</f>
        <v>SE / SUBSECRETARIA DE PLANEJAMENTO, ORÇAMENTO E ADMINISTRAÇÃO - SPOA</v>
      </c>
      <c r="I217" s="260" t="str">
        <f>[1]BASE!I220</f>
        <v>8.105.000</v>
      </c>
    </row>
    <row r="218" spans="1:9" x14ac:dyDescent="0.25">
      <c r="A218" s="257" t="str">
        <f>[1]BASE!A221</f>
        <v>HELITON SABINO BRIGLIA FERREIRA</v>
      </c>
      <c r="B218" s="258">
        <f>[1]BASE!B221</f>
        <v>3139070</v>
      </c>
      <c r="C218" s="257" t="str">
        <f>[1]BASE!C221</f>
        <v>Marinha</v>
      </c>
      <c r="D218" s="258" t="str">
        <f>[1]BASE!D221</f>
        <v>Requisitado Militar</v>
      </c>
      <c r="E218" s="257" t="str">
        <f>[1]BASE!E221</f>
        <v>Marinha</v>
      </c>
      <c r="F218" s="258" t="str">
        <f>[1]BASE!F221</f>
        <v>DAS 101.4</v>
      </c>
      <c r="G218" s="258" t="str">
        <f>[1]BASE!G221</f>
        <v xml:space="preserve"> </v>
      </c>
      <c r="H218" s="257" t="str">
        <f>[1]BASE!H221</f>
        <v>SE / SPOA / COORDENAÇÃO GERAL DE TECNOLOGIA E INFORMAÇÃO - CGTI</v>
      </c>
      <c r="I218" s="260" t="str">
        <f>[1]BASE!I221</f>
        <v>8.105.300</v>
      </c>
    </row>
    <row r="219" spans="1:9" x14ac:dyDescent="0.25">
      <c r="A219" s="257" t="str">
        <f>[1]BASE!A222</f>
        <v>HÉLVIO NEVES GUERRA</v>
      </c>
      <c r="B219" s="258">
        <f>[1]BASE!B222</f>
        <v>399946</v>
      </c>
      <c r="C219" s="257" t="str">
        <f>[1]BASE!C222</f>
        <v>Sem Cargo/Emprego</v>
      </c>
      <c r="D219" s="258" t="str">
        <f>[1]BASE!D222</f>
        <v>Sem Vínculo</v>
      </c>
      <c r="E219" s="257" t="str">
        <f>[1]BASE!E222</f>
        <v>Sem Vínculo</v>
      </c>
      <c r="F219" s="258" t="str">
        <f>[1]BASE!F222</f>
        <v>DAS 101.5</v>
      </c>
      <c r="G219" s="258" t="str">
        <f>[1]BASE!G222</f>
        <v xml:space="preserve"> </v>
      </c>
      <c r="H219" s="257" t="str">
        <f>[1]BASE!H222</f>
        <v>SPE / CHEFIA DE GABINETE SPE</v>
      </c>
      <c r="I219" s="260" t="str">
        <f>[1]BASE!I222</f>
        <v>10.100.000</v>
      </c>
    </row>
    <row r="220" spans="1:9" x14ac:dyDescent="0.25">
      <c r="A220" s="257" t="str">
        <f>[1]BASE!A223</f>
        <v>HENRIQUE LIBANIO PINHEIRO ROCHA</v>
      </c>
      <c r="B220" s="258">
        <f>[1]BASE!B223</f>
        <v>1995580</v>
      </c>
      <c r="C220" s="257" t="str">
        <f>[1]BASE!C223</f>
        <v>Sem Cargo/Emprego</v>
      </c>
      <c r="D220" s="258" t="str">
        <f>[1]BASE!D223</f>
        <v>Sem Vínculo</v>
      </c>
      <c r="E220" s="257" t="str">
        <f>[1]BASE!E223</f>
        <v>Sem Vínculo</v>
      </c>
      <c r="F220" s="258" t="str">
        <f>[1]BASE!F223</f>
        <v>DAS 102.2</v>
      </c>
      <c r="G220" s="258" t="str">
        <f>[1]BASE!G223</f>
        <v xml:space="preserve"> </v>
      </c>
      <c r="H220" s="257" t="str">
        <f>[1]BASE!H223</f>
        <v>SGM / DEPARTAMENTO DE DESENVOLVIMENTO SUSTENTÁVEL NA MINERAÇÃO - DDM</v>
      </c>
      <c r="I220" s="260" t="str">
        <f>[1]BASE!I223</f>
        <v>9.104.000</v>
      </c>
    </row>
    <row r="221" spans="1:9" x14ac:dyDescent="0.25">
      <c r="A221" s="257" t="str">
        <f>[1]BASE!A224</f>
        <v>HENRYETTE PATRICE CRUZ</v>
      </c>
      <c r="B221" s="258">
        <f>[1]BASE!B224</f>
        <v>1280619</v>
      </c>
      <c r="C221" s="257" t="str">
        <f>[1]BASE!C224</f>
        <v>Analista de Infraestrutura</v>
      </c>
      <c r="D221" s="258" t="str">
        <f>[1]BASE!D224</f>
        <v>Exercício Descentralizado</v>
      </c>
      <c r="E221" s="257" t="str">
        <f>[1]BASE!E224</f>
        <v>ME - Ministério da Economia</v>
      </c>
      <c r="F221" s="258" t="str">
        <f>[1]BASE!F224</f>
        <v xml:space="preserve"> </v>
      </c>
      <c r="G221" s="258" t="str">
        <f>[1]BASE!G224</f>
        <v xml:space="preserve"> </v>
      </c>
      <c r="H221" s="257" t="str">
        <f>[1]BASE!H224</f>
        <v xml:space="preserve">SE / AESA / COORDENAÇÃO GERAL DE ARTICULAÇÃO INSTITUCIONAL EM MEIO AMBIENTE - </v>
      </c>
      <c r="I221" s="260" t="str">
        <f>[1]BASE!I224</f>
        <v>8.104.200</v>
      </c>
    </row>
    <row r="222" spans="1:9" x14ac:dyDescent="0.25">
      <c r="A222" s="257" t="str">
        <f>[1]BASE!A225</f>
        <v>HILDETE DE NAZARE CORREA KUBOTA</v>
      </c>
      <c r="B222" s="258">
        <f>[1]BASE!B225</f>
        <v>1670470</v>
      </c>
      <c r="C222" s="257" t="str">
        <f>[1]BASE!C225</f>
        <v>Datilógrafo</v>
      </c>
      <c r="D222" s="258" t="str">
        <f>[1]BASE!D225</f>
        <v>Anistiado MME</v>
      </c>
      <c r="E222" s="257" t="str">
        <f>[1]BASE!E225</f>
        <v>MME - Ministério de Minas e Energia</v>
      </c>
      <c r="F222" s="258" t="str">
        <f>[1]BASE!F225</f>
        <v xml:space="preserve"> </v>
      </c>
      <c r="G222" s="258" t="str">
        <f>[1]BASE!G225</f>
        <v xml:space="preserve"> </v>
      </c>
      <c r="H222" s="257" t="str">
        <f>[1]BASE!H225</f>
        <v>SE / SPOA / CGRH / COORDENAÇÃO DE DESENVOLVIMENTO E SEGURIDADE SOCIAL - CODES</v>
      </c>
      <c r="I222" s="260" t="str">
        <f>[1]BASE!I225</f>
        <v>8.105.220</v>
      </c>
    </row>
    <row r="223" spans="1:9" x14ac:dyDescent="0.25">
      <c r="A223" s="257" t="str">
        <f>[1]BASE!A226</f>
        <v>HIRAM COSTA BOTELHO</v>
      </c>
      <c r="B223" s="258">
        <f>[1]BASE!B226</f>
        <v>451570</v>
      </c>
      <c r="C223" s="257" t="str">
        <f>[1]BASE!C226</f>
        <v>Agente Administrativo</v>
      </c>
      <c r="D223" s="258" t="str">
        <f>[1]BASE!D226</f>
        <v>Ativo Permanente</v>
      </c>
      <c r="E223" s="257" t="str">
        <f>[1]BASE!E226</f>
        <v>MME - Ministério de Minas e Energia</v>
      </c>
      <c r="F223" s="258" t="str">
        <f>[1]BASE!F226</f>
        <v>FCT 10</v>
      </c>
      <c r="G223" s="258" t="str">
        <f>[1]BASE!G226</f>
        <v>GSISTE Intermediário</v>
      </c>
      <c r="H223" s="257" t="str">
        <f>[1]BASE!H226</f>
        <v xml:space="preserve">SE / SPOA / CGTI / COORDENAÇÃO DE INFRAESTRUTURA TECNOLÓGICA - </v>
      </c>
      <c r="I223" s="260" t="str">
        <f>[1]BASE!I226</f>
        <v>8.105.310</v>
      </c>
    </row>
    <row r="224" spans="1:9" x14ac:dyDescent="0.25">
      <c r="A224" s="257" t="str">
        <f>[1]BASE!A227</f>
        <v>HISAO FUJIMOTO</v>
      </c>
      <c r="B224" s="258">
        <f>[1]BASE!B227</f>
        <v>1314219</v>
      </c>
      <c r="C224" s="257" t="str">
        <f>[1]BASE!C227</f>
        <v>Analista de Sistema</v>
      </c>
      <c r="D224" s="258" t="str">
        <f>[1]BASE!D227</f>
        <v>Ativo Permanente</v>
      </c>
      <c r="E224" s="257" t="str">
        <f>[1]BASE!E227</f>
        <v>MME - Ministério de Minas e Energia</v>
      </c>
      <c r="F224" s="258" t="str">
        <f>[1]BASE!F227</f>
        <v>FGR 1</v>
      </c>
      <c r="G224" s="258" t="str">
        <f>[1]BASE!G227</f>
        <v>GSISTE Superior</v>
      </c>
      <c r="H224" s="257" t="str">
        <f>[1]BASE!H227</f>
        <v xml:space="preserve">SE / SPOA / CGTI / COORDENAÇÃO DE INFRAESTRUTURA TECNOLÓGICA - </v>
      </c>
      <c r="I224" s="260" t="str">
        <f>[1]BASE!I227</f>
        <v>8.105.310</v>
      </c>
    </row>
    <row r="225" spans="1:9" x14ac:dyDescent="0.25">
      <c r="A225" s="257" t="str">
        <f>[1]BASE!A228</f>
        <v>IARA LEMOS GIANI</v>
      </c>
      <c r="B225" s="258">
        <f>[1]BASE!B228</f>
        <v>3610351</v>
      </c>
      <c r="C225" s="257" t="str">
        <f>[1]BASE!C228</f>
        <v>Sem Cargo/Emprego</v>
      </c>
      <c r="D225" s="258" t="str">
        <f>[1]BASE!D228</f>
        <v>Sem Vínculo</v>
      </c>
      <c r="E225" s="257" t="str">
        <f>[1]BASE!E228</f>
        <v>Sem Vínculo</v>
      </c>
      <c r="F225" s="258" t="str">
        <f>[1]BASE!F228</f>
        <v>DAS 101.4</v>
      </c>
      <c r="G225" s="258" t="str">
        <f>[1]BASE!G228</f>
        <v xml:space="preserve"> </v>
      </c>
      <c r="H225" s="257" t="str">
        <f>[1]BASE!H228</f>
        <v>SE / SPOA / COORDENAÇÃO GERAL DE COMPRAS E CONTRATOS - CGCC</v>
      </c>
      <c r="I225" s="260" t="str">
        <f>[1]BASE!I228</f>
        <v>8.105.400</v>
      </c>
    </row>
    <row r="226" spans="1:9" x14ac:dyDescent="0.25">
      <c r="A226" s="257" t="str">
        <f>[1]BASE!A229</f>
        <v>IDALBA MARIA MENEZES DA COSTA</v>
      </c>
      <c r="B226" s="258">
        <f>[1]BASE!B229</f>
        <v>1589336</v>
      </c>
      <c r="C226" s="257" t="str">
        <f>[1]BASE!C229</f>
        <v>Escriturário</v>
      </c>
      <c r="D226" s="258" t="str">
        <f>[1]BASE!D229</f>
        <v>Anistiado MME</v>
      </c>
      <c r="E226" s="257" t="str">
        <f>[1]BASE!E229</f>
        <v>MME - Ministério de Minas e Energia</v>
      </c>
      <c r="F226" s="258" t="str">
        <f>[1]BASE!F229</f>
        <v xml:space="preserve"> </v>
      </c>
      <c r="G226" s="258" t="str">
        <f>[1]BASE!G229</f>
        <v xml:space="preserve"> </v>
      </c>
      <c r="H226" s="257" t="str">
        <f>[1]BASE!H229</f>
        <v>SE / SPOA / COORDENAÇÃO GERAL DE RECURSOS HUMANOS - CGRH</v>
      </c>
      <c r="I226" s="260" t="str">
        <f>[1]BASE!I229</f>
        <v>8.105.200</v>
      </c>
    </row>
    <row r="227" spans="1:9" x14ac:dyDescent="0.25">
      <c r="A227" s="257" t="str">
        <f>[1]BASE!A230</f>
        <v>IELAYNE MARIA DA SILVA</v>
      </c>
      <c r="B227" s="258">
        <f>[1]BASE!B230</f>
        <v>2412287</v>
      </c>
      <c r="C227" s="257" t="str">
        <f>[1]BASE!C230</f>
        <v>Sem Cargo/Emprego</v>
      </c>
      <c r="D227" s="258" t="str">
        <f>[1]BASE!D230</f>
        <v>Sem Vínculo</v>
      </c>
      <c r="E227" s="257" t="str">
        <f>[1]BASE!E230</f>
        <v>Sem Vínculo</v>
      </c>
      <c r="F227" s="258" t="str">
        <f>[1]BASE!F230</f>
        <v>DAS 102.1</v>
      </c>
      <c r="G227" s="258" t="str">
        <f>[1]BASE!G230</f>
        <v xml:space="preserve"> </v>
      </c>
      <c r="H227" s="257" t="str">
        <f>[1]BASE!H230</f>
        <v>SE / SPOA / CGRL / COORDENAÇÃO DE ATIVIDADES GERAIS - COAGE</v>
      </c>
      <c r="I227" s="260" t="str">
        <f>[1]BASE!I230</f>
        <v>8.105.120</v>
      </c>
    </row>
    <row r="228" spans="1:9" x14ac:dyDescent="0.25">
      <c r="A228" s="257" t="str">
        <f>[1]BASE!A231</f>
        <v>IGOR SOUZA RIBEIRO</v>
      </c>
      <c r="B228" s="258">
        <f>[1]BASE!B231</f>
        <v>2974574</v>
      </c>
      <c r="C228" s="257" t="str">
        <f>[1]BASE!C231</f>
        <v>Analista de Infraestrutura</v>
      </c>
      <c r="D228" s="258" t="str">
        <f>[1]BASE!D231</f>
        <v>Exercício Descentralizado</v>
      </c>
      <c r="E228" s="257" t="str">
        <f>[1]BASE!E231</f>
        <v>ME - Ministério da Economia</v>
      </c>
      <c r="F228" s="258" t="str">
        <f>[1]BASE!F231</f>
        <v>FCPE 101.4</v>
      </c>
      <c r="G228" s="258" t="str">
        <f>[1]BASE!G231</f>
        <v xml:space="preserve"> </v>
      </c>
      <c r="H228" s="257" t="str">
        <f>[1]BASE!H231</f>
        <v>SEE / DMSE / COORDENAÇÃO GERAL DE MONITORAMENTO DO DESEMPENHO DO SISTEMA ELÉTRICO</v>
      </c>
      <c r="I228" s="260" t="str">
        <f>[1]BASE!I231</f>
        <v>12.102.400</v>
      </c>
    </row>
    <row r="229" spans="1:9" x14ac:dyDescent="0.25">
      <c r="A229" s="257" t="str">
        <f>[1]BASE!A232</f>
        <v>INA LUCIA CIPRIANO DE OLIVEIRA</v>
      </c>
      <c r="B229" s="258">
        <f>[1]BASE!B232</f>
        <v>1526188</v>
      </c>
      <c r="C229" s="257" t="str">
        <f>[1]BASE!C232</f>
        <v>Marinha</v>
      </c>
      <c r="D229" s="258" t="str">
        <f>[1]BASE!D232</f>
        <v>Requisitado Militar</v>
      </c>
      <c r="E229" s="257" t="str">
        <f>[1]BASE!E232</f>
        <v>Marinha</v>
      </c>
      <c r="F229" s="258" t="str">
        <f>[1]BASE!F232</f>
        <v>DAS 102.4</v>
      </c>
      <c r="G229" s="258" t="str">
        <f>[1]BASE!G232</f>
        <v xml:space="preserve"> </v>
      </c>
      <c r="H229" s="257" t="str">
        <f>[1]BASE!H232</f>
        <v>GABINETE DO MINISTRO - GM</v>
      </c>
      <c r="I229" s="260" t="str">
        <f>[1]BASE!I232</f>
        <v>2.000.000</v>
      </c>
    </row>
    <row r="230" spans="1:9" x14ac:dyDescent="0.25">
      <c r="A230" s="257" t="str">
        <f>[1]BASE!A233</f>
        <v>INGRID PALMA ARAUJO</v>
      </c>
      <c r="B230" s="258">
        <f>[1]BASE!B233</f>
        <v>1636863</v>
      </c>
      <c r="C230" s="257" t="str">
        <f>[1]BASE!C233</f>
        <v>Analista em Tecnologia da Informação</v>
      </c>
      <c r="D230" s="258" t="str">
        <f>[1]BASE!D233</f>
        <v>Requisitado de Órgãos</v>
      </c>
      <c r="E230" s="257" t="str">
        <f>[1]BASE!E233</f>
        <v>ME - Ministério da Economia</v>
      </c>
      <c r="F230" s="258" t="str">
        <f>[1]BASE!F233</f>
        <v>FCPE 102.4</v>
      </c>
      <c r="G230" s="258" t="str">
        <f>[1]BASE!G233</f>
        <v xml:space="preserve"> </v>
      </c>
      <c r="H230" s="257" t="str">
        <f>[1]BASE!H233</f>
        <v>ASSESSORIA ESPECIAL DE CONTROLE INTERNO - AECI</v>
      </c>
      <c r="I230" s="260" t="str">
        <f>[1]BASE!I233</f>
        <v>5.000.000</v>
      </c>
    </row>
    <row r="231" spans="1:9" x14ac:dyDescent="0.25">
      <c r="A231" s="257" t="str">
        <f>[1]BASE!A234</f>
        <v>IRACI BATISTA AGUIAR</v>
      </c>
      <c r="B231" s="258">
        <f>[1]BASE!B234</f>
        <v>7450943</v>
      </c>
      <c r="C231" s="257" t="str">
        <f>[1]BASE!C234</f>
        <v>Secretária Executiva A</v>
      </c>
      <c r="D231" s="258" t="str">
        <f>[1]BASE!D234</f>
        <v>Anistiado MME</v>
      </c>
      <c r="E231" s="257" t="str">
        <f>[1]BASE!E234</f>
        <v>MME - Ministério de Minas e Energia</v>
      </c>
      <c r="F231" s="258" t="str">
        <f>[1]BASE!F234</f>
        <v xml:space="preserve"> </v>
      </c>
      <c r="G231" s="258" t="str">
        <f>[1]BASE!G234</f>
        <v xml:space="preserve"> </v>
      </c>
      <c r="H231" s="257" t="str">
        <f>[1]BASE!H234</f>
        <v>SE / SPOA / COORDENAÇÃO GERAL DE RECURSOS HUMANOS - CGRH</v>
      </c>
      <c r="I231" s="260" t="str">
        <f>[1]BASE!I234</f>
        <v>8.105.200</v>
      </c>
    </row>
    <row r="232" spans="1:9" x14ac:dyDescent="0.25">
      <c r="A232" s="257" t="str">
        <f>[1]BASE!A235</f>
        <v>ISAAC PINTO AVERBUCH</v>
      </c>
      <c r="B232" s="258">
        <f>[1]BASE!B235</f>
        <v>4207140</v>
      </c>
      <c r="C232" s="257" t="str">
        <f>[1]BASE!C235</f>
        <v>Especialista em Política Pública e Gestão Governamental</v>
      </c>
      <c r="D232" s="258" t="str">
        <f>[1]BASE!D235</f>
        <v>Exercício Descentralizado</v>
      </c>
      <c r="E232" s="257" t="str">
        <f>[1]BASE!E235</f>
        <v>ME - Ministério da Economia</v>
      </c>
      <c r="F232" s="258" t="str">
        <f>[1]BASE!F235</f>
        <v>DAS 101.4</v>
      </c>
      <c r="G232" s="258" t="str">
        <f>[1]BASE!G235</f>
        <v xml:space="preserve"> </v>
      </c>
      <c r="H232" s="257" t="str">
        <f>[1]BASE!H235</f>
        <v>SEE / DMSE / COORDENAÇÃO GERAL DE MONITORAMENTO DO DESEMPENHO DO SISTEMA ELÉTRICO</v>
      </c>
      <c r="I232" s="260" t="str">
        <f>[1]BASE!I235</f>
        <v>12.102.400</v>
      </c>
    </row>
    <row r="233" spans="1:9" x14ac:dyDescent="0.25">
      <c r="A233" s="257" t="str">
        <f>[1]BASE!A236</f>
        <v>IVAN VITORIO FORESTI</v>
      </c>
      <c r="B233" s="258">
        <f>[1]BASE!B236</f>
        <v>1886597</v>
      </c>
      <c r="C233" s="257" t="str">
        <f>[1]BASE!C236</f>
        <v>Contador</v>
      </c>
      <c r="D233" s="258" t="str">
        <f>[1]BASE!D236</f>
        <v>Anistiado MME</v>
      </c>
      <c r="E233" s="257" t="str">
        <f>[1]BASE!E236</f>
        <v>MME - Ministério de Minas e Energia</v>
      </c>
      <c r="F233" s="258" t="str">
        <f>[1]BASE!F236</f>
        <v xml:space="preserve"> </v>
      </c>
      <c r="G233" s="258" t="str">
        <f>[1]BASE!G236</f>
        <v xml:space="preserve"> </v>
      </c>
      <c r="H233" s="257" t="str">
        <f>[1]BASE!H236</f>
        <v>Aguardando Lotação/Exercício</v>
      </c>
      <c r="I233" s="260" t="str">
        <f>[1]BASE!I236</f>
        <v>88.000.000</v>
      </c>
    </row>
    <row r="234" spans="1:9" x14ac:dyDescent="0.25">
      <c r="A234" s="257" t="str">
        <f>[1]BASE!A237</f>
        <v>IVONETE FIGUEIREDO PINTO</v>
      </c>
      <c r="B234" s="258">
        <f>[1]BASE!B237</f>
        <v>452085</v>
      </c>
      <c r="C234" s="257" t="str">
        <f>[1]BASE!C237</f>
        <v>Agente de Portaria</v>
      </c>
      <c r="D234" s="258" t="str">
        <f>[1]BASE!D237</f>
        <v>Ativo Permanente</v>
      </c>
      <c r="E234" s="257" t="str">
        <f>[1]BASE!E237</f>
        <v>MME - Ministério de Minas e Energia</v>
      </c>
      <c r="F234" s="258" t="str">
        <f>[1]BASE!F237</f>
        <v>FCT 10</v>
      </c>
      <c r="G234" s="258" t="str">
        <f>[1]BASE!G237</f>
        <v xml:space="preserve"> </v>
      </c>
      <c r="H234" s="257" t="str">
        <f>[1]BASE!H237</f>
        <v>GM / ASTAD / COORDENAÇÃO DE ATIVIDADES ADMINISTRATIVAS</v>
      </c>
      <c r="I234" s="260" t="str">
        <f>[1]BASE!I237</f>
        <v>2.100.101</v>
      </c>
    </row>
    <row r="235" spans="1:9" x14ac:dyDescent="0.25">
      <c r="A235" s="257" t="str">
        <f>[1]BASE!A238</f>
        <v>IZILDINHA SOUSA SALES</v>
      </c>
      <c r="B235" s="258">
        <f>[1]BASE!B238</f>
        <v>1337151</v>
      </c>
      <c r="C235" s="257" t="str">
        <f>[1]BASE!C238</f>
        <v>Sem Cargo/Emprego</v>
      </c>
      <c r="D235" s="258" t="str">
        <f>[1]BASE!D238</f>
        <v>Sem Vínculo</v>
      </c>
      <c r="E235" s="257" t="str">
        <f>[1]BASE!E238</f>
        <v>Sem Vínculo</v>
      </c>
      <c r="F235" s="258" t="str">
        <f>[1]BASE!F238</f>
        <v>DAS 102.2</v>
      </c>
      <c r="G235" s="258" t="str">
        <f>[1]BASE!G238</f>
        <v xml:space="preserve"> </v>
      </c>
      <c r="H235" s="257" t="str">
        <f>[1]BASE!H238</f>
        <v>SPG / CHEFIA DE GABINETE SPG</v>
      </c>
      <c r="I235" s="260" t="str">
        <f>[1]BASE!I238</f>
        <v>11.100.000</v>
      </c>
    </row>
    <row r="236" spans="1:9" x14ac:dyDescent="0.25">
      <c r="A236" s="257" t="str">
        <f>[1]BASE!A239</f>
        <v>JACQUELINE QUINTAS</v>
      </c>
      <c r="B236" s="258">
        <f>[1]BASE!B239</f>
        <v>2902131</v>
      </c>
      <c r="C236" s="257" t="str">
        <f>[1]BASE!C239</f>
        <v>Sem Cargo/Emprego</v>
      </c>
      <c r="D236" s="258" t="str">
        <f>[1]BASE!D239</f>
        <v>Sem Vínculo</v>
      </c>
      <c r="E236" s="257" t="str">
        <f>[1]BASE!E239</f>
        <v>Sem Vínculo</v>
      </c>
      <c r="F236" s="258" t="str">
        <f>[1]BASE!F239</f>
        <v>DAS 102.2</v>
      </c>
      <c r="G236" s="258" t="str">
        <f>[1]BASE!G239</f>
        <v xml:space="preserve"> </v>
      </c>
      <c r="H236" s="257" t="str">
        <f>[1]BASE!H239</f>
        <v>SGM / DPGM / COORDENAÇÃO GERAL DE MONITORAMENTO E CONTROLE DA GESTÃO DE PROGRAMA</v>
      </c>
      <c r="I236" s="260" t="str">
        <f>[1]BASE!I239</f>
        <v>9.101.200</v>
      </c>
    </row>
    <row r="237" spans="1:9" x14ac:dyDescent="0.25">
      <c r="A237" s="257" t="str">
        <f>[1]BASE!A240</f>
        <v>JAIR RODRIGUES DOS ANJOS</v>
      </c>
      <c r="B237" s="258">
        <f>[1]BASE!B240</f>
        <v>1437154</v>
      </c>
      <c r="C237" s="257" t="str">
        <f>[1]BASE!C240</f>
        <v>Auditor Federal de Finanças e Controle</v>
      </c>
      <c r="D237" s="258" t="str">
        <f>[1]BASE!D240</f>
        <v>Requisitado de Órgãos</v>
      </c>
      <c r="E237" s="257" t="str">
        <f>[1]BASE!E240</f>
        <v>ME - Ministério da Economia</v>
      </c>
      <c r="F237" s="258" t="str">
        <f>[1]BASE!F240</f>
        <v>DAS 101.4</v>
      </c>
      <c r="G237" s="258" t="str">
        <f>[1]BASE!G240</f>
        <v xml:space="preserve"> </v>
      </c>
      <c r="H237" s="257" t="str">
        <f>[1]BASE!H240</f>
        <v>SPG / DPGN / COORDENAÇÃO GERAL DE RESERVA, EXPLORAÇÃO E PRODUÇÃO DE PETRÓLEO E GÁS NATURAL</v>
      </c>
      <c r="I237" s="260" t="str">
        <f>[1]BASE!I240</f>
        <v>11.101.100</v>
      </c>
    </row>
    <row r="238" spans="1:9" x14ac:dyDescent="0.25">
      <c r="A238" s="257" t="str">
        <f>[1]BASE!A241</f>
        <v>JAIREZ ELÓI DE SOUSA PAULISTA</v>
      </c>
      <c r="B238" s="258">
        <f>[1]BASE!B241</f>
        <v>6455061</v>
      </c>
      <c r="C238" s="257" t="str">
        <f>[1]BASE!C241</f>
        <v>Sem Cargo/Emprego</v>
      </c>
      <c r="D238" s="258" t="str">
        <f>[1]BASE!D241</f>
        <v>Sem Vínculo</v>
      </c>
      <c r="E238" s="257" t="str">
        <f>[1]BASE!E241</f>
        <v>Sem Vínculo</v>
      </c>
      <c r="F238" s="258" t="str">
        <f>[1]BASE!F241</f>
        <v>DAS 101.4</v>
      </c>
      <c r="G238" s="258" t="str">
        <f>[1]BASE!G241</f>
        <v xml:space="preserve"> </v>
      </c>
      <c r="H238" s="257" t="str">
        <f>[1]BASE!H241</f>
        <v>SE / AEGE / COORDENAÇÃO GERAL DE PLANEJAMENTO ESTRATÉGICO, SUPERVISÃO E AVALIAÇÃO - CGPE</v>
      </c>
      <c r="I238" s="260" t="str">
        <f>[1]BASE!I241</f>
        <v>8.101.100</v>
      </c>
    </row>
    <row r="239" spans="1:9" x14ac:dyDescent="0.25">
      <c r="A239" s="257" t="str">
        <f>[1]BASE!A242</f>
        <v>JALMO GABRIEL DE ALMEIDA</v>
      </c>
      <c r="B239" s="258">
        <f>[1]BASE!B242</f>
        <v>1586617</v>
      </c>
      <c r="C239" s="257" t="str">
        <f>[1]BASE!C242</f>
        <v>Auxiliar de Operação</v>
      </c>
      <c r="D239" s="258" t="str">
        <f>[1]BASE!D242</f>
        <v>Anistiado MME</v>
      </c>
      <c r="E239" s="257" t="str">
        <f>[1]BASE!E242</f>
        <v>MME - Ministério de Minas e Energia</v>
      </c>
      <c r="F239" s="258" t="str">
        <f>[1]BASE!F242</f>
        <v xml:space="preserve"> </v>
      </c>
      <c r="G239" s="258" t="str">
        <f>[1]BASE!G242</f>
        <v xml:space="preserve"> </v>
      </c>
      <c r="H239" s="257" t="str">
        <f>[1]BASE!H242</f>
        <v>SE / SPOA / CGRL / COORDENAÇÃO DE ATIVIDADES GERAIS - COAGE</v>
      </c>
      <c r="I239" s="260" t="str">
        <f>[1]BASE!I242</f>
        <v>8.105.120</v>
      </c>
    </row>
    <row r="240" spans="1:9" x14ac:dyDescent="0.25">
      <c r="A240" s="257" t="str">
        <f>[1]BASE!A243</f>
        <v>JANAINA DO VALE LIMA</v>
      </c>
      <c r="B240" s="258">
        <f>[1]BASE!B243</f>
        <v>1485654</v>
      </c>
      <c r="C240" s="257" t="str">
        <f>[1]BASE!C243</f>
        <v>Sem Cargo/Emprego</v>
      </c>
      <c r="D240" s="258" t="str">
        <f>[1]BASE!D243</f>
        <v>Sem Vínculo</v>
      </c>
      <c r="E240" s="257" t="str">
        <f>[1]BASE!E243</f>
        <v>Sem Vínculo</v>
      </c>
      <c r="F240" s="258" t="str">
        <f>[1]BASE!F243</f>
        <v>DAS 102.2</v>
      </c>
      <c r="G240" s="258" t="str">
        <f>[1]BASE!G243</f>
        <v xml:space="preserve"> </v>
      </c>
      <c r="H240" s="257" t="str">
        <f>[1]BASE!H243</f>
        <v>SEE / CHEFIA DE GABINETE SEE</v>
      </c>
      <c r="I240" s="260" t="str">
        <f>[1]BASE!I243</f>
        <v>12.100.000</v>
      </c>
    </row>
    <row r="241" spans="1:9" x14ac:dyDescent="0.25">
      <c r="A241" s="257" t="str">
        <f>[1]BASE!A244</f>
        <v>JAQUELINE MENEGHEL RODRIGUES</v>
      </c>
      <c r="B241" s="258">
        <f>[1]BASE!B244</f>
        <v>2051460</v>
      </c>
      <c r="C241" s="257" t="str">
        <f>[1]BASE!C244</f>
        <v>Analista de Infraestrutura</v>
      </c>
      <c r="D241" s="258" t="str">
        <f>[1]BASE!D244</f>
        <v>Exercício Descentralizado</v>
      </c>
      <c r="E241" s="257" t="str">
        <f>[1]BASE!E244</f>
        <v>ME - Ministério da Economia</v>
      </c>
      <c r="F241" s="258" t="str">
        <f>[1]BASE!F244</f>
        <v>DAS 101.4</v>
      </c>
      <c r="G241" s="258" t="str">
        <f>[1]BASE!G244</f>
        <v xml:space="preserve"> </v>
      </c>
      <c r="H241" s="257" t="str">
        <f>[1]BASE!H244</f>
        <v>SPG / DGN / COORDENAÇÃO GERAL DE ACOMPANHAMENTO, DESENVOLVIMENTO DE MERCADO E PRODUÇÃO</v>
      </c>
      <c r="I241" s="260" t="str">
        <f>[1]BASE!I244</f>
        <v>11.102.100</v>
      </c>
    </row>
    <row r="242" spans="1:9" x14ac:dyDescent="0.25">
      <c r="A242" s="257" t="str">
        <f>[1]BASE!A245</f>
        <v>JARBAS DELANI PEREIRA LEITE</v>
      </c>
      <c r="B242" s="258">
        <f>[1]BASE!B245</f>
        <v>1732354</v>
      </c>
      <c r="C242" s="257" t="str">
        <f>[1]BASE!C245</f>
        <v>Desenhista</v>
      </c>
      <c r="D242" s="258" t="str">
        <f>[1]BASE!D245</f>
        <v>Anistiado MME</v>
      </c>
      <c r="E242" s="257" t="str">
        <f>[1]BASE!E245</f>
        <v>MME - Ministério de Minas e Energia</v>
      </c>
      <c r="F242" s="258" t="str">
        <f>[1]BASE!F245</f>
        <v xml:space="preserve"> </v>
      </c>
      <c r="G242" s="258" t="str">
        <f>[1]BASE!G245</f>
        <v xml:space="preserve"> </v>
      </c>
      <c r="H242" s="257" t="str">
        <f>[1]BASE!H245</f>
        <v>SE / SPOA / CGRL / COORDENAÇÃO DE ATIVIDADES GERAIS - COAGE</v>
      </c>
      <c r="I242" s="260" t="str">
        <f>[1]BASE!I245</f>
        <v>8.105.120</v>
      </c>
    </row>
    <row r="243" spans="1:9" x14ac:dyDescent="0.25">
      <c r="A243" s="257" t="str">
        <f>[1]BASE!A246</f>
        <v>JEFFERSON DE SOUZA OLIVEIRA</v>
      </c>
      <c r="B243" s="258">
        <f>[1]BASE!B246</f>
        <v>3093557</v>
      </c>
      <c r="C243" s="257" t="str">
        <f>[1]BASE!C246</f>
        <v>Sem Cargo/Emprego</v>
      </c>
      <c r="D243" s="258" t="str">
        <f>[1]BASE!D246</f>
        <v>Sem Vínculo</v>
      </c>
      <c r="E243" s="257" t="str">
        <f>[1]BASE!E246</f>
        <v>Sem Vínculo</v>
      </c>
      <c r="F243" s="258" t="str">
        <f>[1]BASE!F246</f>
        <v>DAS 102.4</v>
      </c>
      <c r="G243" s="258" t="str">
        <f>[1]BASE!G246</f>
        <v xml:space="preserve"> </v>
      </c>
      <c r="H243" s="257" t="str">
        <f>[1]BASE!H246</f>
        <v>ASSESSORIA ESPECIAL DE ACOMPANHAMENTO DE POLÍTICAS, ESTRATÉGIAS E DESEMPENHO SETORIAL - AEPED</v>
      </c>
      <c r="I243" s="260" t="str">
        <f>[1]BASE!I246</f>
        <v>4.000.000</v>
      </c>
    </row>
    <row r="244" spans="1:9" x14ac:dyDescent="0.25">
      <c r="A244" s="257" t="str">
        <f>[1]BASE!A247</f>
        <v>JOANNE LUNA SANTANA DE CARVALHO</v>
      </c>
      <c r="B244" s="258">
        <f>[1]BASE!B247</f>
        <v>1005095</v>
      </c>
      <c r="C244" s="257" t="str">
        <f>[1]BASE!C247</f>
        <v>Sem Cargo/Emprego</v>
      </c>
      <c r="D244" s="258" t="str">
        <f>[1]BASE!D247</f>
        <v>Sem Vínculo</v>
      </c>
      <c r="E244" s="257" t="str">
        <f>[1]BASE!E247</f>
        <v>Sem Vínculo</v>
      </c>
      <c r="F244" s="258" t="str">
        <f>[1]BASE!F247</f>
        <v>DAS 102.3</v>
      </c>
      <c r="G244" s="258" t="str">
        <f>[1]BASE!G247</f>
        <v xml:space="preserve"> </v>
      </c>
      <c r="H244" s="257" t="str">
        <f>[1]BASE!H247</f>
        <v>GM / ASSESSORIA DE APOIO AO MINISTRO - AAM</v>
      </c>
      <c r="I244" s="260" t="str">
        <f>[1]BASE!I247</f>
        <v>2.100.400</v>
      </c>
    </row>
    <row r="245" spans="1:9" x14ac:dyDescent="0.25">
      <c r="A245" s="257" t="str">
        <f>[1]BASE!A248</f>
        <v>JOAO ALBERTO CHAVES ALMEIDA</v>
      </c>
      <c r="B245" s="258">
        <f>[1]BASE!B248</f>
        <v>450012</v>
      </c>
      <c r="C245" s="257" t="str">
        <f>[1]BASE!C248</f>
        <v>Agente Administrativo</v>
      </c>
      <c r="D245" s="258" t="str">
        <f>[1]BASE!D248</f>
        <v>Ativo Permanente</v>
      </c>
      <c r="E245" s="257" t="str">
        <f>[1]BASE!E248</f>
        <v>MME - Ministério de Minas e Energia</v>
      </c>
      <c r="F245" s="258" t="str">
        <f>[1]BASE!F248</f>
        <v>FCPE 102.3</v>
      </c>
      <c r="G245" s="258" t="str">
        <f>[1]BASE!G248</f>
        <v xml:space="preserve"> </v>
      </c>
      <c r="H245" s="257" t="str">
        <f>[1]BASE!H248</f>
        <v>SGM / CHEFIA DE GABINETE SGM</v>
      </c>
      <c r="I245" s="260" t="str">
        <f>[1]BASE!I248</f>
        <v>9.100.000</v>
      </c>
    </row>
    <row r="246" spans="1:9" x14ac:dyDescent="0.25">
      <c r="A246" s="257" t="str">
        <f>[1]BASE!A249</f>
        <v>JOÃO ALOÍSIO VIEIRA</v>
      </c>
      <c r="B246" s="258">
        <f>[1]BASE!B249</f>
        <v>2745380</v>
      </c>
      <c r="C246" s="257" t="str">
        <f>[1]BASE!C249</f>
        <v>Analista de Infraestrutura</v>
      </c>
      <c r="D246" s="258" t="str">
        <f>[1]BASE!D249</f>
        <v>Exercício Descentralizado</v>
      </c>
      <c r="E246" s="257" t="str">
        <f>[1]BASE!E249</f>
        <v>ME - Ministério da Economia</v>
      </c>
      <c r="F246" s="258" t="str">
        <f>[1]BASE!F249</f>
        <v>FGR 1</v>
      </c>
      <c r="G246" s="258" t="str">
        <f>[1]BASE!G249</f>
        <v xml:space="preserve"> </v>
      </c>
      <c r="H246" s="257" t="str">
        <f>[1]BASE!H249</f>
        <v>SEE / DMSE / COORDENAÇÃO GERAL DE MONITORAMENTO DA EXPANSÃO DA GERAÇÃO</v>
      </c>
      <c r="I246" s="260" t="str">
        <f>[1]BASE!I249</f>
        <v>12.102.100</v>
      </c>
    </row>
    <row r="247" spans="1:9" x14ac:dyDescent="0.25">
      <c r="A247" s="257" t="str">
        <f>[1]BASE!A250</f>
        <v>JOAO ALVES DA SILVA</v>
      </c>
      <c r="B247" s="258">
        <f>[1]BASE!B250</f>
        <v>455953</v>
      </c>
      <c r="C247" s="257" t="str">
        <f>[1]BASE!C250</f>
        <v>Auxiliar de Artífice</v>
      </c>
      <c r="D247" s="258" t="str">
        <f>[1]BASE!D250</f>
        <v>Ativo Permanente</v>
      </c>
      <c r="E247" s="257" t="str">
        <f>[1]BASE!E250</f>
        <v>MME - Ministério de Minas e Energia</v>
      </c>
      <c r="F247" s="258" t="str">
        <f>[1]BASE!F250</f>
        <v>FGR 1</v>
      </c>
      <c r="G247" s="258" t="str">
        <f>[1]BASE!G250</f>
        <v xml:space="preserve"> </v>
      </c>
      <c r="H247" s="257" t="str">
        <f>[1]BASE!H250</f>
        <v>SE / SPOA / CGRL / COORDENAÇÃO DE ATIVIDADES GERAIS - COAGE</v>
      </c>
      <c r="I247" s="260" t="str">
        <f>[1]BASE!I250</f>
        <v>8.105.120</v>
      </c>
    </row>
    <row r="248" spans="1:9" x14ac:dyDescent="0.25">
      <c r="A248" s="257" t="str">
        <f>[1]BASE!A251</f>
        <v>JOAO BATISTA LEITAO</v>
      </c>
      <c r="B248" s="258">
        <f>[1]BASE!B251</f>
        <v>1738490</v>
      </c>
      <c r="C248" s="257" t="str">
        <f>[1]BASE!C251</f>
        <v>Garçom</v>
      </c>
      <c r="D248" s="258" t="str">
        <f>[1]BASE!D251</f>
        <v>Anistiado outros Órgãos</v>
      </c>
      <c r="E248" s="257" t="str">
        <f>[1]BASE!E251</f>
        <v>IMBEL - Indústria de Material Bélico do Brasil</v>
      </c>
      <c r="F248" s="258" t="str">
        <f>[1]BASE!F251</f>
        <v xml:space="preserve"> </v>
      </c>
      <c r="G248" s="258" t="str">
        <f>[1]BASE!G251</f>
        <v xml:space="preserve"> </v>
      </c>
      <c r="H248" s="257" t="str">
        <f>[1]BASE!H251</f>
        <v xml:space="preserve">SE / SPOA / CGTI / COORDENAÇÃO DE INFRAESTRUTURA TECNOLÓGICA - </v>
      </c>
      <c r="I248" s="260" t="str">
        <f>[1]BASE!I251</f>
        <v>8.105.310</v>
      </c>
    </row>
    <row r="249" spans="1:9" x14ac:dyDescent="0.25">
      <c r="A249" s="257" t="str">
        <f>[1]BASE!A252</f>
        <v>JOÃO CLAUDIO LIMA DE FRANCO</v>
      </c>
      <c r="B249" s="258">
        <f>[1]BASE!B252</f>
        <v>6128263</v>
      </c>
      <c r="C249" s="257" t="str">
        <f>[1]BASE!C252</f>
        <v>Sem Cargo/Emprego</v>
      </c>
      <c r="D249" s="258" t="str">
        <f>[1]BASE!D252</f>
        <v>Sem Vínculo</v>
      </c>
      <c r="E249" s="257" t="str">
        <f>[1]BASE!E252</f>
        <v>Sem Vínculo</v>
      </c>
      <c r="F249" s="258" t="str">
        <f>[1]BASE!F252</f>
        <v>DAS 102.3</v>
      </c>
      <c r="G249" s="258" t="str">
        <f>[1]BASE!G252</f>
        <v xml:space="preserve"> </v>
      </c>
      <c r="H249" s="257" t="str">
        <f>[1]BASE!H252</f>
        <v>SE / ASSESSORIA ESPECIAL DE GESTÃO ESTRATÉGICA - AEGE</v>
      </c>
      <c r="I249" s="260" t="str">
        <f>[1]BASE!I252</f>
        <v>8.101.000</v>
      </c>
    </row>
    <row r="250" spans="1:9" x14ac:dyDescent="0.25">
      <c r="A250" s="257" t="str">
        <f>[1]BASE!A253</f>
        <v>JOÃO DE AMORIM LITAIFF JUNIOR</v>
      </c>
      <c r="B250" s="258">
        <f>[1]BASE!B253</f>
        <v>1505912</v>
      </c>
      <c r="C250" s="257" t="str">
        <f>[1]BASE!C253</f>
        <v>Sem Cargo/Emprego</v>
      </c>
      <c r="D250" s="258" t="str">
        <f>[1]BASE!D253</f>
        <v>Sem Vínculo</v>
      </c>
      <c r="E250" s="257" t="str">
        <f>[1]BASE!E253</f>
        <v>Sem Vínculo</v>
      </c>
      <c r="F250" s="258" t="str">
        <f>[1]BASE!F253</f>
        <v>DAS 102.4</v>
      </c>
      <c r="G250" s="258" t="str">
        <f>[1]BASE!G253</f>
        <v xml:space="preserve"> </v>
      </c>
      <c r="H250" s="257" t="str">
        <f>[1]BASE!H253</f>
        <v>ASSESSORIA ESPECIAL DE ACOMPANHAMENTO DE POLÍTICAS, ESTRATÉGIAS E DESEMPENHO SETORIAL - AEPED</v>
      </c>
      <c r="I250" s="260" t="str">
        <f>[1]BASE!I253</f>
        <v>4.000.000</v>
      </c>
    </row>
    <row r="251" spans="1:9" x14ac:dyDescent="0.25">
      <c r="A251" s="257" t="str">
        <f>[1]BASE!A254</f>
        <v>JOÃO JOSÉ DE NORA SOUTO</v>
      </c>
      <c r="B251" s="258">
        <f>[1]BASE!B254</f>
        <v>3188663</v>
      </c>
      <c r="C251" s="257" t="str">
        <f>[1]BASE!C254</f>
        <v>Sem Cargo/Emprego</v>
      </c>
      <c r="D251" s="258" t="str">
        <f>[1]BASE!D254</f>
        <v>Sem Vínculo</v>
      </c>
      <c r="E251" s="257" t="str">
        <f>[1]BASE!E254</f>
        <v>Sem Vínculo</v>
      </c>
      <c r="F251" s="258" t="str">
        <f>[1]BASE!F254</f>
        <v>DAS 101.5</v>
      </c>
      <c r="G251" s="258" t="str">
        <f>[1]BASE!G254</f>
        <v xml:space="preserve"> </v>
      </c>
      <c r="H251" s="257" t="str">
        <f>[1]BASE!H254</f>
        <v>SPG / CHEFIA DE GABINETE SPG</v>
      </c>
      <c r="I251" s="260" t="str">
        <f>[1]BASE!I254</f>
        <v>11.100.000</v>
      </c>
    </row>
    <row r="252" spans="1:9" x14ac:dyDescent="0.25">
      <c r="A252" s="257" t="str">
        <f>[1]BASE!A255</f>
        <v>JOAO MARCONDE SOARES</v>
      </c>
      <c r="B252" s="258">
        <f>[1]BASE!B255</f>
        <v>451610</v>
      </c>
      <c r="C252" s="257" t="str">
        <f>[1]BASE!C255</f>
        <v>Motorista Oficial</v>
      </c>
      <c r="D252" s="258" t="str">
        <f>[1]BASE!D255</f>
        <v>Ativo Permanente</v>
      </c>
      <c r="E252" s="257" t="str">
        <f>[1]BASE!E255</f>
        <v>MME - Ministério de Minas e Energia</v>
      </c>
      <c r="F252" s="258" t="str">
        <f>[1]BASE!F255</f>
        <v>FGR 1</v>
      </c>
      <c r="G252" s="258" t="str">
        <f>[1]BASE!G255</f>
        <v xml:space="preserve"> </v>
      </c>
      <c r="H252" s="257" t="str">
        <f>[1]BASE!H255</f>
        <v>SE / SPOA / CGRL / COORDENAÇÃO DE ATIVIDADES GERAIS - COAGE</v>
      </c>
      <c r="I252" s="260" t="str">
        <f>[1]BASE!I255</f>
        <v>8.105.120</v>
      </c>
    </row>
    <row r="253" spans="1:9" x14ac:dyDescent="0.25">
      <c r="A253" s="257" t="str">
        <f>[1]BASE!A256</f>
        <v>JOAO QUIRINO JUNIOR</v>
      </c>
      <c r="B253" s="258">
        <f>[1]BASE!B256</f>
        <v>1741277</v>
      </c>
      <c r="C253" s="257" t="str">
        <f>[1]BASE!C256</f>
        <v>Administrador</v>
      </c>
      <c r="D253" s="258" t="str">
        <f>[1]BASE!D256</f>
        <v>Anistiado MME</v>
      </c>
      <c r="E253" s="257" t="str">
        <f>[1]BASE!E256</f>
        <v>MME - Ministério de Minas e Energia</v>
      </c>
      <c r="F253" s="258" t="str">
        <f>[1]BASE!F256</f>
        <v xml:space="preserve"> </v>
      </c>
      <c r="G253" s="258" t="str">
        <f>[1]BASE!G256</f>
        <v xml:space="preserve"> </v>
      </c>
      <c r="H253" s="257" t="str">
        <f>[1]BASE!H256</f>
        <v>SE / SPOA / CGRH / COORDENAÇÃO DE DESENVOLVIMENTO E SEGURIDADE SOCIAL - CODES</v>
      </c>
      <c r="I253" s="260" t="str">
        <f>[1]BASE!I256</f>
        <v>8.105.220</v>
      </c>
    </row>
    <row r="254" spans="1:9" x14ac:dyDescent="0.25">
      <c r="A254" s="257" t="str">
        <f>[1]BASE!A257</f>
        <v>JOAQUIM DOS SANTOS BRAGA NETO</v>
      </c>
      <c r="B254" s="258">
        <f>[1]BASE!B257</f>
        <v>1822951</v>
      </c>
      <c r="C254" s="257" t="str">
        <f>[1]BASE!C257</f>
        <v>Profissional de Nível Superior IV</v>
      </c>
      <c r="D254" s="258" t="str">
        <f>[1]BASE!D257</f>
        <v>Anistiado outros Órgãos</v>
      </c>
      <c r="E254" s="257" t="str">
        <f>[1]BASE!E257</f>
        <v>ELETRONORTE - Centrais Elétricas do Norte do Brasil S/A</v>
      </c>
      <c r="F254" s="258" t="str">
        <f>[1]BASE!F257</f>
        <v xml:space="preserve"> </v>
      </c>
      <c r="G254" s="258" t="str">
        <f>[1]BASE!G257</f>
        <v xml:space="preserve"> </v>
      </c>
      <c r="H254" s="257" t="str">
        <f>[1]BASE!H257</f>
        <v>SEE / DPUE / COORDENAÇÃO GERAL DE DESENVOLVIMENTO DE POLÍTICAS SOCIAIS</v>
      </c>
      <c r="I254" s="260" t="str">
        <f>[1]BASE!I257</f>
        <v>12.103.100</v>
      </c>
    </row>
    <row r="255" spans="1:9" x14ac:dyDescent="0.25">
      <c r="A255" s="257" t="str">
        <f>[1]BASE!A258</f>
        <v>JOAQUIM LUIZ DOS SANTOS</v>
      </c>
      <c r="B255" s="258">
        <f>[1]BASE!B258</f>
        <v>1314257</v>
      </c>
      <c r="C255" s="257" t="str">
        <f>[1]BASE!C258</f>
        <v>Agente de Portaria</v>
      </c>
      <c r="D255" s="258" t="str">
        <f>[1]BASE!D258</f>
        <v>Ativo Permanente</v>
      </c>
      <c r="E255" s="257" t="str">
        <f>[1]BASE!E258</f>
        <v>MME - Ministério de Minas e Energia</v>
      </c>
      <c r="F255" s="258" t="str">
        <f>[1]BASE!F258</f>
        <v>FCT 10</v>
      </c>
      <c r="G255" s="258" t="str">
        <f>[1]BASE!G258</f>
        <v xml:space="preserve"> </v>
      </c>
      <c r="H255" s="257" t="str">
        <f>[1]BASE!H258</f>
        <v>GM / ASTAD / COORDENAÇÃO DE ATIVIDADES ADMINISTRATIVAS</v>
      </c>
      <c r="I255" s="260" t="str">
        <f>[1]BASE!I258</f>
        <v>2.100.101</v>
      </c>
    </row>
    <row r="256" spans="1:9" x14ac:dyDescent="0.25">
      <c r="A256" s="257" t="str">
        <f>[1]BASE!A259</f>
        <v>JOAQUIM SOUSA NETO</v>
      </c>
      <c r="B256" s="258">
        <f>[1]BASE!B259</f>
        <v>2092772</v>
      </c>
      <c r="C256" s="257" t="str">
        <f>[1]BASE!C259</f>
        <v>Motorista Oficial</v>
      </c>
      <c r="D256" s="258" t="str">
        <f>[1]BASE!D259</f>
        <v>Ativo Permanente</v>
      </c>
      <c r="E256" s="257" t="str">
        <f>[1]BASE!E259</f>
        <v>MME - Ministério de Minas e Energia</v>
      </c>
      <c r="F256" s="258" t="str">
        <f>[1]BASE!F259</f>
        <v>FCPE 102.2</v>
      </c>
      <c r="G256" s="258" t="str">
        <f>[1]BASE!G259</f>
        <v xml:space="preserve"> </v>
      </c>
      <c r="H256" s="257" t="str">
        <f>[1]BASE!H259</f>
        <v>SE / SPOA / CGRL / COORDENAÇÃO DE ATIVIDADES GERAIS - COAGE</v>
      </c>
      <c r="I256" s="260" t="str">
        <f>[1]BASE!I259</f>
        <v>8.105.120</v>
      </c>
    </row>
    <row r="257" spans="1:9" x14ac:dyDescent="0.25">
      <c r="A257" s="257" t="str">
        <f>[1]BASE!A260</f>
        <v>JOCELIO COELHO MATIAS</v>
      </c>
      <c r="B257" s="258">
        <f>[1]BASE!B260</f>
        <v>1093495</v>
      </c>
      <c r="C257" s="257" t="str">
        <f>[1]BASE!C260</f>
        <v>Motorista Oficial</v>
      </c>
      <c r="D257" s="258" t="str">
        <f>[1]BASE!D260</f>
        <v>Ativo Permanente</v>
      </c>
      <c r="E257" s="257" t="str">
        <f>[1]BASE!E260</f>
        <v>MME - Ministério de Minas e Energia</v>
      </c>
      <c r="F257" s="258" t="str">
        <f>[1]BASE!F260</f>
        <v>FGR 1</v>
      </c>
      <c r="G257" s="258" t="str">
        <f>[1]BASE!G260</f>
        <v xml:space="preserve"> </v>
      </c>
      <c r="H257" s="257" t="str">
        <f>[1]BASE!H260</f>
        <v>SE / SPOA / CGRL / COORDENAÇÃO DE ATIVIDADES GERAIS - COAGE</v>
      </c>
      <c r="I257" s="260" t="str">
        <f>[1]BASE!I260</f>
        <v>8.105.120</v>
      </c>
    </row>
    <row r="258" spans="1:9" x14ac:dyDescent="0.25">
      <c r="A258" s="257" t="str">
        <f>[1]BASE!A261</f>
        <v>JOEL JOSE FERREIRA</v>
      </c>
      <c r="B258" s="258">
        <f>[1]BASE!B261</f>
        <v>455936</v>
      </c>
      <c r="C258" s="257" t="str">
        <f>[1]BASE!C261</f>
        <v>Motorista Oficial</v>
      </c>
      <c r="D258" s="258" t="str">
        <f>[1]BASE!D261</f>
        <v>Ativo Permanente</v>
      </c>
      <c r="E258" s="257" t="str">
        <f>[1]BASE!E261</f>
        <v>MME - Ministério de Minas e Energia</v>
      </c>
      <c r="F258" s="258" t="str">
        <f>[1]BASE!F261</f>
        <v>FGR 1</v>
      </c>
      <c r="G258" s="258" t="str">
        <f>[1]BASE!G261</f>
        <v xml:space="preserve"> </v>
      </c>
      <c r="H258" s="257" t="str">
        <f>[1]BASE!H261</f>
        <v>SE / SPOA / CGRL / COORDENAÇÃO DE ATIVIDADES GERAIS - COAGE</v>
      </c>
      <c r="I258" s="260" t="str">
        <f>[1]BASE!I261</f>
        <v>8.105.120</v>
      </c>
    </row>
    <row r="259" spans="1:9" x14ac:dyDescent="0.25">
      <c r="A259" s="257" t="str">
        <f>[1]BASE!A262</f>
        <v>JOELMA MENDES DE MELLO</v>
      </c>
      <c r="B259" s="258">
        <f>[1]BASE!B262</f>
        <v>455436</v>
      </c>
      <c r="C259" s="257" t="str">
        <f>[1]BASE!C262</f>
        <v>Agente Administrativo</v>
      </c>
      <c r="D259" s="258" t="str">
        <f>[1]BASE!D262</f>
        <v>Ativo Permanente</v>
      </c>
      <c r="E259" s="257" t="str">
        <f>[1]BASE!E262</f>
        <v>MME - Ministério de Minas e Energia</v>
      </c>
      <c r="F259" s="258" t="str">
        <f>[1]BASE!F262</f>
        <v>FCPE 102.1</v>
      </c>
      <c r="G259" s="258" t="str">
        <f>[1]BASE!G262</f>
        <v xml:space="preserve"> </v>
      </c>
      <c r="H259" s="257" t="str">
        <f>[1]BASE!H262</f>
        <v>SE / SPOA / CGCC / COORDENAÇÃO DE ADMINISTRAÇÃO DE CONTRATOS - CAC</v>
      </c>
      <c r="I259" s="260" t="str">
        <f>[1]BASE!I262</f>
        <v>8.105.410</v>
      </c>
    </row>
    <row r="260" spans="1:9" x14ac:dyDescent="0.25">
      <c r="A260" s="257" t="str">
        <f>[1]BASE!A263</f>
        <v>JORDANA SANTOS CORDEIRO</v>
      </c>
      <c r="B260" s="258">
        <f>[1]BASE!B263</f>
        <v>2483457</v>
      </c>
      <c r="C260" s="257" t="str">
        <f>[1]BASE!C263</f>
        <v>Sem Cargo/Emprego</v>
      </c>
      <c r="D260" s="258" t="str">
        <f>[1]BASE!D263</f>
        <v>Sem Vínculo</v>
      </c>
      <c r="E260" s="257" t="str">
        <f>[1]BASE!E263</f>
        <v>Sem Vínculo</v>
      </c>
      <c r="F260" s="258" t="str">
        <f>[1]BASE!F263</f>
        <v>DAS 102.3</v>
      </c>
      <c r="G260" s="258" t="str">
        <f>[1]BASE!G263</f>
        <v xml:space="preserve"> </v>
      </c>
      <c r="H260" s="257" t="str">
        <f>[1]BASE!H263</f>
        <v>SEE / CHEFIA DE GABINETE SEE</v>
      </c>
      <c r="I260" s="260" t="str">
        <f>[1]BASE!I263</f>
        <v>12.100.000</v>
      </c>
    </row>
    <row r="261" spans="1:9" x14ac:dyDescent="0.25">
      <c r="A261" s="257" t="str">
        <f>[1]BASE!A264</f>
        <v>JORGE ARTHUR BERGAMO DE ALMEIDA</v>
      </c>
      <c r="B261" s="258">
        <f>[1]BASE!B264</f>
        <v>451944</v>
      </c>
      <c r="C261" s="257" t="str">
        <f>[1]BASE!C264</f>
        <v>Datilógrafo</v>
      </c>
      <c r="D261" s="258" t="str">
        <f>[1]BASE!D264</f>
        <v>Ativo Permanente</v>
      </c>
      <c r="E261" s="257" t="str">
        <f>[1]BASE!E264</f>
        <v>MME - Ministério de Minas e Energia</v>
      </c>
      <c r="F261" s="258" t="str">
        <f>[1]BASE!F264</f>
        <v>FGR 1</v>
      </c>
      <c r="G261" s="258" t="str">
        <f>[1]BASE!G264</f>
        <v xml:space="preserve"> </v>
      </c>
      <c r="H261" s="257" t="str">
        <f>[1]BASE!H264</f>
        <v>Aguardando Lotação/Exercício</v>
      </c>
      <c r="I261" s="260" t="str">
        <f>[1]BASE!I264</f>
        <v>88.000.000</v>
      </c>
    </row>
    <row r="262" spans="1:9" x14ac:dyDescent="0.25">
      <c r="A262" s="257" t="str">
        <f>[1]BASE!A265</f>
        <v>JORGE GABRIEL MOISÉS FILHO</v>
      </c>
      <c r="B262" s="258">
        <f>[1]BASE!B265</f>
        <v>2480927</v>
      </c>
      <c r="C262" s="257" t="str">
        <f>[1]BASE!C265</f>
        <v>Analista de Planejamento e Orçamento</v>
      </c>
      <c r="D262" s="258" t="str">
        <f>[1]BASE!D265</f>
        <v>Exercício Descentralizado</v>
      </c>
      <c r="E262" s="257" t="str">
        <f>[1]BASE!E265</f>
        <v>ME - Ministério da Economia</v>
      </c>
      <c r="F262" s="258" t="str">
        <f>[1]BASE!F265</f>
        <v>FCPE 102.2</v>
      </c>
      <c r="G262" s="258" t="str">
        <f>[1]BASE!G265</f>
        <v xml:space="preserve"> </v>
      </c>
      <c r="H262" s="257" t="str">
        <f>[1]BASE!H265</f>
        <v>SE / SPOA / CGOF / COORDENAÇÃO DE ORÇAMENTO - CORC</v>
      </c>
      <c r="I262" s="260" t="str">
        <f>[1]BASE!I265</f>
        <v>8.105.530</v>
      </c>
    </row>
    <row r="263" spans="1:9" x14ac:dyDescent="0.25">
      <c r="A263" s="257" t="str">
        <f>[1]BASE!A266</f>
        <v>JORGE LUIZ BARBOSA DOS SANTOS</v>
      </c>
      <c r="B263" s="258">
        <f>[1]BASE!B266</f>
        <v>0</v>
      </c>
      <c r="C263" s="257" t="str">
        <f>[1]BASE!C266</f>
        <v>Marinha</v>
      </c>
      <c r="D263" s="258" t="str">
        <f>[1]BASE!D266</f>
        <v>Requisitado Militar</v>
      </c>
      <c r="E263" s="257" t="str">
        <f>[1]BASE!E266</f>
        <v>Marinha</v>
      </c>
      <c r="F263" s="258" t="str">
        <f>[1]BASE!F266</f>
        <v>DAS 102.4</v>
      </c>
      <c r="G263" s="258" t="str">
        <f>[1]BASE!G266</f>
        <v xml:space="preserve"> </v>
      </c>
      <c r="H263" s="257" t="str">
        <f>[1]BASE!H266</f>
        <v>GM / ASSESSORIA DE COMUNICAÇÃO SOCIAL - ASCOM</v>
      </c>
      <c r="I263" s="260" t="str">
        <f>[1]BASE!I266</f>
        <v>2.100.300</v>
      </c>
    </row>
    <row r="264" spans="1:9" x14ac:dyDescent="0.25">
      <c r="A264" s="257" t="str">
        <f>[1]BASE!A267</f>
        <v>JORGE PORTELLA DUARTE</v>
      </c>
      <c r="B264" s="258">
        <f>[1]BASE!B267</f>
        <v>2660564</v>
      </c>
      <c r="C264" s="257" t="str">
        <f>[1]BASE!C267</f>
        <v>Analista de Infraestrutura</v>
      </c>
      <c r="D264" s="258" t="str">
        <f>[1]BASE!D267</f>
        <v>Exercício Descentralizado</v>
      </c>
      <c r="E264" s="257" t="str">
        <f>[1]BASE!E267</f>
        <v>ME - Ministério da Economia</v>
      </c>
      <c r="F264" s="258" t="str">
        <f>[1]BASE!F267</f>
        <v xml:space="preserve"> </v>
      </c>
      <c r="G264" s="258" t="str">
        <f>[1]BASE!G267</f>
        <v xml:space="preserve"> </v>
      </c>
      <c r="H264" s="257" t="str">
        <f>[1]BASE!H267</f>
        <v>SEE / DMSE / COORDENAÇÃO GERAL DE MONITORAMENTO DO DESEMPENHO DO SISTEMA ELÉTRICO</v>
      </c>
      <c r="I264" s="260" t="str">
        <f>[1]BASE!I267</f>
        <v>12.102.400</v>
      </c>
    </row>
    <row r="265" spans="1:9" x14ac:dyDescent="0.25">
      <c r="A265" s="257" t="str">
        <f>[1]BASE!A268</f>
        <v>JORGE RICARDO KAUTSCHER BENTO</v>
      </c>
      <c r="B265" s="258">
        <f>[1]BASE!B268</f>
        <v>3106776</v>
      </c>
      <c r="C265" s="257" t="str">
        <f>[1]BASE!C268</f>
        <v>Marinha</v>
      </c>
      <c r="D265" s="258" t="str">
        <f>[1]BASE!D268</f>
        <v>Requisitado Militar</v>
      </c>
      <c r="E265" s="257" t="str">
        <f>[1]BASE!E268</f>
        <v>Marinha</v>
      </c>
      <c r="F265" s="258" t="str">
        <f>[1]BASE!F268</f>
        <v>DAS 102.3</v>
      </c>
      <c r="G265" s="258" t="str">
        <f>[1]BASE!G268</f>
        <v xml:space="preserve"> </v>
      </c>
      <c r="H265" s="257" t="str">
        <f>[1]BASE!H268</f>
        <v>GABINETE DO MINISTRO - GM</v>
      </c>
      <c r="I265" s="260" t="str">
        <f>[1]BASE!I268</f>
        <v>2.000.000</v>
      </c>
    </row>
    <row r="266" spans="1:9" x14ac:dyDescent="0.25">
      <c r="A266" s="257" t="str">
        <f>[1]BASE!A269</f>
        <v>JOSAFA FERREIRA DOS SANTOS</v>
      </c>
      <c r="B266" s="258">
        <f>[1]BASE!B269</f>
        <v>455481</v>
      </c>
      <c r="C266" s="257" t="str">
        <f>[1]BASE!C269</f>
        <v>Agente Administrativo</v>
      </c>
      <c r="D266" s="258" t="str">
        <f>[1]BASE!D269</f>
        <v>Ativo Permanente</v>
      </c>
      <c r="E266" s="257" t="str">
        <f>[1]BASE!E269</f>
        <v>MME - Ministério de Minas e Energia</v>
      </c>
      <c r="F266" s="258" t="str">
        <f>[1]BASE!F269</f>
        <v>FCT 11</v>
      </c>
      <c r="G266" s="258" t="str">
        <f>[1]BASE!G269</f>
        <v>GSISP Intermediário</v>
      </c>
      <c r="H266" s="257" t="str">
        <f>[1]BASE!H269</f>
        <v>SE / SPOA / CGTI / COORDENAÇÃO DE TECNOLOGIA DE SISTEMAS DE INFORMAÇÃO - CTSI</v>
      </c>
      <c r="I266" s="260" t="str">
        <f>[1]BASE!I269</f>
        <v>8.105.320</v>
      </c>
    </row>
    <row r="267" spans="1:9" x14ac:dyDescent="0.25">
      <c r="A267" s="257" t="str">
        <f>[1]BASE!A270</f>
        <v>JOSE ANTONIO MARIA GONÇALVES</v>
      </c>
      <c r="B267" s="258">
        <f>[1]BASE!B270</f>
        <v>1708418</v>
      </c>
      <c r="C267" s="257" t="str">
        <f>[1]BASE!C270</f>
        <v>Auxiliar Codificação e Conferência</v>
      </c>
      <c r="D267" s="258" t="str">
        <f>[1]BASE!D270</f>
        <v>Anistiado MME</v>
      </c>
      <c r="E267" s="257" t="str">
        <f>[1]BASE!E270</f>
        <v>MME - Ministério de Minas e Energia</v>
      </c>
      <c r="F267" s="258" t="str">
        <f>[1]BASE!F270</f>
        <v xml:space="preserve"> </v>
      </c>
      <c r="G267" s="258" t="str">
        <f>[1]BASE!G270</f>
        <v xml:space="preserve"> </v>
      </c>
      <c r="H267" s="257" t="str">
        <f>[1]BASE!H270</f>
        <v>Aguardando Lotação/Exercício</v>
      </c>
      <c r="I267" s="260" t="str">
        <f>[1]BASE!I270</f>
        <v>88.000.000</v>
      </c>
    </row>
    <row r="268" spans="1:9" x14ac:dyDescent="0.25">
      <c r="A268" s="257" t="str">
        <f>[1]BASE!A271</f>
        <v>JOSE ARMANDO RIBEIRO VASCONCELOS</v>
      </c>
      <c r="B268" s="258">
        <f>[1]BASE!B271</f>
        <v>1100983</v>
      </c>
      <c r="C268" s="257" t="str">
        <f>[1]BASE!C271</f>
        <v>Agente de Portaria</v>
      </c>
      <c r="D268" s="258" t="str">
        <f>[1]BASE!D271</f>
        <v>Ativo Permanente</v>
      </c>
      <c r="E268" s="257" t="str">
        <f>[1]BASE!E271</f>
        <v>MME - Ministério de Minas e Energia</v>
      </c>
      <c r="F268" s="258" t="str">
        <f>[1]BASE!F271</f>
        <v>FGR 1</v>
      </c>
      <c r="G268" s="258" t="str">
        <f>[1]BASE!G271</f>
        <v xml:space="preserve"> </v>
      </c>
      <c r="H268" s="257" t="str">
        <f>[1]BASE!H271</f>
        <v>CONJUR / CGAA / COORDENAÇÃO DE APOIO ADMINISTRATIVO</v>
      </c>
      <c r="I268" s="260" t="str">
        <f>[1]BASE!I271</f>
        <v>7.100.310</v>
      </c>
    </row>
    <row r="269" spans="1:9" x14ac:dyDescent="0.25">
      <c r="A269" s="257" t="str">
        <f>[1]BASE!A272</f>
        <v>JOSE DA ABADIA SOARES DE JESUS</v>
      </c>
      <c r="B269" s="258">
        <f>[1]BASE!B272</f>
        <v>452171</v>
      </c>
      <c r="C269" s="257" t="str">
        <f>[1]BASE!C272</f>
        <v>Agente de Vigilância</v>
      </c>
      <c r="D269" s="258" t="str">
        <f>[1]BASE!D272</f>
        <v>Ativo Permanente</v>
      </c>
      <c r="E269" s="257" t="str">
        <f>[1]BASE!E272</f>
        <v>MME - Ministério de Minas e Energia</v>
      </c>
      <c r="F269" s="258" t="str">
        <f>[1]BASE!F272</f>
        <v>FGR 1</v>
      </c>
      <c r="G269" s="258" t="str">
        <f>[1]BASE!G272</f>
        <v xml:space="preserve"> </v>
      </c>
      <c r="H269" s="257" t="str">
        <f>[1]BASE!H272</f>
        <v>SE / SPOA / CGRL / COORDENAÇÃO DE ATIVIDADES GERAIS - COAGE</v>
      </c>
      <c r="I269" s="260" t="str">
        <f>[1]BASE!I272</f>
        <v>8.105.120</v>
      </c>
    </row>
    <row r="270" spans="1:9" x14ac:dyDescent="0.25">
      <c r="A270" s="257" t="str">
        <f>[1]BASE!A273</f>
        <v>JOSE DOS SANTOS</v>
      </c>
      <c r="B270" s="258">
        <f>[1]BASE!B273</f>
        <v>455958</v>
      </c>
      <c r="C270" s="257" t="str">
        <f>[1]BASE!C273</f>
        <v>Agente de Portaria</v>
      </c>
      <c r="D270" s="258" t="str">
        <f>[1]BASE!D273</f>
        <v>Ativo Permanente</v>
      </c>
      <c r="E270" s="257" t="str">
        <f>[1]BASE!E273</f>
        <v>MME - Ministério de Minas e Energia</v>
      </c>
      <c r="F270" s="258" t="str">
        <f>[1]BASE!F273</f>
        <v>FCT 11</v>
      </c>
      <c r="G270" s="258" t="str">
        <f>[1]BASE!G273</f>
        <v xml:space="preserve"> </v>
      </c>
      <c r="H270" s="257" t="str">
        <f>[1]BASE!H273</f>
        <v>GM / ASTAD / COORDENAÇÃO DE ATIVIDADES ADMINISTRATIVAS</v>
      </c>
      <c r="I270" s="260" t="str">
        <f>[1]BASE!I273</f>
        <v>2.100.101</v>
      </c>
    </row>
    <row r="271" spans="1:9" x14ac:dyDescent="0.25">
      <c r="A271" s="257" t="str">
        <f>[1]BASE!A274</f>
        <v>JOSE EUSTAQUIO PORTES</v>
      </c>
      <c r="B271" s="258">
        <f>[1]BASE!B274</f>
        <v>454714</v>
      </c>
      <c r="C271" s="257" t="str">
        <f>[1]BASE!C274</f>
        <v>Datilógrafo</v>
      </c>
      <c r="D271" s="258" t="str">
        <f>[1]BASE!D274</f>
        <v>Ativo Permanente</v>
      </c>
      <c r="E271" s="257" t="str">
        <f>[1]BASE!E274</f>
        <v>MME - Ministério de Minas e Energia</v>
      </c>
      <c r="F271" s="258" t="str">
        <f>[1]BASE!F274</f>
        <v>FCT 4</v>
      </c>
      <c r="G271" s="258" t="str">
        <f>[1]BASE!G274</f>
        <v xml:space="preserve"> </v>
      </c>
      <c r="H271" s="257" t="str">
        <f>[1]BASE!H274</f>
        <v>SEE / DPUE / COORDENAÇÃO GERAL DE UNIVERSALIZAÇÃO DO ACESSO À ENERGIA</v>
      </c>
      <c r="I271" s="260" t="str">
        <f>[1]BASE!I274</f>
        <v>12.103.200</v>
      </c>
    </row>
    <row r="272" spans="1:9" x14ac:dyDescent="0.25">
      <c r="A272" s="257" t="str">
        <f>[1]BASE!A275</f>
        <v>JOSÉ EVANDRO NASCIMENTO CARVALHO</v>
      </c>
      <c r="B272" s="258">
        <f>[1]BASE!B275</f>
        <v>454707</v>
      </c>
      <c r="C272" s="257" t="str">
        <f>[1]BASE!C275</f>
        <v>Agente Administrativo</v>
      </c>
      <c r="D272" s="258" t="str">
        <f>[1]BASE!D275</f>
        <v>Ativo Permanente</v>
      </c>
      <c r="E272" s="257" t="str">
        <f>[1]BASE!E275</f>
        <v>MME - Ministério de Minas e Energia</v>
      </c>
      <c r="F272" s="258" t="str">
        <f>[1]BASE!F275</f>
        <v>DAS 101.3</v>
      </c>
      <c r="G272" s="258" t="str">
        <f>[1]BASE!G275</f>
        <v>GSISTE Intermediário</v>
      </c>
      <c r="H272" s="257" t="str">
        <f>[1]BASE!H275</f>
        <v>SE / SPOA / CGRH / COORDENAÇÃO DE ADMINISTRAÇÃO DE PESSOAL - CAPES</v>
      </c>
      <c r="I272" s="260" t="str">
        <f>[1]BASE!I275</f>
        <v>8.105.210</v>
      </c>
    </row>
    <row r="273" spans="1:9" x14ac:dyDescent="0.25">
      <c r="A273" s="257" t="str">
        <f>[1]BASE!A276</f>
        <v>JOSE EVARISTO DA SILVA</v>
      </c>
      <c r="B273" s="258">
        <f>[1]BASE!B276</f>
        <v>453005</v>
      </c>
      <c r="C273" s="257" t="str">
        <f>[1]BASE!C276</f>
        <v>Datilógrafo</v>
      </c>
      <c r="D273" s="258" t="str">
        <f>[1]BASE!D276</f>
        <v>Ativo Permanente</v>
      </c>
      <c r="E273" s="257" t="str">
        <f>[1]BASE!E276</f>
        <v>MME - Ministério de Minas e Energia</v>
      </c>
      <c r="F273" s="258" t="str">
        <f>[1]BASE!F276</f>
        <v>DAS 102.2</v>
      </c>
      <c r="G273" s="258" t="str">
        <f>[1]BASE!G276</f>
        <v xml:space="preserve"> </v>
      </c>
      <c r="H273" s="257" t="str">
        <f>[1]BASE!H276</f>
        <v>GM / ASTAD / COORDENAÇÃO DE ATIVIDADES ADMINISTRATIVAS</v>
      </c>
      <c r="I273" s="260" t="str">
        <f>[1]BASE!I276</f>
        <v>2.100.101</v>
      </c>
    </row>
    <row r="274" spans="1:9" x14ac:dyDescent="0.25">
      <c r="A274" s="257" t="str">
        <f>[1]BASE!A277</f>
        <v>JOSE LUIZ UBALDINO DE LIMA</v>
      </c>
      <c r="B274" s="258">
        <f>[1]BASE!B277</f>
        <v>2663818</v>
      </c>
      <c r="C274" s="257" t="str">
        <f>[1]BASE!C277</f>
        <v>Analista de Infraestrutura</v>
      </c>
      <c r="D274" s="258" t="str">
        <f>[1]BASE!D277</f>
        <v>Exercício Descentralizado</v>
      </c>
      <c r="E274" s="257" t="str">
        <f>[1]BASE!E277</f>
        <v>ME - Ministério da Economia</v>
      </c>
      <c r="F274" s="258" t="str">
        <f>[1]BASE!F277</f>
        <v>FCPE 101.4</v>
      </c>
      <c r="G274" s="258" t="str">
        <f>[1]BASE!G277</f>
        <v xml:space="preserve"> </v>
      </c>
      <c r="H274" s="257" t="str">
        <f>[1]BASE!H277</f>
        <v>SGM / DGPM / COORDENAÇÃO GERAL DE GEOLOGIA E RECURSOS MINERAIS</v>
      </c>
      <c r="I274" s="260" t="str">
        <f>[1]BASE!I277</f>
        <v>9.102.100</v>
      </c>
    </row>
    <row r="275" spans="1:9" x14ac:dyDescent="0.25">
      <c r="A275" s="257" t="str">
        <f>[1]BASE!A278</f>
        <v>JOSE MANOEL DE SOUZA NETO</v>
      </c>
      <c r="B275" s="258">
        <f>[1]BASE!B278</f>
        <v>451458</v>
      </c>
      <c r="C275" s="257" t="str">
        <f>[1]BASE!C278</f>
        <v>Agente Administrativo</v>
      </c>
      <c r="D275" s="258" t="str">
        <f>[1]BASE!D278</f>
        <v>Ativo Permanente</v>
      </c>
      <c r="E275" s="257" t="str">
        <f>[1]BASE!E278</f>
        <v>MME - Ministério de Minas e Energia</v>
      </c>
      <c r="F275" s="258" t="str">
        <f>[1]BASE!F278</f>
        <v xml:space="preserve"> </v>
      </c>
      <c r="G275" s="258" t="str">
        <f>[1]BASE!G278</f>
        <v>GSISTE Intermediário</v>
      </c>
      <c r="H275" s="257" t="str">
        <f>[1]BASE!H278</f>
        <v>GM / ASTAD / COORDENAÇÃO DE ATIVIDADES ADMINISTRATIVAS</v>
      </c>
      <c r="I275" s="260" t="str">
        <f>[1]BASE!I278</f>
        <v>2.100.101</v>
      </c>
    </row>
    <row r="276" spans="1:9" x14ac:dyDescent="0.25">
      <c r="A276" s="257" t="str">
        <f>[1]BASE!A279</f>
        <v>JOSE MAURO FERREIRA COELHO</v>
      </c>
      <c r="B276" s="258">
        <f>[1]BASE!B279</f>
        <v>0</v>
      </c>
      <c r="C276" s="257" t="str">
        <f>[1]BASE!C279</f>
        <v>Analista de Pesquisa Energética</v>
      </c>
      <c r="D276" s="258" t="str">
        <f>[1]BASE!D279</f>
        <v>Requisitado de Órgãos</v>
      </c>
      <c r="E276" s="257" t="str">
        <f>[1]BASE!E279</f>
        <v>EPE - Empresa de Pesquisa Energética</v>
      </c>
      <c r="F276" s="258" t="str">
        <f>[1]BASE!F279</f>
        <v>DAS 101.6</v>
      </c>
      <c r="G276" s="258" t="str">
        <f>[1]BASE!G279</f>
        <v xml:space="preserve"> </v>
      </c>
      <c r="H276" s="257" t="str">
        <f>[1]BASE!H279</f>
        <v>SECRETARIA DE PETRÓLEO, GÁS NATURAL E BIOCOMBUSTÍVEIS - SPG</v>
      </c>
      <c r="I276" s="260" t="str">
        <f>[1]BASE!I279</f>
        <v>11.000.000</v>
      </c>
    </row>
    <row r="277" spans="1:9" x14ac:dyDescent="0.25">
      <c r="A277" s="257" t="str">
        <f>[1]BASE!A280</f>
        <v>JOSE REINALDO DA SILVA</v>
      </c>
      <c r="B277" s="258">
        <f>[1]BASE!B280</f>
        <v>1678890</v>
      </c>
      <c r="C277" s="257" t="str">
        <f>[1]BASE!C280</f>
        <v>Bombeiro Hidraulico</v>
      </c>
      <c r="D277" s="258" t="str">
        <f>[1]BASE!D280</f>
        <v>Anistiado MME</v>
      </c>
      <c r="E277" s="257" t="str">
        <f>[1]BASE!E280</f>
        <v>MME - Ministério de Minas e Energia</v>
      </c>
      <c r="F277" s="258" t="str">
        <f>[1]BASE!F280</f>
        <v xml:space="preserve"> </v>
      </c>
      <c r="G277" s="258" t="str">
        <f>[1]BASE!G280</f>
        <v xml:space="preserve"> </v>
      </c>
      <c r="H277" s="257" t="str">
        <f>[1]BASE!H280</f>
        <v>SE / SPOA / CGRL / COORDENAÇÃO DE ATIVIDADES GERAIS - COAGE</v>
      </c>
      <c r="I277" s="260" t="str">
        <f>[1]BASE!I280</f>
        <v>8.105.120</v>
      </c>
    </row>
    <row r="278" spans="1:9" x14ac:dyDescent="0.25">
      <c r="A278" s="257" t="str">
        <f>[1]BASE!A281</f>
        <v>JOSE ROBERTO BUENO JUNIOR</v>
      </c>
      <c r="B278" s="258">
        <f>[1]BASE!B281</f>
        <v>1530778</v>
      </c>
      <c r="C278" s="257" t="str">
        <f>[1]BASE!C281</f>
        <v>Sem Cargo/Emprego</v>
      </c>
      <c r="D278" s="258" t="str">
        <f>[1]BASE!D281</f>
        <v>Sem Vínculo</v>
      </c>
      <c r="E278" s="257" t="str">
        <f>[1]BASE!E281</f>
        <v>Sem Vínculo</v>
      </c>
      <c r="F278" s="258" t="str">
        <f>[1]BASE!F281</f>
        <v>DAS 101.5</v>
      </c>
      <c r="G278" s="258" t="str">
        <f>[1]BASE!G281</f>
        <v xml:space="preserve"> </v>
      </c>
      <c r="H278" s="257" t="str">
        <f>[1]BASE!H281</f>
        <v>GM/ CHEFIA DE GABINETE GM</v>
      </c>
      <c r="I278" s="260" t="str">
        <f>[1]BASE!I281</f>
        <v>2.100.000</v>
      </c>
    </row>
    <row r="279" spans="1:9" x14ac:dyDescent="0.25">
      <c r="A279" s="257" t="str">
        <f>[1]BASE!A282</f>
        <v>JOSE VITOR ALVES DA COSTA</v>
      </c>
      <c r="B279" s="258">
        <f>[1]BASE!B282</f>
        <v>1670851</v>
      </c>
      <c r="C279" s="257" t="str">
        <f>[1]BASE!C282</f>
        <v>Motorista</v>
      </c>
      <c r="D279" s="258" t="str">
        <f>[1]BASE!D282</f>
        <v>Anistiado MME</v>
      </c>
      <c r="E279" s="257" t="str">
        <f>[1]BASE!E282</f>
        <v>MME - Ministério de Minas e Energia</v>
      </c>
      <c r="F279" s="258" t="str">
        <f>[1]BASE!F282</f>
        <v xml:space="preserve"> </v>
      </c>
      <c r="G279" s="258" t="str">
        <f>[1]BASE!G282</f>
        <v xml:space="preserve"> </v>
      </c>
      <c r="H279" s="257" t="str">
        <f>[1]BASE!H282</f>
        <v>SE / SPOA / CGRL / COORDENAÇÃO DE ATIVIDADES GERAIS - COAGE</v>
      </c>
      <c r="I279" s="260" t="str">
        <f>[1]BASE!I282</f>
        <v>8.105.120</v>
      </c>
    </row>
    <row r="280" spans="1:9" x14ac:dyDescent="0.25">
      <c r="A280" s="257" t="str">
        <f>[1]BASE!A283</f>
        <v>JOSEIZA ATAIDE DE CASTRO</v>
      </c>
      <c r="B280" s="258">
        <f>[1]BASE!B283</f>
        <v>1670504</v>
      </c>
      <c r="C280" s="257" t="str">
        <f>[1]BASE!C283</f>
        <v>Codificador de Dados I</v>
      </c>
      <c r="D280" s="258" t="str">
        <f>[1]BASE!D283</f>
        <v>Anistiado MME</v>
      </c>
      <c r="E280" s="257" t="str">
        <f>[1]BASE!E283</f>
        <v>MME - Ministério de Minas e Energia</v>
      </c>
      <c r="F280" s="258" t="str">
        <f>[1]BASE!F283</f>
        <v xml:space="preserve"> </v>
      </c>
      <c r="G280" s="258" t="str">
        <f>[1]BASE!G283</f>
        <v xml:space="preserve"> </v>
      </c>
      <c r="H280" s="257" t="str">
        <f>[1]BASE!H283</f>
        <v>SE / SPOA / COORDENAÇÃO GERAL DE RECURSOS HUMANOS - CGRH</v>
      </c>
      <c r="I280" s="260" t="str">
        <f>[1]BASE!I283</f>
        <v>8.105.200</v>
      </c>
    </row>
    <row r="281" spans="1:9" x14ac:dyDescent="0.25">
      <c r="A281" s="257" t="str">
        <f>[1]BASE!A284</f>
        <v>JOSELITA RODRIGUES DINIZ AZEVEDO</v>
      </c>
      <c r="B281" s="258">
        <f>[1]BASE!B284</f>
        <v>1669504</v>
      </c>
      <c r="C281" s="257" t="str">
        <f>[1]BASE!C284</f>
        <v>Escriturário III</v>
      </c>
      <c r="D281" s="258" t="str">
        <f>[1]BASE!D284</f>
        <v>Anistiado MME</v>
      </c>
      <c r="E281" s="257" t="str">
        <f>[1]BASE!E284</f>
        <v>MME - Ministério de Minas e Energia</v>
      </c>
      <c r="F281" s="258" t="str">
        <f>[1]BASE!F284</f>
        <v xml:space="preserve"> </v>
      </c>
      <c r="G281" s="258" t="str">
        <f>[1]BASE!G284</f>
        <v xml:space="preserve"> </v>
      </c>
      <c r="H281" s="257" t="str">
        <f>[1]BASE!H284</f>
        <v>SE / SPOA / CGRL / COORDENAÇÃO DE ATIVIDADES GERAIS - COAGE</v>
      </c>
      <c r="I281" s="260" t="str">
        <f>[1]BASE!I284</f>
        <v>8.105.120</v>
      </c>
    </row>
    <row r="282" spans="1:9" x14ac:dyDescent="0.25">
      <c r="A282" s="257" t="str">
        <f>[1]BASE!A285</f>
        <v>JOSIAS DO CANTO FERNANDES</v>
      </c>
      <c r="B282" s="258">
        <f>[1]BASE!B285</f>
        <v>6456060</v>
      </c>
      <c r="C282" s="257" t="str">
        <f>[1]BASE!C285</f>
        <v>Analista de Informações</v>
      </c>
      <c r="D282" s="258" t="str">
        <f>[1]BASE!D285</f>
        <v>Ativo Permanente</v>
      </c>
      <c r="E282" s="257" t="str">
        <f>[1]BASE!E285</f>
        <v>MME - Ministério de Minas e Energia</v>
      </c>
      <c r="F282" s="258" t="str">
        <f>[1]BASE!F285</f>
        <v xml:space="preserve"> </v>
      </c>
      <c r="G282" s="258" t="str">
        <f>[1]BASE!G285</f>
        <v>GSISTE Superior</v>
      </c>
      <c r="H282" s="257" t="str">
        <f>[1]BASE!H285</f>
        <v>SE / SPOA / COORDENAÇÃO GERAL DE RECURSOS HUMANOS - CGRH</v>
      </c>
      <c r="I282" s="260" t="str">
        <f>[1]BASE!I285</f>
        <v>8.105.200</v>
      </c>
    </row>
    <row r="283" spans="1:9" x14ac:dyDescent="0.25">
      <c r="A283" s="257" t="str">
        <f>[1]BASE!A286</f>
        <v>JOSUE DE ARAUJO</v>
      </c>
      <c r="B283" s="258">
        <f>[1]BASE!B286</f>
        <v>1439997</v>
      </c>
      <c r="C283" s="257" t="str">
        <f>[1]BASE!C286</f>
        <v>Analista em Tecnologia da Informação</v>
      </c>
      <c r="D283" s="258" t="str">
        <f>[1]BASE!D286</f>
        <v>Exercício Descentralizado</v>
      </c>
      <c r="E283" s="257" t="str">
        <f>[1]BASE!E286</f>
        <v>ME - Ministério da Economia</v>
      </c>
      <c r="F283" s="258" t="str">
        <f>[1]BASE!F286</f>
        <v xml:space="preserve"> </v>
      </c>
      <c r="G283" s="258" t="str">
        <f>[1]BASE!G286</f>
        <v xml:space="preserve"> </v>
      </c>
      <c r="H283" s="257" t="str">
        <f>[1]BASE!H286</f>
        <v>SE / SPOA / CGTI / COORDENAÇÃO DE TECNOLOGIA DE SISTEMAS DE INFORMAÇÃO - CTSI</v>
      </c>
      <c r="I283" s="260" t="str">
        <f>[1]BASE!I286</f>
        <v>8.105.320</v>
      </c>
    </row>
    <row r="284" spans="1:9" x14ac:dyDescent="0.25">
      <c r="A284" s="257" t="str">
        <f>[1]BASE!A287</f>
        <v>JUAN LUIS DANILO CATALAN ZAMUDIO</v>
      </c>
      <c r="B284" s="258">
        <f>[1]BASE!B287</f>
        <v>1373497</v>
      </c>
      <c r="C284" s="257" t="str">
        <f>[1]BASE!C287</f>
        <v>Analista de Tecnologia da Informação</v>
      </c>
      <c r="D284" s="258" t="str">
        <f>[1]BASE!D287</f>
        <v>Requisitado de Empresa</v>
      </c>
      <c r="E284" s="257" t="str">
        <f>[1]BASE!E287</f>
        <v>DATAPREV - Empresa de Tecnologia e Informações da Previdência</v>
      </c>
      <c r="F284" s="258" t="str">
        <f>[1]BASE!F287</f>
        <v>DAS 102.4</v>
      </c>
      <c r="G284" s="258" t="str">
        <f>[1]BASE!G287</f>
        <v xml:space="preserve"> </v>
      </c>
      <c r="H284" s="257" t="str">
        <f>[1]BASE!H287</f>
        <v>SEE / CHEFIA DE GABINETE SEE</v>
      </c>
      <c r="I284" s="260" t="str">
        <f>[1]BASE!I287</f>
        <v>12.100.000</v>
      </c>
    </row>
    <row r="285" spans="1:9" x14ac:dyDescent="0.25">
      <c r="A285" s="257" t="str">
        <f>[1]BASE!A288</f>
        <v>JUAREZ DUARTE FRANCO</v>
      </c>
      <c r="B285" s="258">
        <f>[1]BASE!B288</f>
        <v>451667</v>
      </c>
      <c r="C285" s="257" t="str">
        <f>[1]BASE!C288</f>
        <v>Agente Administrativo</v>
      </c>
      <c r="D285" s="258" t="str">
        <f>[1]BASE!D288</f>
        <v>Ativo Permanente</v>
      </c>
      <c r="E285" s="257" t="str">
        <f>[1]BASE!E288</f>
        <v>MME - Ministério de Minas e Energia</v>
      </c>
      <c r="F285" s="258" t="str">
        <f>[1]BASE!F288</f>
        <v>FCPE 101.3</v>
      </c>
      <c r="G285" s="258" t="str">
        <f>[1]BASE!G288</f>
        <v xml:space="preserve"> </v>
      </c>
      <c r="H285" s="257" t="str">
        <f>[1]BASE!H288</f>
        <v>CONJUR / CGAA / COORDENAÇÃO DE APOIO ADMINISTRATIVO</v>
      </c>
      <c r="I285" s="260" t="str">
        <f>[1]BASE!I288</f>
        <v>7.100.310</v>
      </c>
    </row>
    <row r="286" spans="1:9" x14ac:dyDescent="0.25">
      <c r="A286" s="257" t="str">
        <f>[1]BASE!A289</f>
        <v>JULIA MELO MENESES</v>
      </c>
      <c r="B286" s="258">
        <f>[1]BASE!B289</f>
        <v>1669136</v>
      </c>
      <c r="C286" s="257" t="str">
        <f>[1]BASE!C289</f>
        <v>Auxiliar Codificação e Conferência</v>
      </c>
      <c r="D286" s="258" t="str">
        <f>[1]BASE!D289</f>
        <v>Anistiado MME</v>
      </c>
      <c r="E286" s="257" t="str">
        <f>[1]BASE!E289</f>
        <v>MME - Ministério de Minas e Energia</v>
      </c>
      <c r="F286" s="258" t="str">
        <f>[1]BASE!F289</f>
        <v xml:space="preserve"> </v>
      </c>
      <c r="G286" s="258" t="str">
        <f>[1]BASE!G289</f>
        <v xml:space="preserve"> </v>
      </c>
      <c r="H286" s="257" t="str">
        <f>[1]BASE!H289</f>
        <v>SE / SPOA / CGRH / COORDENAÇÃO DE DESENVOLVIMENTO E SEGURIDADE SOCIAL - CODES</v>
      </c>
      <c r="I286" s="260" t="str">
        <f>[1]BASE!I289</f>
        <v>8.105.220</v>
      </c>
    </row>
    <row r="287" spans="1:9" x14ac:dyDescent="0.25">
      <c r="A287" s="257" t="str">
        <f>[1]BASE!A290</f>
        <v>JULIANA PEREIRA DA SILVA</v>
      </c>
      <c r="B287" s="258">
        <f>[1]BASE!B290</f>
        <v>1717625</v>
      </c>
      <c r="C287" s="257" t="str">
        <f>[1]BASE!C290</f>
        <v>Sem Cargo/Emprego</v>
      </c>
      <c r="D287" s="258" t="str">
        <f>[1]BASE!D290</f>
        <v>Sem Vínculo</v>
      </c>
      <c r="E287" s="257" t="str">
        <f>[1]BASE!E290</f>
        <v>Sem Vínculo</v>
      </c>
      <c r="F287" s="258" t="str">
        <f>[1]BASE!F290</f>
        <v>DAS 102.2</v>
      </c>
      <c r="G287" s="258" t="str">
        <f>[1]BASE!G290</f>
        <v xml:space="preserve"> </v>
      </c>
      <c r="H287" s="257" t="str">
        <f>[1]BASE!H290</f>
        <v>SPE / DEPARTAMENTO DE OUTORGAS DE CONCESSÕES, PERMISSÕES E AUTORIZAÇÕES - DOC</v>
      </c>
      <c r="I287" s="260" t="str">
        <f>[1]BASE!I290</f>
        <v>10.103.000</v>
      </c>
    </row>
    <row r="288" spans="1:9" x14ac:dyDescent="0.25">
      <c r="A288" s="257" t="str">
        <f>[1]BASE!A291</f>
        <v>JULIANA SOBREIRA PEREIRA DAVEY</v>
      </c>
      <c r="B288" s="258">
        <f>[1]BASE!B291</f>
        <v>1131440</v>
      </c>
      <c r="C288" s="257" t="str">
        <f>[1]BASE!C291</f>
        <v>Analista de Infraestrutura</v>
      </c>
      <c r="D288" s="258" t="str">
        <f>[1]BASE!D291</f>
        <v>Exercício Descentralizado</v>
      </c>
      <c r="E288" s="257" t="str">
        <f>[1]BASE!E291</f>
        <v>ME - Ministério da Economia</v>
      </c>
      <c r="F288" s="258" t="str">
        <f>[1]BASE!F291</f>
        <v xml:space="preserve"> </v>
      </c>
      <c r="G288" s="258" t="str">
        <f>[1]BASE!G291</f>
        <v xml:space="preserve"> </v>
      </c>
      <c r="H288" s="257" t="str">
        <f>[1]BASE!H291</f>
        <v>SGM / DEPARTAMENTO DE GESTÃO DAS POLÍTICAS DE GEOLOGIA, MINERAÇÃOE TRANSFORMAÇÃO - DPGM</v>
      </c>
      <c r="I288" s="260" t="str">
        <f>[1]BASE!I291</f>
        <v>9.101.000</v>
      </c>
    </row>
    <row r="289" spans="1:9" x14ac:dyDescent="0.25">
      <c r="A289" s="257" t="str">
        <f>[1]BASE!A292</f>
        <v>JULIETTE QUEIROZ MONSA</v>
      </c>
      <c r="B289" s="258">
        <f>[1]BASE!B292</f>
        <v>2353624</v>
      </c>
      <c r="C289" s="257" t="str">
        <f>[1]BASE!C292</f>
        <v>Sem Cargo/Emprego</v>
      </c>
      <c r="D289" s="258" t="str">
        <f>[1]BASE!D292</f>
        <v>Sem Vínculo</v>
      </c>
      <c r="E289" s="257" t="str">
        <f>[1]BASE!E292</f>
        <v>Sem Vínculo</v>
      </c>
      <c r="F289" s="258" t="str">
        <f>[1]BASE!F292</f>
        <v>DAS 101.4</v>
      </c>
      <c r="G289" s="258" t="str">
        <f>[1]BASE!G292</f>
        <v xml:space="preserve"> </v>
      </c>
      <c r="H289" s="257" t="str">
        <f>[1]BASE!H292</f>
        <v>SE / CHEFIA DE GABINETE SE</v>
      </c>
      <c r="I289" s="260" t="str">
        <f>[1]BASE!I292</f>
        <v>8.100.000</v>
      </c>
    </row>
    <row r="290" spans="1:9" x14ac:dyDescent="0.25">
      <c r="A290" s="257" t="str">
        <f>[1]BASE!A293</f>
        <v>JULIO CESAR MELLO RODRIGUES</v>
      </c>
      <c r="B290" s="258">
        <f>[1]BASE!B293</f>
        <v>1423510</v>
      </c>
      <c r="C290" s="257" t="str">
        <f>[1]BASE!C293</f>
        <v>Especialista em Política Pública e Gestão Governamental</v>
      </c>
      <c r="D290" s="258" t="str">
        <f>[1]BASE!D293</f>
        <v>Requisitado de Órgãos</v>
      </c>
      <c r="E290" s="257" t="str">
        <f>[1]BASE!E293</f>
        <v>ANM - Agência Nacional de Mineração</v>
      </c>
      <c r="F290" s="258" t="str">
        <f>[1]BASE!F293</f>
        <v xml:space="preserve"> </v>
      </c>
      <c r="G290" s="258" t="str">
        <f>[1]BASE!G293</f>
        <v>GSISP Superior</v>
      </c>
      <c r="H290" s="257" t="str">
        <f>[1]BASE!H293</f>
        <v>SE / ASSESSORIA ESPECIAL DE GESTÃO ESTRATÉGICA - AEGE</v>
      </c>
      <c r="I290" s="260" t="str">
        <f>[1]BASE!I293</f>
        <v>8.101.000</v>
      </c>
    </row>
    <row r="291" spans="1:9" x14ac:dyDescent="0.25">
      <c r="A291" s="257" t="str">
        <f>[1]BASE!A294</f>
        <v>JUSCELINO DE SOUSA SANTOS</v>
      </c>
      <c r="B291" s="258">
        <f>[1]BASE!B294</f>
        <v>758361</v>
      </c>
      <c r="C291" s="257" t="str">
        <f>[1]BASE!C294</f>
        <v>Motorista Oficial</v>
      </c>
      <c r="D291" s="258" t="str">
        <f>[1]BASE!D294</f>
        <v>Ativo Permanente</v>
      </c>
      <c r="E291" s="257" t="str">
        <f>[1]BASE!E294</f>
        <v>MME - Ministério de Minas e Energia</v>
      </c>
      <c r="F291" s="258" t="str">
        <f>[1]BASE!F294</f>
        <v>FGR 1</v>
      </c>
      <c r="G291" s="258" t="str">
        <f>[1]BASE!G294</f>
        <v xml:space="preserve"> </v>
      </c>
      <c r="H291" s="257" t="str">
        <f>[1]BASE!H294</f>
        <v>SE / SPOA / CGRL / COORDENAÇÃO DE ATIVIDADES GERAIS - COAGE</v>
      </c>
      <c r="I291" s="260" t="str">
        <f>[1]BASE!I294</f>
        <v>8.105.120</v>
      </c>
    </row>
    <row r="292" spans="1:9" x14ac:dyDescent="0.25">
      <c r="A292" s="257" t="str">
        <f>[1]BASE!A295</f>
        <v>KATIA HOLANDA DE CARVALHO</v>
      </c>
      <c r="B292" s="258">
        <f>[1]BASE!B295</f>
        <v>451665</v>
      </c>
      <c r="C292" s="257" t="str">
        <f>[1]BASE!C295</f>
        <v>Agente Administrativo</v>
      </c>
      <c r="D292" s="258" t="str">
        <f>[1]BASE!D295</f>
        <v>Ativo Permanente</v>
      </c>
      <c r="E292" s="257" t="str">
        <f>[1]BASE!E295</f>
        <v>MME - Ministério de Minas e Energia</v>
      </c>
      <c r="F292" s="258" t="str">
        <f>[1]BASE!F295</f>
        <v>FCT 3</v>
      </c>
      <c r="G292" s="258" t="str">
        <f>[1]BASE!G295</f>
        <v>GSISTE Intermediário</v>
      </c>
      <c r="H292" s="257" t="str">
        <f>[1]BASE!H295</f>
        <v>SE / SPOA / CGRL / COORDENAÇÃO DE ATIVIDADES GERAIS - COAGE</v>
      </c>
      <c r="I292" s="260" t="str">
        <f>[1]BASE!I295</f>
        <v>8.105.120</v>
      </c>
    </row>
    <row r="293" spans="1:9" x14ac:dyDescent="0.25">
      <c r="A293" s="257" t="str">
        <f>[1]BASE!A296</f>
        <v>KAZIMIERZ JOSEF CUDO</v>
      </c>
      <c r="B293" s="258">
        <f>[1]BASE!B296</f>
        <v>1776063</v>
      </c>
      <c r="C293" s="257" t="str">
        <f>[1]BASE!C296</f>
        <v>Engenheiro Químico</v>
      </c>
      <c r="D293" s="258" t="str">
        <f>[1]BASE!D296</f>
        <v>Anistiado MME</v>
      </c>
      <c r="E293" s="257" t="str">
        <f>[1]BASE!E296</f>
        <v>MME - Ministério de Minas e Energia</v>
      </c>
      <c r="F293" s="258" t="str">
        <f>[1]BASE!F296</f>
        <v xml:space="preserve"> </v>
      </c>
      <c r="G293" s="258" t="str">
        <f>[1]BASE!G296</f>
        <v xml:space="preserve"> </v>
      </c>
      <c r="H293" s="257" t="str">
        <f>[1]BASE!H296</f>
        <v>SEE / DPUE / COORDENAÇÃO GERAL DE DESENVOLVIMENTO DE POLÍTICAS SOCIAIS</v>
      </c>
      <c r="I293" s="260" t="str">
        <f>[1]BASE!I296</f>
        <v>12.103.100</v>
      </c>
    </row>
    <row r="294" spans="1:9" x14ac:dyDescent="0.25">
      <c r="A294" s="257" t="str">
        <f>[1]BASE!A297</f>
        <v>KISNEY VIEIRA DOS SANTOS</v>
      </c>
      <c r="B294" s="258">
        <f>[1]BASE!B297</f>
        <v>1953997</v>
      </c>
      <c r="C294" s="257" t="str">
        <f>[1]BASE!C297</f>
        <v>Sem Cargo/Emprego</v>
      </c>
      <c r="D294" s="258" t="str">
        <f>[1]BASE!D297</f>
        <v>Sem Vínculo</v>
      </c>
      <c r="E294" s="257" t="str">
        <f>[1]BASE!E297</f>
        <v>Sem Vínculo</v>
      </c>
      <c r="F294" s="258" t="str">
        <f>[1]BASE!F297</f>
        <v>DAS 102.2</v>
      </c>
      <c r="G294" s="258" t="str">
        <f>[1]BASE!G297</f>
        <v xml:space="preserve"> </v>
      </c>
      <c r="H294" s="257" t="str">
        <f>[1]BASE!H297</f>
        <v>SEE / DPUE / COORDENAÇÃO GERAL DE DESENVOLVIMENTO DE POLÍTICAS SOCIAIS</v>
      </c>
      <c r="I294" s="260" t="str">
        <f>[1]BASE!I297</f>
        <v>12.103.100</v>
      </c>
    </row>
    <row r="295" spans="1:9" x14ac:dyDescent="0.25">
      <c r="A295" s="257" t="str">
        <f>[1]BASE!A298</f>
        <v>LÁZARA GOMES DOS SANTOS</v>
      </c>
      <c r="B295" s="258">
        <f>[1]BASE!B298</f>
        <v>6454710</v>
      </c>
      <c r="C295" s="257" t="str">
        <f>[1]BASE!C298</f>
        <v>Agente Administrativo</v>
      </c>
      <c r="D295" s="258" t="str">
        <f>[1]BASE!D298</f>
        <v>Exercício Descentralizado</v>
      </c>
      <c r="E295" s="257" t="str">
        <f>[1]BASE!E298</f>
        <v>AGU - Advocacia Geral da União</v>
      </c>
      <c r="F295" s="258" t="str">
        <f>[1]BASE!F298</f>
        <v>FCPE 102.2</v>
      </c>
      <c r="G295" s="258" t="str">
        <f>[1]BASE!G298</f>
        <v xml:space="preserve"> </v>
      </c>
      <c r="H295" s="257" t="str">
        <f>[1]BASE!H298</f>
        <v>CONJUR / CGAA / COORDENAÇÃO DE APOIO ADMINISTRATIVO</v>
      </c>
      <c r="I295" s="260" t="str">
        <f>[1]BASE!I298</f>
        <v>7.100.310</v>
      </c>
    </row>
    <row r="296" spans="1:9" x14ac:dyDescent="0.25">
      <c r="A296" s="257" t="str">
        <f>[1]BASE!A299</f>
        <v>LEA DE FREITAS</v>
      </c>
      <c r="B296" s="258">
        <f>[1]BASE!B299</f>
        <v>1779396</v>
      </c>
      <c r="C296" s="257" t="str">
        <f>[1]BASE!C299</f>
        <v>Digitador II</v>
      </c>
      <c r="D296" s="258" t="str">
        <f>[1]BASE!D299</f>
        <v>Anistiado MME</v>
      </c>
      <c r="E296" s="257" t="str">
        <f>[1]BASE!E299</f>
        <v>MME - Ministério de Minas e Energia</v>
      </c>
      <c r="F296" s="258" t="str">
        <f>[1]BASE!F299</f>
        <v xml:space="preserve"> </v>
      </c>
      <c r="G296" s="258" t="str">
        <f>[1]BASE!G299</f>
        <v xml:space="preserve"> </v>
      </c>
      <c r="H296" s="257" t="str">
        <f>[1]BASE!H299</f>
        <v>SE / SPOA / CGRH / COORDENAÇÃO DE DESENVOLVIMENTO E SEGURIDADE SOCIAL - CODES</v>
      </c>
      <c r="I296" s="260" t="str">
        <f>[1]BASE!I299</f>
        <v>8.105.220</v>
      </c>
    </row>
    <row r="297" spans="1:9" x14ac:dyDescent="0.25">
      <c r="A297" s="257" t="str">
        <f>[1]BASE!A300</f>
        <v>LEILA MARIA BASTOS PERES DOS SANTOS</v>
      </c>
      <c r="B297" s="258">
        <f>[1]BASE!B300</f>
        <v>2724516</v>
      </c>
      <c r="C297" s="257" t="str">
        <f>[1]BASE!C300</f>
        <v>Sem Cargo/Emprego</v>
      </c>
      <c r="D297" s="258" t="str">
        <f>[1]BASE!D300</f>
        <v>Sem Vínculo</v>
      </c>
      <c r="E297" s="257" t="str">
        <f>[1]BASE!E300</f>
        <v>Sem Vínculo</v>
      </c>
      <c r="F297" s="258" t="str">
        <f>[1]BASE!F300</f>
        <v>DAS 102.2</v>
      </c>
      <c r="G297" s="258" t="str">
        <f>[1]BASE!G300</f>
        <v xml:space="preserve"> </v>
      </c>
      <c r="H297" s="257" t="str">
        <f>[1]BASE!H300</f>
        <v>GM / ASSESSORIA DE APOIO AO MINISTRO - AAM</v>
      </c>
      <c r="I297" s="260" t="str">
        <f>[1]BASE!I300</f>
        <v>2.100.400</v>
      </c>
    </row>
    <row r="298" spans="1:9" x14ac:dyDescent="0.25">
      <c r="A298" s="257" t="str">
        <f>[1]BASE!A301</f>
        <v>LEILA PRZYTYK</v>
      </c>
      <c r="B298" s="258">
        <f>[1]BASE!B301</f>
        <v>2437158</v>
      </c>
      <c r="C298" s="257" t="str">
        <f>[1]BASE!C301</f>
        <v>Auditor Federal de Finanças e Controle</v>
      </c>
      <c r="D298" s="258" t="str">
        <f>[1]BASE!D301</f>
        <v>Requisitado de Órgãos</v>
      </c>
      <c r="E298" s="257" t="str">
        <f>[1]BASE!E301</f>
        <v>ME - Ministério da Economia</v>
      </c>
      <c r="F298" s="258" t="str">
        <f>[1]BASE!F301</f>
        <v>DAS 102.4</v>
      </c>
      <c r="G298" s="258" t="str">
        <f>[1]BASE!G301</f>
        <v xml:space="preserve"> </v>
      </c>
      <c r="H298" s="257" t="str">
        <f>[1]BASE!H301</f>
        <v>ASSESSORIA ESPECIAL DE ASSUNTOS ECONÔMICOS - ASSEC</v>
      </c>
      <c r="I298" s="260" t="str">
        <f>[1]BASE!I301</f>
        <v>6.000.000</v>
      </c>
    </row>
    <row r="299" spans="1:9" x14ac:dyDescent="0.25">
      <c r="A299" s="257" t="str">
        <f>[1]BASE!A302</f>
        <v>LEOBINA CARDIAL DA SILVA SOARES</v>
      </c>
      <c r="B299" s="258">
        <f>[1]BASE!B302</f>
        <v>1692146</v>
      </c>
      <c r="C299" s="257" t="str">
        <f>[1]BASE!C302</f>
        <v>Servente</v>
      </c>
      <c r="D299" s="258" t="str">
        <f>[1]BASE!D302</f>
        <v>Anistiado MME</v>
      </c>
      <c r="E299" s="257" t="str">
        <f>[1]BASE!E302</f>
        <v>MME - Ministério de Minas e Energia</v>
      </c>
      <c r="F299" s="258" t="str">
        <f>[1]BASE!F302</f>
        <v xml:space="preserve"> </v>
      </c>
      <c r="G299" s="258" t="str">
        <f>[1]BASE!G302</f>
        <v xml:space="preserve"> </v>
      </c>
      <c r="H299" s="257" t="str">
        <f>[1]BASE!H302</f>
        <v>SE / AEGP / CGPF / COORDENAÇÃO ADMINISTRATIVA</v>
      </c>
      <c r="I299" s="260" t="str">
        <f>[1]BASE!I302</f>
        <v>8.103.110</v>
      </c>
    </row>
    <row r="300" spans="1:9" x14ac:dyDescent="0.25">
      <c r="A300" s="257" t="str">
        <f>[1]BASE!A303</f>
        <v>LEONARDO BATISTA XAVIER</v>
      </c>
      <c r="B300" s="258">
        <f>[1]BASE!B303</f>
        <v>456020</v>
      </c>
      <c r="C300" s="257" t="str">
        <f>[1]BASE!C303</f>
        <v>Agente de Portaria</v>
      </c>
      <c r="D300" s="258" t="str">
        <f>[1]BASE!D303</f>
        <v>Ativo Permanente</v>
      </c>
      <c r="E300" s="257" t="str">
        <f>[1]BASE!E303</f>
        <v>MME - Ministério de Minas e Energia</v>
      </c>
      <c r="F300" s="258" t="str">
        <f>[1]BASE!F303</f>
        <v>FGR 1</v>
      </c>
      <c r="G300" s="258" t="str">
        <f>[1]BASE!G303</f>
        <v xml:space="preserve"> </v>
      </c>
      <c r="H300" s="257" t="str">
        <f>[1]BASE!H303</f>
        <v>SE / SPOA / CGRL / COORDENAÇÃO DE ATIVIDADES GERAIS - COAGE</v>
      </c>
      <c r="I300" s="260" t="str">
        <f>[1]BASE!I303</f>
        <v>8.105.120</v>
      </c>
    </row>
    <row r="301" spans="1:9" x14ac:dyDescent="0.25">
      <c r="A301" s="257" t="str">
        <f>[1]BASE!A304</f>
        <v>LEONARDO FREIRE DE OLIVEIRA GARCIA</v>
      </c>
      <c r="B301" s="258">
        <f>[1]BASE!B304</f>
        <v>1258785</v>
      </c>
      <c r="C301" s="257" t="str">
        <f>[1]BASE!C304</f>
        <v>Analista Técnico Administrativo</v>
      </c>
      <c r="D301" s="258" t="str">
        <f>[1]BASE!D304</f>
        <v>Requisitado de Órgãos</v>
      </c>
      <c r="E301" s="257" t="str">
        <f>[1]BASE!E304</f>
        <v>MJSP - Ministério da Justiça e Segurança Pública</v>
      </c>
      <c r="F301" s="258" t="str">
        <f>[1]BASE!F304</f>
        <v xml:space="preserve"> </v>
      </c>
      <c r="G301" s="258" t="str">
        <f>[1]BASE!G304</f>
        <v>GSISTE Superior</v>
      </c>
      <c r="H301" s="257" t="str">
        <f>[1]BASE!H304</f>
        <v>SE / SPOA / CGRL / COORDENAÇÃO DE ATIVIDADES GERAIS - COAGE</v>
      </c>
      <c r="I301" s="260" t="str">
        <f>[1]BASE!I304</f>
        <v>8.105.120</v>
      </c>
    </row>
    <row r="302" spans="1:9" x14ac:dyDescent="0.25">
      <c r="A302" s="257" t="str">
        <f>[1]BASE!A305</f>
        <v>LEVI MOSQUEIRA</v>
      </c>
      <c r="B302" s="258">
        <f>[1]BASE!B305</f>
        <v>1718781</v>
      </c>
      <c r="C302" s="257" t="str">
        <f>[1]BASE!C305</f>
        <v>Programador de Sistema II</v>
      </c>
      <c r="D302" s="258" t="str">
        <f>[1]BASE!D305</f>
        <v>Anistiado MME</v>
      </c>
      <c r="E302" s="257" t="str">
        <f>[1]BASE!E305</f>
        <v>MME - Ministério de Minas e Energia</v>
      </c>
      <c r="F302" s="258" t="str">
        <f>[1]BASE!F305</f>
        <v xml:space="preserve"> </v>
      </c>
      <c r="G302" s="258" t="str">
        <f>[1]BASE!G305</f>
        <v xml:space="preserve"> </v>
      </c>
      <c r="H302" s="257" t="str">
        <f>[1]BASE!H305</f>
        <v>SE / SPOA / CGRH / COORDENAÇÃO DE DESENVOLVIMENTO E SEGURIDADE SOCIAL - CODES</v>
      </c>
      <c r="I302" s="260" t="str">
        <f>[1]BASE!I305</f>
        <v>8.105.220</v>
      </c>
    </row>
    <row r="303" spans="1:9" x14ac:dyDescent="0.25">
      <c r="A303" s="257" t="str">
        <f>[1]BASE!A306</f>
        <v>LIDINEIA MACEDO VILAR</v>
      </c>
      <c r="B303" s="258">
        <f>[1]BASE!B306</f>
        <v>1094887</v>
      </c>
      <c r="C303" s="257" t="str">
        <f>[1]BASE!C306</f>
        <v>Técnico de Arquivo</v>
      </c>
      <c r="D303" s="258" t="str">
        <f>[1]BASE!D306</f>
        <v>Ativo Permanente</v>
      </c>
      <c r="E303" s="257" t="str">
        <f>[1]BASE!E306</f>
        <v>MME - Ministério de Minas e Energia</v>
      </c>
      <c r="F303" s="258" t="str">
        <f>[1]BASE!F306</f>
        <v>FGR 1</v>
      </c>
      <c r="G303" s="258" t="str">
        <f>[1]BASE!G306</f>
        <v xml:space="preserve"> </v>
      </c>
      <c r="H303" s="257" t="str">
        <f>[1]BASE!H306</f>
        <v>SPE / CHEFIA DE GABINETE SPE</v>
      </c>
      <c r="I303" s="260" t="str">
        <f>[1]BASE!I306</f>
        <v>10.100.000</v>
      </c>
    </row>
    <row r="304" spans="1:9" x14ac:dyDescent="0.25">
      <c r="A304" s="257" t="str">
        <f>[1]BASE!A307</f>
        <v>LILIA MASCARENHAS SANT'AGOSTINO</v>
      </c>
      <c r="B304" s="258">
        <f>[1]BASE!B307</f>
        <v>2332375</v>
      </c>
      <c r="C304" s="257" t="str">
        <f>[1]BASE!C307</f>
        <v>Sem Cargo/Emprego</v>
      </c>
      <c r="D304" s="258" t="str">
        <f>[1]BASE!D307</f>
        <v>Sem Vínculo</v>
      </c>
      <c r="E304" s="257" t="str">
        <f>[1]BASE!E307</f>
        <v>Sem Vínculo</v>
      </c>
      <c r="F304" s="258" t="str">
        <f>[1]BASE!F307</f>
        <v>DAS 101.5</v>
      </c>
      <c r="G304" s="258" t="str">
        <f>[1]BASE!G307</f>
        <v xml:space="preserve"> </v>
      </c>
      <c r="H304" s="257" t="str">
        <f>[1]BASE!H307</f>
        <v>SGM / CHEFIA DE GABINETE SGM</v>
      </c>
      <c r="I304" s="260" t="str">
        <f>[1]BASE!I307</f>
        <v>9.100.000</v>
      </c>
    </row>
    <row r="305" spans="1:9" x14ac:dyDescent="0.25">
      <c r="A305" s="257" t="str">
        <f>[1]BASE!A308</f>
        <v>LISANDRA PEREIRA DA FONSECA</v>
      </c>
      <c r="B305" s="258">
        <f>[1]BASE!B308</f>
        <v>2210836</v>
      </c>
      <c r="C305" s="257" t="str">
        <f>[1]BASE!C308</f>
        <v>Sem Cargo/Emprego</v>
      </c>
      <c r="D305" s="258" t="str">
        <f>[1]BASE!D308</f>
        <v>Sem Vínculo</v>
      </c>
      <c r="E305" s="257" t="str">
        <f>[1]BASE!E308</f>
        <v>Sem Vínculo</v>
      </c>
      <c r="F305" s="258" t="str">
        <f>[1]BASE!F308</f>
        <v>DAS 102.2</v>
      </c>
      <c r="G305" s="258" t="str">
        <f>[1]BASE!G308</f>
        <v xml:space="preserve"> </v>
      </c>
      <c r="H305" s="257" t="str">
        <f>[1]BASE!H308</f>
        <v>GM / ASSESSORIA DE COMUNICAÇÃO SOCIAL - ASCOM</v>
      </c>
      <c r="I305" s="260" t="str">
        <f>[1]BASE!I308</f>
        <v>2.100.300</v>
      </c>
    </row>
    <row r="306" spans="1:9" x14ac:dyDescent="0.25">
      <c r="A306" s="257" t="str">
        <f>[1]BASE!A309</f>
        <v>LIVIO TEIXEIRA DE ANDRADE FILHO</v>
      </c>
      <c r="B306" s="258">
        <f>[1]BASE!B309</f>
        <v>3458938</v>
      </c>
      <c r="C306" s="257" t="str">
        <f>[1]BASE!C309</f>
        <v>Analista de Infraestrutura</v>
      </c>
      <c r="D306" s="258" t="str">
        <f>[1]BASE!D309</f>
        <v>Exercício Descentralizado</v>
      </c>
      <c r="E306" s="257" t="str">
        <f>[1]BASE!E309</f>
        <v>ME - Ministério da Economia</v>
      </c>
      <c r="F306" s="258" t="str">
        <f>[1]BASE!F309</f>
        <v>DAS 101.4</v>
      </c>
      <c r="G306" s="258" t="str">
        <f>[1]BASE!G309</f>
        <v xml:space="preserve"> </v>
      </c>
      <c r="H306" s="257" t="str">
        <f>[1]BASE!H309</f>
        <v>SPE / DDE / COORDENAÇÃO GERAL DE FONTES ALTERNATIVAS</v>
      </c>
      <c r="I306" s="260" t="str">
        <f>[1]BASE!I309</f>
        <v>10.102.300</v>
      </c>
    </row>
    <row r="307" spans="1:9" x14ac:dyDescent="0.25">
      <c r="A307" s="257" t="str">
        <f>[1]BASE!A310</f>
        <v>LORENA LOPES DE MORAES</v>
      </c>
      <c r="B307" s="258">
        <f>[1]BASE!B310</f>
        <v>1456830</v>
      </c>
      <c r="C307" s="257" t="str">
        <f>[1]BASE!C310</f>
        <v>Sem Cargo/Emprego</v>
      </c>
      <c r="D307" s="258" t="str">
        <f>[1]BASE!D310</f>
        <v>Sem Vínculo</v>
      </c>
      <c r="E307" s="257" t="str">
        <f>[1]BASE!E310</f>
        <v>Sem Vínculo</v>
      </c>
      <c r="F307" s="258" t="str">
        <f>[1]BASE!F310</f>
        <v>DAS 102.2</v>
      </c>
      <c r="G307" s="258" t="str">
        <f>[1]BASE!G310</f>
        <v xml:space="preserve"> </v>
      </c>
      <c r="H307" s="257" t="str">
        <f>[1]BASE!H310</f>
        <v>SGM / DDM / COORDENAÇÃO GERAL DE DESENVOLVIMENTO SOCIOAMBIENTAL NA MINERAÇÃO</v>
      </c>
      <c r="I307" s="260" t="str">
        <f>[1]BASE!I310</f>
        <v>9.104.100</v>
      </c>
    </row>
    <row r="308" spans="1:9" x14ac:dyDescent="0.25">
      <c r="A308" s="257" t="str">
        <f>[1]BASE!A311</f>
        <v>LORENA MELO SILVA</v>
      </c>
      <c r="B308" s="258">
        <f>[1]BASE!B311</f>
        <v>3974664</v>
      </c>
      <c r="C308" s="257" t="str">
        <f>[1]BASE!C311</f>
        <v>Analista de Infraestrutura</v>
      </c>
      <c r="D308" s="258" t="str">
        <f>[1]BASE!D311</f>
        <v>Exercício Descentralizado</v>
      </c>
      <c r="E308" s="257" t="str">
        <f>[1]BASE!E311</f>
        <v>ME - Ministério da Economia</v>
      </c>
      <c r="F308" s="258" t="str">
        <f>[1]BASE!F311</f>
        <v>DAS 102.4</v>
      </c>
      <c r="G308" s="258" t="str">
        <f>[1]BASE!G311</f>
        <v xml:space="preserve"> </v>
      </c>
      <c r="H308" s="257" t="str">
        <f>[1]BASE!H311</f>
        <v>SPE / DEPARTAMENTO DE PLANEJAMENTO ENERGÉTICO - DPE</v>
      </c>
      <c r="I308" s="260" t="str">
        <f>[1]BASE!I311</f>
        <v>10.101.000</v>
      </c>
    </row>
    <row r="309" spans="1:9" x14ac:dyDescent="0.25">
      <c r="A309" s="257" t="str">
        <f>[1]BASE!A312</f>
        <v>LOURDES CAETANO PEREIRA</v>
      </c>
      <c r="B309" s="258">
        <f>[1]BASE!B312</f>
        <v>1339851</v>
      </c>
      <c r="C309" s="257" t="str">
        <f>[1]BASE!C312</f>
        <v>Auxiliar de Controle</v>
      </c>
      <c r="D309" s="258" t="str">
        <f>[1]BASE!D312</f>
        <v>Anistiado MME</v>
      </c>
      <c r="E309" s="257" t="str">
        <f>[1]BASE!E312</f>
        <v>MME - Ministério de Minas e Energia</v>
      </c>
      <c r="F309" s="258" t="str">
        <f>[1]BASE!F312</f>
        <v xml:space="preserve"> </v>
      </c>
      <c r="G309" s="258" t="str">
        <f>[1]BASE!G312</f>
        <v xml:space="preserve"> </v>
      </c>
      <c r="H309" s="257" t="str">
        <f>[1]BASE!H312</f>
        <v>SE / SPOA / COORDENAÇÃO GERAL DE RECURSOS HUMANOS - CGRH</v>
      </c>
      <c r="I309" s="260" t="str">
        <f>[1]BASE!I312</f>
        <v>8.105.200</v>
      </c>
    </row>
    <row r="310" spans="1:9" x14ac:dyDescent="0.25">
      <c r="A310" s="257" t="str">
        <f>[1]BASE!A313</f>
        <v>LUCAS GOMES AMORIM</v>
      </c>
      <c r="B310" s="258">
        <f>[1]BASE!B313</f>
        <v>1413502</v>
      </c>
      <c r="C310" s="257" t="str">
        <f>[1]BASE!C313</f>
        <v>Sem Cargo/Emprego</v>
      </c>
      <c r="D310" s="258" t="str">
        <f>[1]BASE!D313</f>
        <v>Sem Vínculo</v>
      </c>
      <c r="E310" s="257" t="str">
        <f>[1]BASE!E313</f>
        <v>Sem Vínculo</v>
      </c>
      <c r="F310" s="258" t="str">
        <f>[1]BASE!F313</f>
        <v>DAS 102.1</v>
      </c>
      <c r="G310" s="258" t="str">
        <f>[1]BASE!G313</f>
        <v xml:space="preserve"> </v>
      </c>
      <c r="H310" s="257" t="str">
        <f>[1]BASE!H313</f>
        <v>GM / ASSESSORIA TÉCNICA E ADMINISTRATIVA - ASTAD</v>
      </c>
      <c r="I310" s="260" t="str">
        <f>[1]BASE!I313</f>
        <v>2.100.100</v>
      </c>
    </row>
    <row r="311" spans="1:9" x14ac:dyDescent="0.25">
      <c r="A311" s="257" t="str">
        <f>[1]BASE!A314</f>
        <v>LUCIA MARIA DE ALMEIDA MOYSÉS</v>
      </c>
      <c r="B311" s="258">
        <f>[1]BASE!B314</f>
        <v>451578</v>
      </c>
      <c r="C311" s="257" t="str">
        <f>[1]BASE!C314</f>
        <v>Administrador</v>
      </c>
      <c r="D311" s="258" t="str">
        <f>[1]BASE!D314</f>
        <v>Ativo Permanente</v>
      </c>
      <c r="E311" s="257" t="str">
        <f>[1]BASE!E314</f>
        <v>MME - Ministério de Minas e Energia</v>
      </c>
      <c r="F311" s="258" t="str">
        <f>[1]BASE!F314</f>
        <v>FGR 1</v>
      </c>
      <c r="G311" s="258" t="str">
        <f>[1]BASE!G314</f>
        <v>GSISTE Superior</v>
      </c>
      <c r="H311" s="257" t="str">
        <f>[1]BASE!H314</f>
        <v>SE / SPOA / CGRH / COORDENAÇÃO DE ADMINISTRAÇÃO DE PESSOAL - CAPES</v>
      </c>
      <c r="I311" s="260" t="str">
        <f>[1]BASE!I314</f>
        <v>8.105.210</v>
      </c>
    </row>
    <row r="312" spans="1:9" x14ac:dyDescent="0.25">
      <c r="A312" s="257" t="str">
        <f>[1]BASE!A315</f>
        <v>LUCIA MARIA PRACIANO MINERVINO</v>
      </c>
      <c r="B312" s="258">
        <f>[1]BASE!B315</f>
        <v>1673954</v>
      </c>
      <c r="C312" s="257" t="str">
        <f>[1]BASE!C315</f>
        <v>Assistente Técnico</v>
      </c>
      <c r="D312" s="258" t="str">
        <f>[1]BASE!D315</f>
        <v>Anistiado MME</v>
      </c>
      <c r="E312" s="257" t="str">
        <f>[1]BASE!E315</f>
        <v>MME - Ministério de Minas e Energia</v>
      </c>
      <c r="F312" s="258" t="str">
        <f>[1]BASE!F315</f>
        <v xml:space="preserve"> </v>
      </c>
      <c r="G312" s="258" t="str">
        <f>[1]BASE!G315</f>
        <v xml:space="preserve"> </v>
      </c>
      <c r="H312" s="257" t="str">
        <f>[1]BASE!H315</f>
        <v>SPE / DEPARTAMENTO DE PLANEJAMENTO ENERGÉTICO - DPE</v>
      </c>
      <c r="I312" s="260" t="str">
        <f>[1]BASE!I315</f>
        <v>10.101.000</v>
      </c>
    </row>
    <row r="313" spans="1:9" x14ac:dyDescent="0.25">
      <c r="A313" s="257" t="str">
        <f>[1]BASE!A316</f>
        <v>LUCIANA RODRIGUES DUTRA</v>
      </c>
      <c r="B313" s="258">
        <f>[1]BASE!B316</f>
        <v>1185583</v>
      </c>
      <c r="C313" s="257" t="str">
        <f>[1]BASE!C316</f>
        <v>Documentação</v>
      </c>
      <c r="D313" s="258" t="str">
        <f>[1]BASE!D316</f>
        <v>Requisitado de Órgãos</v>
      </c>
      <c r="E313" s="257" t="str">
        <f>[1]BASE!E316</f>
        <v>FCP - Fundação Cultural Palmares</v>
      </c>
      <c r="F313" s="258" t="str">
        <f>[1]BASE!F316</f>
        <v xml:space="preserve"> </v>
      </c>
      <c r="G313" s="258" t="str">
        <f>[1]BASE!G316</f>
        <v>GSISTE Superior</v>
      </c>
      <c r="H313" s="257" t="str">
        <f>[1]BASE!H316</f>
        <v>SE / SPOA / CGRL / COORDENAÇÃO DE ATIVIDADES GERAIS - COAGE</v>
      </c>
      <c r="I313" s="260" t="str">
        <f>[1]BASE!I316</f>
        <v>8.105.120</v>
      </c>
    </row>
    <row r="314" spans="1:9" x14ac:dyDescent="0.25">
      <c r="A314" s="257" t="str">
        <f>[1]BASE!A317</f>
        <v>LUCIANO DA SILVA TEIXEIRA</v>
      </c>
      <c r="B314" s="258">
        <f>[1]BASE!B317</f>
        <v>4686676</v>
      </c>
      <c r="C314" s="257" t="str">
        <f>[1]BASE!C317</f>
        <v>Analista de Infraestrutura</v>
      </c>
      <c r="D314" s="258" t="str">
        <f>[1]BASE!D317</f>
        <v>Exercício Descentralizado</v>
      </c>
      <c r="E314" s="257" t="str">
        <f>[1]BASE!E317</f>
        <v>ME - Ministério da Economia</v>
      </c>
      <c r="F314" s="258" t="str">
        <f>[1]BASE!F317</f>
        <v>FCPE 101.3</v>
      </c>
      <c r="G314" s="258" t="str">
        <f>[1]BASE!G317</f>
        <v xml:space="preserve"> </v>
      </c>
      <c r="H314" s="257" t="str">
        <f>[1]BASE!H317</f>
        <v>SE / AEGP / CGGP / COORDENAÇÃO DE LICITAÇÃO</v>
      </c>
      <c r="I314" s="260" t="str">
        <f>[1]BASE!I317</f>
        <v>8.103.210</v>
      </c>
    </row>
    <row r="315" spans="1:9" x14ac:dyDescent="0.25">
      <c r="A315" s="257" t="str">
        <f>[1]BASE!A318</f>
        <v>LUCIANO DE MENDONCA FONSECA</v>
      </c>
      <c r="B315" s="258">
        <f>[1]BASE!B318</f>
        <v>1335003</v>
      </c>
      <c r="C315" s="257" t="str">
        <f>[1]BASE!C318</f>
        <v>Analista de Planejamento e Orçamento</v>
      </c>
      <c r="D315" s="258" t="str">
        <f>[1]BASE!D318</f>
        <v>Exercício Descentralizado</v>
      </c>
      <c r="E315" s="257" t="str">
        <f>[1]BASE!E318</f>
        <v>ME - Ministério da Economia</v>
      </c>
      <c r="F315" s="258" t="str">
        <f>[1]BASE!F318</f>
        <v>FCPE 102.1</v>
      </c>
      <c r="G315" s="258" t="str">
        <f>[1]BASE!G318</f>
        <v xml:space="preserve"> </v>
      </c>
      <c r="H315" s="257" t="str">
        <f>[1]BASE!H318</f>
        <v>SE / SPOA / COORDENAÇÃO GERAL DE ORÇAMENTO E FINANÇAS - CGOF</v>
      </c>
      <c r="I315" s="260" t="str">
        <f>[1]BASE!I318</f>
        <v>8.105.500</v>
      </c>
    </row>
    <row r="316" spans="1:9" x14ac:dyDescent="0.25">
      <c r="A316" s="257" t="str">
        <f>[1]BASE!A319</f>
        <v>LUCIMAR SOUZA ASSIS</v>
      </c>
      <c r="B316" s="258">
        <f>[1]BASE!B319</f>
        <v>1669294</v>
      </c>
      <c r="C316" s="257" t="str">
        <f>[1]BASE!C319</f>
        <v>Auxiliar Codificação e Conferência</v>
      </c>
      <c r="D316" s="258" t="str">
        <f>[1]BASE!D319</f>
        <v>Anistiado MME</v>
      </c>
      <c r="E316" s="257" t="str">
        <f>[1]BASE!E319</f>
        <v>MME - Ministério de Minas e Energia</v>
      </c>
      <c r="F316" s="258" t="str">
        <f>[1]BASE!F319</f>
        <v xml:space="preserve"> </v>
      </c>
      <c r="G316" s="258" t="str">
        <f>[1]BASE!G319</f>
        <v xml:space="preserve"> </v>
      </c>
      <c r="H316" s="257" t="str">
        <f>[1]BASE!H319</f>
        <v>SE / SPOA / CGRH / COORDENAÇÃO DE DESENVOLVIMENTO E SEGURIDADE SOCIAL - CODES</v>
      </c>
      <c r="I316" s="260" t="str">
        <f>[1]BASE!I319</f>
        <v>8.105.220</v>
      </c>
    </row>
    <row r="317" spans="1:9" x14ac:dyDescent="0.25">
      <c r="A317" s="257" t="str">
        <f>[1]BASE!A320</f>
        <v>LUIS FELIPE MONTEIRO SERRAO</v>
      </c>
      <c r="B317" s="258">
        <f>[1]BASE!B320</f>
        <v>1081712</v>
      </c>
      <c r="C317" s="257" t="str">
        <f>[1]BASE!C320</f>
        <v>Sem Cargo/Emprego</v>
      </c>
      <c r="D317" s="258" t="str">
        <f>[1]BASE!D320</f>
        <v>Sem Vínculo</v>
      </c>
      <c r="E317" s="257" t="str">
        <f>[1]BASE!E320</f>
        <v>Sem Vínculo</v>
      </c>
      <c r="F317" s="258" t="str">
        <f>[1]BASE!F320</f>
        <v>DAS 102.4</v>
      </c>
      <c r="G317" s="258" t="str">
        <f>[1]BASE!G320</f>
        <v xml:space="preserve"> </v>
      </c>
      <c r="H317" s="257" t="str">
        <f>[1]BASE!H320</f>
        <v>GM / ASSESSORIA PARLAMENTAR - ASPAR</v>
      </c>
      <c r="I317" s="260" t="str">
        <f>[1]BASE!I320</f>
        <v>2.100.200</v>
      </c>
    </row>
    <row r="318" spans="1:9" x14ac:dyDescent="0.25">
      <c r="A318" s="257" t="str">
        <f>[1]BASE!A321</f>
        <v>LUIS FERNANDO BADANHAN</v>
      </c>
      <c r="B318" s="258">
        <f>[1]BASE!B321</f>
        <v>3444256</v>
      </c>
      <c r="C318" s="257" t="str">
        <f>[1]BASE!C321</f>
        <v>Analista de Infraestrutura</v>
      </c>
      <c r="D318" s="258" t="str">
        <f>[1]BASE!D321</f>
        <v>Exercício Descentralizado</v>
      </c>
      <c r="E318" s="257" t="str">
        <f>[1]BASE!E321</f>
        <v>ME - Ministério da Economia</v>
      </c>
      <c r="F318" s="258" t="str">
        <f>[1]BASE!F321</f>
        <v>FCPE 101.4</v>
      </c>
      <c r="G318" s="258" t="str">
        <f>[1]BASE!G321</f>
        <v xml:space="preserve"> </v>
      </c>
      <c r="H318" s="257" t="str">
        <f>[1]BASE!H321</f>
        <v>SPE / DDE / COORDENAÇÃO GERAL DE SUSTENTABILIDADE AMBIENTAL DO SETOR ENERGÉTICO</v>
      </c>
      <c r="I318" s="260" t="str">
        <f>[1]BASE!I321</f>
        <v>10.102.200</v>
      </c>
    </row>
    <row r="319" spans="1:9" x14ac:dyDescent="0.25">
      <c r="A319" s="257" t="str">
        <f>[1]BASE!A322</f>
        <v>LUIS FERREIRA DE OLIVEIRA</v>
      </c>
      <c r="B319" s="258">
        <f>[1]BASE!B322</f>
        <v>449949</v>
      </c>
      <c r="C319" s="257" t="str">
        <f>[1]BASE!C322</f>
        <v>Agente de Portaria</v>
      </c>
      <c r="D319" s="258" t="str">
        <f>[1]BASE!D322</f>
        <v>Ativo Permanente</v>
      </c>
      <c r="E319" s="257" t="str">
        <f>[1]BASE!E322</f>
        <v>MME - Ministério de Minas e Energia</v>
      </c>
      <c r="F319" s="258" t="str">
        <f>[1]BASE!F322</f>
        <v xml:space="preserve"> </v>
      </c>
      <c r="G319" s="258" t="str">
        <f>[1]BASE!G322</f>
        <v xml:space="preserve"> </v>
      </c>
      <c r="H319" s="257" t="str">
        <f>[1]BASE!H322</f>
        <v>SGM / DTTM / COORDENAÇÃO GERAL DE CAPACITAÇÃO E DESENVOLVIMENTO TECNOLÓGICO</v>
      </c>
      <c r="I319" s="260" t="str">
        <f>[1]BASE!I322</f>
        <v>9.103.100</v>
      </c>
    </row>
    <row r="320" spans="1:9" x14ac:dyDescent="0.25">
      <c r="A320" s="257" t="str">
        <f>[1]BASE!A323</f>
        <v>LUIZ ANTONIO NETTO SA FORTES</v>
      </c>
      <c r="B320" s="258">
        <f>[1]BASE!B323</f>
        <v>1669188</v>
      </c>
      <c r="C320" s="257" t="str">
        <f>[1]BASE!C323</f>
        <v>Programador de Aplicação I</v>
      </c>
      <c r="D320" s="258" t="str">
        <f>[1]BASE!D323</f>
        <v>Anistiado MME</v>
      </c>
      <c r="E320" s="257" t="str">
        <f>[1]BASE!E323</f>
        <v>MME - Ministério de Minas e Energia</v>
      </c>
      <c r="F320" s="258" t="str">
        <f>[1]BASE!F323</f>
        <v xml:space="preserve"> </v>
      </c>
      <c r="G320" s="258" t="str">
        <f>[1]BASE!G323</f>
        <v xml:space="preserve"> </v>
      </c>
      <c r="H320" s="257" t="str">
        <f>[1]BASE!H323</f>
        <v>Aguardando Lotação/Exercício</v>
      </c>
      <c r="I320" s="260" t="str">
        <f>[1]BASE!I323</f>
        <v>88.000.000</v>
      </c>
    </row>
    <row r="321" spans="1:9" x14ac:dyDescent="0.25">
      <c r="A321" s="257" t="str">
        <f>[1]BASE!A324</f>
        <v>LUIZ AUGUSTO GOMES DE OLIVEIRA</v>
      </c>
      <c r="B321" s="258">
        <f>[1]BASE!B324</f>
        <v>1361802</v>
      </c>
      <c r="C321" s="257" t="str">
        <f>[1]BASE!C324</f>
        <v>Sem Cargo/Emprego</v>
      </c>
      <c r="D321" s="258" t="str">
        <f>[1]BASE!D324</f>
        <v>Sem Vínculo</v>
      </c>
      <c r="E321" s="257" t="str">
        <f>[1]BASE!E324</f>
        <v>Sem Vínculo</v>
      </c>
      <c r="F321" s="258" t="str">
        <f>[1]BASE!F324</f>
        <v>DAS 102.2</v>
      </c>
      <c r="G321" s="258" t="str">
        <f>[1]BASE!G324</f>
        <v xml:space="preserve"> </v>
      </c>
      <c r="H321" s="257" t="str">
        <f>[1]BASE!H324</f>
        <v>SEE / DMSE / COORDENAÇÃO GERAL DE MONITORAMENTO DA EXPANSÃO DA GERAÇÃO</v>
      </c>
      <c r="I321" s="260" t="str">
        <f>[1]BASE!I324</f>
        <v>12.102.100</v>
      </c>
    </row>
    <row r="322" spans="1:9" x14ac:dyDescent="0.25">
      <c r="A322" s="257" t="str">
        <f>[1]BASE!A325</f>
        <v>LUIZ CARAZZA FILHO</v>
      </c>
      <c r="B322" s="258">
        <f>[1]BASE!B325</f>
        <v>1670176</v>
      </c>
      <c r="C322" s="257" t="str">
        <f>[1]BASE!C325</f>
        <v>Programador</v>
      </c>
      <c r="D322" s="258" t="str">
        <f>[1]BASE!D325</f>
        <v>Anistiado MME</v>
      </c>
      <c r="E322" s="257" t="str">
        <f>[1]BASE!E325</f>
        <v>MME - Ministério de Minas e Energia</v>
      </c>
      <c r="F322" s="258" t="str">
        <f>[1]BASE!F325</f>
        <v xml:space="preserve"> </v>
      </c>
      <c r="G322" s="258" t="str">
        <f>[1]BASE!G325</f>
        <v xml:space="preserve"> </v>
      </c>
      <c r="H322" s="257" t="str">
        <f>[1]BASE!H325</f>
        <v>SE / SPOA / CGRL / COORDENAÇÃO DE ADMINISTRAÇÃO DE MATERIAL E EXECUÇÃO FINANCEIRA - COMEF</v>
      </c>
      <c r="I322" s="260" t="str">
        <f>[1]BASE!I325</f>
        <v>8.105.110</v>
      </c>
    </row>
    <row r="323" spans="1:9" x14ac:dyDescent="0.25">
      <c r="A323" s="257" t="str">
        <f>[1]BASE!A326</f>
        <v>LUIZ CARLOS BRUNEL ALVES</v>
      </c>
      <c r="B323" s="258">
        <f>[1]BASE!B326</f>
        <v>2169970</v>
      </c>
      <c r="C323" s="257" t="str">
        <f>[1]BASE!C326</f>
        <v>Auxiliar Administrativo II</v>
      </c>
      <c r="D323" s="258" t="str">
        <f>[1]BASE!D326</f>
        <v>Anistiado MME</v>
      </c>
      <c r="E323" s="257" t="str">
        <f>[1]BASE!E326</f>
        <v>MME - Ministério de Minas e Energia</v>
      </c>
      <c r="F323" s="258" t="str">
        <f>[1]BASE!F326</f>
        <v xml:space="preserve"> </v>
      </c>
      <c r="G323" s="258" t="str">
        <f>[1]BASE!G326</f>
        <v xml:space="preserve"> </v>
      </c>
      <c r="H323" s="257" t="str">
        <f>[1]BASE!H326</f>
        <v>Aguardando Lotação/Exercício</v>
      </c>
      <c r="I323" s="260" t="str">
        <f>[1]BASE!I326</f>
        <v>88.000.000</v>
      </c>
    </row>
    <row r="324" spans="1:9" x14ac:dyDescent="0.25">
      <c r="A324" s="257" t="str">
        <f>[1]BASE!A327</f>
        <v>LUIZ CARLOS DE MOURA ADAMI</v>
      </c>
      <c r="B324" s="258">
        <f>[1]BASE!B327</f>
        <v>1992618</v>
      </c>
      <c r="C324" s="257" t="str">
        <f>[1]BASE!C327</f>
        <v>Sem Cargo/Emprego</v>
      </c>
      <c r="D324" s="258" t="str">
        <f>[1]BASE!D327</f>
        <v>Sem Vínculo</v>
      </c>
      <c r="E324" s="257" t="str">
        <f>[1]BASE!E327</f>
        <v>Sem Vínculo</v>
      </c>
      <c r="F324" s="258" t="str">
        <f>[1]BASE!F327</f>
        <v>DAS 101.4</v>
      </c>
      <c r="G324" s="258" t="str">
        <f>[1]BASE!G327</f>
        <v xml:space="preserve"> </v>
      </c>
      <c r="H324" s="257" t="str">
        <f>[1]BASE!H327</f>
        <v>SGM / DGPM / COORDENAÇÃO GERAL DE MONITORAMENTO E CONTROLE DE CONCESSÕES MINERAIS</v>
      </c>
      <c r="I324" s="260" t="str">
        <f>[1]BASE!I327</f>
        <v>9.102.200</v>
      </c>
    </row>
    <row r="325" spans="1:9" x14ac:dyDescent="0.25">
      <c r="A325" s="257" t="str">
        <f>[1]BASE!A328</f>
        <v>LUIZ CARLOS DIAS DA SILVA</v>
      </c>
      <c r="B325" s="258">
        <f>[1]BASE!B328</f>
        <v>1310698</v>
      </c>
      <c r="C325" s="257" t="str">
        <f>[1]BASE!C328</f>
        <v>Analista de Planejamento e Orçamento</v>
      </c>
      <c r="D325" s="258" t="str">
        <f>[1]BASE!D328</f>
        <v>Exercício Descentralizado</v>
      </c>
      <c r="E325" s="257" t="str">
        <f>[1]BASE!E328</f>
        <v>ME - Ministério da Economia</v>
      </c>
      <c r="F325" s="258" t="str">
        <f>[1]BASE!F328</f>
        <v>DAS 101.3</v>
      </c>
      <c r="G325" s="258" t="str">
        <f>[1]BASE!G328</f>
        <v xml:space="preserve"> </v>
      </c>
      <c r="H325" s="257" t="str">
        <f>[1]BASE!H328</f>
        <v>SE / SPOA / CGOF / COORDENAÇÃO DE ORÇAMENTO - CORC</v>
      </c>
      <c r="I325" s="260" t="str">
        <f>[1]BASE!I328</f>
        <v>8.105.530</v>
      </c>
    </row>
    <row r="326" spans="1:9" x14ac:dyDescent="0.25">
      <c r="A326" s="257" t="str">
        <f>[1]BASE!A329</f>
        <v>LUIZ CARLOS SAMPAIO</v>
      </c>
      <c r="B326" s="258">
        <f>[1]BASE!B329</f>
        <v>220105</v>
      </c>
      <c r="C326" s="257" t="str">
        <f>[1]BASE!C329</f>
        <v>Agente de Portaria</v>
      </c>
      <c r="D326" s="258" t="str">
        <f>[1]BASE!D329</f>
        <v>Ativo Permanente</v>
      </c>
      <c r="E326" s="257" t="str">
        <f>[1]BASE!E329</f>
        <v>MME - Ministério de Minas e Energia</v>
      </c>
      <c r="F326" s="258" t="str">
        <f>[1]BASE!F329</f>
        <v>FGR 1</v>
      </c>
      <c r="G326" s="258" t="str">
        <f>[1]BASE!G329</f>
        <v xml:space="preserve"> </v>
      </c>
      <c r="H326" s="257" t="str">
        <f>[1]BASE!H329</f>
        <v>SE / SPOA / CGRL / COORDENAÇÃO DE ATIVIDADES GERAIS - COAGE</v>
      </c>
      <c r="I326" s="260" t="str">
        <f>[1]BASE!I329</f>
        <v>8.105.120</v>
      </c>
    </row>
    <row r="327" spans="1:9" x14ac:dyDescent="0.25">
      <c r="A327" s="257" t="str">
        <f>[1]BASE!A330</f>
        <v>LUIZ CLAUDIO FONTENELE GONCALVES</v>
      </c>
      <c r="B327" s="258">
        <f>[1]BASE!B330</f>
        <v>452215</v>
      </c>
      <c r="C327" s="257" t="str">
        <f>[1]BASE!C330</f>
        <v>Médico</v>
      </c>
      <c r="D327" s="258" t="str">
        <f>[1]BASE!D330</f>
        <v>Ativo Permanente</v>
      </c>
      <c r="E327" s="257" t="str">
        <f>[1]BASE!E330</f>
        <v>MME - Ministério de Minas e Energia</v>
      </c>
      <c r="F327" s="258" t="str">
        <f>[1]BASE!F330</f>
        <v>FCPE 102.3</v>
      </c>
      <c r="G327" s="258" t="str">
        <f>[1]BASE!G330</f>
        <v>GSISTE Superior</v>
      </c>
      <c r="H327" s="257" t="str">
        <f>[1]BASE!H330</f>
        <v>SE / SPOA / CGRH / COORDENAÇÃO DE DESENVOLVIMENTO E SEGURIDADE SOCIAL - CODES</v>
      </c>
      <c r="I327" s="260" t="str">
        <f>[1]BASE!I330</f>
        <v>8.105.220</v>
      </c>
    </row>
    <row r="328" spans="1:9" x14ac:dyDescent="0.25">
      <c r="A328" s="257" t="str">
        <f>[1]BASE!A331</f>
        <v>LUIZ CLAUDIO SOARES DE CARVALHO</v>
      </c>
      <c r="B328" s="258">
        <f>[1]BASE!B331</f>
        <v>2310684</v>
      </c>
      <c r="C328" s="257" t="str">
        <f>[1]BASE!C331</f>
        <v>Analista de Planejamento e Orçamento</v>
      </c>
      <c r="D328" s="258" t="str">
        <f>[1]BASE!D331</f>
        <v>Exercício Descentralizado</v>
      </c>
      <c r="E328" s="257" t="str">
        <f>[1]BASE!E331</f>
        <v>ME - Ministério da Economia</v>
      </c>
      <c r="F328" s="258" t="str">
        <f>[1]BASE!F331</f>
        <v xml:space="preserve"> </v>
      </c>
      <c r="G328" s="258" t="str">
        <f>[1]BASE!G331</f>
        <v xml:space="preserve"> </v>
      </c>
      <c r="H328" s="257" t="str">
        <f>[1]BASE!H331</f>
        <v>SE / AEGE / COORDENAÇÃO GERAL DE PLANEJAMENTO ESTRATÉGICO, SUPERVISÃO E AVALIAÇÃO - CGPE</v>
      </c>
      <c r="I328" s="260" t="str">
        <f>[1]BASE!I331</f>
        <v>8.101.100</v>
      </c>
    </row>
    <row r="329" spans="1:9" x14ac:dyDescent="0.25">
      <c r="A329" s="257" t="str">
        <f>[1]BASE!A332</f>
        <v>LUIZ GONZAGA DE ARAUJO FILHO</v>
      </c>
      <c r="B329" s="258">
        <f>[1]BASE!B332</f>
        <v>1593563</v>
      </c>
      <c r="C329" s="257" t="str">
        <f>[1]BASE!C332</f>
        <v>Contínuo</v>
      </c>
      <c r="D329" s="258" t="str">
        <f>[1]BASE!D332</f>
        <v>Anistiado MME</v>
      </c>
      <c r="E329" s="257" t="str">
        <f>[1]BASE!E332</f>
        <v>MME - Ministério de Minas e Energia</v>
      </c>
      <c r="F329" s="258" t="str">
        <f>[1]BASE!F332</f>
        <v xml:space="preserve"> </v>
      </c>
      <c r="G329" s="258" t="str">
        <f>[1]BASE!G332</f>
        <v xml:space="preserve"> </v>
      </c>
      <c r="H329" s="257" t="str">
        <f>[1]BASE!H332</f>
        <v>SEE / CHEFIA DE GABINETE SEE</v>
      </c>
      <c r="I329" s="260" t="str">
        <f>[1]BASE!I332</f>
        <v>12.100.000</v>
      </c>
    </row>
    <row r="330" spans="1:9" x14ac:dyDescent="0.25">
      <c r="A330" s="257" t="str">
        <f>[1]BASE!A333</f>
        <v>LUIZ PEREIRA DOS SANTOS</v>
      </c>
      <c r="B330" s="258">
        <f>[1]BASE!B333</f>
        <v>2403600</v>
      </c>
      <c r="C330" s="257" t="str">
        <f>[1]BASE!C333</f>
        <v>Assistente Controle Financeiro</v>
      </c>
      <c r="D330" s="258" t="str">
        <f>[1]BASE!D333</f>
        <v>Contrato Temporário</v>
      </c>
      <c r="E330" s="257" t="str">
        <f>[1]BASE!E333</f>
        <v>MME - Ministério de Minas e Energia</v>
      </c>
      <c r="F330" s="258" t="str">
        <f>[1]BASE!F333</f>
        <v xml:space="preserve"> </v>
      </c>
      <c r="G330" s="258" t="str">
        <f>[1]BASE!G333</f>
        <v xml:space="preserve"> </v>
      </c>
      <c r="H330" s="257" t="str">
        <f>[1]BASE!H333</f>
        <v>SE / AEGP / COORDENAÇÃO GERAL DE PLANEJAMENTO, FINANÇAS E CONTROLE - CGPF</v>
      </c>
      <c r="I330" s="260" t="str">
        <f>[1]BASE!I333</f>
        <v>8.103.100</v>
      </c>
    </row>
    <row r="331" spans="1:9" x14ac:dyDescent="0.25">
      <c r="A331" s="257" t="str">
        <f>[1]BASE!A334</f>
        <v>MANOEL ALVES MAIA</v>
      </c>
      <c r="B331" s="258">
        <f>[1]BASE!B334</f>
        <v>452192</v>
      </c>
      <c r="C331" s="257" t="str">
        <f>[1]BASE!C334</f>
        <v>Agente de Vigilância</v>
      </c>
      <c r="D331" s="258" t="str">
        <f>[1]BASE!D334</f>
        <v>Ativo Permanente</v>
      </c>
      <c r="E331" s="257" t="str">
        <f>[1]BASE!E334</f>
        <v>MME - Ministério de Minas e Energia</v>
      </c>
      <c r="F331" s="258" t="str">
        <f>[1]BASE!F334</f>
        <v>FGR 1</v>
      </c>
      <c r="G331" s="258" t="str">
        <f>[1]BASE!G334</f>
        <v xml:space="preserve"> </v>
      </c>
      <c r="H331" s="257" t="str">
        <f>[1]BASE!H334</f>
        <v>SE / SPOA / CGRL / COORDENAÇÃO DE ATIVIDADES GERAIS - COAGE</v>
      </c>
      <c r="I331" s="260" t="str">
        <f>[1]BASE!I334</f>
        <v>8.105.120</v>
      </c>
    </row>
    <row r="332" spans="1:9" x14ac:dyDescent="0.25">
      <c r="A332" s="257" t="str">
        <f>[1]BASE!A335</f>
        <v>MANOEL DA PAIXAO NETO</v>
      </c>
      <c r="B332" s="258">
        <f>[1]BASE!B335</f>
        <v>1586318</v>
      </c>
      <c r="C332" s="257" t="str">
        <f>[1]BASE!C335</f>
        <v>Digitador</v>
      </c>
      <c r="D332" s="258" t="str">
        <f>[1]BASE!D335</f>
        <v>Anistiado MME</v>
      </c>
      <c r="E332" s="257" t="str">
        <f>[1]BASE!E335</f>
        <v>MME - Ministério de Minas e Energia</v>
      </c>
      <c r="F332" s="258" t="str">
        <f>[1]BASE!F335</f>
        <v xml:space="preserve"> </v>
      </c>
      <c r="G332" s="258" t="str">
        <f>[1]BASE!G335</f>
        <v xml:space="preserve"> </v>
      </c>
      <c r="H332" s="257" t="str">
        <f>[1]BASE!H335</f>
        <v>SPE / CHEFIA DE GABINETE SPE</v>
      </c>
      <c r="I332" s="260" t="str">
        <f>[1]BASE!I335</f>
        <v>10.100.000</v>
      </c>
    </row>
    <row r="333" spans="1:9" x14ac:dyDescent="0.25">
      <c r="A333" s="257" t="str">
        <f>[1]BASE!A336</f>
        <v>MANOEL HUMBERTO LEMOS DA SILVA</v>
      </c>
      <c r="B333" s="258">
        <f>[1]BASE!B336</f>
        <v>1963508</v>
      </c>
      <c r="C333" s="257" t="str">
        <f>[1]BASE!C336</f>
        <v>Sem Cargo/Emprego</v>
      </c>
      <c r="D333" s="258" t="str">
        <f>[1]BASE!D336</f>
        <v>Sem Vínculo</v>
      </c>
      <c r="E333" s="257" t="str">
        <f>[1]BASE!E336</f>
        <v>Sem Vínculo</v>
      </c>
      <c r="F333" s="258" t="str">
        <f>[1]BASE!F336</f>
        <v>DAS 102.4</v>
      </c>
      <c r="G333" s="258" t="str">
        <f>[1]BASE!G336</f>
        <v xml:space="preserve"> </v>
      </c>
      <c r="H333" s="257" t="str">
        <f>[1]BASE!H336</f>
        <v>SE / SUBSECRETARIA DE PLANEJAMENTO, ORÇAMENTO E ADMINISTRAÇÃO - SPOA</v>
      </c>
      <c r="I333" s="260" t="str">
        <f>[1]BASE!I336</f>
        <v>8.105.000</v>
      </c>
    </row>
    <row r="334" spans="1:9" x14ac:dyDescent="0.25">
      <c r="A334" s="257" t="str">
        <f>[1]BASE!A337</f>
        <v>MARA BETANIA BALTAR GARCIA DA CONCEICAO</v>
      </c>
      <c r="B334" s="258">
        <f>[1]BASE!B337</f>
        <v>1677235</v>
      </c>
      <c r="C334" s="257" t="str">
        <f>[1]BASE!C337</f>
        <v>Codificador de Dados I</v>
      </c>
      <c r="D334" s="258" t="str">
        <f>[1]BASE!D337</f>
        <v>Anistiado MME</v>
      </c>
      <c r="E334" s="257" t="str">
        <f>[1]BASE!E337</f>
        <v>MME - Ministério de Minas e Energia</v>
      </c>
      <c r="F334" s="258" t="str">
        <f>[1]BASE!F337</f>
        <v>DAS 101.2</v>
      </c>
      <c r="G334" s="258" t="str">
        <f>[1]BASE!G337</f>
        <v xml:space="preserve"> </v>
      </c>
      <c r="H334" s="257" t="str">
        <f>[1]BASE!H337</f>
        <v>SE / SPOA / CGRH / COORDENAÇÃO DE DESENVOLVIMENTO E SEGURIDADE SOCIAL - CODES</v>
      </c>
      <c r="I334" s="260" t="str">
        <f>[1]BASE!I337</f>
        <v>8.105.220</v>
      </c>
    </row>
    <row r="335" spans="1:9" x14ac:dyDescent="0.25">
      <c r="A335" s="257" t="str">
        <f>[1]BASE!A338</f>
        <v>MARCELO BARBOSA COELHO</v>
      </c>
      <c r="B335" s="258">
        <f>[1]BASE!B338</f>
        <v>1677225</v>
      </c>
      <c r="C335" s="257" t="str">
        <f>[1]BASE!C338</f>
        <v>Advogado</v>
      </c>
      <c r="D335" s="258" t="str">
        <f>[1]BASE!D338</f>
        <v>Anistiado MME</v>
      </c>
      <c r="E335" s="257" t="str">
        <f>[1]BASE!E338</f>
        <v>MME - Ministério de Minas e Energia</v>
      </c>
      <c r="F335" s="258" t="str">
        <f>[1]BASE!F338</f>
        <v xml:space="preserve"> </v>
      </c>
      <c r="G335" s="258" t="str">
        <f>[1]BASE!G338</f>
        <v xml:space="preserve"> </v>
      </c>
      <c r="H335" s="257" t="str">
        <f>[1]BASE!H338</f>
        <v>Aguardando Lotação/Exercício</v>
      </c>
      <c r="I335" s="260" t="str">
        <f>[1]BASE!I338</f>
        <v>88.000.000</v>
      </c>
    </row>
    <row r="336" spans="1:9" x14ac:dyDescent="0.25">
      <c r="A336" s="257" t="str">
        <f>[1]BASE!A339</f>
        <v>MARCIA ALVES DE FIGUEIREDO</v>
      </c>
      <c r="B336" s="258">
        <f>[1]BASE!B339</f>
        <v>1670151</v>
      </c>
      <c r="C336" s="257" t="str">
        <f>[1]BASE!C339</f>
        <v>Escriturário III</v>
      </c>
      <c r="D336" s="258" t="str">
        <f>[1]BASE!D339</f>
        <v>Anistiado MME</v>
      </c>
      <c r="E336" s="257" t="str">
        <f>[1]BASE!E339</f>
        <v>MME - Ministério de Minas e Energia</v>
      </c>
      <c r="F336" s="258" t="str">
        <f>[1]BASE!F339</f>
        <v>DAS 101.2</v>
      </c>
      <c r="G336" s="258" t="str">
        <f>[1]BASE!G339</f>
        <v xml:space="preserve"> </v>
      </c>
      <c r="H336" s="257" t="str">
        <f>[1]BASE!H339</f>
        <v>SE / SPOA / CGRL / COORDENAÇÃO DE ATIVIDADES GERAIS - COAGE</v>
      </c>
      <c r="I336" s="260" t="str">
        <f>[1]BASE!I339</f>
        <v>8.105.120</v>
      </c>
    </row>
    <row r="337" spans="1:9" x14ac:dyDescent="0.25">
      <c r="A337" s="257" t="str">
        <f>[1]BASE!A340</f>
        <v>MARCIA CRISTINA DA SILVA DO NASCIMENTO</v>
      </c>
      <c r="B337" s="258">
        <f>[1]BASE!B340</f>
        <v>1374653</v>
      </c>
      <c r="C337" s="257" t="str">
        <f>[1]BASE!C340</f>
        <v>Sem Cargo/Emprego</v>
      </c>
      <c r="D337" s="258" t="str">
        <f>[1]BASE!D340</f>
        <v>Sem Vínculo</v>
      </c>
      <c r="E337" s="257" t="str">
        <f>[1]BASE!E340</f>
        <v>Sem Vínculo</v>
      </c>
      <c r="F337" s="258" t="str">
        <f>[1]BASE!F340</f>
        <v>DAS 102.1</v>
      </c>
      <c r="G337" s="258" t="str">
        <f>[1]BASE!G340</f>
        <v xml:space="preserve"> </v>
      </c>
      <c r="H337" s="257" t="str">
        <f>[1]BASE!H340</f>
        <v>GM / ASSESSORIA PARLAMENTAR - ASPAR</v>
      </c>
      <c r="I337" s="260" t="str">
        <f>[1]BASE!I340</f>
        <v>2.100.200</v>
      </c>
    </row>
    <row r="338" spans="1:9" x14ac:dyDescent="0.25">
      <c r="A338" s="257" t="str">
        <f>[1]BASE!A341</f>
        <v>MARCIA ELISABETE CUNHA DE SOUSA</v>
      </c>
      <c r="B338" s="258">
        <f>[1]BASE!B341</f>
        <v>452366</v>
      </c>
      <c r="C338" s="257" t="str">
        <f>[1]BASE!C341</f>
        <v>Agente Administrativo</v>
      </c>
      <c r="D338" s="258" t="str">
        <f>[1]BASE!D341</f>
        <v>Ativo Permanente</v>
      </c>
      <c r="E338" s="257" t="str">
        <f>[1]BASE!E341</f>
        <v>MME - Ministério de Minas e Energia</v>
      </c>
      <c r="F338" s="258" t="str">
        <f>[1]BASE!F341</f>
        <v>FCT 1</v>
      </c>
      <c r="G338" s="258" t="str">
        <f>[1]BASE!G341</f>
        <v xml:space="preserve"> </v>
      </c>
      <c r="H338" s="257" t="str">
        <f>[1]BASE!H341</f>
        <v>GM / ASTAD / COORDENAÇÃO DE ATIVIDADES ADMINISTRATIVAS</v>
      </c>
      <c r="I338" s="260" t="str">
        <f>[1]BASE!I341</f>
        <v>2.100.101</v>
      </c>
    </row>
    <row r="339" spans="1:9" x14ac:dyDescent="0.25">
      <c r="A339" s="257" t="str">
        <f>[1]BASE!A342</f>
        <v>MARCIA PERES</v>
      </c>
      <c r="B339" s="258">
        <f>[1]BASE!B342</f>
        <v>1670518</v>
      </c>
      <c r="C339" s="257" t="str">
        <f>[1]BASE!C342</f>
        <v>Codificador de Dados I</v>
      </c>
      <c r="D339" s="258" t="str">
        <f>[1]BASE!D342</f>
        <v>Anistiado MME</v>
      </c>
      <c r="E339" s="257" t="str">
        <f>[1]BASE!E342</f>
        <v>MME - Ministério de Minas e Energia</v>
      </c>
      <c r="F339" s="258" t="str">
        <f>[1]BASE!F342</f>
        <v xml:space="preserve"> </v>
      </c>
      <c r="G339" s="258" t="str">
        <f>[1]BASE!G342</f>
        <v xml:space="preserve"> </v>
      </c>
      <c r="H339" s="257" t="str">
        <f>[1]BASE!H342</f>
        <v>SE / SPOA / CGRH / COORDENAÇÃO DE DESENVOLVIMENTO E SEGURIDADE SOCIAL - CODES</v>
      </c>
      <c r="I339" s="260" t="str">
        <f>[1]BASE!I342</f>
        <v>8.105.220</v>
      </c>
    </row>
    <row r="340" spans="1:9" x14ac:dyDescent="0.25">
      <c r="A340" s="257" t="str">
        <f>[1]BASE!A343</f>
        <v>MARCIA REGINA DE JESUS FIUZA</v>
      </c>
      <c r="B340" s="258">
        <f>[1]BASE!B343</f>
        <v>1095444</v>
      </c>
      <c r="C340" s="257" t="str">
        <f>[1]BASE!C343</f>
        <v>Agente de Portaria</v>
      </c>
      <c r="D340" s="258" t="str">
        <f>[1]BASE!D343</f>
        <v>Ativo Permanente</v>
      </c>
      <c r="E340" s="257" t="str">
        <f>[1]BASE!E343</f>
        <v>MME - Ministério de Minas e Energia</v>
      </c>
      <c r="F340" s="258" t="str">
        <f>[1]BASE!F343</f>
        <v>FCPE 102.2</v>
      </c>
      <c r="G340" s="258" t="str">
        <f>[1]BASE!G343</f>
        <v xml:space="preserve"> </v>
      </c>
      <c r="H340" s="257" t="str">
        <f>[1]BASE!H343</f>
        <v>ASSESSORIA ESPECIAL DE CONTROLE INTERNO - AECI</v>
      </c>
      <c r="I340" s="260" t="str">
        <f>[1]BASE!I343</f>
        <v>5.000.000</v>
      </c>
    </row>
    <row r="341" spans="1:9" x14ac:dyDescent="0.25">
      <c r="A341" s="257" t="str">
        <f>[1]BASE!A344</f>
        <v>MARCILIO RODRIGUES PENHA</v>
      </c>
      <c r="B341" s="258">
        <f>[1]BASE!B344</f>
        <v>7601425</v>
      </c>
      <c r="C341" s="257" t="str">
        <f>[1]BASE!C344</f>
        <v>Auxiliar Codificação e Conferência</v>
      </c>
      <c r="D341" s="258" t="str">
        <f>[1]BASE!D344</f>
        <v>Anistiado MME</v>
      </c>
      <c r="E341" s="257" t="str">
        <f>[1]BASE!E344</f>
        <v>MME - Ministério de Minas e Energia</v>
      </c>
      <c r="F341" s="258" t="str">
        <f>[1]BASE!F344</f>
        <v xml:space="preserve"> </v>
      </c>
      <c r="G341" s="258" t="str">
        <f>[1]BASE!G344</f>
        <v xml:space="preserve"> </v>
      </c>
      <c r="H341" s="257" t="str">
        <f>[1]BASE!H344</f>
        <v>Aguardando Lotação/Exercício</v>
      </c>
      <c r="I341" s="260" t="str">
        <f>[1]BASE!I344</f>
        <v>88.000.000</v>
      </c>
    </row>
    <row r="342" spans="1:9" x14ac:dyDescent="0.25">
      <c r="A342" s="257" t="str">
        <f>[1]BASE!A345</f>
        <v>MARCIO MITLETON</v>
      </c>
      <c r="B342" s="258">
        <f>[1]BASE!B345</f>
        <v>2311090</v>
      </c>
      <c r="C342" s="257" t="str">
        <f>[1]BASE!C345</f>
        <v>Analista de Planejamento e Orçamento</v>
      </c>
      <c r="D342" s="258" t="str">
        <f>[1]BASE!D345</f>
        <v>Exercício Descentralizado</v>
      </c>
      <c r="E342" s="257" t="str">
        <f>[1]BASE!E345</f>
        <v>ME - Ministério da Economia</v>
      </c>
      <c r="F342" s="258" t="str">
        <f>[1]BASE!F345</f>
        <v>DAS 102.2</v>
      </c>
      <c r="G342" s="258" t="str">
        <f>[1]BASE!G345</f>
        <v xml:space="preserve"> </v>
      </c>
      <c r="H342" s="257" t="str">
        <f>[1]BASE!H345</f>
        <v>SE / SPOA / CGOF / COORDENAÇÃO DE CONTABILIDADE - CONT</v>
      </c>
      <c r="I342" s="260" t="str">
        <f>[1]BASE!I345</f>
        <v>8.105.520</v>
      </c>
    </row>
    <row r="343" spans="1:9" x14ac:dyDescent="0.25">
      <c r="A343" s="257" t="str">
        <f>[1]BASE!A346</f>
        <v>MARCOS ANDRE DOS SANTOS SOEIRO</v>
      </c>
      <c r="B343" s="258">
        <f>[1]BASE!B346</f>
        <v>3132854</v>
      </c>
      <c r="C343" s="257" t="str">
        <f>[1]BASE!C346</f>
        <v>Marinha</v>
      </c>
      <c r="D343" s="258" t="str">
        <f>[1]BASE!D346</f>
        <v>Requisitado Militar</v>
      </c>
      <c r="E343" s="257" t="str">
        <f>[1]BASE!E346</f>
        <v>Marinha</v>
      </c>
      <c r="F343" s="258" t="str">
        <f>[1]BASE!F346</f>
        <v>DAS 101.4</v>
      </c>
      <c r="G343" s="258" t="str">
        <f>[1]BASE!G346</f>
        <v xml:space="preserve"> </v>
      </c>
      <c r="H343" s="257" t="str">
        <f>[1]BASE!H346</f>
        <v>Escritório Rio de Janeiro/RJ</v>
      </c>
      <c r="I343" s="260" t="str">
        <f>[1]BASE!I346</f>
        <v>99.000.000</v>
      </c>
    </row>
    <row r="344" spans="1:9" x14ac:dyDescent="0.25">
      <c r="A344" s="257" t="str">
        <f>[1]BASE!A347</f>
        <v>MARCOS CARVALHO DE SANT'ANA</v>
      </c>
      <c r="B344" s="258">
        <f>[1]BASE!B347</f>
        <v>1459922</v>
      </c>
      <c r="C344" s="257" t="str">
        <f>[1]BASE!C347</f>
        <v>Especialista em Política Pública e Gestão Governamental</v>
      </c>
      <c r="D344" s="258" t="str">
        <f>[1]BASE!D347</f>
        <v>Exercício Descentralizado</v>
      </c>
      <c r="E344" s="257" t="str">
        <f>[1]BASE!E347</f>
        <v>ME - Ministério da Economia</v>
      </c>
      <c r="F344" s="258" t="str">
        <f>[1]BASE!F347</f>
        <v xml:space="preserve"> </v>
      </c>
      <c r="G344" s="258" t="str">
        <f>[1]BASE!G347</f>
        <v xml:space="preserve"> </v>
      </c>
      <c r="H344" s="257" t="str">
        <f>[1]BASE!H347</f>
        <v>SPG / DEPARTAMENTO DE BIOCOMBUSTÍVEIS - DBIO</v>
      </c>
      <c r="I344" s="260" t="str">
        <f>[1]BASE!I347</f>
        <v>11.104.000</v>
      </c>
    </row>
    <row r="345" spans="1:9" x14ac:dyDescent="0.25">
      <c r="A345" s="257" t="str">
        <f>[1]BASE!A348</f>
        <v>MARCOS JOSE ANTONIO PINHEIRO</v>
      </c>
      <c r="B345" s="258">
        <f>[1]BASE!B348</f>
        <v>1331372</v>
      </c>
      <c r="C345" s="257" t="str">
        <f>[1]BASE!C348</f>
        <v>Sem Cargo/Emprego</v>
      </c>
      <c r="D345" s="258" t="str">
        <f>[1]BASE!D348</f>
        <v>Sem Vínculo</v>
      </c>
      <c r="E345" s="257" t="str">
        <f>[1]BASE!E348</f>
        <v>Sem Vínculo</v>
      </c>
      <c r="F345" s="258" t="str">
        <f>[1]BASE!F348</f>
        <v>DAS 102.2</v>
      </c>
      <c r="G345" s="258" t="str">
        <f>[1]BASE!G348</f>
        <v xml:space="preserve"> </v>
      </c>
      <c r="H345" s="257" t="str">
        <f>[1]BASE!H348</f>
        <v>SEE / CHEFIA DE GABINETE SEE</v>
      </c>
      <c r="I345" s="260" t="str">
        <f>[1]BASE!I348</f>
        <v>12.100.000</v>
      </c>
    </row>
    <row r="346" spans="1:9" x14ac:dyDescent="0.25">
      <c r="A346" s="257" t="str">
        <f>[1]BASE!A349</f>
        <v>MARCUS VINICIUS DINIZ ARAUJO</v>
      </c>
      <c r="B346" s="258">
        <f>[1]BASE!B349</f>
        <v>1314231</v>
      </c>
      <c r="C346" s="257" t="str">
        <f>[1]BASE!C349</f>
        <v>Programador</v>
      </c>
      <c r="D346" s="258" t="str">
        <f>[1]BASE!D349</f>
        <v>Ativo Permanente</v>
      </c>
      <c r="E346" s="257" t="str">
        <f>[1]BASE!E349</f>
        <v>MME - Ministério de Minas e Energia</v>
      </c>
      <c r="F346" s="258" t="str">
        <f>[1]BASE!F349</f>
        <v>FGR 1</v>
      </c>
      <c r="G346" s="258" t="str">
        <f>[1]BASE!G349</f>
        <v xml:space="preserve"> </v>
      </c>
      <c r="H346" s="257" t="str">
        <f>[1]BASE!H349</f>
        <v>SE / SPOA / COORDENAÇÃO GERAL DE RECURSOS HUMANOS - CGRH</v>
      </c>
      <c r="I346" s="260" t="str">
        <f>[1]BASE!I349</f>
        <v>8.105.200</v>
      </c>
    </row>
    <row r="347" spans="1:9" x14ac:dyDescent="0.25">
      <c r="A347" s="257" t="str">
        <f>[1]BASE!A350</f>
        <v>MARGARETE MAGALHAES</v>
      </c>
      <c r="B347" s="258">
        <f>[1]BASE!B350</f>
        <v>2094478</v>
      </c>
      <c r="C347" s="257" t="str">
        <f>[1]BASE!C350</f>
        <v>Técnico em Assuntos Educacionais</v>
      </c>
      <c r="D347" s="258" t="str">
        <f>[1]BASE!D350</f>
        <v>Requisitado de Órgãos</v>
      </c>
      <c r="E347" s="257" t="str">
        <f>[1]BASE!E350</f>
        <v>MEC - Ministério da Educação</v>
      </c>
      <c r="F347" s="258" t="str">
        <f>[1]BASE!F350</f>
        <v xml:space="preserve"> </v>
      </c>
      <c r="G347" s="258" t="str">
        <f>[1]BASE!G350</f>
        <v>GSISTE Superior</v>
      </c>
      <c r="H347" s="257" t="str">
        <f>[1]BASE!H350</f>
        <v>SE / SPOA / CGRH / COORDENAÇÃO DE DESENVOLVIMENTO E SEGURIDADE SOCIAL - CODES</v>
      </c>
      <c r="I347" s="260" t="str">
        <f>[1]BASE!I350</f>
        <v>8.105.220</v>
      </c>
    </row>
    <row r="348" spans="1:9" x14ac:dyDescent="0.25">
      <c r="A348" s="257" t="str">
        <f>[1]BASE!A351</f>
        <v>MARGARIDA SILVA OLIVEIRA DE FIGUEREDO</v>
      </c>
      <c r="B348" s="258">
        <f>[1]BASE!B351</f>
        <v>455332</v>
      </c>
      <c r="C348" s="257" t="str">
        <f>[1]BASE!C351</f>
        <v>Agente Administrativo</v>
      </c>
      <c r="D348" s="258" t="str">
        <f>[1]BASE!D351</f>
        <v>Ativo Permanente</v>
      </c>
      <c r="E348" s="257" t="str">
        <f>[1]BASE!E351</f>
        <v>MME - Ministério de Minas e Energia</v>
      </c>
      <c r="F348" s="258" t="str">
        <f>[1]BASE!F351</f>
        <v>FGR 1</v>
      </c>
      <c r="G348" s="258" t="str">
        <f>[1]BASE!G351</f>
        <v xml:space="preserve"> </v>
      </c>
      <c r="H348" s="257" t="str">
        <f>[1]BASE!H351</f>
        <v>SE / SPOA / CGRH / COORDENAÇÃO DE ADMINISTRAÇÃO DE PESSOAL - CAPES</v>
      </c>
      <c r="I348" s="260" t="str">
        <f>[1]BASE!I351</f>
        <v>8.105.210</v>
      </c>
    </row>
    <row r="349" spans="1:9" x14ac:dyDescent="0.25">
      <c r="A349" s="257" t="str">
        <f>[1]BASE!A352</f>
        <v>MARIA ALDAIR VITORIANO PINHEIRO</v>
      </c>
      <c r="B349" s="258">
        <f>[1]BASE!B352</f>
        <v>455364</v>
      </c>
      <c r="C349" s="257" t="str">
        <f>[1]BASE!C352</f>
        <v>Agente de Portaria</v>
      </c>
      <c r="D349" s="258" t="str">
        <f>[1]BASE!D352</f>
        <v>Ativo Permanente</v>
      </c>
      <c r="E349" s="257" t="str">
        <f>[1]BASE!E352</f>
        <v>MME - Ministério de Minas e Energia</v>
      </c>
      <c r="F349" s="258" t="str">
        <f>[1]BASE!F352</f>
        <v>FCT 10</v>
      </c>
      <c r="G349" s="258" t="str">
        <f>[1]BASE!G352</f>
        <v xml:space="preserve"> </v>
      </c>
      <c r="H349" s="257" t="str">
        <f>[1]BASE!H352</f>
        <v>SPE / CHEFIA DE GABINETE SPE</v>
      </c>
      <c r="I349" s="260" t="str">
        <f>[1]BASE!I352</f>
        <v>10.100.000</v>
      </c>
    </row>
    <row r="350" spans="1:9" x14ac:dyDescent="0.25">
      <c r="A350" s="257" t="str">
        <f>[1]BASE!A353</f>
        <v>MARIA BARBARA BERNARDES CABRAL</v>
      </c>
      <c r="B350" s="258">
        <f>[1]BASE!B353</f>
        <v>1163587</v>
      </c>
      <c r="C350" s="257" t="str">
        <f>[1]BASE!C353</f>
        <v>Datilógrafo</v>
      </c>
      <c r="D350" s="258" t="str">
        <f>[1]BASE!D353</f>
        <v>Ativo Permanente</v>
      </c>
      <c r="E350" s="257" t="str">
        <f>[1]BASE!E353</f>
        <v>MME - Ministério de Minas e Energia</v>
      </c>
      <c r="F350" s="258" t="str">
        <f>[1]BASE!F353</f>
        <v>FGR 1</v>
      </c>
      <c r="G350" s="258" t="str">
        <f>[1]BASE!G353</f>
        <v xml:space="preserve"> </v>
      </c>
      <c r="H350" s="257" t="str">
        <f>[1]BASE!H353</f>
        <v>SE / SPOA / CGRL / COORDENAÇÃO DE ATIVIDADES GERAIS - COAGE</v>
      </c>
      <c r="I350" s="260" t="str">
        <f>[1]BASE!I353</f>
        <v>8.105.120</v>
      </c>
    </row>
    <row r="351" spans="1:9" x14ac:dyDescent="0.25">
      <c r="A351" s="257" t="str">
        <f>[1]BASE!A354</f>
        <v>MARIA CEICILENE ARAGAO MARTINS</v>
      </c>
      <c r="B351" s="258">
        <f>[1]BASE!B354</f>
        <v>1439058</v>
      </c>
      <c r="C351" s="257" t="str">
        <f>[1]BASE!C354</f>
        <v>Analista de Infraestrutura</v>
      </c>
      <c r="D351" s="258" t="str">
        <f>[1]BASE!D354</f>
        <v>Requisitado de Órgãos</v>
      </c>
      <c r="E351" s="257" t="str">
        <f>[1]BASE!E354</f>
        <v>ME - Ministério da Economia</v>
      </c>
      <c r="F351" s="258" t="str">
        <f>[1]BASE!F354</f>
        <v>DAS 101.5</v>
      </c>
      <c r="G351" s="258" t="str">
        <f>[1]BASE!G354</f>
        <v xml:space="preserve"> </v>
      </c>
      <c r="H351" s="257" t="str">
        <f>[1]BASE!H354</f>
        <v>SE / ASSESSORIA ESPECIAL DE MEIO AMBIENTE - AESA</v>
      </c>
      <c r="I351" s="260" t="str">
        <f>[1]BASE!I354</f>
        <v>8.104.000</v>
      </c>
    </row>
    <row r="352" spans="1:9" x14ac:dyDescent="0.25">
      <c r="A352" s="257" t="str">
        <f>[1]BASE!A355</f>
        <v>MARIA DE FATIMA FERREIRA DOS SANTOS</v>
      </c>
      <c r="B352" s="258">
        <f>[1]BASE!B355</f>
        <v>745313</v>
      </c>
      <c r="C352" s="257" t="str">
        <f>[1]BASE!C355</f>
        <v>Auxiliar de Enfermagem</v>
      </c>
      <c r="D352" s="258" t="str">
        <f>[1]BASE!D355</f>
        <v>Ativo Permanente</v>
      </c>
      <c r="E352" s="257" t="str">
        <f>[1]BASE!E355</f>
        <v>MME - Ministério de Minas e Energia</v>
      </c>
      <c r="F352" s="258" t="str">
        <f>[1]BASE!F355</f>
        <v>FGR 1</v>
      </c>
      <c r="G352" s="258" t="str">
        <f>[1]BASE!G355</f>
        <v xml:space="preserve"> </v>
      </c>
      <c r="H352" s="257" t="str">
        <f>[1]BASE!H355</f>
        <v>SE / SPOA / CGRH / COORDENAÇÃO DE DESENVOLVIMENTO E SEGURIDADE SOCIAL - CODES</v>
      </c>
      <c r="I352" s="260" t="str">
        <f>[1]BASE!I355</f>
        <v>8.105.220</v>
      </c>
    </row>
    <row r="353" spans="1:9" x14ac:dyDescent="0.25">
      <c r="A353" s="257" t="str">
        <f>[1]BASE!A356</f>
        <v>MARIA DE FATIMA GOMES DE MELO FREITAS</v>
      </c>
      <c r="B353" s="258">
        <f>[1]BASE!B356</f>
        <v>1677270</v>
      </c>
      <c r="C353" s="257" t="str">
        <f>[1]BASE!C356</f>
        <v>Auxiliar de Biblioteca</v>
      </c>
      <c r="D353" s="258" t="str">
        <f>[1]BASE!D356</f>
        <v>Anistiado MME</v>
      </c>
      <c r="E353" s="257" t="str">
        <f>[1]BASE!E356</f>
        <v>MME - Ministério de Minas e Energia</v>
      </c>
      <c r="F353" s="258" t="str">
        <f>[1]BASE!F356</f>
        <v xml:space="preserve"> </v>
      </c>
      <c r="G353" s="258" t="str">
        <f>[1]BASE!G356</f>
        <v xml:space="preserve"> </v>
      </c>
      <c r="H353" s="257" t="str">
        <f>[1]BASE!H356</f>
        <v>Aguardando Lotação/Exercício</v>
      </c>
      <c r="I353" s="260" t="str">
        <f>[1]BASE!I356</f>
        <v>88.000.000</v>
      </c>
    </row>
    <row r="354" spans="1:9" x14ac:dyDescent="0.25">
      <c r="A354" s="257" t="str">
        <f>[1]BASE!A357</f>
        <v>MARIA DE FATIMA SILVA FRANCO</v>
      </c>
      <c r="B354" s="258">
        <f>[1]BASE!B357</f>
        <v>2190334</v>
      </c>
      <c r="C354" s="257" t="str">
        <f>[1]BASE!C357</f>
        <v>Sem Cargo/Emprego</v>
      </c>
      <c r="D354" s="258" t="str">
        <f>[1]BASE!D357</f>
        <v>Sem Vínculo</v>
      </c>
      <c r="E354" s="257" t="str">
        <f>[1]BASE!E357</f>
        <v>Sem Vínculo</v>
      </c>
      <c r="F354" s="258" t="str">
        <f>[1]BASE!F357</f>
        <v>DAS 102.1</v>
      </c>
      <c r="G354" s="258" t="str">
        <f>[1]BASE!G357</f>
        <v xml:space="preserve"> </v>
      </c>
      <c r="H354" s="257" t="str">
        <f>[1]BASE!H357</f>
        <v>GM / ASSESSORIA PARLAMENTAR - ASPAR</v>
      </c>
      <c r="I354" s="260" t="str">
        <f>[1]BASE!I357</f>
        <v>2.100.200</v>
      </c>
    </row>
    <row r="355" spans="1:9" x14ac:dyDescent="0.25">
      <c r="A355" s="257" t="str">
        <f>[1]BASE!A358</f>
        <v>MARIA DO SOCORRO DE SOUZA</v>
      </c>
      <c r="B355" s="258">
        <f>[1]BASE!B358</f>
        <v>452028</v>
      </c>
      <c r="C355" s="257" t="str">
        <f>[1]BASE!C358</f>
        <v>Agente Administrativo</v>
      </c>
      <c r="D355" s="258" t="str">
        <f>[1]BASE!D358</f>
        <v>Ativo Permanente</v>
      </c>
      <c r="E355" s="257" t="str">
        <f>[1]BASE!E358</f>
        <v>MME - Ministério de Minas e Energia</v>
      </c>
      <c r="F355" s="258" t="str">
        <f>[1]BASE!F358</f>
        <v>FGR 1</v>
      </c>
      <c r="G355" s="258" t="str">
        <f>[1]BASE!G358</f>
        <v xml:space="preserve"> </v>
      </c>
      <c r="H355" s="257" t="str">
        <f>[1]BASE!H358</f>
        <v>SE / SPOA / CGRH / COORDENAÇÃO DE DESENVOLVIMENTO E SEGURIDADE SOCIAL - CODES</v>
      </c>
      <c r="I355" s="260" t="str">
        <f>[1]BASE!I358</f>
        <v>8.105.220</v>
      </c>
    </row>
    <row r="356" spans="1:9" x14ac:dyDescent="0.25">
      <c r="A356" s="257" t="str">
        <f>[1]BASE!A359</f>
        <v>MARIA DOMETILIA DE SOUZA</v>
      </c>
      <c r="B356" s="258">
        <f>[1]BASE!B359</f>
        <v>451633</v>
      </c>
      <c r="C356" s="257" t="str">
        <f>[1]BASE!C359</f>
        <v>Agente Administrativo</v>
      </c>
      <c r="D356" s="258" t="str">
        <f>[1]BASE!D359</f>
        <v>Ativo Permanente</v>
      </c>
      <c r="E356" s="257" t="str">
        <f>[1]BASE!E359</f>
        <v>MME - Ministério de Minas e Energia</v>
      </c>
      <c r="F356" s="258" t="str">
        <f>[1]BASE!F359</f>
        <v>FGR 1</v>
      </c>
      <c r="G356" s="258" t="str">
        <f>[1]BASE!G359</f>
        <v xml:space="preserve"> </v>
      </c>
      <c r="H356" s="257" t="str">
        <f>[1]BASE!H359</f>
        <v>SGM / DEPARTAMENTO DE GEOLOGIA E PRODUÇÃO MINERAL - DGPM</v>
      </c>
      <c r="I356" s="260" t="str">
        <f>[1]BASE!I359</f>
        <v>9.102.000</v>
      </c>
    </row>
    <row r="357" spans="1:9" x14ac:dyDescent="0.25">
      <c r="A357" s="257" t="str">
        <f>[1]BASE!A360</f>
        <v>MARIA GRIGORIA DE MEDEIROS NETA</v>
      </c>
      <c r="B357" s="258">
        <f>[1]BASE!B360</f>
        <v>7451480</v>
      </c>
      <c r="C357" s="257" t="str">
        <f>[1]BASE!C360</f>
        <v>Sem Cargo/Emprego</v>
      </c>
      <c r="D357" s="258" t="str">
        <f>[1]BASE!D360</f>
        <v>Sem Vínculo</v>
      </c>
      <c r="E357" s="257" t="str">
        <f>[1]BASE!E360</f>
        <v>Sem Vínculo</v>
      </c>
      <c r="F357" s="258" t="str">
        <f>[1]BASE!F360</f>
        <v>DAS 101.1</v>
      </c>
      <c r="G357" s="258" t="str">
        <f>[1]BASE!G360</f>
        <v xml:space="preserve"> </v>
      </c>
      <c r="H357" s="257" t="str">
        <f>[1]BASE!H360</f>
        <v>SE / SPOA / CGRL / COORDENAÇÃO DE ADMINISTRAÇÃO DE MATERIAL E EXECUÇÃO FINANCEIRA - COMEF</v>
      </c>
      <c r="I357" s="260" t="str">
        <f>[1]BASE!I360</f>
        <v>8.105.110</v>
      </c>
    </row>
    <row r="358" spans="1:9" x14ac:dyDescent="0.25">
      <c r="A358" s="257" t="str">
        <f>[1]BASE!A361</f>
        <v>MARIA JOSE COSTA OLIVEIRA</v>
      </c>
      <c r="B358" s="258">
        <f>[1]BASE!B361</f>
        <v>1957235</v>
      </c>
      <c r="C358" s="257" t="str">
        <f>[1]BASE!C361</f>
        <v>Sem Cargo/Emprego</v>
      </c>
      <c r="D358" s="258" t="str">
        <f>[1]BASE!D361</f>
        <v>Sem Vínculo</v>
      </c>
      <c r="E358" s="257" t="str">
        <f>[1]BASE!E361</f>
        <v>Sem Vínculo</v>
      </c>
      <c r="F358" s="258" t="str">
        <f>[1]BASE!F361</f>
        <v>DAS 102.1</v>
      </c>
      <c r="G358" s="258" t="str">
        <f>[1]BASE!G361</f>
        <v xml:space="preserve"> </v>
      </c>
      <c r="H358" s="257" t="str">
        <f>[1]BASE!H361</f>
        <v>SE / ASSESSORIA ESPECIAL DE MEIO AMBIENTE - AESA</v>
      </c>
      <c r="I358" s="260" t="str">
        <f>[1]BASE!I361</f>
        <v>8.104.000</v>
      </c>
    </row>
    <row r="359" spans="1:9" x14ac:dyDescent="0.25">
      <c r="A359" s="257" t="str">
        <f>[1]BASE!A362</f>
        <v>MARIA JOSE SOARES MENON</v>
      </c>
      <c r="B359" s="258">
        <f>[1]BASE!B362</f>
        <v>1719638</v>
      </c>
      <c r="C359" s="257" t="str">
        <f>[1]BASE!C362</f>
        <v>Analista Técnico Administrativo</v>
      </c>
      <c r="D359" s="258" t="str">
        <f>[1]BASE!D362</f>
        <v>Requisitado de Órgãos</v>
      </c>
      <c r="E359" s="257" t="str">
        <f>[1]BASE!E362</f>
        <v>MDR - Ministério do Desenvolvimento Regional</v>
      </c>
      <c r="F359" s="258" t="str">
        <f>[1]BASE!F362</f>
        <v xml:space="preserve"> </v>
      </c>
      <c r="G359" s="258" t="str">
        <f>[1]BASE!G362</f>
        <v>GSISTE Superior</v>
      </c>
      <c r="H359" s="257" t="str">
        <f>[1]BASE!H362</f>
        <v>SE / SPOA / CGCC / COORDENAÇÃO DE LICITAÇÕES E COMPRA - CLC</v>
      </c>
      <c r="I359" s="260" t="str">
        <f>[1]BASE!I362</f>
        <v>8.105.420</v>
      </c>
    </row>
    <row r="360" spans="1:9" x14ac:dyDescent="0.25">
      <c r="A360" s="257" t="str">
        <f>[1]BASE!A363</f>
        <v>MARIA LAURA ROCHA DOS SANTOS MACIEL</v>
      </c>
      <c r="B360" s="258">
        <f>[1]BASE!B363</f>
        <v>161307</v>
      </c>
      <c r="C360" s="257" t="str">
        <f>[1]BASE!C363</f>
        <v>Administrador</v>
      </c>
      <c r="D360" s="258" t="str">
        <f>[1]BASE!D363</f>
        <v>Ativo Permanente</v>
      </c>
      <c r="E360" s="257" t="str">
        <f>[1]BASE!E363</f>
        <v>MME - Ministério de Minas e Energia</v>
      </c>
      <c r="F360" s="258" t="str">
        <f>[1]BASE!F363</f>
        <v xml:space="preserve"> </v>
      </c>
      <c r="G360" s="258" t="str">
        <f>[1]BASE!G363</f>
        <v xml:space="preserve"> </v>
      </c>
      <c r="H360" s="257" t="str">
        <f>[1]BASE!H363</f>
        <v>SPG / CHEFIA DE GABINETE SPG</v>
      </c>
      <c r="I360" s="260" t="str">
        <f>[1]BASE!I363</f>
        <v>11.100.000</v>
      </c>
    </row>
    <row r="361" spans="1:9" x14ac:dyDescent="0.25">
      <c r="A361" s="257" t="str">
        <f>[1]BASE!A364</f>
        <v>MARIA LEILA FERREIRA BANDEIRA</v>
      </c>
      <c r="B361" s="258">
        <f>[1]BASE!B364</f>
        <v>810063</v>
      </c>
      <c r="C361" s="257" t="str">
        <f>[1]BASE!C364</f>
        <v>Agente de Portaria</v>
      </c>
      <c r="D361" s="258" t="str">
        <f>[1]BASE!D364</f>
        <v>Ativo Permanente</v>
      </c>
      <c r="E361" s="257" t="str">
        <f>[1]BASE!E364</f>
        <v>MME - Ministério de Minas e Energia</v>
      </c>
      <c r="F361" s="258" t="str">
        <f>[1]BASE!F364</f>
        <v>FGR 1</v>
      </c>
      <c r="G361" s="258" t="str">
        <f>[1]BASE!G364</f>
        <v xml:space="preserve"> </v>
      </c>
      <c r="H361" s="257" t="str">
        <f>[1]BASE!H364</f>
        <v>SE / SPOA / CGRH / COORDENAÇÃO DE DESENVOLVIMENTO E SEGURIDADE SOCIAL - CODES</v>
      </c>
      <c r="I361" s="260" t="str">
        <f>[1]BASE!I364</f>
        <v>8.105.220</v>
      </c>
    </row>
    <row r="362" spans="1:9" x14ac:dyDescent="0.25">
      <c r="A362" s="257" t="str">
        <f>[1]BASE!A365</f>
        <v>MARIA RITA SILVA FONTES FARIA</v>
      </c>
      <c r="B362" s="258">
        <f>[1]BASE!B365</f>
        <v>1204551</v>
      </c>
      <c r="C362" s="257" t="str">
        <f>[1]BASE!C365</f>
        <v>Ministro de Segunda Classe</v>
      </c>
      <c r="D362" s="258" t="str">
        <f>[1]BASE!D365</f>
        <v>Requisitado de Órgãos</v>
      </c>
      <c r="E362" s="257" t="str">
        <f>[1]BASE!E365</f>
        <v>MRE - Ministério das Relações Exteriores</v>
      </c>
      <c r="F362" s="258" t="str">
        <f>[1]BASE!F365</f>
        <v>FCPE 101.4</v>
      </c>
      <c r="G362" s="258" t="str">
        <f>[1]BASE!G365</f>
        <v xml:space="preserve"> </v>
      </c>
      <c r="H362" s="257" t="str">
        <f>[1]BASE!H365</f>
        <v>SGM / DDM / COORDENAÇÃO GERAL DE MINERAÇÃO EM ÁREAS DE CONSERVAÇÃO E CONFLITO</v>
      </c>
      <c r="I362" s="260" t="str">
        <f>[1]BASE!I365</f>
        <v>9.104.200</v>
      </c>
    </row>
    <row r="363" spans="1:9" x14ac:dyDescent="0.25">
      <c r="A363" s="257" t="str">
        <f>[1]BASE!A366</f>
        <v>MARIA SELMI ALVES DA SILVA</v>
      </c>
      <c r="B363" s="258">
        <f>[1]BASE!B366</f>
        <v>2498510</v>
      </c>
      <c r="C363" s="257" t="str">
        <f>[1]BASE!C366</f>
        <v>Digitador I</v>
      </c>
      <c r="D363" s="258" t="str">
        <f>[1]BASE!D366</f>
        <v>Anistiado MME</v>
      </c>
      <c r="E363" s="257" t="str">
        <f>[1]BASE!E366</f>
        <v>MME - Ministério de Minas e Energia</v>
      </c>
      <c r="F363" s="258" t="str">
        <f>[1]BASE!F366</f>
        <v>DAS 102.1</v>
      </c>
      <c r="G363" s="258" t="str">
        <f>[1]BASE!G366</f>
        <v xml:space="preserve"> </v>
      </c>
      <c r="H363" s="257" t="str">
        <f>[1]BASE!H366</f>
        <v>SE / SPOA / CGRL / COORDENAÇÃO DE ATIVIDADES GERAIS - COAGE</v>
      </c>
      <c r="I363" s="260" t="str">
        <f>[1]BASE!I366</f>
        <v>8.105.120</v>
      </c>
    </row>
    <row r="364" spans="1:9" x14ac:dyDescent="0.25">
      <c r="A364" s="257" t="str">
        <f>[1]BASE!A367</f>
        <v>MARIANA CLARA DE FREITAS FONTINELI</v>
      </c>
      <c r="B364" s="258">
        <f>[1]BASE!B367</f>
        <v>5663628</v>
      </c>
      <c r="C364" s="257" t="str">
        <f>[1]BASE!C367</f>
        <v>Analista de Infraestrutura</v>
      </c>
      <c r="D364" s="258" t="str">
        <f>[1]BASE!D367</f>
        <v>Exercício Descentralizado</v>
      </c>
      <c r="E364" s="257" t="str">
        <f>[1]BASE!E367</f>
        <v>ME - Ministério da Economia</v>
      </c>
      <c r="F364" s="258" t="str">
        <f>[1]BASE!F367</f>
        <v>FCPE 102.2</v>
      </c>
      <c r="G364" s="258" t="str">
        <f>[1]BASE!G367</f>
        <v xml:space="preserve"> </v>
      </c>
      <c r="H364" s="257" t="str">
        <f>[1]BASE!H367</f>
        <v>SGM / DEPARTAMENTO DE TRANSFORMAÇÃO E TECNOLOGIA MINERAL - DTTM</v>
      </c>
      <c r="I364" s="260" t="str">
        <f>[1]BASE!I367</f>
        <v>9.103.000</v>
      </c>
    </row>
    <row r="365" spans="1:9" x14ac:dyDescent="0.25">
      <c r="A365" s="257" t="str">
        <f>[1]BASE!A368</f>
        <v>MARIANO PINTO DE SOUSA FILHO</v>
      </c>
      <c r="B365" s="258">
        <f>[1]BASE!B368</f>
        <v>451482</v>
      </c>
      <c r="C365" s="257" t="str">
        <f>[1]BASE!C368</f>
        <v>Agente Administrativo</v>
      </c>
      <c r="D365" s="258" t="str">
        <f>[1]BASE!D368</f>
        <v>Ativo Permanente</v>
      </c>
      <c r="E365" s="257" t="str">
        <f>[1]BASE!E368</f>
        <v>MME - Ministério de Minas e Energia</v>
      </c>
      <c r="F365" s="258" t="str">
        <f>[1]BASE!F368</f>
        <v>FCT 11</v>
      </c>
      <c r="G365" s="258" t="str">
        <f>[1]BASE!G368</f>
        <v xml:space="preserve"> </v>
      </c>
      <c r="H365" s="257" t="str">
        <f>[1]BASE!H368</f>
        <v>SPE / CHEFIA DE GABINETE SPE</v>
      </c>
      <c r="I365" s="260" t="str">
        <f>[1]BASE!I368</f>
        <v>10.100.000</v>
      </c>
    </row>
    <row r="366" spans="1:9" x14ac:dyDescent="0.25">
      <c r="A366" s="257" t="str">
        <f>[1]BASE!A369</f>
        <v>MARILUZIA RODRIGUES NOGUEIRA</v>
      </c>
      <c r="B366" s="258">
        <f>[1]BASE!B369</f>
        <v>452071</v>
      </c>
      <c r="C366" s="257" t="str">
        <f>[1]BASE!C369</f>
        <v>Agente Administrativo</v>
      </c>
      <c r="D366" s="258" t="str">
        <f>[1]BASE!D369</f>
        <v>Ativo Permanente</v>
      </c>
      <c r="E366" s="257" t="str">
        <f>[1]BASE!E369</f>
        <v>MME - Ministério de Minas e Energia</v>
      </c>
      <c r="F366" s="258" t="str">
        <f>[1]BASE!F369</f>
        <v>FCPE 102.2</v>
      </c>
      <c r="G366" s="258" t="str">
        <f>[1]BASE!G369</f>
        <v xml:space="preserve"> </v>
      </c>
      <c r="H366" s="257" t="str">
        <f>[1]BASE!H369</f>
        <v>ASSESSORIA ESPECIAL DE ASSUNTOS ECONÔMICOS - ASSEC</v>
      </c>
      <c r="I366" s="260" t="str">
        <f>[1]BASE!I369</f>
        <v>6.000.000</v>
      </c>
    </row>
    <row r="367" spans="1:9" x14ac:dyDescent="0.25">
      <c r="A367" s="257" t="str">
        <f>[1]BASE!A370</f>
        <v>MARISA MAIA DE BARROS</v>
      </c>
      <c r="B367" s="258">
        <f>[1]BASE!B370</f>
        <v>1678444</v>
      </c>
      <c r="C367" s="257" t="str">
        <f>[1]BASE!C370</f>
        <v>Analista de Pesquisa Energética</v>
      </c>
      <c r="D367" s="258" t="str">
        <f>[1]BASE!D370</f>
        <v>Requisitado de Órgãos</v>
      </c>
      <c r="E367" s="257" t="str">
        <f>[1]BASE!E370</f>
        <v>EPE - Empresa de Pesquisa Energética</v>
      </c>
      <c r="F367" s="258" t="str">
        <f>[1]BASE!F370</f>
        <v>DAS 101.5</v>
      </c>
      <c r="G367" s="258" t="str">
        <f>[1]BASE!G370</f>
        <v xml:space="preserve"> </v>
      </c>
      <c r="H367" s="257" t="str">
        <f>[1]BASE!H370</f>
        <v>SPG / DEPARTAMENTO DE COMBUSTÍVEIS DERIVADOS DE PETRÓLEOS - DCDP</v>
      </c>
      <c r="I367" s="260" t="str">
        <f>[1]BASE!I370</f>
        <v>11.103.000</v>
      </c>
    </row>
    <row r="368" spans="1:9" x14ac:dyDescent="0.25">
      <c r="A368" s="257" t="str">
        <f>[1]BASE!A371</f>
        <v>MARISETE FATIMA DADALD PEREIRA</v>
      </c>
      <c r="B368" s="258">
        <f>[1]BASE!B371</f>
        <v>2506337</v>
      </c>
      <c r="C368" s="257" t="str">
        <f>[1]BASE!C371</f>
        <v>Secretário Executivo</v>
      </c>
      <c r="D368" s="258" t="str">
        <f>[1]BASE!D371</f>
        <v>Sem Vínculo</v>
      </c>
      <c r="E368" s="257" t="str">
        <f>[1]BASE!E371</f>
        <v>Sem Vínculo</v>
      </c>
      <c r="F368" s="258" t="str">
        <f>[1]BASE!F371</f>
        <v>NES NES</v>
      </c>
      <c r="G368" s="258" t="str">
        <f>[1]BASE!G371</f>
        <v xml:space="preserve"> </v>
      </c>
      <c r="H368" s="257" t="str">
        <f>[1]BASE!H371</f>
        <v>SECRETARIA EXECUTIVA - SE</v>
      </c>
      <c r="I368" s="260" t="str">
        <f>[1]BASE!I371</f>
        <v>8.000.000</v>
      </c>
    </row>
    <row r="369" spans="1:9" x14ac:dyDescent="0.25">
      <c r="A369" s="257" t="str">
        <f>[1]BASE!A372</f>
        <v>MARIZA FREIRE DE SOUZA</v>
      </c>
      <c r="B369" s="258">
        <f>[1]BASE!B372</f>
        <v>2479973</v>
      </c>
      <c r="C369" s="257" t="str">
        <f>[1]BASE!C372</f>
        <v>Sem Cargo/Emprego</v>
      </c>
      <c r="D369" s="258" t="str">
        <f>[1]BASE!D372</f>
        <v>Sem Vínculo</v>
      </c>
      <c r="E369" s="257" t="str">
        <f>[1]BASE!E372</f>
        <v>Sem Vínculo</v>
      </c>
      <c r="F369" s="258" t="str">
        <f>[1]BASE!F372</f>
        <v>DAS 102.3</v>
      </c>
      <c r="G369" s="258" t="str">
        <f>[1]BASE!G372</f>
        <v xml:space="preserve"> </v>
      </c>
      <c r="H369" s="257" t="str">
        <f>[1]BASE!H372</f>
        <v>SPE / DEPARTAMENTO DE DESENVOLVIMENTO ENERGÉTICO - DDE</v>
      </c>
      <c r="I369" s="260" t="str">
        <f>[1]BASE!I372</f>
        <v>10.102.000</v>
      </c>
    </row>
    <row r="370" spans="1:9" x14ac:dyDescent="0.25">
      <c r="A370" s="257" t="str">
        <f>[1]BASE!A373</f>
        <v>MARLIAN LEAO DE OLIVEIRA</v>
      </c>
      <c r="B370" s="258">
        <f>[1]BASE!B373</f>
        <v>2356963</v>
      </c>
      <c r="C370" s="257" t="str">
        <f>[1]BASE!C373</f>
        <v>Analista de Infraestrutura</v>
      </c>
      <c r="D370" s="258" t="str">
        <f>[1]BASE!D373</f>
        <v>Exercício Descentralizado</v>
      </c>
      <c r="E370" s="257" t="str">
        <f>[1]BASE!E373</f>
        <v>ME - Ministério da Economia</v>
      </c>
      <c r="F370" s="258" t="str">
        <f>[1]BASE!F373</f>
        <v>FGR 1</v>
      </c>
      <c r="G370" s="258" t="str">
        <f>[1]BASE!G373</f>
        <v xml:space="preserve"> </v>
      </c>
      <c r="H370" s="257" t="str">
        <f>[1]BASE!H373</f>
        <v>SEE / DMSE / COORDENAÇÃO GERAL DE MONITORAMENTO DO DESEMPENHO DO SISTEMA ELÉTRICO</v>
      </c>
      <c r="I370" s="260" t="str">
        <f>[1]BASE!I373</f>
        <v>12.102.400</v>
      </c>
    </row>
    <row r="371" spans="1:9" x14ac:dyDescent="0.25">
      <c r="A371" s="257" t="str">
        <f>[1]BASE!A374</f>
        <v>MARLON ARRAES JARDIM LEAL</v>
      </c>
      <c r="B371" s="258">
        <f>[1]BASE!B374</f>
        <v>2458981</v>
      </c>
      <c r="C371" s="257" t="str">
        <f>[1]BASE!C374</f>
        <v>Especialista em Política Pública e Gestão Governamental</v>
      </c>
      <c r="D371" s="258" t="str">
        <f>[1]BASE!D374</f>
        <v>Exercício Descentralizado</v>
      </c>
      <c r="E371" s="257" t="str">
        <f>[1]BASE!E374</f>
        <v>ME - Ministério da Economia</v>
      </c>
      <c r="F371" s="258" t="str">
        <f>[1]BASE!F374</f>
        <v>DAS 101.4</v>
      </c>
      <c r="G371" s="258" t="str">
        <f>[1]BASE!G374</f>
        <v xml:space="preserve"> </v>
      </c>
      <c r="H371" s="257" t="str">
        <f>[1]BASE!H374</f>
        <v>SPG / DBIO / COORDENAÇÃO GERAL DE ETANOL</v>
      </c>
      <c r="I371" s="260" t="str">
        <f>[1]BASE!I374</f>
        <v>11.104.200</v>
      </c>
    </row>
    <row r="372" spans="1:9" x14ac:dyDescent="0.25">
      <c r="A372" s="257" t="str">
        <f>[1]BASE!A375</f>
        <v>MARQUES DOS SANTOS</v>
      </c>
      <c r="B372" s="258">
        <f>[1]BASE!B375</f>
        <v>451554</v>
      </c>
      <c r="C372" s="257" t="str">
        <f>[1]BASE!C375</f>
        <v>Administrador</v>
      </c>
      <c r="D372" s="258" t="str">
        <f>[1]BASE!D375</f>
        <v>Ativo Permanente</v>
      </c>
      <c r="E372" s="257" t="str">
        <f>[1]BASE!E375</f>
        <v>MME - Ministério de Minas e Energia</v>
      </c>
      <c r="F372" s="258" t="str">
        <f>[1]BASE!F375</f>
        <v>FGR 1</v>
      </c>
      <c r="G372" s="258" t="str">
        <f>[1]BASE!G375</f>
        <v>GSISTE Superior</v>
      </c>
      <c r="H372" s="257" t="str">
        <f>[1]BASE!H375</f>
        <v>SE / SPOA / COORDENAÇÃO GERAL DE RECURSOS LOGÍSTICOS - CGRL</v>
      </c>
      <c r="I372" s="260" t="str">
        <f>[1]BASE!I375</f>
        <v>8.105.100</v>
      </c>
    </row>
    <row r="373" spans="1:9" x14ac:dyDescent="0.25">
      <c r="A373" s="257" t="str">
        <f>[1]BASE!A376</f>
        <v>MARY PACHECO DE SOUZA</v>
      </c>
      <c r="B373" s="258">
        <f>[1]BASE!B376</f>
        <v>1094199</v>
      </c>
      <c r="C373" s="257" t="str">
        <f>[1]BASE!C376</f>
        <v>Agente de Portaria</v>
      </c>
      <c r="D373" s="258" t="str">
        <f>[1]BASE!D376</f>
        <v>Ativo Permanente</v>
      </c>
      <c r="E373" s="257" t="str">
        <f>[1]BASE!E376</f>
        <v>MME - Ministério de Minas e Energia</v>
      </c>
      <c r="F373" s="258" t="str">
        <f>[1]BASE!F376</f>
        <v>FCPE 102.2</v>
      </c>
      <c r="G373" s="258" t="str">
        <f>[1]BASE!G376</f>
        <v xml:space="preserve"> </v>
      </c>
      <c r="H373" s="257" t="str">
        <f>[1]BASE!H376</f>
        <v>SPE / CHEFIA DE GABINETE SPE</v>
      </c>
      <c r="I373" s="260" t="str">
        <f>[1]BASE!I376</f>
        <v>10.100.000</v>
      </c>
    </row>
    <row r="374" spans="1:9" x14ac:dyDescent="0.25">
      <c r="A374" s="257" t="str">
        <f>[1]BASE!A377</f>
        <v>MAURICIO DE OLIVEIRA ABI CHAIN</v>
      </c>
      <c r="B374" s="258">
        <f>[1]BASE!B377</f>
        <v>1284089</v>
      </c>
      <c r="C374" s="257" t="str">
        <f>[1]BASE!C377</f>
        <v>Especialista em Política Pública e Gestão Governamental</v>
      </c>
      <c r="D374" s="258" t="str">
        <f>[1]BASE!D377</f>
        <v>Exercício Descentralizado</v>
      </c>
      <c r="E374" s="257" t="str">
        <f>[1]BASE!E377</f>
        <v>ME - Ministério da Economia</v>
      </c>
      <c r="F374" s="258" t="str">
        <f>[1]BASE!F377</f>
        <v>DAS 101.4</v>
      </c>
      <c r="G374" s="258" t="str">
        <f>[1]BASE!G377</f>
        <v xml:space="preserve"> </v>
      </c>
      <c r="H374" s="257" t="str">
        <f>[1]BASE!H377</f>
        <v>SPE / DOC / COORDENAÇÃO GERAL DE OUTORGAS DE SERVIÇOS DE TRANSMISSÃO E DISTRIBUIÇÃO DE ENERGIA</v>
      </c>
      <c r="I374" s="260" t="str">
        <f>[1]BASE!I377</f>
        <v>10.103.200</v>
      </c>
    </row>
    <row r="375" spans="1:9" x14ac:dyDescent="0.25">
      <c r="A375" s="257" t="str">
        <f>[1]BASE!A378</f>
        <v>MAURICIO PINHEIRO FLEURY CURADO</v>
      </c>
      <c r="B375" s="258">
        <f>[1]BASE!B378</f>
        <v>1238949</v>
      </c>
      <c r="C375" s="257" t="str">
        <f>[1]BASE!C378</f>
        <v>Especialista em Política Pública e Gestão Governamental</v>
      </c>
      <c r="D375" s="258" t="str">
        <f>[1]BASE!D378</f>
        <v>Requisitado de Órgãos</v>
      </c>
      <c r="E375" s="257" t="str">
        <f>[1]BASE!E378</f>
        <v>ME - Ministério da Economia</v>
      </c>
      <c r="F375" s="258" t="str">
        <f>[1]BASE!F378</f>
        <v>FCPE 101.4</v>
      </c>
      <c r="G375" s="258" t="str">
        <f>[1]BASE!G378</f>
        <v xml:space="preserve"> </v>
      </c>
      <c r="H375" s="257" t="str">
        <f>[1]BASE!H378</f>
        <v>SE / AEGP / COORDENAÇÃO GERAL DE GESTÃO DE PROJETOS - CGGP</v>
      </c>
      <c r="I375" s="260" t="str">
        <f>[1]BASE!I378</f>
        <v>8.103.200</v>
      </c>
    </row>
    <row r="376" spans="1:9" x14ac:dyDescent="0.25">
      <c r="A376" s="257" t="str">
        <f>[1]BASE!A379</f>
        <v>MAURILIO SILVERIO DE OLIVEIRA</v>
      </c>
      <c r="B376" s="258">
        <f>[1]BASE!B379</f>
        <v>1092785</v>
      </c>
      <c r="C376" s="257" t="str">
        <f>[1]BASE!C379</f>
        <v>Agente de Vigilância</v>
      </c>
      <c r="D376" s="258" t="str">
        <f>[1]BASE!D379</f>
        <v>Ativo Permanente</v>
      </c>
      <c r="E376" s="257" t="str">
        <f>[1]BASE!E379</f>
        <v>MME - Ministério de Minas e Energia</v>
      </c>
      <c r="F376" s="258" t="str">
        <f>[1]BASE!F379</f>
        <v>FGR 1</v>
      </c>
      <c r="G376" s="258" t="str">
        <f>[1]BASE!G379</f>
        <v xml:space="preserve"> </v>
      </c>
      <c r="H376" s="257" t="str">
        <f>[1]BASE!H379</f>
        <v>SE / SPOA / CGRL / COORDENAÇÃO DE ATIVIDADES GERAIS - COAGE</v>
      </c>
      <c r="I376" s="260" t="str">
        <f>[1]BASE!I379</f>
        <v>8.105.120</v>
      </c>
    </row>
    <row r="377" spans="1:9" x14ac:dyDescent="0.25">
      <c r="A377" s="257" t="str">
        <f>[1]BASE!A380</f>
        <v>MAURO HENRIQUE MOREIRA SOUSA</v>
      </c>
      <c r="B377" s="258">
        <f>[1]BASE!B380</f>
        <v>2512573</v>
      </c>
      <c r="C377" s="257" t="str">
        <f>[1]BASE!C380</f>
        <v>Advogado da União</v>
      </c>
      <c r="D377" s="258" t="str">
        <f>[1]BASE!D380</f>
        <v>Exercício Descentralizado</v>
      </c>
      <c r="E377" s="257" t="str">
        <f>[1]BASE!E380</f>
        <v>AGU - Advocacia Geral da União</v>
      </c>
      <c r="F377" s="258" t="str">
        <f>[1]BASE!F380</f>
        <v>DAS 102.4</v>
      </c>
      <c r="G377" s="258" t="str">
        <f>[1]BASE!G380</f>
        <v xml:space="preserve"> </v>
      </c>
      <c r="H377" s="257" t="str">
        <f>[1]BASE!H380</f>
        <v>CONJUR / COORDENAÇÃO GERAL DE ASSSUNTOS ADMINISTRATIVOS - CGAA</v>
      </c>
      <c r="I377" s="260" t="str">
        <f>[1]BASE!I380</f>
        <v>7.100.300</v>
      </c>
    </row>
    <row r="378" spans="1:9" x14ac:dyDescent="0.25">
      <c r="A378" s="257" t="str">
        <f>[1]BASE!A381</f>
        <v>MAYARA CARDOSO</v>
      </c>
      <c r="B378" s="258">
        <f>[1]BASE!B381</f>
        <v>4663250</v>
      </c>
      <c r="C378" s="257" t="str">
        <f>[1]BASE!C381</f>
        <v>Analista de Infraestrutura</v>
      </c>
      <c r="D378" s="258" t="str">
        <f>[1]BASE!D381</f>
        <v>Exercício Descentralizado</v>
      </c>
      <c r="E378" s="257" t="str">
        <f>[1]BASE!E381</f>
        <v>ME - Ministério da Economia</v>
      </c>
      <c r="F378" s="258" t="str">
        <f>[1]BASE!F381</f>
        <v xml:space="preserve"> </v>
      </c>
      <c r="G378" s="258" t="str">
        <f>[1]BASE!G381</f>
        <v xml:space="preserve"> </v>
      </c>
      <c r="H378" s="257" t="str">
        <f>[1]BASE!H381</f>
        <v>SE / AEGP / COORDENAÇÃO GERAL DE GESTÃO DE PROJETOS - CGGP</v>
      </c>
      <c r="I378" s="260" t="str">
        <f>[1]BASE!I381</f>
        <v>8.103.200</v>
      </c>
    </row>
    <row r="379" spans="1:9" x14ac:dyDescent="0.25">
      <c r="A379" s="257" t="str">
        <f>[1]BASE!A382</f>
        <v>MAYARA DA SILVA CERQUEIRA</v>
      </c>
      <c r="B379" s="258">
        <f>[1]BASE!B382</f>
        <v>1142990</v>
      </c>
      <c r="C379" s="257" t="str">
        <f>[1]BASE!C382</f>
        <v>Sem Cargo/Emprego</v>
      </c>
      <c r="D379" s="258" t="str">
        <f>[1]BASE!D382</f>
        <v>Sem Vínculo</v>
      </c>
      <c r="E379" s="257" t="str">
        <f>[1]BASE!E382</f>
        <v>Sem Vínculo</v>
      </c>
      <c r="F379" s="258" t="str">
        <f>[1]BASE!F382</f>
        <v>DAS 102.2</v>
      </c>
      <c r="G379" s="258" t="str">
        <f>[1]BASE!G382</f>
        <v xml:space="preserve"> </v>
      </c>
      <c r="H379" s="257" t="str">
        <f>[1]BASE!H382</f>
        <v>SPE / CHEFIA DE GABINETE SPE</v>
      </c>
      <c r="I379" s="260" t="str">
        <f>[1]BASE!I382</f>
        <v>10.100.000</v>
      </c>
    </row>
    <row r="380" spans="1:9" x14ac:dyDescent="0.25">
      <c r="A380" s="257" t="str">
        <f>[1]BASE!A383</f>
        <v>MESSIAS ROCHA DE LIRA</v>
      </c>
      <c r="B380" s="258">
        <f>[1]BASE!B383</f>
        <v>451617</v>
      </c>
      <c r="C380" s="257" t="str">
        <f>[1]BASE!C383</f>
        <v>Agente Administrativo</v>
      </c>
      <c r="D380" s="258" t="str">
        <f>[1]BASE!D383</f>
        <v>Ativo Permanente</v>
      </c>
      <c r="E380" s="257" t="str">
        <f>[1]BASE!E383</f>
        <v>MME - Ministério de Minas e Energia</v>
      </c>
      <c r="F380" s="258" t="str">
        <f>[1]BASE!F383</f>
        <v>FCT 5</v>
      </c>
      <c r="G380" s="258" t="str">
        <f>[1]BASE!G383</f>
        <v>GSISTE Intermediário</v>
      </c>
      <c r="H380" s="257" t="str">
        <f>[1]BASE!H383</f>
        <v>SE / SPOA / COORDENAÇÃO GERAL DE ORÇAMENTO E FINANÇAS - CGOF</v>
      </c>
      <c r="I380" s="260" t="str">
        <f>[1]BASE!I383</f>
        <v>8.105.500</v>
      </c>
    </row>
    <row r="381" spans="1:9" x14ac:dyDescent="0.25">
      <c r="A381" s="257" t="str">
        <f>[1]BASE!A384</f>
        <v>MIGUEL DOS SANTOS</v>
      </c>
      <c r="B381" s="258">
        <f>[1]BASE!B384</f>
        <v>452186</v>
      </c>
      <c r="C381" s="257" t="str">
        <f>[1]BASE!C384</f>
        <v>Agente de Vigilância</v>
      </c>
      <c r="D381" s="258" t="str">
        <f>[1]BASE!D384</f>
        <v>Ativo Permanente</v>
      </c>
      <c r="E381" s="257" t="str">
        <f>[1]BASE!E384</f>
        <v>MME - Ministério de Minas e Energia</v>
      </c>
      <c r="F381" s="258" t="str">
        <f>[1]BASE!F384</f>
        <v xml:space="preserve"> </v>
      </c>
      <c r="G381" s="258" t="str">
        <f>[1]BASE!G384</f>
        <v>GSISTE Intermediário</v>
      </c>
      <c r="H381" s="257" t="str">
        <f>[1]BASE!H384</f>
        <v>SE / SPOA / CGRL / COORDENAÇÃO DE ATIVIDADES GERAIS - COAGE</v>
      </c>
      <c r="I381" s="260" t="str">
        <f>[1]BASE!I384</f>
        <v>8.105.120</v>
      </c>
    </row>
    <row r="382" spans="1:9" x14ac:dyDescent="0.25">
      <c r="A382" s="257" t="str">
        <f>[1]BASE!A385</f>
        <v>MIGUEL JOAQUIM DA SILVA</v>
      </c>
      <c r="B382" s="258">
        <f>[1]BASE!B385</f>
        <v>452340</v>
      </c>
      <c r="C382" s="257" t="str">
        <f>[1]BASE!C385</f>
        <v>Agente de Portaria</v>
      </c>
      <c r="D382" s="258" t="str">
        <f>[1]BASE!D385</f>
        <v>Ativo Permanente</v>
      </c>
      <c r="E382" s="257" t="str">
        <f>[1]BASE!E385</f>
        <v>MME - Ministério de Minas e Energia</v>
      </c>
      <c r="F382" s="258" t="str">
        <f>[1]BASE!F385</f>
        <v>FCPE 101.2</v>
      </c>
      <c r="G382" s="258" t="str">
        <f>[1]BASE!G385</f>
        <v xml:space="preserve"> </v>
      </c>
      <c r="H382" s="257" t="str">
        <f>[1]BASE!H385</f>
        <v>SE / SPOA / CGRH / COORDENAÇÃO DE ADMINISTRAÇÃO DE PESSOAL - CAPES</v>
      </c>
      <c r="I382" s="260" t="str">
        <f>[1]BASE!I385</f>
        <v>8.105.210</v>
      </c>
    </row>
    <row r="383" spans="1:9" x14ac:dyDescent="0.25">
      <c r="A383" s="257" t="str">
        <f>[1]BASE!A386</f>
        <v>MILENA BARBOSA CARVALHEDO RIBEIRO</v>
      </c>
      <c r="B383" s="258">
        <f>[1]BASE!B386</f>
        <v>2133351</v>
      </c>
      <c r="C383" s="257" t="str">
        <f>[1]BASE!C386</f>
        <v>Sem Cargo/Emprego</v>
      </c>
      <c r="D383" s="258" t="str">
        <f>[1]BASE!D386</f>
        <v>Sem Vínculo</v>
      </c>
      <c r="E383" s="257" t="str">
        <f>[1]BASE!E386</f>
        <v>Sem Vínculo</v>
      </c>
      <c r="F383" s="258" t="str">
        <f>[1]BASE!F386</f>
        <v>DAS 102.1</v>
      </c>
      <c r="G383" s="258" t="str">
        <f>[1]BASE!G386</f>
        <v xml:space="preserve"> </v>
      </c>
      <c r="H383" s="257" t="str">
        <f>[1]BASE!H386</f>
        <v>GM / ASSESSORIA DE APOIO AO MINISTRO - AAM</v>
      </c>
      <c r="I383" s="260" t="str">
        <f>[1]BASE!I386</f>
        <v>2.100.400</v>
      </c>
    </row>
    <row r="384" spans="1:9" x14ac:dyDescent="0.25">
      <c r="A384" s="257" t="str">
        <f>[1]BASE!A387</f>
        <v>MIRIA CRISTINA BERNARDES DE SOUSA</v>
      </c>
      <c r="B384" s="258">
        <f>[1]BASE!B387</f>
        <v>1687676</v>
      </c>
      <c r="C384" s="257" t="str">
        <f>[1]BASE!C387</f>
        <v>Secretária do Diretor</v>
      </c>
      <c r="D384" s="258" t="str">
        <f>[1]BASE!D387</f>
        <v>Anistiado MME</v>
      </c>
      <c r="E384" s="257" t="str">
        <f>[1]BASE!E387</f>
        <v>MME - Ministério de Minas e Energia</v>
      </c>
      <c r="F384" s="258" t="str">
        <f>[1]BASE!F387</f>
        <v>DAS 101.2</v>
      </c>
      <c r="G384" s="258" t="str">
        <f>[1]BASE!G387</f>
        <v xml:space="preserve"> </v>
      </c>
      <c r="H384" s="257" t="str">
        <f>[1]BASE!H387</f>
        <v>SE / SPOA / CGRH / COORDENAÇÃO DE ADMINISTRAÇÃO DE PESSOAL - CAPES</v>
      </c>
      <c r="I384" s="260" t="str">
        <f>[1]BASE!I387</f>
        <v>8.105.210</v>
      </c>
    </row>
    <row r="385" spans="1:9" x14ac:dyDescent="0.25">
      <c r="A385" s="257" t="str">
        <f>[1]BASE!A388</f>
        <v>MONICA CAROLINE MANHAES DOS SANTOS</v>
      </c>
      <c r="B385" s="258">
        <f>[1]BASE!B388</f>
        <v>1981731</v>
      </c>
      <c r="C385" s="257" t="str">
        <f>[1]BASE!C388</f>
        <v>Sem Cargo/Emprego</v>
      </c>
      <c r="D385" s="258" t="str">
        <f>[1]BASE!D388</f>
        <v>Sem Vínculo</v>
      </c>
      <c r="E385" s="257" t="str">
        <f>[1]BASE!E388</f>
        <v>Sem Vínculo</v>
      </c>
      <c r="F385" s="258" t="str">
        <f>[1]BASE!F388</f>
        <v>DAS 102.2</v>
      </c>
      <c r="G385" s="258" t="str">
        <f>[1]BASE!G388</f>
        <v xml:space="preserve"> </v>
      </c>
      <c r="H385" s="257" t="str">
        <f>[1]BASE!H388</f>
        <v>SPE / DEPARTAMENTO DE INFORMAÇÕES E ESTUDOS ENERGÉTICOS - DIEE</v>
      </c>
      <c r="I385" s="260" t="str">
        <f>[1]BASE!I388</f>
        <v>10.104.000</v>
      </c>
    </row>
    <row r="386" spans="1:9" x14ac:dyDescent="0.25">
      <c r="A386" s="257" t="str">
        <f>[1]BASE!A389</f>
        <v>MONICA DOS SANTOS COELHO BARBOSA</v>
      </c>
      <c r="B386" s="258">
        <f>[1]BASE!B389</f>
        <v>2328205</v>
      </c>
      <c r="C386" s="257" t="str">
        <f>[1]BASE!C389</f>
        <v>Sem Cargo/Emprego</v>
      </c>
      <c r="D386" s="258" t="str">
        <f>[1]BASE!D389</f>
        <v>Sem Vínculo</v>
      </c>
      <c r="E386" s="257" t="str">
        <f>[1]BASE!E389</f>
        <v>Sem Vínculo</v>
      </c>
      <c r="F386" s="258" t="str">
        <f>[1]BASE!F389</f>
        <v>DAS 102.3</v>
      </c>
      <c r="G386" s="258" t="str">
        <f>[1]BASE!G389</f>
        <v xml:space="preserve"> </v>
      </c>
      <c r="H386" s="257" t="str">
        <f>[1]BASE!H389</f>
        <v>SGM / DEPARTAMENTO DE GESTÃO DAS POLÍTICAS DE GEOLOGIA, MINERAÇÃOE TRANSFORMAÇÃO - DPGM</v>
      </c>
      <c r="I386" s="260" t="str">
        <f>[1]BASE!I389</f>
        <v>9.101.000</v>
      </c>
    </row>
    <row r="387" spans="1:9" x14ac:dyDescent="0.25">
      <c r="A387" s="257" t="str">
        <f>[1]BASE!A390</f>
        <v>NEIDE DE FATIMA GOMES DE AZEVEDO LOPES</v>
      </c>
      <c r="B387" s="258">
        <f>[1]BASE!B390</f>
        <v>455482</v>
      </c>
      <c r="C387" s="257" t="str">
        <f>[1]BASE!C390</f>
        <v>Agente Administrativo</v>
      </c>
      <c r="D387" s="258" t="str">
        <f>[1]BASE!D390</f>
        <v>Ativo Permanente</v>
      </c>
      <c r="E387" s="257" t="str">
        <f>[1]BASE!E390</f>
        <v>MME - Ministério de Minas e Energia</v>
      </c>
      <c r="F387" s="258" t="str">
        <f>[1]BASE!F390</f>
        <v>DAS 101.2</v>
      </c>
      <c r="G387" s="258" t="str">
        <f>[1]BASE!G390</f>
        <v xml:space="preserve"> </v>
      </c>
      <c r="H387" s="257" t="str">
        <f>[1]BASE!H390</f>
        <v>SE / SPOA / CGRH / COORDENAÇÃO DE ADMINISTRAÇÃO DE PESSOAL - CAPES</v>
      </c>
      <c r="I387" s="260" t="str">
        <f>[1]BASE!I390</f>
        <v>8.105.210</v>
      </c>
    </row>
    <row r="388" spans="1:9" x14ac:dyDescent="0.25">
      <c r="A388" s="257" t="str">
        <f>[1]BASE!A391</f>
        <v>NEIDE MARIA PIRES COSTA PINHEIRO</v>
      </c>
      <c r="B388" s="258">
        <f>[1]BASE!B391</f>
        <v>1669318</v>
      </c>
      <c r="C388" s="257" t="str">
        <f>[1]BASE!C391</f>
        <v>Auxiliar de Biblioteca</v>
      </c>
      <c r="D388" s="258" t="str">
        <f>[1]BASE!D391</f>
        <v>Anistiado MME</v>
      </c>
      <c r="E388" s="257" t="str">
        <f>[1]BASE!E391</f>
        <v>MME - Ministério de Minas e Energia</v>
      </c>
      <c r="F388" s="258" t="str">
        <f>[1]BASE!F391</f>
        <v xml:space="preserve"> </v>
      </c>
      <c r="G388" s="258" t="str">
        <f>[1]BASE!G391</f>
        <v xml:space="preserve"> </v>
      </c>
      <c r="H388" s="257" t="str">
        <f>[1]BASE!H391</f>
        <v>SEE / CHEFIA DE GABINETE SEE</v>
      </c>
      <c r="I388" s="260" t="str">
        <f>[1]BASE!I391</f>
        <v>12.100.000</v>
      </c>
    </row>
    <row r="389" spans="1:9" x14ac:dyDescent="0.25">
      <c r="A389" s="257" t="str">
        <f>[1]BASE!A392</f>
        <v>NELSON CARLOS DA SILVA</v>
      </c>
      <c r="B389" s="258">
        <f>[1]BASE!B392</f>
        <v>1586402</v>
      </c>
      <c r="C389" s="257" t="str">
        <f>[1]BASE!C392</f>
        <v>Auxiliar de Controle de Qualidade</v>
      </c>
      <c r="D389" s="258" t="str">
        <f>[1]BASE!D392</f>
        <v>Anistiado MME</v>
      </c>
      <c r="E389" s="257" t="str">
        <f>[1]BASE!E392</f>
        <v>MME - Ministério de Minas e Energia</v>
      </c>
      <c r="F389" s="258" t="str">
        <f>[1]BASE!F392</f>
        <v xml:space="preserve"> </v>
      </c>
      <c r="G389" s="258" t="str">
        <f>[1]BASE!G392</f>
        <v xml:space="preserve"> </v>
      </c>
      <c r="H389" s="257" t="str">
        <f>[1]BASE!H392</f>
        <v>SE / SPOA / CGRL / COORDENAÇÃO DE ADMINISTRAÇÃO DE MATERIAL E EXECUÇÃO FINANCEIRA - COMEF</v>
      </c>
      <c r="I389" s="260" t="str">
        <f>[1]BASE!I392</f>
        <v>8.105.110</v>
      </c>
    </row>
    <row r="390" spans="1:9" x14ac:dyDescent="0.25">
      <c r="A390" s="257" t="str">
        <f>[1]BASE!A393</f>
        <v>NEUZI DE OLIVEIRA LOPES DA SILVA</v>
      </c>
      <c r="B390" s="258">
        <f>[1]BASE!B393</f>
        <v>219989</v>
      </c>
      <c r="C390" s="257" t="str">
        <f>[1]BASE!C393</f>
        <v>Datilógrafo</v>
      </c>
      <c r="D390" s="258" t="str">
        <f>[1]BASE!D393</f>
        <v>Requisitado de Órgãos</v>
      </c>
      <c r="E390" s="257" t="str">
        <f>[1]BASE!E393</f>
        <v>ME - Ministério da Economia</v>
      </c>
      <c r="F390" s="258" t="str">
        <f>[1]BASE!F393</f>
        <v xml:space="preserve"> </v>
      </c>
      <c r="G390" s="258" t="str">
        <f>[1]BASE!G393</f>
        <v>GSISTE Intermediário</v>
      </c>
      <c r="H390" s="257" t="str">
        <f>[1]BASE!H393</f>
        <v>SE / SPOA / CGRL / COORDENAÇÃO DE ATIVIDADES GERAIS - COAGE</v>
      </c>
      <c r="I390" s="260" t="str">
        <f>[1]BASE!I393</f>
        <v>8.105.120</v>
      </c>
    </row>
    <row r="391" spans="1:9" x14ac:dyDescent="0.25">
      <c r="A391" s="257" t="str">
        <f>[1]BASE!A394</f>
        <v>NEY ZANELLA DOS SANTOS</v>
      </c>
      <c r="B391" s="258">
        <f>[1]BASE!B394</f>
        <v>1778206</v>
      </c>
      <c r="C391" s="257" t="str">
        <f>[1]BASE!C394</f>
        <v>Sem Cargo/Emprego</v>
      </c>
      <c r="D391" s="258" t="str">
        <f>[1]BASE!D394</f>
        <v>Sem Vínculo</v>
      </c>
      <c r="E391" s="257" t="str">
        <f>[1]BASE!E394</f>
        <v>Sem Vínculo</v>
      </c>
      <c r="F391" s="258" t="str">
        <f>[1]BASE!F394</f>
        <v>DAS 101.5</v>
      </c>
      <c r="G391" s="258" t="str">
        <f>[1]BASE!G394</f>
        <v xml:space="preserve"> </v>
      </c>
      <c r="H391" s="257" t="str">
        <f>[1]BASE!H394</f>
        <v>SE / ASSESSORIA ESPECIAL DE GESTÃO ESTRATÉGICA - AEGE</v>
      </c>
      <c r="I391" s="260" t="str">
        <f>[1]BASE!I394</f>
        <v>8.101.000</v>
      </c>
    </row>
    <row r="392" spans="1:9" x14ac:dyDescent="0.25">
      <c r="A392" s="257" t="str">
        <f>[1]BASE!A395</f>
        <v>NICOLE ANGEL OLIVEIRA BORGES</v>
      </c>
      <c r="B392" s="258">
        <f>[1]BASE!B395</f>
        <v>1358735</v>
      </c>
      <c r="C392" s="257" t="str">
        <f>[1]BASE!C395</f>
        <v>Sem Cargo/Emprego</v>
      </c>
      <c r="D392" s="258" t="str">
        <f>[1]BASE!D395</f>
        <v>Sem Vínculo</v>
      </c>
      <c r="E392" s="257" t="str">
        <f>[1]BASE!E395</f>
        <v>S/VÍNCULO</v>
      </c>
      <c r="F392" s="258" t="str">
        <f>[1]BASE!F395</f>
        <v>DAS 102.2</v>
      </c>
      <c r="G392" s="258" t="str">
        <f>[1]BASE!G395</f>
        <v xml:space="preserve"> </v>
      </c>
      <c r="H392" s="257" t="str">
        <f>[1]BASE!H395</f>
        <v>GM / ASSESSORIA DE COMUNICAÇÃO SOCIAL - ASCOM</v>
      </c>
      <c r="I392" s="260" t="str">
        <f>[1]BASE!I395</f>
        <v>2.100.300</v>
      </c>
    </row>
    <row r="393" spans="1:9" x14ac:dyDescent="0.25">
      <c r="A393" s="257" t="str">
        <f>[1]BASE!A396</f>
        <v>NIRIA DE MOURA CHAGAS</v>
      </c>
      <c r="B393" s="258">
        <f>[1]BASE!B396</f>
        <v>1104598</v>
      </c>
      <c r="C393" s="257" t="str">
        <f>[1]BASE!C396</f>
        <v>Agente Administrativo</v>
      </c>
      <c r="D393" s="258" t="str">
        <f>[1]BASE!D396</f>
        <v>Requisitado de Órgãos</v>
      </c>
      <c r="E393" s="257" t="str">
        <f>[1]BASE!E396</f>
        <v>MD - Ministério da Defesa</v>
      </c>
      <c r="F393" s="258" t="str">
        <f>[1]BASE!F396</f>
        <v>FCPE 102.1</v>
      </c>
      <c r="G393" s="258" t="str">
        <f>[1]BASE!G396</f>
        <v xml:space="preserve"> </v>
      </c>
      <c r="H393" s="257" t="str">
        <f>[1]BASE!H396</f>
        <v>GM / ASSESSORIA DE APOIO AO MINISTRO - AAM</v>
      </c>
      <c r="I393" s="260" t="str">
        <f>[1]BASE!I396</f>
        <v>2.100.400</v>
      </c>
    </row>
    <row r="394" spans="1:9" x14ac:dyDescent="0.25">
      <c r="A394" s="257" t="str">
        <f>[1]BASE!A397</f>
        <v>NISE MARIA STUDART QUINTAS</v>
      </c>
      <c r="B394" s="258">
        <f>[1]BASE!B397</f>
        <v>1828184</v>
      </c>
      <c r="C394" s="257" t="str">
        <f>[1]BASE!C397</f>
        <v>Analista-B</v>
      </c>
      <c r="D394" s="258" t="str">
        <f>[1]BASE!D397</f>
        <v>Anistiado outros Órgãos</v>
      </c>
      <c r="E394" s="257" t="str">
        <f>[1]BASE!E397</f>
        <v>EMBRAPA - Empresa Brasileira de Pesquisa Agropecuária</v>
      </c>
      <c r="F394" s="258" t="str">
        <f>[1]BASE!F397</f>
        <v xml:space="preserve"> </v>
      </c>
      <c r="G394" s="258" t="str">
        <f>[1]BASE!G397</f>
        <v xml:space="preserve"> </v>
      </c>
      <c r="H394" s="257" t="str">
        <f>[1]BASE!H397</f>
        <v>GM / ASSESSORIA DE COMUNICAÇÃO SOCIAL - ASCOM</v>
      </c>
      <c r="I394" s="260" t="str">
        <f>[1]BASE!I397</f>
        <v>2.100.300</v>
      </c>
    </row>
    <row r="395" spans="1:9" x14ac:dyDescent="0.25">
      <c r="A395" s="257" t="str">
        <f>[1]BASE!A398</f>
        <v>NUBIAN MENDONÇA AMORIM</v>
      </c>
      <c r="B395" s="258">
        <f>[1]BASE!B398</f>
        <v>1779924</v>
      </c>
      <c r="C395" s="257" t="str">
        <f>[1]BASE!C398</f>
        <v>Analista em Tecnologia da Informação</v>
      </c>
      <c r="D395" s="258" t="str">
        <f>[1]BASE!D398</f>
        <v>Exercício Descentralizado</v>
      </c>
      <c r="E395" s="257" t="str">
        <f>[1]BASE!E398</f>
        <v>ME - Ministério da Economia</v>
      </c>
      <c r="F395" s="258" t="str">
        <f>[1]BASE!F398</f>
        <v>DAS 101.3</v>
      </c>
      <c r="G395" s="258" t="str">
        <f>[1]BASE!G398</f>
        <v xml:space="preserve"> </v>
      </c>
      <c r="H395" s="257" t="str">
        <f>[1]BASE!H398</f>
        <v xml:space="preserve">SE / SPOA / CGTI / COORDENAÇÃO DE INFRAESTRUTURA TECNOLÓGICA - </v>
      </c>
      <c r="I395" s="260" t="str">
        <f>[1]BASE!I398</f>
        <v>8.105.310</v>
      </c>
    </row>
    <row r="396" spans="1:9" x14ac:dyDescent="0.25">
      <c r="A396" s="257" t="str">
        <f>[1]BASE!A399</f>
        <v>ONILDE APARECIDA BATISTA</v>
      </c>
      <c r="B396" s="258">
        <f>[1]BASE!B399</f>
        <v>1106181</v>
      </c>
      <c r="C396" s="257" t="str">
        <f>[1]BASE!C399</f>
        <v>Agente de Portaria</v>
      </c>
      <c r="D396" s="258" t="str">
        <f>[1]BASE!D399</f>
        <v>Ativo Permanente</v>
      </c>
      <c r="E396" s="257" t="str">
        <f>[1]BASE!E399</f>
        <v>MME - Ministério de Minas e Energia</v>
      </c>
      <c r="F396" s="258" t="str">
        <f>[1]BASE!F399</f>
        <v>FGR 1</v>
      </c>
      <c r="G396" s="258" t="str">
        <f>[1]BASE!G399</f>
        <v>GSISTE Intermediário</v>
      </c>
      <c r="H396" s="257" t="str">
        <f>[1]BASE!H399</f>
        <v>SE / SPOA / CGCC / COORDENAÇÃO DE ADMINISTRAÇÃO DE CONTRATOS - CAC</v>
      </c>
      <c r="I396" s="260" t="str">
        <f>[1]BASE!I399</f>
        <v>8.105.410</v>
      </c>
    </row>
    <row r="397" spans="1:9" x14ac:dyDescent="0.25">
      <c r="A397" s="257" t="str">
        <f>[1]BASE!A400</f>
        <v>ONILDO DE CASTRO PASSOS</v>
      </c>
      <c r="B397" s="258">
        <f>[1]BASE!B400</f>
        <v>2340584</v>
      </c>
      <c r="C397" s="257" t="str">
        <f>[1]BASE!C400</f>
        <v>Escriturário II</v>
      </c>
      <c r="D397" s="258" t="str">
        <f>[1]BASE!D400</f>
        <v>Anistiado MME</v>
      </c>
      <c r="E397" s="257" t="str">
        <f>[1]BASE!E400</f>
        <v>MME - Ministério de Minas e Energia</v>
      </c>
      <c r="F397" s="258" t="str">
        <f>[1]BASE!F400</f>
        <v xml:space="preserve"> </v>
      </c>
      <c r="G397" s="258" t="str">
        <f>[1]BASE!G400</f>
        <v xml:space="preserve"> </v>
      </c>
      <c r="H397" s="257" t="str">
        <f>[1]BASE!H400</f>
        <v>SE / SPOA / CGRL / COORDENAÇÃO DE ATIVIDADES GERAIS - COAGE</v>
      </c>
      <c r="I397" s="260" t="str">
        <f>[1]BASE!I400</f>
        <v>8.105.120</v>
      </c>
    </row>
    <row r="398" spans="1:9" x14ac:dyDescent="0.25">
      <c r="A398" s="257" t="str">
        <f>[1]BASE!A401</f>
        <v>OSIMAR ALVES DE SOUZA</v>
      </c>
      <c r="B398" s="258">
        <f>[1]BASE!B401</f>
        <v>1095449</v>
      </c>
      <c r="C398" s="257" t="str">
        <f>[1]BASE!C401</f>
        <v>Motorista Oficial</v>
      </c>
      <c r="D398" s="258" t="str">
        <f>[1]BASE!D401</f>
        <v>Ativo Permanente</v>
      </c>
      <c r="E398" s="257" t="str">
        <f>[1]BASE!E401</f>
        <v>MME - Ministério de Minas e Energia</v>
      </c>
      <c r="F398" s="258" t="str">
        <f>[1]BASE!F401</f>
        <v>FCPE 102.2</v>
      </c>
      <c r="G398" s="258" t="str">
        <f>[1]BASE!G401</f>
        <v xml:space="preserve"> </v>
      </c>
      <c r="H398" s="257" t="str">
        <f>[1]BASE!H401</f>
        <v>SE / SPOA / CGRL / COORDENAÇÃO DE ATIVIDADES GERAIS - COAGE</v>
      </c>
      <c r="I398" s="260" t="str">
        <f>[1]BASE!I401</f>
        <v>8.105.120</v>
      </c>
    </row>
    <row r="399" spans="1:9" x14ac:dyDescent="0.25">
      <c r="A399" s="257" t="str">
        <f>[1]BASE!A402</f>
        <v>PATRICIA DA SILVA PEGO</v>
      </c>
      <c r="B399" s="258">
        <f>[1]BASE!B402</f>
        <v>2563137</v>
      </c>
      <c r="C399" s="257" t="str">
        <f>[1]BASE!C402</f>
        <v>Auditor Federal de Finanças e Controle</v>
      </c>
      <c r="D399" s="258" t="str">
        <f>[1]BASE!D402</f>
        <v>Requisitado de Órgãos</v>
      </c>
      <c r="E399" s="257" t="str">
        <f>[1]BASE!E402</f>
        <v>ME - Ministério da Economia</v>
      </c>
      <c r="F399" s="258" t="str">
        <f>[1]BASE!F402</f>
        <v>FCPE 101.4</v>
      </c>
      <c r="G399" s="258" t="str">
        <f>[1]BASE!G402</f>
        <v xml:space="preserve"> </v>
      </c>
      <c r="H399" s="257" t="str">
        <f>[1]BASE!H402</f>
        <v>SGM / DPGM / COORDENAÇÃO GERAL DE ECONOMIA MINERAL</v>
      </c>
      <c r="I399" s="260" t="str">
        <f>[1]BASE!I402</f>
        <v>9.101.300</v>
      </c>
    </row>
    <row r="400" spans="1:9" x14ac:dyDescent="0.25">
      <c r="A400" s="257" t="str">
        <f>[1]BASE!A403</f>
        <v>PATRÍCIA DE ALMEIDA MARTINS</v>
      </c>
      <c r="B400" s="258">
        <f>[1]BASE!B403</f>
        <v>451584</v>
      </c>
      <c r="C400" s="257" t="str">
        <f>[1]BASE!C403</f>
        <v>Agente Administrativo</v>
      </c>
      <c r="D400" s="258" t="str">
        <f>[1]BASE!D403</f>
        <v>Ativo Permanente</v>
      </c>
      <c r="E400" s="257" t="str">
        <f>[1]BASE!E403</f>
        <v>MME - Ministério de Minas e Energia</v>
      </c>
      <c r="F400" s="258" t="str">
        <f>[1]BASE!F403</f>
        <v>FGR 1</v>
      </c>
      <c r="G400" s="258" t="str">
        <f>[1]BASE!G403</f>
        <v xml:space="preserve"> </v>
      </c>
      <c r="H400" s="257" t="str">
        <f>[1]BASE!H403</f>
        <v>SE / SPOA / CGRH / COORDENAÇÃO DE ADMINISTRAÇÃO DE PESSOAL - CAPES</v>
      </c>
      <c r="I400" s="260" t="str">
        <f>[1]BASE!I403</f>
        <v>8.105.210</v>
      </c>
    </row>
    <row r="401" spans="1:9" x14ac:dyDescent="0.25">
      <c r="A401" s="257" t="str">
        <f>[1]BASE!A404</f>
        <v>PATRICIA MARIA GOMES</v>
      </c>
      <c r="B401" s="258">
        <f>[1]BASE!B404</f>
        <v>3294860</v>
      </c>
      <c r="C401" s="257" t="str">
        <f>[1]BASE!C404</f>
        <v>Sem Cargo/Emprego</v>
      </c>
      <c r="D401" s="258" t="str">
        <f>[1]BASE!D404</f>
        <v>Sem Vínculo</v>
      </c>
      <c r="E401" s="257" t="str">
        <f>[1]BASE!E404</f>
        <v>Sem Vínculo</v>
      </c>
      <c r="F401" s="258" t="str">
        <f>[1]BASE!F404</f>
        <v>DAS 102.3</v>
      </c>
      <c r="G401" s="258" t="str">
        <f>[1]BASE!G404</f>
        <v xml:space="preserve"> </v>
      </c>
      <c r="H401" s="257" t="str">
        <f>[1]BASE!H404</f>
        <v>ASSESSORIA ESPECIAL DE ASSUNTOS ECONÔMICOS - ASSEC</v>
      </c>
      <c r="I401" s="260" t="str">
        <f>[1]BASE!I404</f>
        <v>6.000.000</v>
      </c>
    </row>
    <row r="402" spans="1:9" x14ac:dyDescent="0.25">
      <c r="A402" s="257" t="str">
        <f>[1]BASE!A405</f>
        <v>PATRICIA NOLETO CRESTANI</v>
      </c>
      <c r="B402" s="258">
        <f>[1]BASE!B405</f>
        <v>1489690</v>
      </c>
      <c r="C402" s="257" t="str">
        <f>[1]BASE!C405</f>
        <v>Sem Cargo/Emprego</v>
      </c>
      <c r="D402" s="258" t="str">
        <f>[1]BASE!D405</f>
        <v>Sem Vínculo</v>
      </c>
      <c r="E402" s="257" t="str">
        <f>[1]BASE!E405</f>
        <v>Sem Vínculo</v>
      </c>
      <c r="F402" s="258" t="str">
        <f>[1]BASE!F405</f>
        <v>DAS 102.3</v>
      </c>
      <c r="G402" s="258" t="str">
        <f>[1]BASE!G405</f>
        <v xml:space="preserve"> </v>
      </c>
      <c r="H402" s="257" t="str">
        <f>[1]BASE!H405</f>
        <v>SGM / CHEFIA DE GABINETE SGM</v>
      </c>
      <c r="I402" s="260" t="str">
        <f>[1]BASE!I405</f>
        <v>9.100.000</v>
      </c>
    </row>
    <row r="403" spans="1:9" x14ac:dyDescent="0.25">
      <c r="A403" s="257" t="str">
        <f>[1]BASE!A406</f>
        <v>PATRICIA SALLES MERGULHAO</v>
      </c>
      <c r="B403" s="258">
        <f>[1]BASE!B406</f>
        <v>2298598</v>
      </c>
      <c r="C403" s="257" t="str">
        <f>[1]BASE!C406</f>
        <v>Sem Cargo/Emprego</v>
      </c>
      <c r="D403" s="258" t="str">
        <f>[1]BASE!D406</f>
        <v>Sem Vínculo</v>
      </c>
      <c r="E403" s="257" t="str">
        <f>[1]BASE!E406</f>
        <v>Sem Vínculo</v>
      </c>
      <c r="F403" s="258" t="str">
        <f>[1]BASE!F406</f>
        <v>DAS 102.2</v>
      </c>
      <c r="G403" s="258" t="str">
        <f>[1]BASE!G406</f>
        <v xml:space="preserve"> </v>
      </c>
      <c r="H403" s="257" t="str">
        <f>[1]BASE!H406</f>
        <v>SEE / DEPARTAMENTO DE POLÍTICAS SOCIAIS E UNIVERSALIZAÇÃO DO ACESSO À ENERGIA ELÉTRICA - DPUE</v>
      </c>
      <c r="I403" s="260" t="str">
        <f>[1]BASE!I406</f>
        <v>12.103.000</v>
      </c>
    </row>
    <row r="404" spans="1:9" x14ac:dyDescent="0.25">
      <c r="A404" s="257" t="str">
        <f>[1]BASE!A407</f>
        <v>PAULO COSTA DA SILVA</v>
      </c>
      <c r="B404" s="258">
        <f>[1]BASE!B407</f>
        <v>7129838</v>
      </c>
      <c r="C404" s="257" t="str">
        <f>[1]BASE!C407</f>
        <v>Técnico de Orçamento</v>
      </c>
      <c r="D404" s="258" t="str">
        <f>[1]BASE!D407</f>
        <v>Exercício Descentralizado</v>
      </c>
      <c r="E404" s="257" t="str">
        <f>[1]BASE!E407</f>
        <v>ME - Ministério da Economia</v>
      </c>
      <c r="F404" s="258" t="str">
        <f>[1]BASE!F407</f>
        <v xml:space="preserve"> </v>
      </c>
      <c r="G404" s="258" t="str">
        <f>[1]BASE!G407</f>
        <v xml:space="preserve"> </v>
      </c>
      <c r="H404" s="257" t="str">
        <f>[1]BASE!H407</f>
        <v>SE / SPOA / CGOF / COORDENAÇÃO DE ADMINISTRAÇÃO FINANCEIRA -COAF</v>
      </c>
      <c r="I404" s="260" t="str">
        <f>[1]BASE!I407</f>
        <v>8.105.510</v>
      </c>
    </row>
    <row r="405" spans="1:9" x14ac:dyDescent="0.25">
      <c r="A405" s="257" t="str">
        <f>[1]BASE!A408</f>
        <v>PAULO ÉRICO RAMOS DE OLIVEIRA</v>
      </c>
      <c r="B405" s="258">
        <f>[1]BASE!B408</f>
        <v>1354321</v>
      </c>
      <c r="C405" s="257" t="str">
        <f>[1]BASE!C408</f>
        <v>Analista de Infraestrutura</v>
      </c>
      <c r="D405" s="258" t="str">
        <f>[1]BASE!D408</f>
        <v>Exercício Descentralizado</v>
      </c>
      <c r="E405" s="257" t="str">
        <f>[1]BASE!E408</f>
        <v>ME - Ministério da Economia</v>
      </c>
      <c r="F405" s="258" t="str">
        <f>[1]BASE!F408</f>
        <v xml:space="preserve"> </v>
      </c>
      <c r="G405" s="258" t="str">
        <f>[1]BASE!G408</f>
        <v xml:space="preserve"> </v>
      </c>
      <c r="H405" s="257" t="str">
        <f>[1]BASE!H408</f>
        <v>SPE / DPE / COORDENAÇÃO GERAL DE PLANEJAMENTO DA TRANSMISSÃO</v>
      </c>
      <c r="I405" s="260" t="str">
        <f>[1]BASE!I408</f>
        <v>10.101.100</v>
      </c>
    </row>
    <row r="406" spans="1:9" x14ac:dyDescent="0.25">
      <c r="A406" s="257" t="str">
        <f>[1]BASE!A409</f>
        <v>PAULO GONÇALVES CERQUEIRA</v>
      </c>
      <c r="B406" s="258">
        <f>[1]BASE!B409</f>
        <v>1808086</v>
      </c>
      <c r="C406" s="257" t="str">
        <f>[1]BASE!C409</f>
        <v>Engenheiro</v>
      </c>
      <c r="D406" s="258" t="str">
        <f>[1]BASE!D409</f>
        <v>Requisitado de Empresa</v>
      </c>
      <c r="E406" s="257" t="str">
        <f>[1]BASE!E409</f>
        <v>FURNAS - Centrais Elétricas S/A</v>
      </c>
      <c r="F406" s="258" t="str">
        <f>[1]BASE!F409</f>
        <v>DAS 101.4</v>
      </c>
      <c r="G406" s="258" t="str">
        <f>[1]BASE!G409</f>
        <v xml:space="preserve"> </v>
      </c>
      <c r="H406" s="257" t="str">
        <f>[1]BASE!H409</f>
        <v>SEE / DPUE / COORDENAÇÃO GERAL DE DESENVOLVIMENTO DE POLÍTICAS SOCIAIS</v>
      </c>
      <c r="I406" s="260" t="str">
        <f>[1]BASE!I409</f>
        <v>12.103.100</v>
      </c>
    </row>
    <row r="407" spans="1:9" x14ac:dyDescent="0.25">
      <c r="A407" s="257" t="str">
        <f>[1]BASE!A410</f>
        <v>PAULO MARCIO BARBOSA MENEZES DO NASCIMENTO</v>
      </c>
      <c r="B407" s="258">
        <f>[1]BASE!B410</f>
        <v>2083816</v>
      </c>
      <c r="C407" s="257" t="str">
        <f>[1]BASE!C410</f>
        <v>Analista em Tecnologia da Informação</v>
      </c>
      <c r="D407" s="258" t="str">
        <f>[1]BASE!D410</f>
        <v>Exercício Descentralizado</v>
      </c>
      <c r="E407" s="257" t="str">
        <f>[1]BASE!E410</f>
        <v>ME - Ministério da Economia</v>
      </c>
      <c r="F407" s="258" t="str">
        <f>[1]BASE!F410</f>
        <v xml:space="preserve"> </v>
      </c>
      <c r="G407" s="258" t="str">
        <f>[1]BASE!G410</f>
        <v xml:space="preserve"> </v>
      </c>
      <c r="H407" s="257" t="str">
        <f>[1]BASE!H410</f>
        <v>SE / SPOA / CGTI / COORDENAÇÃO DE TECNOLOGIA DE SISTEMAS DE INFORMAÇÃO - CTSI</v>
      </c>
      <c r="I407" s="260" t="str">
        <f>[1]BASE!I410</f>
        <v>8.105.320</v>
      </c>
    </row>
    <row r="408" spans="1:9" x14ac:dyDescent="0.25">
      <c r="A408" s="257" t="str">
        <f>[1]BASE!A411</f>
        <v>PAULO RAINERI</v>
      </c>
      <c r="B408" s="258">
        <f>[1]BASE!B411</f>
        <v>1354355</v>
      </c>
      <c r="C408" s="257" t="str">
        <f>[1]BASE!C411</f>
        <v>Auxiliar Administrativo</v>
      </c>
      <c r="D408" s="258" t="str">
        <f>[1]BASE!D411</f>
        <v>Anistiado MME</v>
      </c>
      <c r="E408" s="257" t="str">
        <f>[1]BASE!E411</f>
        <v>MME - Ministério de Minas e Energia</v>
      </c>
      <c r="F408" s="258" t="str">
        <f>[1]BASE!F411</f>
        <v xml:space="preserve"> </v>
      </c>
      <c r="G408" s="258" t="str">
        <f>[1]BASE!G411</f>
        <v xml:space="preserve"> </v>
      </c>
      <c r="H408" s="257" t="str">
        <f>[1]BASE!H411</f>
        <v>SE / SPOA / CGRL / COORDENAÇÃO DE ATIVIDADES GERAIS - COAGE</v>
      </c>
      <c r="I408" s="260" t="str">
        <f>[1]BASE!I411</f>
        <v>8.105.120</v>
      </c>
    </row>
    <row r="409" spans="1:9" x14ac:dyDescent="0.25">
      <c r="A409" s="257" t="str">
        <f>[1]BASE!A412</f>
        <v>PAULO ROBERTO MACHADO FERNANDES COSTA</v>
      </c>
      <c r="B409" s="258">
        <f>[1]BASE!B412</f>
        <v>3542457</v>
      </c>
      <c r="C409" s="257" t="str">
        <f>[1]BASE!C412</f>
        <v>Analista de Infraestrutura</v>
      </c>
      <c r="D409" s="258" t="str">
        <f>[1]BASE!D412</f>
        <v>Exercício Descentralizado</v>
      </c>
      <c r="E409" s="257" t="str">
        <f>[1]BASE!E412</f>
        <v>ME - Ministério da Economia</v>
      </c>
      <c r="F409" s="258" t="str">
        <f>[1]BASE!F412</f>
        <v>DAS 101.4</v>
      </c>
      <c r="G409" s="258" t="str">
        <f>[1]BASE!G412</f>
        <v xml:space="preserve"> </v>
      </c>
      <c r="H409" s="257" t="str">
        <f>[1]BASE!H412</f>
        <v>SPG / DBIO / COORDENAÇÃO GERAL DE BIODIESEL E OUTROS BIOCOMBUSTÍVEIS</v>
      </c>
      <c r="I409" s="260" t="str">
        <f>[1]BASE!I412</f>
        <v>11.104.100</v>
      </c>
    </row>
    <row r="410" spans="1:9" x14ac:dyDescent="0.25">
      <c r="A410" s="257" t="str">
        <f>[1]BASE!A413</f>
        <v>PEDRO ELCIO DOS SANTOS</v>
      </c>
      <c r="B410" s="258">
        <f>[1]BASE!B413</f>
        <v>450850</v>
      </c>
      <c r="C410" s="257" t="str">
        <f>[1]BASE!C413</f>
        <v>Agente Administrativo</v>
      </c>
      <c r="D410" s="258" t="str">
        <f>[1]BASE!D413</f>
        <v>Ativo Permanente</v>
      </c>
      <c r="E410" s="257" t="str">
        <f>[1]BASE!E413</f>
        <v>MME - Ministério de Minas e Energia</v>
      </c>
      <c r="F410" s="258" t="str">
        <f>[1]BASE!F413</f>
        <v>FCPE 102.3</v>
      </c>
      <c r="G410" s="258" t="str">
        <f>[1]BASE!G413</f>
        <v xml:space="preserve"> </v>
      </c>
      <c r="H410" s="257" t="str">
        <f>[1]BASE!H413</f>
        <v>SGM / CHEFIA DE GABINETE SGM</v>
      </c>
      <c r="I410" s="260" t="str">
        <f>[1]BASE!I413</f>
        <v>9.100.000</v>
      </c>
    </row>
    <row r="411" spans="1:9" x14ac:dyDescent="0.25">
      <c r="A411" s="257" t="str">
        <f>[1]BASE!A414</f>
        <v>PEDRO EVANGELISTA HONORATO</v>
      </c>
      <c r="B411" s="258">
        <f>[1]BASE!B414</f>
        <v>1366699</v>
      </c>
      <c r="C411" s="257" t="str">
        <f>[1]BASE!C414</f>
        <v>Auxiliar Codificação e Conferência</v>
      </c>
      <c r="D411" s="258" t="str">
        <f>[1]BASE!D414</f>
        <v>Anistiado MME</v>
      </c>
      <c r="E411" s="257" t="str">
        <f>[1]BASE!E414</f>
        <v>MME - Ministério de Minas e Energia</v>
      </c>
      <c r="F411" s="258" t="str">
        <f>[1]BASE!F414</f>
        <v>DAS 102.2</v>
      </c>
      <c r="G411" s="258" t="str">
        <f>[1]BASE!G414</f>
        <v xml:space="preserve"> </v>
      </c>
      <c r="H411" s="257" t="str">
        <f>[1]BASE!H414</f>
        <v>SGM / DEPARTAMENTO DE GEOLOGIA E PRODUÇÃO MINERAL - DGPM</v>
      </c>
      <c r="I411" s="260" t="str">
        <f>[1]BASE!I414</f>
        <v>9.102.000</v>
      </c>
    </row>
    <row r="412" spans="1:9" x14ac:dyDescent="0.25">
      <c r="A412" s="257" t="str">
        <f>[1]BASE!A415</f>
        <v>PEDRO HELCIO AMANCIO</v>
      </c>
      <c r="B412" s="258">
        <f>[1]BASE!B415</f>
        <v>455181</v>
      </c>
      <c r="C412" s="257" t="str">
        <f>[1]BASE!C415</f>
        <v>Agente de Telecomunicações e Eletricidade</v>
      </c>
      <c r="D412" s="258" t="str">
        <f>[1]BASE!D415</f>
        <v>Ativo Permanente</v>
      </c>
      <c r="E412" s="257" t="str">
        <f>[1]BASE!E415</f>
        <v>MME - Ministério de Minas e Energia</v>
      </c>
      <c r="F412" s="258" t="str">
        <f>[1]BASE!F415</f>
        <v>FGR 1</v>
      </c>
      <c r="G412" s="258" t="str">
        <f>[1]BASE!G415</f>
        <v xml:space="preserve"> </v>
      </c>
      <c r="H412" s="257" t="str">
        <f>[1]BASE!H415</f>
        <v>SE / SPOA / CGRL / COORDENAÇÃO DE ATIVIDADES GERAIS - COAGE</v>
      </c>
      <c r="I412" s="260" t="str">
        <f>[1]BASE!I415</f>
        <v>8.105.120</v>
      </c>
    </row>
    <row r="413" spans="1:9" x14ac:dyDescent="0.25">
      <c r="A413" s="257" t="str">
        <f>[1]BASE!A416</f>
        <v>PEDRO HENRIQUE MILHOMEM COUTINHO</v>
      </c>
      <c r="B413" s="258">
        <f>[1]BASE!B416</f>
        <v>3686678</v>
      </c>
      <c r="C413" s="257" t="str">
        <f>[1]BASE!C416</f>
        <v>Analista de Infraestrutura</v>
      </c>
      <c r="D413" s="258" t="str">
        <f>[1]BASE!D416</f>
        <v>Exercício Descentralizado</v>
      </c>
      <c r="E413" s="257" t="str">
        <f>[1]BASE!E416</f>
        <v>ME - Ministério da Economia</v>
      </c>
      <c r="F413" s="258" t="str">
        <f>[1]BASE!F416</f>
        <v>FCPE 102.2</v>
      </c>
      <c r="G413" s="258" t="str">
        <f>[1]BASE!G416</f>
        <v xml:space="preserve"> </v>
      </c>
      <c r="H413" s="257" t="str">
        <f>[1]BASE!H416</f>
        <v>SPG / DEPARTAMENTO DE COMBUSTÍVEIS DERIVADOS DE PETRÓLEOS - DCDP</v>
      </c>
      <c r="I413" s="260" t="str">
        <f>[1]BASE!I416</f>
        <v>11.103.000</v>
      </c>
    </row>
    <row r="414" spans="1:9" x14ac:dyDescent="0.25">
      <c r="A414" s="257" t="str">
        <f>[1]BASE!A417</f>
        <v>PEDRO HUGO TEIXEIRA DE OLIVEIRA JUNIOR</v>
      </c>
      <c r="B414" s="258">
        <f>[1]BASE!B417</f>
        <v>1221494</v>
      </c>
      <c r="C414" s="257" t="str">
        <f>[1]BASE!C417</f>
        <v>Sem Cargo/Emprego</v>
      </c>
      <c r="D414" s="258" t="str">
        <f>[1]BASE!D417</f>
        <v>Sem Vínculo</v>
      </c>
      <c r="E414" s="257" t="str">
        <f>[1]BASE!E417</f>
        <v>Sem Vínculo</v>
      </c>
      <c r="F414" s="258" t="str">
        <f>[1]BASE!F417</f>
        <v>DAS 102.5</v>
      </c>
      <c r="G414" s="258" t="str">
        <f>[1]BASE!G417</f>
        <v xml:space="preserve"> </v>
      </c>
      <c r="H414" s="257" t="str">
        <f>[1]BASE!H417</f>
        <v>GM / ASSESSORIA PARLAMENTAR - ASPAR</v>
      </c>
      <c r="I414" s="260" t="str">
        <f>[1]BASE!I417</f>
        <v>2.100.200</v>
      </c>
    </row>
    <row r="415" spans="1:9" x14ac:dyDescent="0.25">
      <c r="A415" s="257" t="str">
        <f>[1]BASE!A418</f>
        <v>PEDRO LOURENCO DE SOUSA</v>
      </c>
      <c r="B415" s="258">
        <f>[1]BASE!B418</f>
        <v>451593</v>
      </c>
      <c r="C415" s="257" t="str">
        <f>[1]BASE!C418</f>
        <v>Agente Administrativo</v>
      </c>
      <c r="D415" s="258" t="str">
        <f>[1]BASE!D418</f>
        <v>Ativo Permanente</v>
      </c>
      <c r="E415" s="257" t="str">
        <f>[1]BASE!E418</f>
        <v>MME - Ministério de Minas e Energia</v>
      </c>
      <c r="F415" s="258" t="str">
        <f>[1]BASE!F418</f>
        <v>FCT 10</v>
      </c>
      <c r="G415" s="258" t="str">
        <f>[1]BASE!G418</f>
        <v xml:space="preserve"> </v>
      </c>
      <c r="H415" s="257" t="str">
        <f>[1]BASE!H418</f>
        <v>GM / ASTAD / COORDENAÇÃO DE ATIVIDADES ADMINISTRATIVAS</v>
      </c>
      <c r="I415" s="260" t="str">
        <f>[1]BASE!I418</f>
        <v>2.100.101</v>
      </c>
    </row>
    <row r="416" spans="1:9" x14ac:dyDescent="0.25">
      <c r="A416" s="257" t="str">
        <f>[1]BASE!A419</f>
        <v>PEDRO SANTANA DA SILVA</v>
      </c>
      <c r="B416" s="258">
        <f>[1]BASE!B419</f>
        <v>1905845</v>
      </c>
      <c r="C416" s="257" t="str">
        <f>[1]BASE!C419</f>
        <v>Analista de Laboratório II</v>
      </c>
      <c r="D416" s="258" t="str">
        <f>[1]BASE!D419</f>
        <v>Anistiado MME</v>
      </c>
      <c r="E416" s="257" t="str">
        <f>[1]BASE!E419</f>
        <v>MME - Ministério de Minas e Energia</v>
      </c>
      <c r="F416" s="258" t="str">
        <f>[1]BASE!F419</f>
        <v xml:space="preserve"> </v>
      </c>
      <c r="G416" s="258" t="str">
        <f>[1]BASE!G419</f>
        <v xml:space="preserve"> </v>
      </c>
      <c r="H416" s="257" t="str">
        <f>[1]BASE!H419</f>
        <v>Aguardando Lotação/Exercício</v>
      </c>
      <c r="I416" s="260" t="str">
        <f>[1]BASE!I419</f>
        <v>88.000.000</v>
      </c>
    </row>
    <row r="417" spans="1:9" x14ac:dyDescent="0.25">
      <c r="A417" s="257" t="str">
        <f>[1]BASE!A420</f>
        <v>RAFAEL BASTOS DA SILVA</v>
      </c>
      <c r="B417" s="258">
        <f>[1]BASE!B420</f>
        <v>1514882</v>
      </c>
      <c r="C417" s="257" t="str">
        <f>[1]BASE!C420</f>
        <v>Especialista em Geologia e Geof do Petr e Gás Natural</v>
      </c>
      <c r="D417" s="258" t="str">
        <f>[1]BASE!D420</f>
        <v>Requisitado de Órgãos</v>
      </c>
      <c r="E417" s="257" t="str">
        <f>[1]BASE!E420</f>
        <v>ANP - Agência Nacional do Petróleo, Gás Natural e Biocombustíveis</v>
      </c>
      <c r="F417" s="258" t="str">
        <f>[1]BASE!F420</f>
        <v>DAS 101.5</v>
      </c>
      <c r="G417" s="258" t="str">
        <f>[1]BASE!G420</f>
        <v xml:space="preserve"> </v>
      </c>
      <c r="H417" s="257" t="str">
        <f>[1]BASE!H420</f>
        <v>SPG / DEPARTAMENTO DE POLÍTICA DE EXPLORAÇÃO E PRODUÇÃO DE PETRÓLEO E GÁS NATURAL - DPGN</v>
      </c>
      <c r="I417" s="260" t="str">
        <f>[1]BASE!I420</f>
        <v>11.101.000</v>
      </c>
    </row>
    <row r="418" spans="1:9" x14ac:dyDescent="0.25">
      <c r="A418" s="257" t="str">
        <f>[1]BASE!A421</f>
        <v>RAFAEL ESPERIDIAO DE MELO</v>
      </c>
      <c r="B418" s="258">
        <f>[1]BASE!B421</f>
        <v>1356437</v>
      </c>
      <c r="C418" s="257" t="str">
        <f>[1]BASE!C421</f>
        <v>Advogado da União</v>
      </c>
      <c r="D418" s="258" t="str">
        <f>[1]BASE!D421</f>
        <v>Exercício Descentralizado</v>
      </c>
      <c r="E418" s="257" t="str">
        <f>[1]BASE!E421</f>
        <v>ME - Ministério da Economia</v>
      </c>
      <c r="F418" s="258" t="str">
        <f>[1]BASE!F421</f>
        <v xml:space="preserve"> </v>
      </c>
      <c r="G418" s="258" t="str">
        <f>[1]BASE!G421</f>
        <v xml:space="preserve"> </v>
      </c>
      <c r="H418" s="257" t="str">
        <f>[1]BASE!H421</f>
        <v>CONJUR / COORDENAÇÃO GERAL DE ASSUNTOS DE ENERGIA</v>
      </c>
      <c r="I418" s="260" t="str">
        <f>[1]BASE!I421</f>
        <v>7.100.100</v>
      </c>
    </row>
    <row r="419" spans="1:9" x14ac:dyDescent="0.25">
      <c r="A419" s="257" t="str">
        <f>[1]BASE!A422</f>
        <v>RAIMUNDA ALVES DE SOUSA OLIVEIRA</v>
      </c>
      <c r="B419" s="258">
        <f>[1]BASE!B422</f>
        <v>6002121</v>
      </c>
      <c r="C419" s="257" t="str">
        <f>[1]BASE!C422</f>
        <v>Datilógrafo</v>
      </c>
      <c r="D419" s="258" t="str">
        <f>[1]BASE!D422</f>
        <v>Requisitado de Órgãos</v>
      </c>
      <c r="E419" s="257" t="str">
        <f>[1]BASE!E422</f>
        <v>MAPA - Ministério da Agricultura, Pecuário e Abastecimento</v>
      </c>
      <c r="F419" s="258" t="str">
        <f>[1]BASE!F422</f>
        <v>FCPE 102.2</v>
      </c>
      <c r="G419" s="258" t="str">
        <f>[1]BASE!G422</f>
        <v>GSISTE Intermediário</v>
      </c>
      <c r="H419" s="257" t="str">
        <f>[1]BASE!H422</f>
        <v>SE / SPOA / CGCC / COORDENAÇÃO DE LICITAÇÕES E COMPRA - CLC</v>
      </c>
      <c r="I419" s="260" t="str">
        <f>[1]BASE!I422</f>
        <v>8.105.420</v>
      </c>
    </row>
    <row r="420" spans="1:9" x14ac:dyDescent="0.25">
      <c r="A420" s="257" t="str">
        <f>[1]BASE!A423</f>
        <v>RAIMUNDO WANGLER VIANA SERRAO</v>
      </c>
      <c r="B420" s="258">
        <f>[1]BASE!B423</f>
        <v>3133039</v>
      </c>
      <c r="C420" s="257" t="str">
        <f>[1]BASE!C423</f>
        <v>Marinha</v>
      </c>
      <c r="D420" s="258" t="str">
        <f>[1]BASE!D423</f>
        <v>Requisitado Militar</v>
      </c>
      <c r="E420" s="257" t="str">
        <f>[1]BASE!E423</f>
        <v>Marinha</v>
      </c>
      <c r="F420" s="258" t="str">
        <f>[1]BASE!F423</f>
        <v>DAS 102.3</v>
      </c>
      <c r="G420" s="258" t="str">
        <f>[1]BASE!G423</f>
        <v xml:space="preserve"> </v>
      </c>
      <c r="H420" s="257" t="str">
        <f>[1]BASE!H423</f>
        <v>Escritório Rio de Janeiro/RJ</v>
      </c>
      <c r="I420" s="260" t="str">
        <f>[1]BASE!I423</f>
        <v>99.000.000</v>
      </c>
    </row>
    <row r="421" spans="1:9" x14ac:dyDescent="0.25">
      <c r="A421" s="257" t="str">
        <f>[1]BASE!A424</f>
        <v>RANIELLE NOLETO PAZ ARAUJO</v>
      </c>
      <c r="B421" s="258">
        <f>[1]BASE!B424</f>
        <v>2658275</v>
      </c>
      <c r="C421" s="257" t="str">
        <f>[1]BASE!C424</f>
        <v>Analista de Infraestrutura</v>
      </c>
      <c r="D421" s="258" t="str">
        <f>[1]BASE!D424</f>
        <v>Exercício Descentralizado</v>
      </c>
      <c r="E421" s="257" t="str">
        <f>[1]BASE!E424</f>
        <v>ME - Ministério da Economia</v>
      </c>
      <c r="F421" s="258" t="str">
        <f>[1]BASE!F424</f>
        <v>FCPE 102.2</v>
      </c>
      <c r="G421" s="258" t="str">
        <f>[1]BASE!G424</f>
        <v xml:space="preserve"> </v>
      </c>
      <c r="H421" s="257" t="str">
        <f>[1]BASE!H424</f>
        <v>SGM / DDM / COORDENAÇÃO GERAL DE MINERAÇÃO EM ÁREAS DE CONSERVAÇÃO E CONFLITO</v>
      </c>
      <c r="I421" s="260" t="str">
        <f>[1]BASE!I424</f>
        <v>9.104.200</v>
      </c>
    </row>
    <row r="422" spans="1:9" x14ac:dyDescent="0.25">
      <c r="A422" s="257" t="str">
        <f>[1]BASE!A425</f>
        <v>RAQUEL DA SILVA GUIRRA</v>
      </c>
      <c r="B422" s="258">
        <f>[1]BASE!B425</f>
        <v>1094908</v>
      </c>
      <c r="C422" s="257" t="str">
        <f>[1]BASE!C425</f>
        <v>Técnico de Contabilidade</v>
      </c>
      <c r="D422" s="258" t="str">
        <f>[1]BASE!D425</f>
        <v>Ativo Permanente</v>
      </c>
      <c r="E422" s="257" t="str">
        <f>[1]BASE!E425</f>
        <v>MME - Ministério de Minas e Energia</v>
      </c>
      <c r="F422" s="258" t="str">
        <f>[1]BASE!F425</f>
        <v>FCT 3</v>
      </c>
      <c r="G422" s="258" t="str">
        <f>[1]BASE!G425</f>
        <v>GSISTE Intermediário</v>
      </c>
      <c r="H422" s="257" t="str">
        <f>[1]BASE!H425</f>
        <v>SE / SPOA / CGRL / COORDENAÇÃO DE ADMINISTRAÇÃO DE MATERIAL E EXECUÇÃO FINANCEIRA - COMEF</v>
      </c>
      <c r="I422" s="260" t="str">
        <f>[1]BASE!I425</f>
        <v>8.105.110</v>
      </c>
    </row>
    <row r="423" spans="1:9" x14ac:dyDescent="0.25">
      <c r="A423" s="257" t="str">
        <f>[1]BASE!A426</f>
        <v>RAQUEL VILELA CORRÊA</v>
      </c>
      <c r="B423" s="258">
        <f>[1]BASE!B426</f>
        <v>2362396</v>
      </c>
      <c r="C423" s="257" t="str">
        <f>[1]BASE!C426</f>
        <v>Sem Cargo/Emprego</v>
      </c>
      <c r="D423" s="258" t="str">
        <f>[1]BASE!D426</f>
        <v>Sem Vínculo</v>
      </c>
      <c r="E423" s="257" t="str">
        <f>[1]BASE!E426</f>
        <v>Sem Vínculo</v>
      </c>
      <c r="F423" s="258" t="str">
        <f>[1]BASE!F426</f>
        <v>DAS 102.2</v>
      </c>
      <c r="G423" s="258" t="str">
        <f>[1]BASE!G426</f>
        <v xml:space="preserve"> </v>
      </c>
      <c r="H423" s="257" t="str">
        <f>[1]BASE!H426</f>
        <v>SGM / DEPARTAMENTO DE TRANSFORMAÇÃO E TECNOLOGIA MINERAL - DTTM</v>
      </c>
      <c r="I423" s="260" t="str">
        <f>[1]BASE!I426</f>
        <v>9.103.000</v>
      </c>
    </row>
    <row r="424" spans="1:9" x14ac:dyDescent="0.25">
      <c r="A424" s="257" t="str">
        <f>[1]BASE!A427</f>
        <v>REGINA BASILIO BACARIAS</v>
      </c>
      <c r="B424" s="258">
        <f>[1]BASE!B427</f>
        <v>454716</v>
      </c>
      <c r="C424" s="257" t="str">
        <f>[1]BASE!C427</f>
        <v>Agente Administrativo</v>
      </c>
      <c r="D424" s="258" t="str">
        <f>[1]BASE!D427</f>
        <v>Ativo Permanente</v>
      </c>
      <c r="E424" s="257" t="str">
        <f>[1]BASE!E427</f>
        <v>MME - Ministério de Minas e Energia</v>
      </c>
      <c r="F424" s="258" t="str">
        <f>[1]BASE!F427</f>
        <v>FGR 1</v>
      </c>
      <c r="G424" s="258" t="str">
        <f>[1]BASE!G427</f>
        <v xml:space="preserve"> </v>
      </c>
      <c r="H424" s="257" t="str">
        <f>[1]BASE!H427</f>
        <v>SEE / DMSE / COORDENAÇÃO GERAL DE MONITORAMENTO DA DISTRIBUIÇÃO</v>
      </c>
      <c r="I424" s="260" t="str">
        <f>[1]BASE!I427</f>
        <v>12.102.300</v>
      </c>
    </row>
    <row r="425" spans="1:9" x14ac:dyDescent="0.25">
      <c r="A425" s="257" t="str">
        <f>[1]BASE!A428</f>
        <v>REGINA COELIS ALVES PEREIRA</v>
      </c>
      <c r="B425" s="258">
        <f>[1]BASE!B428</f>
        <v>1280771</v>
      </c>
      <c r="C425" s="257" t="str">
        <f>[1]BASE!C428</f>
        <v>Técnico de Processamento</v>
      </c>
      <c r="D425" s="258" t="str">
        <f>[1]BASE!D428</f>
        <v>Anistiado MME</v>
      </c>
      <c r="E425" s="257" t="str">
        <f>[1]BASE!E428</f>
        <v>MME - Ministério de Minas e Energia</v>
      </c>
      <c r="F425" s="258" t="str">
        <f>[1]BASE!F428</f>
        <v xml:space="preserve"> </v>
      </c>
      <c r="G425" s="258" t="str">
        <f>[1]BASE!G428</f>
        <v xml:space="preserve"> </v>
      </c>
      <c r="H425" s="257" t="str">
        <f>[1]BASE!H428</f>
        <v>SEE / DGSE / COORDENAÇÃO GERAL DE GESTÃO DE PROGRAMAS E REGULAMENTAÇÃO</v>
      </c>
      <c r="I425" s="260" t="str">
        <f>[1]BASE!I428</f>
        <v>12.101.200</v>
      </c>
    </row>
    <row r="426" spans="1:9" x14ac:dyDescent="0.25">
      <c r="A426" s="257" t="str">
        <f>[1]BASE!A429</f>
        <v>REGINA DE ARAUJO CALIXTO</v>
      </c>
      <c r="B426" s="258">
        <f>[1]BASE!B429</f>
        <v>1337906</v>
      </c>
      <c r="C426" s="257" t="str">
        <f>[1]BASE!C429</f>
        <v>Sem Cargo/Emprego</v>
      </c>
      <c r="D426" s="258" t="str">
        <f>[1]BASE!D429</f>
        <v>Sem Vínculo</v>
      </c>
      <c r="E426" s="257" t="str">
        <f>[1]BASE!E429</f>
        <v>Sem Vínculo</v>
      </c>
      <c r="F426" s="258" t="str">
        <f>[1]BASE!F429</f>
        <v>DAS 102.2</v>
      </c>
      <c r="G426" s="258" t="str">
        <f>[1]BASE!G429</f>
        <v xml:space="preserve"> </v>
      </c>
      <c r="H426" s="257" t="str">
        <f>[1]BASE!H429</f>
        <v>SPE / DEPARTAMENTO DE DESENVOLVIMENTO ENERGÉTICO - DDE</v>
      </c>
      <c r="I426" s="260" t="str">
        <f>[1]BASE!I429</f>
        <v>10.102.000</v>
      </c>
    </row>
    <row r="427" spans="1:9" x14ac:dyDescent="0.25">
      <c r="A427" s="257" t="str">
        <f>[1]BASE!A430</f>
        <v>REJANE INNECCO DA COSTA</v>
      </c>
      <c r="B427" s="258">
        <f>[1]BASE!B430</f>
        <v>2078133</v>
      </c>
      <c r="C427" s="257" t="str">
        <f>[1]BASE!C430</f>
        <v>Sem Cargo/Emprego</v>
      </c>
      <c r="D427" s="258" t="str">
        <f>[1]BASE!D430</f>
        <v>Sem Vínculo</v>
      </c>
      <c r="E427" s="257" t="str">
        <f>[1]BASE!E430</f>
        <v>Sem Vínculo</v>
      </c>
      <c r="F427" s="258" t="str">
        <f>[1]BASE!F430</f>
        <v>DAS 102.3</v>
      </c>
      <c r="G427" s="258" t="str">
        <f>[1]BASE!G430</f>
        <v xml:space="preserve"> </v>
      </c>
      <c r="H427" s="257" t="str">
        <f>[1]BASE!H430</f>
        <v>ASSESSORIA ESPECIAL DE CONTROLE INTERNO - AECI</v>
      </c>
      <c r="I427" s="260" t="str">
        <f>[1]BASE!I430</f>
        <v>5.000.000</v>
      </c>
    </row>
    <row r="428" spans="1:9" x14ac:dyDescent="0.25">
      <c r="A428" s="257" t="str">
        <f>[1]BASE!A431</f>
        <v>RENATA BECKERT ISFER</v>
      </c>
      <c r="B428" s="258">
        <f>[1]BASE!B431</f>
        <v>1585328</v>
      </c>
      <c r="C428" s="257" t="str">
        <f>[1]BASE!C431</f>
        <v>Procuradora Federal</v>
      </c>
      <c r="D428" s="258" t="str">
        <f>[1]BASE!D431</f>
        <v>Exercício Descentralizado</v>
      </c>
      <c r="E428" s="257" t="str">
        <f>[1]BASE!E431</f>
        <v>AGU - Advocacia Geral da União</v>
      </c>
      <c r="F428" s="258" t="str">
        <f>[1]BASE!F431</f>
        <v>DAS 102.4</v>
      </c>
      <c r="G428" s="258" t="str">
        <f>[1]BASE!G431</f>
        <v xml:space="preserve"> </v>
      </c>
      <c r="H428" s="257" t="str">
        <f>[1]BASE!H431</f>
        <v>SPG / CHEFIA DE GABINETE SPG</v>
      </c>
      <c r="I428" s="260" t="str">
        <f>[1]BASE!I431</f>
        <v>11.100.000</v>
      </c>
    </row>
    <row r="429" spans="1:9" x14ac:dyDescent="0.25">
      <c r="A429" s="257" t="str">
        <f>[1]BASE!A432</f>
        <v>RENATA ROSADA DA SILVA</v>
      </c>
      <c r="B429" s="258">
        <f>[1]BASE!B432</f>
        <v>1522238</v>
      </c>
      <c r="C429" s="257" t="str">
        <f>[1]BASE!C432</f>
        <v>Especialista em Regulação de Serv Púb de Energia</v>
      </c>
      <c r="D429" s="258" t="str">
        <f>[1]BASE!D432</f>
        <v>Requisitado de Órgãos</v>
      </c>
      <c r="E429" s="257" t="str">
        <f>[1]BASE!E432</f>
        <v>ANEEL - Agência Nacional de Energia Elétrica</v>
      </c>
      <c r="F429" s="258" t="str">
        <f>[1]BASE!F432</f>
        <v>DAS 101.5</v>
      </c>
      <c r="G429" s="258" t="str">
        <f>[1]BASE!G432</f>
        <v xml:space="preserve"> </v>
      </c>
      <c r="H429" s="257" t="str">
        <f>[1]BASE!H432</f>
        <v>ASSESSORIA ESPECIAL DE ASSUNTOS ECONÔMICOS - ASSEC</v>
      </c>
      <c r="I429" s="260" t="str">
        <f>[1]BASE!I432</f>
        <v>6.000.000</v>
      </c>
    </row>
    <row r="430" spans="1:9" x14ac:dyDescent="0.25">
      <c r="A430" s="257" t="str">
        <f>[1]BASE!A433</f>
        <v>RENATA SANCHES DE OLIVEIRA MOURA</v>
      </c>
      <c r="B430" s="258">
        <f>[1]BASE!B433</f>
        <v>2008083</v>
      </c>
      <c r="C430" s="257" t="str">
        <f>[1]BASE!C433</f>
        <v>Assistente em Ciência e Tecnologia</v>
      </c>
      <c r="D430" s="258" t="str">
        <f>[1]BASE!D433</f>
        <v>Requisitado de Órgãos</v>
      </c>
      <c r="E430" s="257" t="str">
        <f>[1]BASE!E433</f>
        <v>MCTIC - Ministério da Ciência, Tecnologia, Inovações e Comunicações</v>
      </c>
      <c r="F430" s="258" t="str">
        <f>[1]BASE!F433</f>
        <v>FGR 1</v>
      </c>
      <c r="G430" s="258" t="str">
        <f>[1]BASE!G433</f>
        <v>GSISTE Intermediário</v>
      </c>
      <c r="H430" s="257" t="str">
        <f>[1]BASE!H433</f>
        <v>SE / SPOA / CGRH / COORDENAÇÃO DE DESENVOLVIMENTO E SEGURIDADE SOCIAL - CODES</v>
      </c>
      <c r="I430" s="260" t="str">
        <f>[1]BASE!I433</f>
        <v>8.105.220</v>
      </c>
    </row>
    <row r="431" spans="1:9" x14ac:dyDescent="0.25">
      <c r="A431" s="257" t="str">
        <f>[1]BASE!A434</f>
        <v>RENATO DE SOUSA ALVES</v>
      </c>
      <c r="B431" s="258">
        <f>[1]BASE!B434</f>
        <v>452183</v>
      </c>
      <c r="C431" s="257" t="str">
        <f>[1]BASE!C434</f>
        <v>Agente de Vigilância</v>
      </c>
      <c r="D431" s="258" t="str">
        <f>[1]BASE!D434</f>
        <v>Ativo Permanente</v>
      </c>
      <c r="E431" s="257" t="str">
        <f>[1]BASE!E434</f>
        <v>MME - Ministério de Minas e Energia</v>
      </c>
      <c r="F431" s="258" t="str">
        <f>[1]BASE!F434</f>
        <v xml:space="preserve"> </v>
      </c>
      <c r="G431" s="258" t="str">
        <f>[1]BASE!G434</f>
        <v>GSISTE Intermediário</v>
      </c>
      <c r="H431" s="257" t="str">
        <f>[1]BASE!H434</f>
        <v>SE / SPOA / CGRL / COORDENAÇÃO DE ADMINISTRAÇÃO DE MATERIAL E EXECUÇÃO FINANCEIRA - COMEF</v>
      </c>
      <c r="I431" s="260" t="str">
        <f>[1]BASE!I434</f>
        <v>8.105.110</v>
      </c>
    </row>
    <row r="432" spans="1:9" x14ac:dyDescent="0.25">
      <c r="A432" s="257" t="str">
        <f>[1]BASE!A435</f>
        <v>RICARDO DA COSTA RIBEIRO</v>
      </c>
      <c r="B432" s="258">
        <f>[1]BASE!B435</f>
        <v>2049106</v>
      </c>
      <c r="C432" s="257" t="str">
        <f>[1]BASE!C435</f>
        <v>Analista de Infraestrutura</v>
      </c>
      <c r="D432" s="258" t="str">
        <f>[1]BASE!D435</f>
        <v>Exercício Descentralizado</v>
      </c>
      <c r="E432" s="257" t="str">
        <f>[1]BASE!E435</f>
        <v>ME - Ministério da Economia</v>
      </c>
      <c r="F432" s="258" t="str">
        <f>[1]BASE!F435</f>
        <v>FGR 1</v>
      </c>
      <c r="G432" s="258" t="str">
        <f>[1]BASE!G435</f>
        <v xml:space="preserve"> </v>
      </c>
      <c r="H432" s="257" t="str">
        <f>[1]BASE!H435</f>
        <v>SE / ASSESSORIA ESPECIAL DE MEIO AMBIENTE - AESA</v>
      </c>
      <c r="I432" s="260" t="str">
        <f>[1]BASE!I435</f>
        <v>8.104.000</v>
      </c>
    </row>
    <row r="433" spans="1:9" x14ac:dyDescent="0.25">
      <c r="A433" s="257" t="str">
        <f>[1]BASE!A436</f>
        <v>RICARDO DE PAULA MONTEIRO</v>
      </c>
      <c r="B433" s="258">
        <f>[1]BASE!B436</f>
        <v>2506322</v>
      </c>
      <c r="C433" s="257" t="str">
        <f>[1]BASE!C436</f>
        <v>Sem Cargo/Emprego</v>
      </c>
      <c r="D433" s="258" t="str">
        <f>[1]BASE!D436</f>
        <v>Sem Vínculo</v>
      </c>
      <c r="E433" s="257" t="str">
        <f>[1]BASE!E436</f>
        <v>Sem Vínculo</v>
      </c>
      <c r="F433" s="258" t="str">
        <f>[1]BASE!F436</f>
        <v>DAS 101.5</v>
      </c>
      <c r="G433" s="258" t="str">
        <f>[1]BASE!G436</f>
        <v xml:space="preserve"> </v>
      </c>
      <c r="H433" s="257" t="str">
        <f>[1]BASE!H436</f>
        <v>SGM / DEPARTAMENTO DE GESTÃO DAS POLÍTICAS DE GEOLOGIA, MINERAÇÃOE TRANSFORMAÇÃO - DPGM</v>
      </c>
      <c r="I433" s="260" t="str">
        <f>[1]BASE!I436</f>
        <v>9.101.000</v>
      </c>
    </row>
    <row r="434" spans="1:9" x14ac:dyDescent="0.25">
      <c r="A434" s="257" t="str">
        <f>[1]BASE!A437</f>
        <v>RICARDO JOSE SOUZA NASCIMENTO SILVA</v>
      </c>
      <c r="B434" s="258">
        <f>[1]BASE!B437</f>
        <v>1668601</v>
      </c>
      <c r="C434" s="257" t="str">
        <f>[1]BASE!C437</f>
        <v>Codificador de Dados I</v>
      </c>
      <c r="D434" s="258" t="str">
        <f>[1]BASE!D437</f>
        <v>Anistiado MME</v>
      </c>
      <c r="E434" s="257" t="str">
        <f>[1]BASE!E437</f>
        <v>MME - Ministério de Minas e Energia</v>
      </c>
      <c r="F434" s="258" t="str">
        <f>[1]BASE!F437</f>
        <v xml:space="preserve"> </v>
      </c>
      <c r="G434" s="258" t="str">
        <f>[1]BASE!G437</f>
        <v xml:space="preserve"> </v>
      </c>
      <c r="H434" s="257" t="str">
        <f>[1]BASE!H437</f>
        <v>Aguardando Lotação/Exercício</v>
      </c>
      <c r="I434" s="260" t="str">
        <f>[1]BASE!I437</f>
        <v>88.000.000</v>
      </c>
    </row>
    <row r="435" spans="1:9" x14ac:dyDescent="0.25">
      <c r="A435" s="257" t="str">
        <f>[1]BASE!A438</f>
        <v>RICARDO RIOS CARDOSO</v>
      </c>
      <c r="B435" s="258">
        <f>[1]BASE!B438</f>
        <v>1243779</v>
      </c>
      <c r="C435" s="257" t="str">
        <f>[1]BASE!C438</f>
        <v>Economista III</v>
      </c>
      <c r="D435" s="258" t="str">
        <f>[1]BASE!D438</f>
        <v>Anistiado MME</v>
      </c>
      <c r="E435" s="257" t="str">
        <f>[1]BASE!E438</f>
        <v>MME - Ministério de Minas e Energia</v>
      </c>
      <c r="F435" s="258" t="str">
        <f>[1]BASE!F438</f>
        <v xml:space="preserve"> </v>
      </c>
      <c r="G435" s="258" t="str">
        <f>[1]BASE!G438</f>
        <v xml:space="preserve"> </v>
      </c>
      <c r="H435" s="257" t="str">
        <f>[1]BASE!H438</f>
        <v>SE / AEGP / COORDENAÇÃO GERAL DE GESTÃO DE PROJETOS - CGGP</v>
      </c>
      <c r="I435" s="260" t="str">
        <f>[1]BASE!I438</f>
        <v>8.103.200</v>
      </c>
    </row>
    <row r="436" spans="1:9" x14ac:dyDescent="0.25">
      <c r="A436" s="257" t="str">
        <f>[1]BASE!A439</f>
        <v>RICARDO TAKEMITSU SIMABUKU</v>
      </c>
      <c r="B436" s="258">
        <f>[1]BASE!B439</f>
        <v>3353174</v>
      </c>
      <c r="C436" s="257" t="str">
        <f>[1]BASE!C439</f>
        <v>Especialista em Política Pública e Gestão Governamental</v>
      </c>
      <c r="D436" s="258" t="str">
        <f>[1]BASE!D439</f>
        <v>Requisitado de Órgãos</v>
      </c>
      <c r="E436" s="257" t="str">
        <f>[1]BASE!E439</f>
        <v>ME - Ministério da Economia</v>
      </c>
      <c r="F436" s="258" t="str">
        <f>[1]BASE!F439</f>
        <v>DAS 101.4</v>
      </c>
      <c r="G436" s="258" t="str">
        <f>[1]BASE!G439</f>
        <v xml:space="preserve"> </v>
      </c>
      <c r="H436" s="257" t="str">
        <f>[1]BASE!H439</f>
        <v>SE / CHEFIA DE GABINETE SE</v>
      </c>
      <c r="I436" s="260" t="str">
        <f>[1]BASE!I439</f>
        <v>8.100.000</v>
      </c>
    </row>
    <row r="437" spans="1:9" x14ac:dyDescent="0.25">
      <c r="A437" s="257" t="str">
        <f>[1]BASE!A440</f>
        <v>RITA ALVES SILVA</v>
      </c>
      <c r="B437" s="258">
        <f>[1]BASE!B440</f>
        <v>3441178</v>
      </c>
      <c r="C437" s="257" t="str">
        <f>[1]BASE!C440</f>
        <v>Analista de Infraestrutura</v>
      </c>
      <c r="D437" s="258" t="str">
        <f>[1]BASE!D440</f>
        <v>Exercício Descentralizado</v>
      </c>
      <c r="E437" s="257" t="str">
        <f>[1]BASE!E440</f>
        <v>ME - Ministério da Economia</v>
      </c>
      <c r="F437" s="258" t="str">
        <f>[1]BASE!F440</f>
        <v>FCPE 101.4</v>
      </c>
      <c r="G437" s="258" t="str">
        <f>[1]BASE!G440</f>
        <v xml:space="preserve"> </v>
      </c>
      <c r="H437" s="257" t="str">
        <f>[1]BASE!H440</f>
        <v xml:space="preserve">SE / AESA / COORDENAÇÃO GERAL DE ARTICULAÇÃO INSTITUCIONAL EM MEIO AMBIENTE - </v>
      </c>
      <c r="I437" s="260" t="str">
        <f>[1]BASE!I440</f>
        <v>8.104.200</v>
      </c>
    </row>
    <row r="438" spans="1:9" x14ac:dyDescent="0.25">
      <c r="A438" s="257" t="str">
        <f>[1]BASE!A441</f>
        <v>RITA MARIA DE OLIVEIRA CAMPOS</v>
      </c>
      <c r="B438" s="258">
        <f>[1]BASE!B441</f>
        <v>1669890</v>
      </c>
      <c r="C438" s="257" t="str">
        <f>[1]BASE!C441</f>
        <v>Auxiliar de Processamento</v>
      </c>
      <c r="D438" s="258" t="str">
        <f>[1]BASE!D441</f>
        <v>Anistiado MME</v>
      </c>
      <c r="E438" s="257" t="str">
        <f>[1]BASE!E441</f>
        <v>MME - Ministério de Minas e Energia</v>
      </c>
      <c r="F438" s="258" t="str">
        <f>[1]BASE!F441</f>
        <v xml:space="preserve"> </v>
      </c>
      <c r="G438" s="258" t="str">
        <f>[1]BASE!G441</f>
        <v xml:space="preserve"> </v>
      </c>
      <c r="H438" s="257" t="str">
        <f>[1]BASE!H441</f>
        <v>SE / SPOA / CGRH / COORDENAÇÃO DE DESENVOLVIMENTO E SEGURIDADE SOCIAL - CODES</v>
      </c>
      <c r="I438" s="260" t="str">
        <f>[1]BASE!I441</f>
        <v>8.105.220</v>
      </c>
    </row>
    <row r="439" spans="1:9" x14ac:dyDescent="0.25">
      <c r="A439" s="257" t="str">
        <f>[1]BASE!A442</f>
        <v>ROBERTO BENVINDO DE OLIVEIRA</v>
      </c>
      <c r="B439" s="258">
        <f>[1]BASE!B442</f>
        <v>1795431</v>
      </c>
      <c r="C439" s="257" t="str">
        <f>[1]BASE!C442</f>
        <v>Analista Técnico Administrativo</v>
      </c>
      <c r="D439" s="258" t="str">
        <f>[1]BASE!D442</f>
        <v>Requisitado de Órgãos</v>
      </c>
      <c r="E439" s="257" t="str">
        <f>[1]BASE!E442</f>
        <v>MDR - Ministério do Desenvolvimento Regional</v>
      </c>
      <c r="F439" s="258" t="str">
        <f>[1]BASE!F442</f>
        <v xml:space="preserve"> </v>
      </c>
      <c r="G439" s="258" t="str">
        <f>[1]BASE!G442</f>
        <v>GSISTE Superior</v>
      </c>
      <c r="H439" s="257" t="str">
        <f>[1]BASE!H442</f>
        <v xml:space="preserve">SE / SPOA / CGTI / COORDENAÇÃO DE INFRAESTRUTURA TECNOLÓGICA - </v>
      </c>
      <c r="I439" s="260" t="str">
        <f>[1]BASE!I442</f>
        <v>8.105.310</v>
      </c>
    </row>
    <row r="440" spans="1:9" x14ac:dyDescent="0.25">
      <c r="A440" s="257" t="str">
        <f>[1]BASE!A443</f>
        <v>ROBERTO PINHEIRO KLEIN JUNIOR</v>
      </c>
      <c r="B440" s="258">
        <f>[1]BASE!B443</f>
        <v>3084880</v>
      </c>
      <c r="C440" s="257" t="str">
        <f>[1]BASE!C443</f>
        <v>Sem Cargo/Emprego</v>
      </c>
      <c r="D440" s="258" t="str">
        <f>[1]BASE!D443</f>
        <v>Sem Vínculo</v>
      </c>
      <c r="E440" s="257" t="str">
        <f>[1]BASE!E443</f>
        <v>Sem Vínculo</v>
      </c>
      <c r="F440" s="258" t="str">
        <f>[1]BASE!F443</f>
        <v>DAS 101.5</v>
      </c>
      <c r="G440" s="258" t="str">
        <f>[1]BASE!G443</f>
        <v xml:space="preserve"> </v>
      </c>
      <c r="H440" s="257" t="str">
        <f>[1]BASE!H443</f>
        <v>ASSESSORIA ESPECIAL DE ACOMPANHAMENTO DE POLÍTICAS, ESTRATÉGIAS E DESEMPENHO SETORIAL - AEPED</v>
      </c>
      <c r="I440" s="260" t="str">
        <f>[1]BASE!I443</f>
        <v>4.000.000</v>
      </c>
    </row>
    <row r="441" spans="1:9" x14ac:dyDescent="0.25">
      <c r="A441" s="257" t="str">
        <f>[1]BASE!A444</f>
        <v>ROBSON REIS CANEDO</v>
      </c>
      <c r="B441" s="258">
        <f>[1]BASE!B444</f>
        <v>453028</v>
      </c>
      <c r="C441" s="257" t="str">
        <f>[1]BASE!C444</f>
        <v>Agente Administrativo</v>
      </c>
      <c r="D441" s="258" t="str">
        <f>[1]BASE!D444</f>
        <v>Ativo Permanente</v>
      </c>
      <c r="E441" s="257" t="str">
        <f>[1]BASE!E444</f>
        <v>MME - Ministério de Minas e Energia</v>
      </c>
      <c r="F441" s="258" t="str">
        <f>[1]BASE!F444</f>
        <v>FCPE 102.2</v>
      </c>
      <c r="G441" s="258" t="str">
        <f>[1]BASE!G444</f>
        <v xml:space="preserve"> </v>
      </c>
      <c r="H441" s="257" t="str">
        <f>[1]BASE!H444</f>
        <v>SGM / DEPARTAMENTO DE TRANSFORMAÇÃO E TECNOLOGIA MINERAL - DTTM</v>
      </c>
      <c r="I441" s="260" t="str">
        <f>[1]BASE!I444</f>
        <v>9.103.000</v>
      </c>
    </row>
    <row r="442" spans="1:9" x14ac:dyDescent="0.25">
      <c r="A442" s="257" t="str">
        <f>[1]BASE!A445</f>
        <v>RODOLFO ZAMIAN DANILOW</v>
      </c>
      <c r="B442" s="258">
        <f>[1]BASE!B445</f>
        <v>3132532</v>
      </c>
      <c r="C442" s="257" t="str">
        <f>[1]BASE!C445</f>
        <v>Sem Cargo/Emprego</v>
      </c>
      <c r="D442" s="258" t="str">
        <f>[1]BASE!D445</f>
        <v>Sem Vínculo</v>
      </c>
      <c r="E442" s="257" t="str">
        <f>[1]BASE!E445</f>
        <v>Sem Vínculo</v>
      </c>
      <c r="F442" s="258" t="str">
        <f>[1]BASE!F445</f>
        <v>DAS 101.4</v>
      </c>
      <c r="G442" s="258" t="str">
        <f>[1]BASE!G445</f>
        <v xml:space="preserve"> </v>
      </c>
      <c r="H442" s="257" t="str">
        <f>[1]BASE!H445</f>
        <v>SPE / DIEE / COORDENAÇÃO GERAL DE INFORMAÇÕES ENERGÉTICAS</v>
      </c>
      <c r="I442" s="260" t="str">
        <f>[1]BASE!I445</f>
        <v>10.104.100</v>
      </c>
    </row>
    <row r="443" spans="1:9" x14ac:dyDescent="0.25">
      <c r="A443" s="257" t="str">
        <f>[1]BASE!A446</f>
        <v>RODRIGO DANIEL MENDES FORNARI</v>
      </c>
      <c r="B443" s="258">
        <f>[1]BASE!B446</f>
        <v>1938932</v>
      </c>
      <c r="C443" s="257" t="str">
        <f>[1]BASE!C446</f>
        <v>Engenheiro</v>
      </c>
      <c r="D443" s="258" t="str">
        <f>[1]BASE!D446</f>
        <v>Requisitado de Empresa</v>
      </c>
      <c r="E443" s="257" t="str">
        <f>[1]BASE!E446</f>
        <v>ELETROSUL - Companhia de Geração e Transmissão de Energia Elétrica do Sul do Brasil</v>
      </c>
      <c r="F443" s="258" t="str">
        <f>[1]BASE!F446</f>
        <v>DAS 101.5</v>
      </c>
      <c r="G443" s="258" t="str">
        <f>[1]BASE!G446</f>
        <v xml:space="preserve"> </v>
      </c>
      <c r="H443" s="257" t="str">
        <f>[1]BASE!H446</f>
        <v>SEE / CHEFIA DE GABINETE SEE</v>
      </c>
      <c r="I443" s="260" t="str">
        <f>[1]BASE!I446</f>
        <v>12.100.000</v>
      </c>
    </row>
    <row r="444" spans="1:9" x14ac:dyDescent="0.25">
      <c r="A444" s="257" t="str">
        <f>[1]BASE!A447</f>
        <v>RODRIGO DE CARVALHO MATOS</v>
      </c>
      <c r="B444" s="258">
        <f>[1]BASE!B447</f>
        <v>1520561</v>
      </c>
      <c r="C444" s="257" t="str">
        <f>[1]BASE!C447</f>
        <v>Sem Cargo/Emprego</v>
      </c>
      <c r="D444" s="258" t="str">
        <f>[1]BASE!D447</f>
        <v>Sem Vínculo</v>
      </c>
      <c r="E444" s="257" t="str">
        <f>[1]BASE!E447</f>
        <v>Sem Vínculo</v>
      </c>
      <c r="F444" s="258" t="str">
        <f>[1]BASE!F447</f>
        <v>DAS 101.3</v>
      </c>
      <c r="G444" s="258" t="str">
        <f>[1]BASE!G447</f>
        <v xml:space="preserve"> </v>
      </c>
      <c r="H444" s="257" t="str">
        <f>[1]BASE!H447</f>
        <v>SE / AEGP / CGPF / COORDENAÇÃO ADMINISTRATIVA</v>
      </c>
      <c r="I444" s="260" t="str">
        <f>[1]BASE!I447</f>
        <v>8.103.110</v>
      </c>
    </row>
    <row r="445" spans="1:9" x14ac:dyDescent="0.25">
      <c r="A445" s="257" t="str">
        <f>[1]BASE!A448</f>
        <v>RODRIGO LIMP NASCIMENTO</v>
      </c>
      <c r="B445" s="258">
        <f>[1]BASE!B448</f>
        <v>1559968</v>
      </c>
      <c r="C445" s="257" t="str">
        <f>[1]BASE!C448</f>
        <v>Analista Legislativo</v>
      </c>
      <c r="D445" s="258" t="str">
        <f>[1]BASE!D448</f>
        <v>Requisitado de Órgãos</v>
      </c>
      <c r="E445" s="257" t="str">
        <f>[1]BASE!E448</f>
        <v xml:space="preserve">Câmara dos Deputados </v>
      </c>
      <c r="F445" s="258" t="str">
        <f>[1]BASE!F448</f>
        <v>DAS 101.6</v>
      </c>
      <c r="G445" s="258" t="str">
        <f>[1]BASE!G448</f>
        <v xml:space="preserve"> </v>
      </c>
      <c r="H445" s="257" t="str">
        <f>[1]BASE!H448</f>
        <v>SECRETARIA DE ENERGIA ELÉTRICA - SEE</v>
      </c>
      <c r="I445" s="260" t="str">
        <f>[1]BASE!I448</f>
        <v>12.000.000</v>
      </c>
    </row>
    <row r="446" spans="1:9" x14ac:dyDescent="0.25">
      <c r="A446" s="257" t="str">
        <f>[1]BASE!A449</f>
        <v>RODRIGO SANTANA</v>
      </c>
      <c r="B446" s="258">
        <f>[1]BASE!B449</f>
        <v>1510926</v>
      </c>
      <c r="C446" s="257" t="str">
        <f>[1]BASE!C449</f>
        <v>Especialista em Regulação de Serv Púb de Energia</v>
      </c>
      <c r="D446" s="258" t="str">
        <f>[1]BASE!D449</f>
        <v>Requisitado de Órgãos</v>
      </c>
      <c r="E446" s="257" t="str">
        <f>[1]BASE!E449</f>
        <v>ANEEL - Agência Nacional de Energia Elétrica</v>
      </c>
      <c r="F446" s="258" t="str">
        <f>[1]BASE!F449</f>
        <v>DAS 101.5</v>
      </c>
      <c r="G446" s="258" t="str">
        <f>[1]BASE!G449</f>
        <v xml:space="preserve"> </v>
      </c>
      <c r="H446" s="257" t="str">
        <f>[1]BASE!H449</f>
        <v>SEE / DEPARTAMENTO DE POLÍTICAS SOCIAIS E UNIVERSALIZAÇÃO DO ACESSO À ENERGIA ELÉTRICA - DPUE</v>
      </c>
      <c r="I446" s="260" t="str">
        <f>[1]BASE!I449</f>
        <v>12.103.000</v>
      </c>
    </row>
    <row r="447" spans="1:9" x14ac:dyDescent="0.25">
      <c r="A447" s="257" t="str">
        <f>[1]BASE!A450</f>
        <v>ROGÉRIO GUEDES DA SILVA</v>
      </c>
      <c r="B447" s="258">
        <f>[1]BASE!B450</f>
        <v>3661905</v>
      </c>
      <c r="C447" s="257" t="str">
        <f>[1]BASE!C450</f>
        <v>Analista de Infraestrutura</v>
      </c>
      <c r="D447" s="258" t="str">
        <f>[1]BASE!D450</f>
        <v>Exercício Descentralizado</v>
      </c>
      <c r="E447" s="257" t="str">
        <f>[1]BASE!E450</f>
        <v>ME - Ministério da Economia</v>
      </c>
      <c r="F447" s="258" t="str">
        <f>[1]BASE!F450</f>
        <v>FCPE 102.2</v>
      </c>
      <c r="G447" s="258" t="str">
        <f>[1]BASE!G450</f>
        <v xml:space="preserve"> </v>
      </c>
      <c r="H447" s="257" t="str">
        <f>[1]BASE!H450</f>
        <v>SPE / DOC / COORDENAÇÃO GERAL DE OUTORGAS DE SERVIÇOS DE TRANSMISSÃO E DISTRIBUIÇÃO DE ENERGIA</v>
      </c>
      <c r="I447" s="260" t="str">
        <f>[1]BASE!I450</f>
        <v>10.103.200</v>
      </c>
    </row>
    <row r="448" spans="1:9" x14ac:dyDescent="0.25">
      <c r="A448" s="257" t="str">
        <f>[1]BASE!A451</f>
        <v>ROGERIO SOUZA TAVARES</v>
      </c>
      <c r="B448" s="258">
        <f>[1]BASE!B451</f>
        <v>3658274</v>
      </c>
      <c r="C448" s="257" t="str">
        <f>[1]BASE!C451</f>
        <v>Analista de Infraestrutura</v>
      </c>
      <c r="D448" s="258" t="str">
        <f>[1]BASE!D451</f>
        <v>Exercício Descentralizado</v>
      </c>
      <c r="E448" s="257" t="str">
        <f>[1]BASE!E451</f>
        <v>ME - Ministério da Economia</v>
      </c>
      <c r="F448" s="258" t="str">
        <f>[1]BASE!F451</f>
        <v>DAS 101.4</v>
      </c>
      <c r="G448" s="258" t="str">
        <f>[1]BASE!G451</f>
        <v xml:space="preserve"> </v>
      </c>
      <c r="H448" s="257" t="str">
        <f>[1]BASE!H451</f>
        <v>SPE / DOC / COORDENAÇÃO GERAL DE OUTORGAS DE GERAÇÃO DE ENERGIA ELÉTRICA</v>
      </c>
      <c r="I448" s="260" t="str">
        <f>[1]BASE!I451</f>
        <v>10.103.100</v>
      </c>
    </row>
    <row r="449" spans="1:9" x14ac:dyDescent="0.25">
      <c r="A449" s="257" t="str">
        <f>[1]BASE!A452</f>
        <v>ROLIANA DE SOUSA ARAÚJO LEMOS</v>
      </c>
      <c r="B449" s="258">
        <f>[1]BASE!B452</f>
        <v>1586366</v>
      </c>
      <c r="C449" s="257" t="str">
        <f>[1]BASE!C452</f>
        <v>Escriturário</v>
      </c>
      <c r="D449" s="258" t="str">
        <f>[1]BASE!D452</f>
        <v>Anistiado MME</v>
      </c>
      <c r="E449" s="257" t="str">
        <f>[1]BASE!E452</f>
        <v>MME - Ministério de Minas e Energia</v>
      </c>
      <c r="F449" s="258" t="str">
        <f>[1]BASE!F452</f>
        <v>DAS 101.2</v>
      </c>
      <c r="G449" s="258" t="str">
        <f>[1]BASE!G452</f>
        <v xml:space="preserve"> </v>
      </c>
      <c r="H449" s="257" t="str">
        <f>[1]BASE!H452</f>
        <v>SE / SPOA / CGRH / COORDENAÇÃO DE DESENVOLVIMENTO E SEGURIDADE SOCIAL - CODES</v>
      </c>
      <c r="I449" s="260" t="str">
        <f>[1]BASE!I452</f>
        <v>8.105.220</v>
      </c>
    </row>
    <row r="450" spans="1:9" x14ac:dyDescent="0.25">
      <c r="A450" s="257" t="str">
        <f>[1]BASE!A453</f>
        <v>ROMUALDO GOULART ARNOLDO</v>
      </c>
      <c r="B450" s="258">
        <f>[1]BASE!B453</f>
        <v>454706</v>
      </c>
      <c r="C450" s="257" t="str">
        <f>[1]BASE!C453</f>
        <v>Agente Administrativo</v>
      </c>
      <c r="D450" s="258" t="str">
        <f>[1]BASE!D453</f>
        <v>Ativo Permanente</v>
      </c>
      <c r="E450" s="257" t="str">
        <f>[1]BASE!E453</f>
        <v>MME - Ministério de Minas e Energia</v>
      </c>
      <c r="F450" s="258" t="str">
        <f>[1]BASE!F453</f>
        <v xml:space="preserve"> </v>
      </c>
      <c r="G450" s="258" t="str">
        <f>[1]BASE!G453</f>
        <v xml:space="preserve"> </v>
      </c>
      <c r="H450" s="257" t="str">
        <f>[1]BASE!H453</f>
        <v>SE / SPOA / COORDENAÇÃO GERAL DE RECURSOS HUMANOS - CGRH</v>
      </c>
      <c r="I450" s="260" t="str">
        <f>[1]BASE!I453</f>
        <v>8.105.200</v>
      </c>
    </row>
    <row r="451" spans="1:9" x14ac:dyDescent="0.25">
      <c r="A451" s="257" t="str">
        <f>[1]BASE!A454</f>
        <v>RONAN PINTO DE ARAUJO</v>
      </c>
      <c r="B451" s="258">
        <f>[1]BASE!B454</f>
        <v>1670307</v>
      </c>
      <c r="C451" s="257" t="str">
        <f>[1]BASE!C454</f>
        <v>Assistente Administrativo</v>
      </c>
      <c r="D451" s="258" t="str">
        <f>[1]BASE!D454</f>
        <v>Anistiado MME</v>
      </c>
      <c r="E451" s="257" t="str">
        <f>[1]BASE!E454</f>
        <v>MME - Ministério de Minas e Energia</v>
      </c>
      <c r="F451" s="258" t="str">
        <f>[1]BASE!F454</f>
        <v xml:space="preserve"> </v>
      </c>
      <c r="G451" s="258" t="str">
        <f>[1]BASE!G454</f>
        <v xml:space="preserve"> </v>
      </c>
      <c r="H451" s="257" t="str">
        <f>[1]BASE!H454</f>
        <v>SEE / DPUE / COORDENAÇÃO GERAL DE DESENVOLVIMENTO DE POLÍTICAS SOCIAIS</v>
      </c>
      <c r="I451" s="260" t="str">
        <f>[1]BASE!I454</f>
        <v>12.103.100</v>
      </c>
    </row>
    <row r="452" spans="1:9" x14ac:dyDescent="0.25">
      <c r="A452" s="257" t="str">
        <f>[1]BASE!A455</f>
        <v>RONNY JOSE PEIXOTO</v>
      </c>
      <c r="B452" s="258">
        <f>[1]BASE!B455</f>
        <v>1314783</v>
      </c>
      <c r="C452" s="257" t="str">
        <f>[1]BASE!C455</f>
        <v>Analista de Infraestrutura</v>
      </c>
      <c r="D452" s="258" t="str">
        <f>[1]BASE!D455</f>
        <v>Exercício Descentralizado</v>
      </c>
      <c r="E452" s="257" t="str">
        <f>[1]BASE!E455</f>
        <v>ME - Ministério da Economia</v>
      </c>
      <c r="F452" s="258" t="str">
        <f>[1]BASE!F455</f>
        <v xml:space="preserve"> </v>
      </c>
      <c r="G452" s="258" t="str">
        <f>[1]BASE!G455</f>
        <v xml:space="preserve"> </v>
      </c>
      <c r="H452" s="257" t="str">
        <f>[1]BASE!H455</f>
        <v>SPG / DEPARTAMENTO DE COMBUSTÍVEIS DERIVADOS DE PETRÓLEOS - DCDP</v>
      </c>
      <c r="I452" s="260" t="str">
        <f>[1]BASE!I455</f>
        <v>11.103.000</v>
      </c>
    </row>
    <row r="453" spans="1:9" x14ac:dyDescent="0.25">
      <c r="A453" s="257" t="str">
        <f>[1]BASE!A456</f>
        <v>ROSA MARIA PONTES DA CUNHA</v>
      </c>
      <c r="B453" s="258">
        <f>[1]BASE!B456</f>
        <v>455957</v>
      </c>
      <c r="C453" s="257" t="str">
        <f>[1]BASE!C456</f>
        <v>Odontólogo</v>
      </c>
      <c r="D453" s="258" t="str">
        <f>[1]BASE!D456</f>
        <v>Ativo Permanente</v>
      </c>
      <c r="E453" s="257" t="str">
        <f>[1]BASE!E456</f>
        <v>MME - Ministério de Minas e Energia</v>
      </c>
      <c r="F453" s="258" t="str">
        <f>[1]BASE!F456</f>
        <v>FGR 1</v>
      </c>
      <c r="G453" s="258" t="str">
        <f>[1]BASE!G456</f>
        <v>GSISTE Superior</v>
      </c>
      <c r="H453" s="257" t="str">
        <f>[1]BASE!H456</f>
        <v>SE / SPOA / CGRH / COORDENAÇÃO DE DESENVOLVIMENTO E SEGURIDADE SOCIAL - CODES</v>
      </c>
      <c r="I453" s="260" t="str">
        <f>[1]BASE!I456</f>
        <v>8.105.220</v>
      </c>
    </row>
    <row r="454" spans="1:9" x14ac:dyDescent="0.25">
      <c r="A454" s="257" t="str">
        <f>[1]BASE!A457</f>
        <v>ROSA MARIA SCHOOL MARQUES DE ANDRADE MARCET DE OLIVEIRA</v>
      </c>
      <c r="B454" s="258">
        <f>[1]BASE!B457</f>
        <v>3090882</v>
      </c>
      <c r="C454" s="257" t="str">
        <f>[1]BASE!C457</f>
        <v>Sem Cargo/Emprego</v>
      </c>
      <c r="D454" s="258" t="str">
        <f>[1]BASE!D457</f>
        <v>Sem Vínculo</v>
      </c>
      <c r="E454" s="257" t="str">
        <f>[1]BASE!E457</f>
        <v>Sem Vínculo</v>
      </c>
      <c r="F454" s="258" t="str">
        <f>[1]BASE!F457</f>
        <v>DAS 101.4</v>
      </c>
      <c r="G454" s="258" t="str">
        <f>[1]BASE!G457</f>
        <v xml:space="preserve"> </v>
      </c>
      <c r="H454" s="257" t="str">
        <f>[1]BASE!H457</f>
        <v>GM / ASSESSORIA PARLAMENTAR - ASPAR</v>
      </c>
      <c r="I454" s="260" t="str">
        <f>[1]BASE!I457</f>
        <v>2.100.200</v>
      </c>
    </row>
    <row r="455" spans="1:9" x14ac:dyDescent="0.25">
      <c r="A455" s="257" t="str">
        <f>[1]BASE!A458</f>
        <v>ROSANGELA DE FREITAS BARBOSA CESAR</v>
      </c>
      <c r="B455" s="258">
        <f>[1]BASE!B458</f>
        <v>2145181</v>
      </c>
      <c r="C455" s="257" t="str">
        <f>[1]BASE!C458</f>
        <v>Sem Cargo/Emprego</v>
      </c>
      <c r="D455" s="258" t="str">
        <f>[1]BASE!D458</f>
        <v>Sem Vínculo</v>
      </c>
      <c r="E455" s="257" t="str">
        <f>[1]BASE!E458</f>
        <v>Sem Vínculo</v>
      </c>
      <c r="F455" s="258" t="str">
        <f>[1]BASE!F458</f>
        <v>DAS 102.2</v>
      </c>
      <c r="G455" s="258" t="str">
        <f>[1]BASE!G458</f>
        <v xml:space="preserve"> </v>
      </c>
      <c r="H455" s="257" t="str">
        <f>[1]BASE!H458</f>
        <v>CONJUR / CGAA / COORDENAÇÃO DE APOIO ADMINISTRATIVO</v>
      </c>
      <c r="I455" s="260" t="str">
        <f>[1]BASE!I458</f>
        <v>7.100.310</v>
      </c>
    </row>
    <row r="456" spans="1:9" x14ac:dyDescent="0.25">
      <c r="A456" s="257" t="str">
        <f>[1]BASE!A459</f>
        <v>ROSANGELA MOURA DA FONSECA SILVA</v>
      </c>
      <c r="B456" s="258">
        <f>[1]BASE!B459</f>
        <v>451634</v>
      </c>
      <c r="C456" s="257" t="str">
        <f>[1]BASE!C459</f>
        <v>Agente Administrativo</v>
      </c>
      <c r="D456" s="258" t="str">
        <f>[1]BASE!D459</f>
        <v>Ativo Permanente</v>
      </c>
      <c r="E456" s="257" t="str">
        <f>[1]BASE!E459</f>
        <v>MME - Ministério de Minas e Energia</v>
      </c>
      <c r="F456" s="258" t="str">
        <f>[1]BASE!F459</f>
        <v>FCT 5</v>
      </c>
      <c r="G456" s="258" t="str">
        <f>[1]BASE!G459</f>
        <v>GSISTE Intermediário (MPEOF)</v>
      </c>
      <c r="H456" s="257" t="str">
        <f>[1]BASE!H459</f>
        <v>SE / SPOA / CGOF / COORDENAÇÃO DE CONTABILIDADE - CONT</v>
      </c>
      <c r="I456" s="260" t="str">
        <f>[1]BASE!I459</f>
        <v>8.105.520</v>
      </c>
    </row>
    <row r="457" spans="1:9" x14ac:dyDescent="0.25">
      <c r="A457" s="257" t="str">
        <f>[1]BASE!A460</f>
        <v>ROSE MARY DE CARVALHO RODRIGUES</v>
      </c>
      <c r="B457" s="258">
        <f>[1]BASE!B460</f>
        <v>2257292</v>
      </c>
      <c r="C457" s="257" t="str">
        <f>[1]BASE!C460</f>
        <v>Secretária</v>
      </c>
      <c r="D457" s="258" t="str">
        <f>[1]BASE!D460</f>
        <v>Anistiado MME</v>
      </c>
      <c r="E457" s="257" t="str">
        <f>[1]BASE!E460</f>
        <v>MME - Ministério de Minas e Energia</v>
      </c>
      <c r="F457" s="258" t="str">
        <f>[1]BASE!F460</f>
        <v xml:space="preserve"> </v>
      </c>
      <c r="G457" s="258" t="str">
        <f>[1]BASE!G460</f>
        <v xml:space="preserve"> </v>
      </c>
      <c r="H457" s="257" t="str">
        <f>[1]BASE!H460</f>
        <v>Aguardando Lotação/Exercício</v>
      </c>
      <c r="I457" s="260" t="str">
        <f>[1]BASE!I460</f>
        <v>88.000.000</v>
      </c>
    </row>
    <row r="458" spans="1:9" x14ac:dyDescent="0.25">
      <c r="A458" s="257" t="str">
        <f>[1]BASE!A461</f>
        <v>ROSIMEIRE BATISTA FERRO</v>
      </c>
      <c r="B458" s="258">
        <f>[1]BASE!B461</f>
        <v>451848</v>
      </c>
      <c r="C458" s="257" t="str">
        <f>[1]BASE!C461</f>
        <v>Agente Administrativo</v>
      </c>
      <c r="D458" s="258" t="str">
        <f>[1]BASE!D461</f>
        <v>Ativo Permanente</v>
      </c>
      <c r="E458" s="257" t="str">
        <f>[1]BASE!E461</f>
        <v>MME - Ministério de Minas e Energia</v>
      </c>
      <c r="F458" s="258" t="str">
        <f>[1]BASE!F461</f>
        <v>FCT 11</v>
      </c>
      <c r="G458" s="258" t="str">
        <f>[1]BASE!G461</f>
        <v xml:space="preserve"> </v>
      </c>
      <c r="H458" s="257" t="str">
        <f>[1]BASE!H461</f>
        <v>SE / SPOA / CGCC / COORDENAÇÃO DE LICITAÇÕES E COMPRA - CLC</v>
      </c>
      <c r="I458" s="260" t="str">
        <f>[1]BASE!I461</f>
        <v>8.105.420</v>
      </c>
    </row>
    <row r="459" spans="1:9" x14ac:dyDescent="0.25">
      <c r="A459" s="257" t="str">
        <f>[1]BASE!A462</f>
        <v>ROSINETE RODRIGUES DE SOUZA</v>
      </c>
      <c r="B459" s="258">
        <f>[1]BASE!B462</f>
        <v>1716015</v>
      </c>
      <c r="C459" s="257" t="str">
        <f>[1]BASE!C462</f>
        <v>Copeiro</v>
      </c>
      <c r="D459" s="258" t="str">
        <f>[1]BASE!D462</f>
        <v>Anistiado MME</v>
      </c>
      <c r="E459" s="257" t="str">
        <f>[1]BASE!E462</f>
        <v>MME - Ministério de Minas e Energia</v>
      </c>
      <c r="F459" s="258" t="str">
        <f>[1]BASE!F462</f>
        <v xml:space="preserve"> </v>
      </c>
      <c r="G459" s="258" t="str">
        <f>[1]BASE!G462</f>
        <v xml:space="preserve"> </v>
      </c>
      <c r="H459" s="257" t="str">
        <f>[1]BASE!H462</f>
        <v>SE / SPOA / CGRH / COORDENAÇÃO DE DESENVOLVIMENTO E SEGURIDADE SOCIAL - CODES</v>
      </c>
      <c r="I459" s="260" t="str">
        <f>[1]BASE!I462</f>
        <v>8.105.220</v>
      </c>
    </row>
    <row r="460" spans="1:9" x14ac:dyDescent="0.25">
      <c r="A460" s="257" t="str">
        <f>[1]BASE!A463</f>
        <v>ROZANA SANTOS PEREIRA CAIXETA</v>
      </c>
      <c r="B460" s="258">
        <f>[1]BASE!B463</f>
        <v>1454093</v>
      </c>
      <c r="C460" s="257" t="str">
        <f>[1]BASE!C463</f>
        <v>Sem Cargo/Emprego</v>
      </c>
      <c r="D460" s="258" t="str">
        <f>[1]BASE!D463</f>
        <v>Sem Vínculo</v>
      </c>
      <c r="E460" s="257" t="str">
        <f>[1]BASE!E463</f>
        <v>Sem Vínculo</v>
      </c>
      <c r="F460" s="258" t="str">
        <f>[1]BASE!F463</f>
        <v>DAS 102.2</v>
      </c>
      <c r="G460" s="258" t="str">
        <f>[1]BASE!G463</f>
        <v xml:space="preserve"> </v>
      </c>
      <c r="H460" s="257" t="str">
        <f>[1]BASE!H463</f>
        <v>SPG / CHEFIA DE GABINETE SPG</v>
      </c>
      <c r="I460" s="260" t="str">
        <f>[1]BASE!I463</f>
        <v>11.100.000</v>
      </c>
    </row>
    <row r="461" spans="1:9" x14ac:dyDescent="0.25">
      <c r="A461" s="257" t="str">
        <f>[1]BASE!A464</f>
        <v>RUBENS HORACIO FRANCISCO DE ARAUJO</v>
      </c>
      <c r="B461" s="258">
        <f>[1]BASE!B464</f>
        <v>455297</v>
      </c>
      <c r="C461" s="257" t="str">
        <f>[1]BASE!C464</f>
        <v>Agente de Vigilância</v>
      </c>
      <c r="D461" s="258" t="str">
        <f>[1]BASE!D464</f>
        <v>Ativo Permanente</v>
      </c>
      <c r="E461" s="257" t="str">
        <f>[1]BASE!E464</f>
        <v>MME - Ministério de Minas e Energia</v>
      </c>
      <c r="F461" s="258" t="str">
        <f>[1]BASE!F464</f>
        <v>FGR 1</v>
      </c>
      <c r="G461" s="258" t="str">
        <f>[1]BASE!G464</f>
        <v xml:space="preserve"> </v>
      </c>
      <c r="H461" s="257" t="str">
        <f>[1]BASE!H464</f>
        <v>SE / SPOA / CGRL / COORDENAÇÃO DE ATIVIDADES GERAIS - COAGE</v>
      </c>
      <c r="I461" s="260" t="str">
        <f>[1]BASE!I464</f>
        <v>8.105.120</v>
      </c>
    </row>
    <row r="462" spans="1:9" x14ac:dyDescent="0.25">
      <c r="A462" s="257" t="str">
        <f>[1]BASE!A465</f>
        <v>RUBSON JOSE BOAVENTURA</v>
      </c>
      <c r="B462" s="258">
        <f>[1]BASE!B465</f>
        <v>1758894</v>
      </c>
      <c r="C462" s="257" t="str">
        <f>[1]BASE!C465</f>
        <v>Assistente Técnico</v>
      </c>
      <c r="D462" s="258" t="str">
        <f>[1]BASE!D465</f>
        <v>Anistiado MME</v>
      </c>
      <c r="E462" s="257" t="str">
        <f>[1]BASE!E465</f>
        <v>MME - Ministério de Minas e Energia</v>
      </c>
      <c r="F462" s="258" t="str">
        <f>[1]BASE!F465</f>
        <v xml:space="preserve"> </v>
      </c>
      <c r="G462" s="258" t="str">
        <f>[1]BASE!G465</f>
        <v xml:space="preserve"> </v>
      </c>
      <c r="H462" s="257" t="str">
        <f>[1]BASE!H465</f>
        <v>SE / SPOA / CGRL / COORDENAÇÃO DE ATIVIDADES GERAIS - COAGE</v>
      </c>
      <c r="I462" s="260" t="str">
        <f>[1]BASE!I465</f>
        <v>8.105.120</v>
      </c>
    </row>
    <row r="463" spans="1:9" x14ac:dyDescent="0.25">
      <c r="A463" s="257" t="str">
        <f>[1]BASE!A466</f>
        <v>RUTH BERNADETE ARAUJO DE PAULA</v>
      </c>
      <c r="B463" s="258">
        <f>[1]BASE!B466</f>
        <v>1282065</v>
      </c>
      <c r="C463" s="257" t="str">
        <f>[1]BASE!C466</f>
        <v>Auxiliar de Controle</v>
      </c>
      <c r="D463" s="258" t="str">
        <f>[1]BASE!D466</f>
        <v>Anistiado MME</v>
      </c>
      <c r="E463" s="257" t="str">
        <f>[1]BASE!E466</f>
        <v>MME - Ministério de Minas e Energia</v>
      </c>
      <c r="F463" s="258" t="str">
        <f>[1]BASE!F466</f>
        <v>DAS 102.3</v>
      </c>
      <c r="G463" s="258" t="str">
        <f>[1]BASE!G466</f>
        <v xml:space="preserve"> </v>
      </c>
      <c r="H463" s="257" t="str">
        <f>[1]BASE!H466</f>
        <v>SEE / CHEFIA DE GABINETE SEE</v>
      </c>
      <c r="I463" s="260" t="str">
        <f>[1]BASE!I466</f>
        <v>12.100.000</v>
      </c>
    </row>
    <row r="464" spans="1:9" x14ac:dyDescent="0.25">
      <c r="A464" s="257" t="str">
        <f>[1]BASE!A467</f>
        <v>RUTH LEAO ARANTES SANTOS VASCONCELOS</v>
      </c>
      <c r="B464" s="258">
        <f>[1]BASE!B467</f>
        <v>1259418</v>
      </c>
      <c r="C464" s="257" t="str">
        <f>[1]BASE!C467</f>
        <v>Programador de Sistema III</v>
      </c>
      <c r="D464" s="258" t="str">
        <f>[1]BASE!D467</f>
        <v>Anistiado MME</v>
      </c>
      <c r="E464" s="257" t="str">
        <f>[1]BASE!E467</f>
        <v>MME - Ministério de Minas e Energia</v>
      </c>
      <c r="F464" s="258" t="str">
        <f>[1]BASE!F467</f>
        <v xml:space="preserve"> </v>
      </c>
      <c r="G464" s="258" t="str">
        <f>[1]BASE!G467</f>
        <v xml:space="preserve"> </v>
      </c>
      <c r="H464" s="257" t="str">
        <f>[1]BASE!H467</f>
        <v>SE / SPOA / CGCC / COORDENAÇÃO DE LICITAÇÕES E COMPRA - CLC</v>
      </c>
      <c r="I464" s="260" t="str">
        <f>[1]BASE!I467</f>
        <v>8.105.420</v>
      </c>
    </row>
    <row r="465" spans="1:9" x14ac:dyDescent="0.25">
      <c r="A465" s="257" t="str">
        <f>[1]BASE!A468</f>
        <v>SAMIR NAHASS</v>
      </c>
      <c r="B465" s="258">
        <f>[1]BASE!B468</f>
        <v>1247097</v>
      </c>
      <c r="C465" s="257" t="str">
        <f>[1]BASE!C468</f>
        <v>Sem Cargo/Emprego</v>
      </c>
      <c r="D465" s="258" t="str">
        <f>[1]BASE!D468</f>
        <v>Sem Vínculo</v>
      </c>
      <c r="E465" s="257" t="str">
        <f>[1]BASE!E468</f>
        <v>Sem Vínculo</v>
      </c>
      <c r="F465" s="258" t="str">
        <f>[1]BASE!F468</f>
        <v>DAS 101.4</v>
      </c>
      <c r="G465" s="258" t="str">
        <f>[1]BASE!G468</f>
        <v xml:space="preserve"> </v>
      </c>
      <c r="H465" s="257" t="str">
        <f>[1]BASE!H468</f>
        <v>SGM / DTTM / COORDENAÇÃO GERAL DE CAPACITAÇÃO E DESENVOLVIMENTO TECNOLÓGICO</v>
      </c>
      <c r="I465" s="260" t="str">
        <f>[1]BASE!I468</f>
        <v>9.103.100</v>
      </c>
    </row>
    <row r="466" spans="1:9" x14ac:dyDescent="0.25">
      <c r="A466" s="257" t="str">
        <f>[1]BASE!A469</f>
        <v>SAMIRA SANA FERNANDES DE SOUSA CARMO</v>
      </c>
      <c r="B466" s="258">
        <f>[1]BASE!B469</f>
        <v>3420721</v>
      </c>
      <c r="C466" s="257" t="str">
        <f>[1]BASE!C469</f>
        <v>Especialista em Política Pública e Gestão Governamental</v>
      </c>
      <c r="D466" s="258" t="str">
        <f>[1]BASE!D469</f>
        <v>Requisitado de Órgãos</v>
      </c>
      <c r="E466" s="257" t="str">
        <f>[1]BASE!E469</f>
        <v>ME - Ministério da Economia</v>
      </c>
      <c r="F466" s="258" t="str">
        <f>[1]BASE!F469</f>
        <v>DAS 101.4</v>
      </c>
      <c r="G466" s="258" t="str">
        <f>[1]BASE!G469</f>
        <v xml:space="preserve"> </v>
      </c>
      <c r="H466" s="257" t="str">
        <f>[1]BASE!H469</f>
        <v>SPE / DDE / COORDENAÇÃO GERAL DE EFICIÊNCIA ENERGÉTICA</v>
      </c>
      <c r="I466" s="260" t="str">
        <f>[1]BASE!I469</f>
        <v>10.102.100</v>
      </c>
    </row>
    <row r="467" spans="1:9" x14ac:dyDescent="0.25">
      <c r="A467" s="257" t="str">
        <f>[1]BASE!A470</f>
        <v>SANDRA MARIA MONTEIRO DE ALMEIDA ANGELO</v>
      </c>
      <c r="B467" s="258">
        <f>[1]BASE!B470</f>
        <v>8673642</v>
      </c>
      <c r="C467" s="257" t="str">
        <f>[1]BASE!C470</f>
        <v>Sem Cargo/Emprego</v>
      </c>
      <c r="D467" s="258" t="str">
        <f>[1]BASE!D470</f>
        <v>Sem Vínculo</v>
      </c>
      <c r="E467" s="257" t="str">
        <f>[1]BASE!E470</f>
        <v>Sem Vínculo</v>
      </c>
      <c r="F467" s="258" t="str">
        <f>[1]BASE!F470</f>
        <v>DAS 102.2</v>
      </c>
      <c r="G467" s="258" t="str">
        <f>[1]BASE!G470</f>
        <v xml:space="preserve"> </v>
      </c>
      <c r="H467" s="257" t="str">
        <f>[1]BASE!H470</f>
        <v>SGM / DEPARTAMENTO DE GEOLOGIA E PRODUÇÃO MINERAL - DGPM</v>
      </c>
      <c r="I467" s="260" t="str">
        <f>[1]BASE!I470</f>
        <v>9.102.000</v>
      </c>
    </row>
    <row r="468" spans="1:9" x14ac:dyDescent="0.25">
      <c r="A468" s="257" t="str">
        <f>[1]BASE!A471</f>
        <v>SANDRA MONICA DE ALMEIDA PY</v>
      </c>
      <c r="B468" s="258">
        <f>[1]BASE!B471</f>
        <v>1669868</v>
      </c>
      <c r="C468" s="257" t="str">
        <f>[1]BASE!C471</f>
        <v>Auxiliar Codificação e Conferência</v>
      </c>
      <c r="D468" s="258" t="str">
        <f>[1]BASE!D471</f>
        <v>Anistiado MME</v>
      </c>
      <c r="E468" s="257" t="str">
        <f>[1]BASE!E471</f>
        <v>MME - Ministério de Minas e Energia</v>
      </c>
      <c r="F468" s="258" t="str">
        <f>[1]BASE!F471</f>
        <v>DAS 101.3</v>
      </c>
      <c r="G468" s="258" t="str">
        <f>[1]BASE!G471</f>
        <v xml:space="preserve"> </v>
      </c>
      <c r="H468" s="257" t="str">
        <f>[1]BASE!H471</f>
        <v>SE / SPOA / CGRH / COORDENAÇÃO DE DESENVOLVIMENTO E SEGURIDADE SOCIAL - CODES</v>
      </c>
      <c r="I468" s="260" t="str">
        <f>[1]BASE!I471</f>
        <v>8.105.220</v>
      </c>
    </row>
    <row r="469" spans="1:9" x14ac:dyDescent="0.25">
      <c r="A469" s="257" t="str">
        <f>[1]BASE!A472</f>
        <v>SANDRA REGINA DE ANDRADE</v>
      </c>
      <c r="B469" s="258">
        <f>[1]BASE!B472</f>
        <v>1567453</v>
      </c>
      <c r="C469" s="257" t="str">
        <f>[1]BASE!C472</f>
        <v>Sem Cargo/Emprego</v>
      </c>
      <c r="D469" s="258" t="str">
        <f>[1]BASE!D472</f>
        <v>Sem Vínculo</v>
      </c>
      <c r="E469" s="257" t="str">
        <f>[1]BASE!E472</f>
        <v>Sem Vínculo</v>
      </c>
      <c r="F469" s="258" t="str">
        <f>[1]BASE!F472</f>
        <v>DAS 102.2</v>
      </c>
      <c r="G469" s="258" t="str">
        <f>[1]BASE!G472</f>
        <v xml:space="preserve"> </v>
      </c>
      <c r="H469" s="257" t="str">
        <f>[1]BASE!H472</f>
        <v>SPE / CHEFIA DE GABINETE SPE</v>
      </c>
      <c r="I469" s="260" t="str">
        <f>[1]BASE!I472</f>
        <v>10.100.000</v>
      </c>
    </row>
    <row r="470" spans="1:9" x14ac:dyDescent="0.25">
      <c r="A470" s="257" t="str">
        <f>[1]BASE!A473</f>
        <v>SAULO ROBERTO DE VARGAS</v>
      </c>
      <c r="B470" s="258">
        <f>[1]BASE!B473</f>
        <v>3196995</v>
      </c>
      <c r="C470" s="257" t="str">
        <f>[1]BASE!C473</f>
        <v>Sem Cargo/Emprego</v>
      </c>
      <c r="D470" s="258" t="str">
        <f>[1]BASE!D473</f>
        <v>Sem Vínculo</v>
      </c>
      <c r="E470" s="257" t="str">
        <f>[1]BASE!E473</f>
        <v>S/VÍNCULO</v>
      </c>
      <c r="F470" s="258" t="str">
        <f>[1]BASE!F473</f>
        <v>DAS 101.4</v>
      </c>
      <c r="G470" s="258" t="str">
        <f>[1]BASE!G473</f>
        <v xml:space="preserve"> </v>
      </c>
      <c r="H470" s="257" t="str">
        <f>[1]BASE!H473</f>
        <v>GM / ASSESSORIA DE COMUNICAÇÃO SOCIAL - ASCOM</v>
      </c>
      <c r="I470" s="260" t="str">
        <f>[1]BASE!I473</f>
        <v>2.100.300</v>
      </c>
    </row>
    <row r="471" spans="1:9" x14ac:dyDescent="0.25">
      <c r="A471" s="257" t="str">
        <f>[1]BASE!A474</f>
        <v>SEBASTIANA CARDOSO DE MORAES</v>
      </c>
      <c r="B471" s="258">
        <f>[1]BASE!B474</f>
        <v>1314571</v>
      </c>
      <c r="C471" s="257" t="str">
        <f>[1]BASE!C474</f>
        <v>Perfurador Digitador</v>
      </c>
      <c r="D471" s="258" t="str">
        <f>[1]BASE!D474</f>
        <v>Ativo Permanente</v>
      </c>
      <c r="E471" s="257" t="str">
        <f>[1]BASE!E474</f>
        <v>MME - Ministério de Minas e Energia</v>
      </c>
      <c r="F471" s="258" t="str">
        <f>[1]BASE!F474</f>
        <v xml:space="preserve"> </v>
      </c>
      <c r="G471" s="258" t="str">
        <f>[1]BASE!G474</f>
        <v>GSISTE Intermediário</v>
      </c>
      <c r="H471" s="257" t="str">
        <f>[1]BASE!H474</f>
        <v>SE / SPOA / CGRL / COORDENAÇÃO DE ADMINISTRAÇÃO DE MATERIAL E EXECUÇÃO FINANCEIRA - COMEF</v>
      </c>
      <c r="I471" s="260" t="str">
        <f>[1]BASE!I474</f>
        <v>8.105.110</v>
      </c>
    </row>
    <row r="472" spans="1:9" x14ac:dyDescent="0.25">
      <c r="A472" s="257" t="str">
        <f>[1]BASE!A475</f>
        <v>SEBASTIANA LUIZA MARQUES</v>
      </c>
      <c r="B472" s="258">
        <f>[1]BASE!B475</f>
        <v>1714856</v>
      </c>
      <c r="C472" s="257" t="str">
        <f>[1]BASE!C475</f>
        <v>Telefonista</v>
      </c>
      <c r="D472" s="258" t="str">
        <f>[1]BASE!D475</f>
        <v>Anistiado MME</v>
      </c>
      <c r="E472" s="257" t="str">
        <f>[1]BASE!E475</f>
        <v>MME - Ministério de Minas e Energia</v>
      </c>
      <c r="F472" s="258" t="str">
        <f>[1]BASE!F475</f>
        <v xml:space="preserve"> </v>
      </c>
      <c r="G472" s="258" t="str">
        <f>[1]BASE!G475</f>
        <v xml:space="preserve"> </v>
      </c>
      <c r="H472" s="257" t="str">
        <f>[1]BASE!H475</f>
        <v>Aguardando Lotação/Exercício</v>
      </c>
      <c r="I472" s="260" t="str">
        <f>[1]BASE!I475</f>
        <v>88.000.000</v>
      </c>
    </row>
    <row r="473" spans="1:9" x14ac:dyDescent="0.25">
      <c r="A473" s="257" t="str">
        <f>[1]BASE!A476</f>
        <v>SERGIO FERREIRA CORTIZO</v>
      </c>
      <c r="B473" s="258">
        <f>[1]BASE!B476</f>
        <v>1696265</v>
      </c>
      <c r="C473" s="257" t="str">
        <f>[1]BASE!C476</f>
        <v>Especialista em Política Pública e Gestão Governamental</v>
      </c>
      <c r="D473" s="258" t="str">
        <f>[1]BASE!D476</f>
        <v>Exercício Descentralizado</v>
      </c>
      <c r="E473" s="257" t="str">
        <f>[1]BASE!E476</f>
        <v>ME - Ministério da Economia</v>
      </c>
      <c r="F473" s="258" t="str">
        <f>[1]BASE!F476</f>
        <v xml:space="preserve"> </v>
      </c>
      <c r="G473" s="258" t="str">
        <f>[1]BASE!G476</f>
        <v xml:space="preserve"> </v>
      </c>
      <c r="H473" s="257" t="str">
        <f>[1]BASE!H476</f>
        <v>SPE / DDE / COORDENAÇÃO GERAL DE SUSTENTABILIDADE AMBIENTAL DO SETOR ENERGÉTICO</v>
      </c>
      <c r="I473" s="260" t="str">
        <f>[1]BASE!I476</f>
        <v>10.102.200</v>
      </c>
    </row>
    <row r="474" spans="1:9" x14ac:dyDescent="0.25">
      <c r="A474" s="257" t="str">
        <f>[1]BASE!A477</f>
        <v>SERGIO HENRIQUE LOPES DE SOUSA</v>
      </c>
      <c r="B474" s="258">
        <f>[1]BASE!B477</f>
        <v>3090789</v>
      </c>
      <c r="C474" s="257" t="str">
        <f>[1]BASE!C477</f>
        <v>Sem Cargo/Emprego</v>
      </c>
      <c r="D474" s="258" t="str">
        <f>[1]BASE!D477</f>
        <v>Sem Vínculo</v>
      </c>
      <c r="E474" s="257" t="str">
        <f>[1]BASE!E477</f>
        <v>Sem Vínculo</v>
      </c>
      <c r="F474" s="258" t="str">
        <f>[1]BASE!F477</f>
        <v>DAS 101.5</v>
      </c>
      <c r="G474" s="258" t="str">
        <f>[1]BASE!G477</f>
        <v xml:space="preserve"> </v>
      </c>
      <c r="H474" s="257" t="str">
        <f>[1]BASE!H477</f>
        <v>ASSESSORIA ESPECIAL DE CONTROLE INTERNO - AECI</v>
      </c>
      <c r="I474" s="260" t="str">
        <f>[1]BASE!I477</f>
        <v>5.000.000</v>
      </c>
    </row>
    <row r="475" spans="1:9" x14ac:dyDescent="0.25">
      <c r="A475" s="257" t="str">
        <f>[1]BASE!A478</f>
        <v>SEVERINO BARBOSA DOS SANTOS</v>
      </c>
      <c r="B475" s="258">
        <f>[1]BASE!B478</f>
        <v>455490</v>
      </c>
      <c r="C475" s="257" t="str">
        <f>[1]BASE!C478</f>
        <v>Agente Administrativo</v>
      </c>
      <c r="D475" s="258" t="str">
        <f>[1]BASE!D478</f>
        <v>Ativo Permanente</v>
      </c>
      <c r="E475" s="257" t="str">
        <f>[1]BASE!E478</f>
        <v>MME - Ministério de Minas e Energia</v>
      </c>
      <c r="F475" s="258" t="str">
        <f>[1]BASE!F478</f>
        <v>FCPE 101.2</v>
      </c>
      <c r="G475" s="258" t="str">
        <f>[1]BASE!G478</f>
        <v>GSISTE Intermediário</v>
      </c>
      <c r="H475" s="257" t="str">
        <f>[1]BASE!H478</f>
        <v>SE / SPOA / CGRH / COORDENAÇÃO DE ADMINISTRAÇÃO DE PESSOAL - CAPES</v>
      </c>
      <c r="I475" s="260" t="str">
        <f>[1]BASE!I478</f>
        <v>8.105.210</v>
      </c>
    </row>
    <row r="476" spans="1:9" x14ac:dyDescent="0.25">
      <c r="A476" s="257" t="str">
        <f>[1]BASE!A479</f>
        <v>SILVANA ALBUQUERQUE PEIXOTO</v>
      </c>
      <c r="B476" s="258">
        <f>[1]BASE!B479</f>
        <v>1456277</v>
      </c>
      <c r="C476" s="257" t="str">
        <f>[1]BASE!C479</f>
        <v>Sem Cargo/Emprego</v>
      </c>
      <c r="D476" s="258" t="str">
        <f>[1]BASE!D479</f>
        <v>Sem Vínculo</v>
      </c>
      <c r="E476" s="257" t="str">
        <f>[1]BASE!E479</f>
        <v>Sem Vínculo</v>
      </c>
      <c r="F476" s="258" t="str">
        <f>[1]BASE!F479</f>
        <v>DAS 102.2</v>
      </c>
      <c r="G476" s="258" t="str">
        <f>[1]BASE!G479</f>
        <v xml:space="preserve"> </v>
      </c>
      <c r="H476" s="257" t="str">
        <f>[1]BASE!H479</f>
        <v>CONJUR / CHEFIA DE GABINETE CONJUR</v>
      </c>
      <c r="I476" s="260" t="str">
        <f>[1]BASE!I479</f>
        <v>7.100.000</v>
      </c>
    </row>
    <row r="477" spans="1:9" x14ac:dyDescent="0.25">
      <c r="A477" s="257" t="str">
        <f>[1]BASE!A480</f>
        <v>SILVANA SOARES DE GODOI E SOUSA</v>
      </c>
      <c r="B477" s="258">
        <f>[1]BASE!B480</f>
        <v>1702338</v>
      </c>
      <c r="C477" s="257" t="str">
        <f>[1]BASE!C480</f>
        <v>Analista Comercial Internacional</v>
      </c>
      <c r="D477" s="258" t="str">
        <f>[1]BASE!D480</f>
        <v>Anistiado MME</v>
      </c>
      <c r="E477" s="257" t="str">
        <f>[1]BASE!E480</f>
        <v>MME - Ministério de Minas e Energia</v>
      </c>
      <c r="F477" s="258" t="str">
        <f>[1]BASE!F480</f>
        <v>DAS 102.2</v>
      </c>
      <c r="G477" s="258" t="str">
        <f>[1]BASE!G480</f>
        <v xml:space="preserve"> </v>
      </c>
      <c r="H477" s="257" t="str">
        <f>[1]BASE!H480</f>
        <v>SE / SPOA / COORDENAÇÃO GERAL DE RECURSOS HUMANOS - CGRH</v>
      </c>
      <c r="I477" s="260" t="str">
        <f>[1]BASE!I480</f>
        <v>8.105.200</v>
      </c>
    </row>
    <row r="478" spans="1:9" x14ac:dyDescent="0.25">
      <c r="A478" s="257" t="str">
        <f>[1]BASE!A481</f>
        <v>SILVIO CASTILHO DAS OLIVEIRAS</v>
      </c>
      <c r="B478" s="258">
        <f>[1]BASE!B481</f>
        <v>1310555</v>
      </c>
      <c r="C478" s="257" t="str">
        <f>[1]BASE!C481</f>
        <v>Analista de Planejamento e Orçamento</v>
      </c>
      <c r="D478" s="258" t="str">
        <f>[1]BASE!D481</f>
        <v>Exercício Descentralizado</v>
      </c>
      <c r="E478" s="257" t="str">
        <f>[1]BASE!E481</f>
        <v>ME - Ministério da Economia</v>
      </c>
      <c r="F478" s="258" t="str">
        <f>[1]BASE!F481</f>
        <v>DAS 101.3</v>
      </c>
      <c r="G478" s="258" t="str">
        <f>[1]BASE!G481</f>
        <v xml:space="preserve"> </v>
      </c>
      <c r="H478" s="257" t="str">
        <f>[1]BASE!H481</f>
        <v>SE / AEGE / CGPE / COORDENAÇÃO DE PLANEJAMENTO ESTRATÉGICO E ORÇAMENTO</v>
      </c>
      <c r="I478" s="260" t="str">
        <f>[1]BASE!I481</f>
        <v>8.101.110</v>
      </c>
    </row>
    <row r="479" spans="1:9" x14ac:dyDescent="0.25">
      <c r="A479" s="257" t="str">
        <f>[1]BASE!A482</f>
        <v>SIMONE MARIA DA SILVA SALGADO</v>
      </c>
      <c r="B479" s="258">
        <f>[1]BASE!B482</f>
        <v>172897</v>
      </c>
      <c r="C479" s="257" t="str">
        <f>[1]BASE!C482</f>
        <v>Administrador</v>
      </c>
      <c r="D479" s="258" t="str">
        <f>[1]BASE!D482</f>
        <v>Requisitado de Órgãos</v>
      </c>
      <c r="E479" s="257" t="str">
        <f>[1]BASE!E482</f>
        <v>ME - Ministério da Economia</v>
      </c>
      <c r="F479" s="258" t="str">
        <f>[1]BASE!F482</f>
        <v xml:space="preserve"> </v>
      </c>
      <c r="G479" s="258" t="str">
        <f>[1]BASE!G482</f>
        <v>GSISTE Superior</v>
      </c>
      <c r="H479" s="257" t="str">
        <f>[1]BASE!H482</f>
        <v>SE / SPOA / CGCC / COORDENAÇÃO DE LICITAÇÕES E COMPRA - CLC</v>
      </c>
      <c r="I479" s="260" t="str">
        <f>[1]BASE!I482</f>
        <v>8.105.420</v>
      </c>
    </row>
    <row r="480" spans="1:9" x14ac:dyDescent="0.25">
      <c r="A480" s="257" t="str">
        <f>[1]BASE!A483</f>
        <v>SYMONE CHRISTINE DE SANTANA ARAUJO</v>
      </c>
      <c r="B480" s="258">
        <f>[1]BASE!B483</f>
        <v>3089587</v>
      </c>
      <c r="C480" s="257" t="str">
        <f>[1]BASE!C483</f>
        <v>Especialista em Política Pública e Gestão Governamental</v>
      </c>
      <c r="D480" s="258" t="str">
        <f>[1]BASE!D483</f>
        <v>Exercício Descentralizado</v>
      </c>
      <c r="E480" s="257" t="str">
        <f>[1]BASE!E483</f>
        <v>ME - Ministério da Economia</v>
      </c>
      <c r="F480" s="258" t="str">
        <f>[1]BASE!F483</f>
        <v>DAS 101.5</v>
      </c>
      <c r="G480" s="258" t="str">
        <f>[1]BASE!G483</f>
        <v xml:space="preserve"> </v>
      </c>
      <c r="H480" s="257" t="str">
        <f>[1]BASE!H483</f>
        <v>SPG / DEPARTAMENTO DE GÁS NATURAL - DGN</v>
      </c>
      <c r="I480" s="260" t="str">
        <f>[1]BASE!I483</f>
        <v>11.102.000</v>
      </c>
    </row>
    <row r="481" spans="1:9" x14ac:dyDescent="0.25">
      <c r="A481" s="257" t="str">
        <f>[1]BASE!A484</f>
        <v>TACIANA MARIA SABATO DE CASTRO</v>
      </c>
      <c r="B481" s="258">
        <f>[1]BASE!B484</f>
        <v>1282663</v>
      </c>
      <c r="C481" s="257" t="str">
        <f>[1]BASE!C484</f>
        <v>Escriturário</v>
      </c>
      <c r="D481" s="258" t="str">
        <f>[1]BASE!D484</f>
        <v>Anistiado MME</v>
      </c>
      <c r="E481" s="257" t="str">
        <f>[1]BASE!E484</f>
        <v>MME - Ministério de Minas e Energia</v>
      </c>
      <c r="F481" s="258" t="str">
        <f>[1]BASE!F484</f>
        <v xml:space="preserve"> </v>
      </c>
      <c r="G481" s="258" t="str">
        <f>[1]BASE!G484</f>
        <v xml:space="preserve"> </v>
      </c>
      <c r="H481" s="257" t="str">
        <f>[1]BASE!H484</f>
        <v>SE / SPOA / CGRH / COORDENAÇÃO DE DESENVOLVIMENTO E SEGURIDADE SOCIAL - CODES</v>
      </c>
      <c r="I481" s="260" t="str">
        <f>[1]BASE!I484</f>
        <v>8.105.220</v>
      </c>
    </row>
    <row r="482" spans="1:9" x14ac:dyDescent="0.25">
      <c r="A482" s="257" t="str">
        <f>[1]BASE!A485</f>
        <v>TANIA GOMES RIBEIRO DE MORAES</v>
      </c>
      <c r="B482" s="258">
        <f>[1]BASE!B485</f>
        <v>1095438</v>
      </c>
      <c r="C482" s="257" t="str">
        <f>[1]BASE!C485</f>
        <v>Contador</v>
      </c>
      <c r="D482" s="258" t="str">
        <f>[1]BASE!D485</f>
        <v>Ativo Permanente</v>
      </c>
      <c r="E482" s="257" t="str">
        <f>[1]BASE!E485</f>
        <v>MME - Ministério de Minas e Energia</v>
      </c>
      <c r="F482" s="258" t="str">
        <f>[1]BASE!F485</f>
        <v xml:space="preserve"> </v>
      </c>
      <c r="G482" s="258" t="str">
        <f>[1]BASE!G485</f>
        <v>GSISTE Superior</v>
      </c>
      <c r="H482" s="257" t="str">
        <f>[1]BASE!H485</f>
        <v>GM / OUVIDORIA GERAL - OUVIR</v>
      </c>
      <c r="I482" s="260" t="str">
        <f>[1]BASE!I485</f>
        <v>2.100.500</v>
      </c>
    </row>
    <row r="483" spans="1:9" x14ac:dyDescent="0.25">
      <c r="A483" s="257" t="str">
        <f>[1]BASE!A486</f>
        <v>TARCISIO TADEU DE CASTRO</v>
      </c>
      <c r="B483" s="258">
        <f>[1]BASE!B486</f>
        <v>2682087</v>
      </c>
      <c r="C483" s="257" t="str">
        <f>[1]BASE!C486</f>
        <v>Analista de Infraestrutura</v>
      </c>
      <c r="D483" s="258" t="str">
        <f>[1]BASE!D486</f>
        <v>Exercício Descentralizado</v>
      </c>
      <c r="E483" s="257" t="str">
        <f>[1]BASE!E486</f>
        <v>ME - Ministério da Economia</v>
      </c>
      <c r="F483" s="258" t="str">
        <f>[1]BASE!F486</f>
        <v xml:space="preserve"> </v>
      </c>
      <c r="G483" s="258" t="str">
        <f>[1]BASE!G486</f>
        <v xml:space="preserve"> </v>
      </c>
      <c r="H483" s="257" t="str">
        <f>[1]BASE!H486</f>
        <v>SEE / DMSE / COORDENAÇÃO GERAL DE MONITORAMENTO DA DISTRIBUIÇÃO</v>
      </c>
      <c r="I483" s="260" t="str">
        <f>[1]BASE!I486</f>
        <v>12.102.300</v>
      </c>
    </row>
    <row r="484" spans="1:9" x14ac:dyDescent="0.25">
      <c r="A484" s="257" t="str">
        <f>[1]BASE!A487</f>
        <v>TARITA DA SILVA COSTA</v>
      </c>
      <c r="B484" s="258">
        <f>[1]BASE!B487</f>
        <v>3707401</v>
      </c>
      <c r="C484" s="257" t="str">
        <f>[1]BASE!C487</f>
        <v>Analista de Infraestrutura</v>
      </c>
      <c r="D484" s="258" t="str">
        <f>[1]BASE!D487</f>
        <v>Exercício Descentralizado</v>
      </c>
      <c r="E484" s="257" t="str">
        <f>[1]BASE!E487</f>
        <v>ME - Ministério da Economia</v>
      </c>
      <c r="F484" s="258" t="str">
        <f>[1]BASE!F487</f>
        <v>DAS 101.4</v>
      </c>
      <c r="G484" s="258" t="str">
        <f>[1]BASE!G487</f>
        <v xml:space="preserve"> </v>
      </c>
      <c r="H484" s="257" t="str">
        <f>[1]BASE!H487</f>
        <v>SPE / DPE / COORDENAÇÃO GERAL DE PLANEJAMENTO DA GERAÇÃO</v>
      </c>
      <c r="I484" s="260" t="str">
        <f>[1]BASE!I487</f>
        <v>10.101.200</v>
      </c>
    </row>
    <row r="485" spans="1:9" x14ac:dyDescent="0.25">
      <c r="A485" s="257" t="str">
        <f>[1]BASE!A488</f>
        <v>TATIANNA GOMES BEZERRA PEREIRA</v>
      </c>
      <c r="B485" s="258">
        <f>[1]BASE!B488</f>
        <v>1301430</v>
      </c>
      <c r="C485" s="257" t="str">
        <f>[1]BASE!C488</f>
        <v>Sem Cargo/Emprego</v>
      </c>
      <c r="D485" s="258" t="str">
        <f>[1]BASE!D488</f>
        <v>Sem Vínculo</v>
      </c>
      <c r="E485" s="257" t="str">
        <f>[1]BASE!E488</f>
        <v>Sem Vínculo</v>
      </c>
      <c r="F485" s="258" t="str">
        <f>[1]BASE!F488</f>
        <v>DAS 102.2</v>
      </c>
      <c r="G485" s="258" t="str">
        <f>[1]BASE!G488</f>
        <v xml:space="preserve"> </v>
      </c>
      <c r="H485" s="257" t="str">
        <f>[1]BASE!H488</f>
        <v>SEE / CHEFIA DE GABINETE SEE</v>
      </c>
      <c r="I485" s="260" t="str">
        <f>[1]BASE!I488</f>
        <v>12.100.000</v>
      </c>
    </row>
    <row r="486" spans="1:9" x14ac:dyDescent="0.25">
      <c r="A486" s="257" t="str">
        <f>[1]BASE!A489</f>
        <v>TATIELE LIMA GUIMARAES</v>
      </c>
      <c r="B486" s="258">
        <f>[1]BASE!B489</f>
        <v>2192999</v>
      </c>
      <c r="C486" s="257" t="str">
        <f>[1]BASE!C489</f>
        <v>Sem Cargo/Emprego</v>
      </c>
      <c r="D486" s="258" t="str">
        <f>[1]BASE!D489</f>
        <v>Sem Vínculo</v>
      </c>
      <c r="E486" s="257" t="str">
        <f>[1]BASE!E489</f>
        <v>Sem Vínculo</v>
      </c>
      <c r="F486" s="258" t="str">
        <f>[1]BASE!F489</f>
        <v>DAS 102.3</v>
      </c>
      <c r="G486" s="258" t="str">
        <f>[1]BASE!G489</f>
        <v xml:space="preserve"> </v>
      </c>
      <c r="H486" s="257" t="str">
        <f>[1]BASE!H489</f>
        <v>GM / ASSESSORIA PARLAMENTAR - ASPAR</v>
      </c>
      <c r="I486" s="260" t="str">
        <f>[1]BASE!I489</f>
        <v>2.100.200</v>
      </c>
    </row>
    <row r="487" spans="1:9" x14ac:dyDescent="0.25">
      <c r="A487" s="257" t="str">
        <f>[1]BASE!A490</f>
        <v>TERENCIO TONHA BRANDAO JUNIOR</v>
      </c>
      <c r="B487" s="258">
        <f>[1]BASE!B490</f>
        <v>2604383</v>
      </c>
      <c r="C487" s="257" t="str">
        <f>[1]BASE!C490</f>
        <v>Sem Cargo/Emprego</v>
      </c>
      <c r="D487" s="258" t="str">
        <f>[1]BASE!D490</f>
        <v>Sem Vínculo</v>
      </c>
      <c r="E487" s="257" t="str">
        <f>[1]BASE!E490</f>
        <v>Sem Vínculo</v>
      </c>
      <c r="F487" s="258" t="str">
        <f>[1]BASE!F490</f>
        <v>DAS 101.2</v>
      </c>
      <c r="G487" s="258" t="str">
        <f>[1]BASE!G490</f>
        <v xml:space="preserve"> </v>
      </c>
      <c r="H487" s="257" t="str">
        <f>[1]BASE!H490</f>
        <v>SE / SPOA / CGRL / COORDENAÇÃO DE ATIVIDADES GERAIS - COAGE</v>
      </c>
      <c r="I487" s="260" t="str">
        <f>[1]BASE!I490</f>
        <v>8.105.120</v>
      </c>
    </row>
    <row r="488" spans="1:9" x14ac:dyDescent="0.25">
      <c r="A488" s="257" t="str">
        <f>[1]BASE!A491</f>
        <v>TEREZA MARIA DA COSTA</v>
      </c>
      <c r="B488" s="258">
        <f>[1]BASE!B491</f>
        <v>455999</v>
      </c>
      <c r="C488" s="257" t="str">
        <f>[1]BASE!C491</f>
        <v>Telefonista</v>
      </c>
      <c r="D488" s="258" t="str">
        <f>[1]BASE!D491</f>
        <v>Ativo Permanente</v>
      </c>
      <c r="E488" s="257" t="str">
        <f>[1]BASE!E491</f>
        <v>MME - Ministério de Minas e Energia</v>
      </c>
      <c r="F488" s="258" t="str">
        <f>[1]BASE!F491</f>
        <v>FCT 10</v>
      </c>
      <c r="G488" s="258" t="str">
        <f>[1]BASE!G491</f>
        <v xml:space="preserve"> </v>
      </c>
      <c r="H488" s="257" t="str">
        <f>[1]BASE!H491</f>
        <v>SE / AEGP / CGPF / COORDENAÇÃO ADMINISTRATIVA</v>
      </c>
      <c r="I488" s="260" t="str">
        <f>[1]BASE!I491</f>
        <v>8.103.110</v>
      </c>
    </row>
    <row r="489" spans="1:9" x14ac:dyDescent="0.25">
      <c r="A489" s="257" t="str">
        <f>[1]BASE!A492</f>
        <v>TEREZINHA AGUIAR ALMEIDA</v>
      </c>
      <c r="B489" s="258">
        <f>[1]BASE!B492</f>
        <v>95496</v>
      </c>
      <c r="C489" s="257" t="str">
        <f>[1]BASE!C492</f>
        <v>Administrador</v>
      </c>
      <c r="D489" s="258" t="str">
        <f>[1]BASE!D492</f>
        <v>Ativo Permanente</v>
      </c>
      <c r="E489" s="257" t="str">
        <f>[1]BASE!E492</f>
        <v>MME - Ministério de Minas e Energia</v>
      </c>
      <c r="F489" s="258" t="str">
        <f>[1]BASE!F492</f>
        <v>DAS 101.3</v>
      </c>
      <c r="G489" s="258" t="str">
        <f>[1]BASE!G492</f>
        <v>GSISTE Superior</v>
      </c>
      <c r="H489" s="257" t="str">
        <f>[1]BASE!H492</f>
        <v>SE / SPOA / COORDENAÇÃO DE MODERNIZAÇÃO ADMINISTRATIVA - CMA</v>
      </c>
      <c r="I489" s="260" t="str">
        <f>[1]BASE!I492</f>
        <v>8.105.010</v>
      </c>
    </row>
    <row r="490" spans="1:9" x14ac:dyDescent="0.25">
      <c r="A490" s="257" t="str">
        <f>[1]BASE!A493</f>
        <v>THAIS MARCIA FERNANDES MATANO LACERDA</v>
      </c>
      <c r="B490" s="258">
        <f>[1]BASE!B493</f>
        <v>1997387</v>
      </c>
      <c r="C490" s="257" t="str">
        <f>[1]BASE!C493</f>
        <v>Sem Cargo/Emprego</v>
      </c>
      <c r="D490" s="258" t="str">
        <f>[1]BASE!D493</f>
        <v>Sem Vínculo</v>
      </c>
      <c r="E490" s="257" t="str">
        <f>[1]BASE!E493</f>
        <v>Sem Vínculo</v>
      </c>
      <c r="F490" s="258" t="str">
        <f>[1]BASE!F493</f>
        <v>DAS 101.5</v>
      </c>
      <c r="G490" s="258" t="str">
        <f>[1]BASE!G493</f>
        <v xml:space="preserve"> </v>
      </c>
      <c r="H490" s="257" t="str">
        <f>[1]BASE!H493</f>
        <v>CONSULTORIA JURÍDICA - CONJUR</v>
      </c>
      <c r="I490" s="260" t="str">
        <f>[1]BASE!I493</f>
        <v>7.000.000</v>
      </c>
    </row>
    <row r="491" spans="1:9" x14ac:dyDescent="0.25">
      <c r="A491" s="257" t="str">
        <f>[1]BASE!A494</f>
        <v>THANIA REGINA PEREIRA LOPES</v>
      </c>
      <c r="B491" s="258">
        <f>[1]BASE!B494</f>
        <v>1093546</v>
      </c>
      <c r="C491" s="257" t="str">
        <f>[1]BASE!C494</f>
        <v>Técnico de Contabilidade</v>
      </c>
      <c r="D491" s="258" t="str">
        <f>[1]BASE!D494</f>
        <v>Requisitado de Órgãos</v>
      </c>
      <c r="E491" s="257" t="str">
        <f>[1]BASE!E494</f>
        <v>MCTIC - Ministério da Ciência, Tecnologia, Inovações e Comunicações</v>
      </c>
      <c r="F491" s="258" t="str">
        <f>[1]BASE!F494</f>
        <v>FCT 5</v>
      </c>
      <c r="G491" s="258" t="str">
        <f>[1]BASE!G494</f>
        <v>GSISTE Intermediário (MPAAC)</v>
      </c>
      <c r="H491" s="257" t="str">
        <f>[1]BASE!H494</f>
        <v>SE / SPOA / CGOF / COORDENAÇÃO DE CONTABILIDADE - CONT</v>
      </c>
      <c r="I491" s="260" t="str">
        <f>[1]BASE!I494</f>
        <v>8.105.520</v>
      </c>
    </row>
    <row r="492" spans="1:9" x14ac:dyDescent="0.25">
      <c r="A492" s="257" t="str">
        <f>[1]BASE!A495</f>
        <v>THELMA DE OLIVEIRA FALCÃO</v>
      </c>
      <c r="B492" s="258">
        <f>[1]BASE!B495</f>
        <v>451661</v>
      </c>
      <c r="C492" s="257" t="str">
        <f>[1]BASE!C495</f>
        <v>Agente Administrativo</v>
      </c>
      <c r="D492" s="258" t="str">
        <f>[1]BASE!D495</f>
        <v>Ativo Permanente</v>
      </c>
      <c r="E492" s="257" t="str">
        <f>[1]BASE!E495</f>
        <v>MME - Ministério de Minas e Energia</v>
      </c>
      <c r="F492" s="258" t="str">
        <f>[1]BASE!F495</f>
        <v xml:space="preserve"> </v>
      </c>
      <c r="G492" s="258" t="str">
        <f>[1]BASE!G495</f>
        <v xml:space="preserve"> </v>
      </c>
      <c r="H492" s="257" t="str">
        <f>[1]BASE!H495</f>
        <v>Aguardando Lotação/Exercício</v>
      </c>
      <c r="I492" s="260" t="str">
        <f>[1]BASE!I495</f>
        <v>88.000.000</v>
      </c>
    </row>
    <row r="493" spans="1:9" x14ac:dyDescent="0.25">
      <c r="A493" s="257" t="str">
        <f>[1]BASE!A496</f>
        <v>THEREZA CHRISTINA DE ALMEIDA CASTRO</v>
      </c>
      <c r="B493" s="258">
        <f>[1]BASE!B496</f>
        <v>4458996</v>
      </c>
      <c r="C493" s="257" t="str">
        <f>[1]BASE!C496</f>
        <v>Especialista em Política Pública e Gestão Governamental</v>
      </c>
      <c r="D493" s="258" t="str">
        <f>[1]BASE!D496</f>
        <v>Requisitado de Órgãos</v>
      </c>
      <c r="E493" s="257" t="str">
        <f>[1]BASE!E496</f>
        <v>ME - Ministério da Economia</v>
      </c>
      <c r="F493" s="258" t="str">
        <f>[1]BASE!F496</f>
        <v>DAS 101.4</v>
      </c>
      <c r="G493" s="258" t="str">
        <f>[1]BASE!G496</f>
        <v xml:space="preserve"> </v>
      </c>
      <c r="H493" s="257" t="str">
        <f>[1]BASE!H496</f>
        <v>SPG / CHEFIA DE GABINETE SPG</v>
      </c>
      <c r="I493" s="260" t="str">
        <f>[1]BASE!I496</f>
        <v>11.100.000</v>
      </c>
    </row>
    <row r="494" spans="1:9" x14ac:dyDescent="0.25">
      <c r="A494" s="257" t="str">
        <f>[1]BASE!A497</f>
        <v>THIAGO COSMO LUCENA</v>
      </c>
      <c r="B494" s="258">
        <f>[1]BASE!B497</f>
        <v>3103299</v>
      </c>
      <c r="C494" s="257" t="str">
        <f>[1]BASE!C497</f>
        <v>Administrador</v>
      </c>
      <c r="D494" s="258" t="str">
        <f>[1]BASE!D497</f>
        <v>Requisitado de Órgãos</v>
      </c>
      <c r="E494" s="257" t="str">
        <f>[1]BASE!E497</f>
        <v>MJSP - Ministério da Justiça e Segurança Pública</v>
      </c>
      <c r="F494" s="258" t="str">
        <f>[1]BASE!F497</f>
        <v xml:space="preserve"> </v>
      </c>
      <c r="G494" s="258" t="str">
        <f>[1]BASE!G497</f>
        <v>GSISTE Superior</v>
      </c>
      <c r="H494" s="257" t="str">
        <f>[1]BASE!H497</f>
        <v>SE / SPOA / COORDENAÇÃO GERAL DE RECURSOS LOGÍSTICOS - CGRL</v>
      </c>
      <c r="I494" s="260" t="str">
        <f>[1]BASE!I497</f>
        <v>8.105.100</v>
      </c>
    </row>
    <row r="495" spans="1:9" x14ac:dyDescent="0.25">
      <c r="A495" s="257" t="str">
        <f>[1]BASE!A498</f>
        <v>THIAGO DE FREITAS BENEVENUTO</v>
      </c>
      <c r="B495" s="258">
        <f>[1]BASE!B498</f>
        <v>3507933</v>
      </c>
      <c r="C495" s="257" t="str">
        <f>[1]BASE!C498</f>
        <v>Advogado da União</v>
      </c>
      <c r="D495" s="258" t="str">
        <f>[1]BASE!D498</f>
        <v>Exercício Descentralizado</v>
      </c>
      <c r="E495" s="257" t="str">
        <f>[1]BASE!E498</f>
        <v>AGU - Advocacia Geral da União</v>
      </c>
      <c r="F495" s="258" t="str">
        <f>[1]BASE!F498</f>
        <v>FCPE 101.4</v>
      </c>
      <c r="G495" s="258" t="str">
        <f>[1]BASE!G498</f>
        <v xml:space="preserve"> </v>
      </c>
      <c r="H495" s="257" t="str">
        <f>[1]BASE!H498</f>
        <v>CONJUR / COORDENAÇÃO GERAL DE ASSUNTOS DE PETRÓLEO E MINERAÇÃO</v>
      </c>
      <c r="I495" s="260" t="str">
        <f>[1]BASE!I498</f>
        <v>7.100.200</v>
      </c>
    </row>
    <row r="496" spans="1:9" x14ac:dyDescent="0.25">
      <c r="A496" s="257" t="str">
        <f>[1]BASE!A499</f>
        <v>THIAGO GUILHERME FERREIRA PRADO</v>
      </c>
      <c r="B496" s="258">
        <f>[1]BASE!B499</f>
        <v>1435826</v>
      </c>
      <c r="C496" s="257" t="str">
        <f>[1]BASE!C499</f>
        <v>Especialista em Regulação de Serv Púb de Energia</v>
      </c>
      <c r="D496" s="258" t="str">
        <f>[1]BASE!D499</f>
        <v>Requisitado de Órgãos</v>
      </c>
      <c r="E496" s="257" t="str">
        <f>[1]BASE!E499</f>
        <v>ANEEL - Agência Nacional de Energia Elétrica</v>
      </c>
      <c r="F496" s="258" t="str">
        <f>[1]BASE!F499</f>
        <v>DAS 101.5</v>
      </c>
      <c r="G496" s="258" t="str">
        <f>[1]BASE!G499</f>
        <v xml:space="preserve"> </v>
      </c>
      <c r="H496" s="257" t="str">
        <f>[1]BASE!H499</f>
        <v>SPE / DEPARTAMENTO DE PLANEJAMENTO ENERGÉTICO - DPE</v>
      </c>
      <c r="I496" s="260" t="str">
        <f>[1]BASE!I499</f>
        <v>10.101.000</v>
      </c>
    </row>
    <row r="497" spans="1:9" x14ac:dyDescent="0.25">
      <c r="A497" s="257" t="str">
        <f>[1]BASE!A500</f>
        <v>UMBERTO MATTEI</v>
      </c>
      <c r="B497" s="258">
        <f>[1]BASE!B500</f>
        <v>3460202</v>
      </c>
      <c r="C497" s="257" t="str">
        <f>[1]BASE!C500</f>
        <v>Especialista em Política Pública e Gestão Governamental</v>
      </c>
      <c r="D497" s="258" t="str">
        <f>[1]BASE!D500</f>
        <v>Exercício Descentralizado</v>
      </c>
      <c r="E497" s="257" t="str">
        <f>[1]BASE!E500</f>
        <v>ME - Ministério da Economia</v>
      </c>
      <c r="F497" s="258" t="str">
        <f>[1]BASE!F500</f>
        <v xml:space="preserve"> </v>
      </c>
      <c r="G497" s="258" t="str">
        <f>[1]BASE!G500</f>
        <v xml:space="preserve"> </v>
      </c>
      <c r="H497" s="257" t="str">
        <f>[1]BASE!H500</f>
        <v>SPG / DEPARTAMENTO DE BIOCOMBUSTÍVEIS - DBIO</v>
      </c>
      <c r="I497" s="260" t="str">
        <f>[1]BASE!I500</f>
        <v>11.104.000</v>
      </c>
    </row>
    <row r="498" spans="1:9" x14ac:dyDescent="0.25">
      <c r="A498" s="257" t="str">
        <f>[1]BASE!A501</f>
        <v>VALDIR BORGES SOUZA JUNIOR</v>
      </c>
      <c r="B498" s="258">
        <f>[1]BASE!B501</f>
        <v>3661467</v>
      </c>
      <c r="C498" s="257" t="str">
        <f>[1]BASE!C501</f>
        <v>Analista de Infraestrutura</v>
      </c>
      <c r="D498" s="258" t="str">
        <f>[1]BASE!D501</f>
        <v>Requisitado de Órgãos</v>
      </c>
      <c r="E498" s="257" t="str">
        <f>[1]BASE!E501</f>
        <v>ME - Ministério da Economia</v>
      </c>
      <c r="F498" s="258" t="str">
        <f>[1]BASE!F501</f>
        <v>DAS 102.4</v>
      </c>
      <c r="G498" s="258" t="str">
        <f>[1]BASE!G501</f>
        <v xml:space="preserve"> </v>
      </c>
      <c r="H498" s="257" t="str">
        <f>[1]BASE!H501</f>
        <v>SPE / CHEFIA DE GABINETE SPE</v>
      </c>
      <c r="I498" s="260" t="str">
        <f>[1]BASE!I501</f>
        <v>10.100.000</v>
      </c>
    </row>
    <row r="499" spans="1:9" x14ac:dyDescent="0.25">
      <c r="A499" s="257" t="str">
        <f>[1]BASE!A502</f>
        <v>VALDIVINO ANTONIO DE SOUZA</v>
      </c>
      <c r="B499" s="258">
        <f>[1]BASE!B502</f>
        <v>1314309</v>
      </c>
      <c r="C499" s="257" t="str">
        <f>[1]BASE!C502</f>
        <v>Artífice de Eletricidade e Comunicação</v>
      </c>
      <c r="D499" s="258" t="str">
        <f>[1]BASE!D502</f>
        <v>Ativo Permanente</v>
      </c>
      <c r="E499" s="257" t="str">
        <f>[1]BASE!E502</f>
        <v>MME - Ministério de Minas e Energia</v>
      </c>
      <c r="F499" s="258" t="str">
        <f>[1]BASE!F502</f>
        <v>FCT 9</v>
      </c>
      <c r="G499" s="258" t="str">
        <f>[1]BASE!G502</f>
        <v>GSISTE Intermediário</v>
      </c>
      <c r="H499" s="257" t="str">
        <f>[1]BASE!H502</f>
        <v xml:space="preserve">SE / SPOA / CGTI / COORDENAÇÃO DE INFRAESTRUTURA TECNOLÓGICA - </v>
      </c>
      <c r="I499" s="260" t="str">
        <f>[1]BASE!I502</f>
        <v>8.105.310</v>
      </c>
    </row>
    <row r="500" spans="1:9" x14ac:dyDescent="0.25">
      <c r="A500" s="257" t="str">
        <f>[1]BASE!A503</f>
        <v>VALERIA DE JESUS RODRIGUES SOUZA</v>
      </c>
      <c r="B500" s="258">
        <f>[1]BASE!B503</f>
        <v>3086147</v>
      </c>
      <c r="C500" s="257" t="str">
        <f>[1]BASE!C503</f>
        <v>Marinha</v>
      </c>
      <c r="D500" s="258" t="str">
        <f>[1]BASE!D503</f>
        <v>Requisitado Militar</v>
      </c>
      <c r="E500" s="257" t="str">
        <f>[1]BASE!E503</f>
        <v>Marinha</v>
      </c>
      <c r="F500" s="258" t="str">
        <f>[1]BASE!F503</f>
        <v>DAS 102.4</v>
      </c>
      <c r="G500" s="258" t="str">
        <f>[1]BASE!G503</f>
        <v xml:space="preserve"> </v>
      </c>
      <c r="H500" s="257" t="str">
        <f>[1]BASE!H503</f>
        <v>GABINETE DO MINISTRO - GM</v>
      </c>
      <c r="I500" s="260" t="str">
        <f>[1]BASE!I503</f>
        <v>2.000.000</v>
      </c>
    </row>
    <row r="501" spans="1:9" x14ac:dyDescent="0.25">
      <c r="A501" s="257" t="str">
        <f>[1]BASE!A504</f>
        <v>VALTER PEREIRA DA SILVA</v>
      </c>
      <c r="B501" s="258">
        <f>[1]BASE!B504</f>
        <v>2281146</v>
      </c>
      <c r="C501" s="257" t="str">
        <f>[1]BASE!C504</f>
        <v>Contador</v>
      </c>
      <c r="D501" s="258" t="str">
        <f>[1]BASE!D504</f>
        <v>Anistiado MME</v>
      </c>
      <c r="E501" s="257" t="str">
        <f>[1]BASE!E504</f>
        <v>MME - Ministério de Minas e Energia</v>
      </c>
      <c r="F501" s="258" t="str">
        <f>[1]BASE!F504</f>
        <v xml:space="preserve"> </v>
      </c>
      <c r="G501" s="258" t="str">
        <f>[1]BASE!G504</f>
        <v xml:space="preserve"> </v>
      </c>
      <c r="H501" s="257" t="str">
        <f>[1]BASE!H504</f>
        <v>SEE / DPUE / COORDENAÇÃO GERAL DE DESENVOLVIMENTO DE POLÍTICAS SOCIAIS</v>
      </c>
      <c r="I501" s="260" t="str">
        <f>[1]BASE!I504</f>
        <v>12.103.100</v>
      </c>
    </row>
    <row r="502" spans="1:9" x14ac:dyDescent="0.25">
      <c r="A502" s="257" t="str">
        <f>[1]BASE!A505</f>
        <v>VANDERLINO AUGUSTO DA ROCHA</v>
      </c>
      <c r="B502" s="258">
        <f>[1]BASE!B505</f>
        <v>452193</v>
      </c>
      <c r="C502" s="257" t="str">
        <f>[1]BASE!C505</f>
        <v>Agente de Vigilância</v>
      </c>
      <c r="D502" s="258" t="str">
        <f>[1]BASE!D505</f>
        <v>Ativo Permanente</v>
      </c>
      <c r="E502" s="257" t="str">
        <f>[1]BASE!E505</f>
        <v>MME - Ministério de Minas e Energia</v>
      </c>
      <c r="F502" s="258" t="str">
        <f>[1]BASE!F505</f>
        <v>FGR 1</v>
      </c>
      <c r="G502" s="258" t="str">
        <f>[1]BASE!G505</f>
        <v xml:space="preserve"> </v>
      </c>
      <c r="H502" s="257" t="str">
        <f>[1]BASE!H505</f>
        <v>SE / SPOA / CGRL / COORDENAÇÃO DE ATIVIDADES GERAIS - COAGE</v>
      </c>
      <c r="I502" s="260" t="str">
        <f>[1]BASE!I505</f>
        <v>8.105.120</v>
      </c>
    </row>
    <row r="503" spans="1:9" x14ac:dyDescent="0.25">
      <c r="A503" s="257" t="str">
        <f>[1]BASE!A506</f>
        <v>VANIALUCIA LINS SOUTO</v>
      </c>
      <c r="B503" s="258">
        <f>[1]BASE!B506</f>
        <v>2207236</v>
      </c>
      <c r="C503" s="257" t="str">
        <f>[1]BASE!C506</f>
        <v>Especialista em Política Pública e Gestão Governamental</v>
      </c>
      <c r="D503" s="258" t="str">
        <f>[1]BASE!D506</f>
        <v>Exercício Descentralizado</v>
      </c>
      <c r="E503" s="257" t="str">
        <f>[1]BASE!E506</f>
        <v>ME - Ministério da Economia</v>
      </c>
      <c r="F503" s="258" t="str">
        <f>[1]BASE!F506</f>
        <v>DAS 102.2</v>
      </c>
      <c r="G503" s="258" t="str">
        <f>[1]BASE!G506</f>
        <v xml:space="preserve"> </v>
      </c>
      <c r="H503" s="257" t="str">
        <f>[1]BASE!H506</f>
        <v>SEE / DGSE / COORDENAÇÃO GERAL DE GESTÃO DA COMERCIALIZAÇÃO DE ENERGIA</v>
      </c>
      <c r="I503" s="260" t="str">
        <f>[1]BASE!I506</f>
        <v>12.101.100</v>
      </c>
    </row>
    <row r="504" spans="1:9" x14ac:dyDescent="0.25">
      <c r="A504" s="257" t="str">
        <f>[1]BASE!A507</f>
        <v>VANIUS ROBERTO SOARES DA CUNHA</v>
      </c>
      <c r="B504" s="258">
        <f>[1]BASE!B507</f>
        <v>454701</v>
      </c>
      <c r="C504" s="257" t="str">
        <f>[1]BASE!C507</f>
        <v>Agente Administrativo</v>
      </c>
      <c r="D504" s="258" t="str">
        <f>[1]BASE!D507</f>
        <v>Ativo Permanente</v>
      </c>
      <c r="E504" s="257" t="str">
        <f>[1]BASE!E507</f>
        <v>MME - Ministério de Minas e Energia</v>
      </c>
      <c r="F504" s="258" t="str">
        <f>[1]BASE!F507</f>
        <v>FCT 10</v>
      </c>
      <c r="G504" s="258" t="str">
        <f>[1]BASE!G507</f>
        <v xml:space="preserve"> </v>
      </c>
      <c r="H504" s="257" t="str">
        <f>[1]BASE!H507</f>
        <v>GM / OUVIDORIA GERAL - OUVIR</v>
      </c>
      <c r="I504" s="260" t="str">
        <f>[1]BASE!I507</f>
        <v>2.100.500</v>
      </c>
    </row>
    <row r="505" spans="1:9" x14ac:dyDescent="0.25">
      <c r="A505" s="257" t="str">
        <f>[1]BASE!A508</f>
        <v>VERONICA E SILVA SOUSA</v>
      </c>
      <c r="B505" s="258">
        <f>[1]BASE!B508</f>
        <v>1741317</v>
      </c>
      <c r="C505" s="257" t="str">
        <f>[1]BASE!C508</f>
        <v>Sem Cargo/Emprego</v>
      </c>
      <c r="D505" s="258" t="str">
        <f>[1]BASE!D508</f>
        <v>Sem Vínculo</v>
      </c>
      <c r="E505" s="257" t="str">
        <f>[1]BASE!E508</f>
        <v>Sem Vínculo</v>
      </c>
      <c r="F505" s="258" t="str">
        <f>[1]BASE!F508</f>
        <v>DAS 101.4</v>
      </c>
      <c r="G505" s="258" t="str">
        <f>[1]BASE!G508</f>
        <v xml:space="preserve"> </v>
      </c>
      <c r="H505" s="257" t="str">
        <f>[1]BASE!H508</f>
        <v xml:space="preserve">SE / AESA / COORDENAÇÃO GERAL DE AVALIAÇÃO AMBIENTAL E ACOMPANHAMENTO DE LICENCIAMENTO - </v>
      </c>
      <c r="I505" s="260" t="str">
        <f>[1]BASE!I508</f>
        <v>8.104.100</v>
      </c>
    </row>
    <row r="506" spans="1:9" x14ac:dyDescent="0.25">
      <c r="A506" s="257" t="str">
        <f>[1]BASE!A509</f>
        <v>VICTOR PROTAZIO DA SILVA</v>
      </c>
      <c r="B506" s="258">
        <f>[1]BASE!B509</f>
        <v>2748300</v>
      </c>
      <c r="C506" s="257" t="str">
        <f>[1]BASE!C509</f>
        <v>Analista de Infraestrutura</v>
      </c>
      <c r="D506" s="258" t="str">
        <f>[1]BASE!D509</f>
        <v>Exercício Descentralizado</v>
      </c>
      <c r="E506" s="257" t="str">
        <f>[1]BASE!E509</f>
        <v>ME - Ministério da Economia</v>
      </c>
      <c r="F506" s="258" t="str">
        <f>[1]BASE!F509</f>
        <v>DAS 101.4</v>
      </c>
      <c r="G506" s="258" t="str">
        <f>[1]BASE!G509</f>
        <v xml:space="preserve"> </v>
      </c>
      <c r="H506" s="257" t="str">
        <f>[1]BASE!H509</f>
        <v>SEE / DMSE / COORDENAÇÃO GERAL DE MONITORAMENTO DA DISTRIBUIÇÃO</v>
      </c>
      <c r="I506" s="260" t="str">
        <f>[1]BASE!I509</f>
        <v>12.102.300</v>
      </c>
    </row>
    <row r="507" spans="1:9" x14ac:dyDescent="0.25">
      <c r="A507" s="257" t="str">
        <f>[1]BASE!A510</f>
        <v>VICTOR VALE CANTARINO</v>
      </c>
      <c r="B507" s="258">
        <f>[1]BASE!B510</f>
        <v>1356378</v>
      </c>
      <c r="C507" s="257" t="str">
        <f>[1]BASE!C510</f>
        <v>Advogado da União</v>
      </c>
      <c r="D507" s="258" t="str">
        <f>[1]BASE!D510</f>
        <v>Exercício Descentralizado</v>
      </c>
      <c r="E507" s="257" t="str">
        <f>[1]BASE!E510</f>
        <v>AGU - Advocacia Geral da União</v>
      </c>
      <c r="F507" s="258" t="str">
        <f>[1]BASE!F510</f>
        <v xml:space="preserve"> </v>
      </c>
      <c r="G507" s="258" t="str">
        <f>[1]BASE!G510</f>
        <v xml:space="preserve"> </v>
      </c>
      <c r="H507" s="257" t="str">
        <f>[1]BASE!H510</f>
        <v>CONJUR / COORDENAÇÃO GERAL DE ASSUNTOS DE PETRÓLEO E MINERAÇÃO</v>
      </c>
      <c r="I507" s="260" t="str">
        <f>[1]BASE!I510</f>
        <v>7.100.200</v>
      </c>
    </row>
    <row r="508" spans="1:9" x14ac:dyDescent="0.25">
      <c r="A508" s="257" t="str">
        <f>[1]BASE!A511</f>
        <v>VINICIUS SALES PEREIRA</v>
      </c>
      <c r="B508" s="258">
        <f>[1]BASE!B511</f>
        <v>3133057</v>
      </c>
      <c r="C508" s="257" t="str">
        <f>[1]BASE!C511</f>
        <v>Marinha</v>
      </c>
      <c r="D508" s="258" t="str">
        <f>[1]BASE!D511</f>
        <v>Requisitado Militar</v>
      </c>
      <c r="E508" s="257" t="str">
        <f>[1]BASE!E511</f>
        <v>Marinha</v>
      </c>
      <c r="F508" s="258" t="str">
        <f>[1]BASE!F511</f>
        <v>DAS 102.3</v>
      </c>
      <c r="G508" s="258" t="str">
        <f>[1]BASE!G511</f>
        <v xml:space="preserve"> </v>
      </c>
      <c r="H508" s="257" t="str">
        <f>[1]BASE!H511</f>
        <v>Escritório Rio de Janeiro/RJ</v>
      </c>
      <c r="I508" s="260" t="str">
        <f>[1]BASE!I511</f>
        <v>99.000.000</v>
      </c>
    </row>
    <row r="509" spans="1:9" x14ac:dyDescent="0.25">
      <c r="A509" s="257" t="str">
        <f>[1]BASE!A512</f>
        <v>VIVALDO BELARMINO VALENCA</v>
      </c>
      <c r="B509" s="258">
        <f>[1]BASE!B512</f>
        <v>452145</v>
      </c>
      <c r="C509" s="257" t="str">
        <f>[1]BASE!C512</f>
        <v>Administrador</v>
      </c>
      <c r="D509" s="258" t="str">
        <f>[1]BASE!D512</f>
        <v>Ativo Permanente</v>
      </c>
      <c r="E509" s="257" t="str">
        <f>[1]BASE!E512</f>
        <v>MME - Ministério de Minas e Energia</v>
      </c>
      <c r="F509" s="258" t="str">
        <f>[1]BASE!F512</f>
        <v>DAS 101.3</v>
      </c>
      <c r="G509" s="258" t="str">
        <f>[1]BASE!G512</f>
        <v>GSISTE Superior</v>
      </c>
      <c r="H509" s="257" t="str">
        <f>[1]BASE!H512</f>
        <v>SE / AEGE / CGPE / COORDENAÇÃO DE SUPERVISÃO E AVALIAÇÃO DA GESTÃO</v>
      </c>
      <c r="I509" s="260" t="str">
        <f>[1]BASE!I512</f>
        <v>8.101.120</v>
      </c>
    </row>
    <row r="510" spans="1:9" x14ac:dyDescent="0.25">
      <c r="A510" s="257" t="str">
        <f>[1]BASE!A513</f>
        <v>VIVIANO ROCHA NEIVA</v>
      </c>
      <c r="B510" s="258">
        <f>[1]BASE!B513</f>
        <v>1799889</v>
      </c>
      <c r="C510" s="257" t="str">
        <f>[1]BASE!C513</f>
        <v>Analista de Relações Internacionais</v>
      </c>
      <c r="D510" s="258" t="str">
        <f>[1]BASE!D513</f>
        <v>Anistiado MME</v>
      </c>
      <c r="E510" s="257" t="str">
        <f>[1]BASE!E513</f>
        <v>MME - Ministério de Minas e Energia</v>
      </c>
      <c r="F510" s="258" t="str">
        <f>[1]BASE!F513</f>
        <v xml:space="preserve"> </v>
      </c>
      <c r="G510" s="258" t="str">
        <f>[1]BASE!G513</f>
        <v xml:space="preserve"> </v>
      </c>
      <c r="H510" s="257" t="str">
        <f>[1]BASE!H513</f>
        <v>Aguardando Lotação/Exercício</v>
      </c>
      <c r="I510" s="260" t="str">
        <f>[1]BASE!I513</f>
        <v>88.000.000</v>
      </c>
    </row>
    <row r="511" spans="1:9" x14ac:dyDescent="0.25">
      <c r="A511" s="257" t="str">
        <f>[1]BASE!A514</f>
        <v>WAGNER COELHO SABINO</v>
      </c>
      <c r="B511" s="258">
        <f>[1]BASE!B514</f>
        <v>3182221</v>
      </c>
      <c r="C511" s="257" t="str">
        <f>[1]BASE!C514</f>
        <v>Sem Cargo/Emprego</v>
      </c>
      <c r="D511" s="258" t="str">
        <f>[1]BASE!D514</f>
        <v>Sem Vínculo</v>
      </c>
      <c r="E511" s="257" t="str">
        <f>[1]BASE!E514</f>
        <v>S/VÍNCULO</v>
      </c>
      <c r="F511" s="258" t="str">
        <f>[1]BASE!F514</f>
        <v>DAS 101.3</v>
      </c>
      <c r="G511" s="258" t="str">
        <f>[1]BASE!G514</f>
        <v xml:space="preserve"> </v>
      </c>
      <c r="H511" s="257" t="str">
        <f>[1]BASE!H514</f>
        <v>SE / SPOA / CGTI / COORDENAÇÃO DE TECNOLOGIA DE SISTEMAS DE INFORMAÇÃO - CTSI</v>
      </c>
      <c r="I511" s="260" t="str">
        <f>[1]BASE!I514</f>
        <v>8.105.320</v>
      </c>
    </row>
    <row r="512" spans="1:9" x14ac:dyDescent="0.25">
      <c r="A512" s="257" t="str">
        <f>[1]BASE!A515</f>
        <v>WALDIR ANTONIO GERVASIO</v>
      </c>
      <c r="B512" s="258">
        <f>[1]BASE!B515</f>
        <v>451630</v>
      </c>
      <c r="C512" s="257" t="str">
        <f>[1]BASE!C515</f>
        <v>Agente Administrativo</v>
      </c>
      <c r="D512" s="258" t="str">
        <f>[1]BASE!D515</f>
        <v>Ativo Permanente</v>
      </c>
      <c r="E512" s="257" t="str">
        <f>[1]BASE!E515</f>
        <v>MME - Ministério de Minas e Energia</v>
      </c>
      <c r="F512" s="258" t="str">
        <f>[1]BASE!F515</f>
        <v>DAS 102.3</v>
      </c>
      <c r="G512" s="258" t="str">
        <f>[1]BASE!G515</f>
        <v>GSISTE Intermediário</v>
      </c>
      <c r="H512" s="257" t="str">
        <f>[1]BASE!H515</f>
        <v>GM / ASTAD / COORDENAÇÃO DE ATIVIDADES ADMINISTRATIVAS</v>
      </c>
      <c r="I512" s="260" t="str">
        <f>[1]BASE!I515</f>
        <v>2.100.101</v>
      </c>
    </row>
    <row r="513" spans="1:9" x14ac:dyDescent="0.25">
      <c r="A513" s="257" t="str">
        <f>[1]BASE!A516</f>
        <v>WANDERLEY TEIXEIRA RIBEIRO</v>
      </c>
      <c r="B513" s="258">
        <f>[1]BASE!B516</f>
        <v>1669730</v>
      </c>
      <c r="C513" s="257" t="str">
        <f>[1]BASE!C516</f>
        <v>Programador de Aplicação II</v>
      </c>
      <c r="D513" s="258" t="str">
        <f>[1]BASE!D516</f>
        <v>Anistiado MME</v>
      </c>
      <c r="E513" s="257" t="str">
        <f>[1]BASE!E516</f>
        <v>MME - Ministério de Minas e Energia</v>
      </c>
      <c r="F513" s="258" t="str">
        <f>[1]BASE!F516</f>
        <v xml:space="preserve"> </v>
      </c>
      <c r="G513" s="258" t="str">
        <f>[1]BASE!G516</f>
        <v xml:space="preserve"> </v>
      </c>
      <c r="H513" s="257" t="str">
        <f>[1]BASE!H516</f>
        <v>Aguardando Lotação/Exercício</v>
      </c>
      <c r="I513" s="260" t="str">
        <f>[1]BASE!I516</f>
        <v>88.000.000</v>
      </c>
    </row>
    <row r="514" spans="1:9" x14ac:dyDescent="0.25">
      <c r="A514" s="257" t="str">
        <f>[1]BASE!A517</f>
        <v>WASHINGTON CAVALCANTE VERAS DINIZ</v>
      </c>
      <c r="B514" s="258">
        <f>[1]BASE!B517</f>
        <v>6054932</v>
      </c>
      <c r="C514" s="257" t="str">
        <f>[1]BASE!C517</f>
        <v>Agente Administrativo</v>
      </c>
      <c r="D514" s="258" t="str">
        <f>[1]BASE!D517</f>
        <v>Requisitado de Órgãos</v>
      </c>
      <c r="E514" s="257" t="str">
        <f>[1]BASE!E517</f>
        <v>ME - Ministério da Economia</v>
      </c>
      <c r="F514" s="258" t="str">
        <f>[1]BASE!F517</f>
        <v>FCT 10</v>
      </c>
      <c r="G514" s="258" t="str">
        <f>[1]BASE!G517</f>
        <v>GSISTE Intermediário</v>
      </c>
      <c r="H514" s="257" t="str">
        <f>[1]BASE!H517</f>
        <v>SE / SPOA / CGRL / COORDENAÇÃO DE ATIVIDADES GERAIS - COAGE</v>
      </c>
      <c r="I514" s="260" t="str">
        <f>[1]BASE!I517</f>
        <v>8.105.120</v>
      </c>
    </row>
    <row r="515" spans="1:9" x14ac:dyDescent="0.25">
      <c r="A515" s="257" t="str">
        <f>[1]BASE!A518</f>
        <v>WIDISMAR MARTINS DA SILVA</v>
      </c>
      <c r="B515" s="258">
        <f>[1]BASE!B518</f>
        <v>2543882</v>
      </c>
      <c r="C515" s="257" t="str">
        <f>[1]BASE!C518</f>
        <v>Sem Cargo/Emprego</v>
      </c>
      <c r="D515" s="258" t="str">
        <f>[1]BASE!D518</f>
        <v>Sem Vínculo</v>
      </c>
      <c r="E515" s="257" t="str">
        <f>[1]BASE!E518</f>
        <v>Sem Vínculo</v>
      </c>
      <c r="F515" s="258" t="str">
        <f>[1]BASE!F518</f>
        <v>DAS 102.4</v>
      </c>
      <c r="G515" s="258" t="str">
        <f>[1]BASE!G518</f>
        <v xml:space="preserve"> </v>
      </c>
      <c r="H515" s="257" t="str">
        <f>[1]BASE!H518</f>
        <v>SE / CHEFIA DE GABINETE SE</v>
      </c>
      <c r="I515" s="260" t="str">
        <f>[1]BASE!I518</f>
        <v>8.100.000</v>
      </c>
    </row>
    <row r="516" spans="1:9" x14ac:dyDescent="0.25">
      <c r="A516" s="257" t="str">
        <f>[1]BASE!A519</f>
        <v>WILMA DO COUTO DOS SANTOS CRUZ</v>
      </c>
      <c r="B516" s="258">
        <f>[1]BASE!B519</f>
        <v>6455860</v>
      </c>
      <c r="C516" s="257" t="str">
        <f>[1]BASE!C519</f>
        <v>Administrador</v>
      </c>
      <c r="D516" s="258" t="str">
        <f>[1]BASE!D519</f>
        <v>Anistiado MME</v>
      </c>
      <c r="E516" s="257" t="str">
        <f>[1]BASE!E519</f>
        <v>MME - Ministério de Minas e Energia</v>
      </c>
      <c r="F516" s="258" t="str">
        <f>[1]BASE!F519</f>
        <v xml:space="preserve"> </v>
      </c>
      <c r="G516" s="258" t="str">
        <f>[1]BASE!G519</f>
        <v xml:space="preserve"> </v>
      </c>
      <c r="H516" s="257" t="str">
        <f>[1]BASE!H519</f>
        <v>SE / ASSESSORIA ESPECIAL DE MEIO AMBIENTE - AESA</v>
      </c>
      <c r="I516" s="260" t="str">
        <f>[1]BASE!I519</f>
        <v>8.104.000</v>
      </c>
    </row>
    <row r="517" spans="1:9" x14ac:dyDescent="0.25">
      <c r="A517" s="257" t="str">
        <f>[1]BASE!A520</f>
        <v>WILMA SALES FERREIRA NUNES ROSA</v>
      </c>
      <c r="B517" s="258">
        <f>[1]BASE!B520</f>
        <v>2112</v>
      </c>
      <c r="C517" s="257" t="str">
        <f>[1]BASE!C520</f>
        <v>Administrador</v>
      </c>
      <c r="D517" s="258" t="str">
        <f>[1]BASE!D520</f>
        <v>Ativo Permanente</v>
      </c>
      <c r="E517" s="257" t="str">
        <f>[1]BASE!E520</f>
        <v>MME - Ministério de Minas e Energia</v>
      </c>
      <c r="F517" s="258" t="str">
        <f>[1]BASE!F520</f>
        <v xml:space="preserve"> </v>
      </c>
      <c r="G517" s="258" t="str">
        <f>[1]BASE!G520</f>
        <v>GSISTE Superior</v>
      </c>
      <c r="H517" s="257" t="str">
        <f>[1]BASE!H520</f>
        <v>SE / SPOA / CGRL / COORDENAÇÃO DE ATIVIDADES GERAIS - COAGE</v>
      </c>
      <c r="I517" s="260" t="str">
        <f>[1]BASE!I520</f>
        <v>8.105.120</v>
      </c>
    </row>
    <row r="518" spans="1:9" x14ac:dyDescent="0.25">
      <c r="A518" s="257" t="str">
        <f>[1]BASE!A521</f>
        <v>WILSON RODRIGUES PEREIRA</v>
      </c>
      <c r="B518" s="258">
        <f>[1]BASE!B521</f>
        <v>2094507</v>
      </c>
      <c r="C518" s="257" t="str">
        <f>[1]BASE!C521</f>
        <v>Engenheiro</v>
      </c>
      <c r="D518" s="258" t="str">
        <f>[1]BASE!D521</f>
        <v>Anistiado MME</v>
      </c>
      <c r="E518" s="257" t="str">
        <f>[1]BASE!E521</f>
        <v>MME - Ministério de Minas e Energia</v>
      </c>
      <c r="F518" s="258" t="str">
        <f>[1]BASE!F521</f>
        <v xml:space="preserve"> </v>
      </c>
      <c r="G518" s="258" t="str">
        <f>[1]BASE!G521</f>
        <v xml:space="preserve"> </v>
      </c>
      <c r="H518" s="257" t="str">
        <f>[1]BASE!H521</f>
        <v>SGM / DEPARTAMENTO DE TRANSFORMAÇÃO E TECNOLOGIA MINERAL - DTTM</v>
      </c>
      <c r="I518" s="260" t="str">
        <f>[1]BASE!I521</f>
        <v>9.103.000</v>
      </c>
    </row>
    <row r="519" spans="1:9" x14ac:dyDescent="0.25">
      <c r="A519" s="257" t="str">
        <f>[1]BASE!A522</f>
        <v>ZAIRA ROCHA DE NOVAIS LOBO</v>
      </c>
      <c r="B519" s="258">
        <f>[1]BASE!B522</f>
        <v>1097783</v>
      </c>
      <c r="C519" s="257" t="str">
        <f>[1]BASE!C522</f>
        <v>Agente Administrativo</v>
      </c>
      <c r="D519" s="258" t="str">
        <f>[1]BASE!D522</f>
        <v>Ativo Permanente</v>
      </c>
      <c r="E519" s="257" t="str">
        <f>[1]BASE!E522</f>
        <v>MME - Ministério de Minas e Energia</v>
      </c>
      <c r="F519" s="258" t="str">
        <f>[1]BASE!F522</f>
        <v>DAS 102.2</v>
      </c>
      <c r="G519" s="258" t="str">
        <f>[1]BASE!G522</f>
        <v>GSISP Intermediário</v>
      </c>
      <c r="H519" s="257" t="str">
        <f>[1]BASE!H522</f>
        <v xml:space="preserve">SE / SPOA / CGTI / COORDENAÇÃO DE INFRAESTRUTURA TECNOLÓGICA - </v>
      </c>
      <c r="I519" s="260" t="str">
        <f>[1]BASE!I522</f>
        <v>8.105.310</v>
      </c>
    </row>
    <row r="520" spans="1:9" x14ac:dyDescent="0.25">
      <c r="A520" s="257" t="str">
        <f>[1]BASE!A523</f>
        <v>ZULMIRA DA SILVA DE LIMA</v>
      </c>
      <c r="B520" s="258">
        <f>[1]BASE!B523</f>
        <v>455333</v>
      </c>
      <c r="C520" s="257" t="str">
        <f>[1]BASE!C523</f>
        <v>Agente de Portaria</v>
      </c>
      <c r="D520" s="258" t="str">
        <f>[1]BASE!D523</f>
        <v>Ativo Permanente</v>
      </c>
      <c r="E520" s="257" t="str">
        <f>[1]BASE!E523</f>
        <v>MME - Ministério de Minas e Energia</v>
      </c>
      <c r="F520" s="258" t="str">
        <f>[1]BASE!F523</f>
        <v>FCT 11</v>
      </c>
      <c r="G520" s="258" t="str">
        <f>[1]BASE!G523</f>
        <v>GSISTE Intermediário</v>
      </c>
      <c r="H520" s="257" t="str">
        <f>[1]BASE!H523</f>
        <v>SE / SPOA / CGRH / COORDENAÇÃO DE DESENVOLVIMENTO E SEGURIDADE SOCIAL - CODES</v>
      </c>
      <c r="I520" s="260" t="str">
        <f>[1]BASE!I523</f>
        <v>8.105.220</v>
      </c>
    </row>
    <row r="521" spans="1:9" x14ac:dyDescent="0.25">
      <c r="A521" s="257" t="str">
        <f>[1]BASE!A524</f>
        <v/>
      </c>
      <c r="B521" s="258">
        <f>[1]BASE!B524</f>
        <v>0</v>
      </c>
      <c r="C521" s="257">
        <f>[1]BASE!C524</f>
        <v>0</v>
      </c>
      <c r="D521" s="258">
        <f>[1]BASE!D524</f>
        <v>0</v>
      </c>
      <c r="E521" s="257">
        <f>[1]BASE!E524</f>
        <v>0</v>
      </c>
      <c r="F521" s="258" t="str">
        <f>[1]BASE!F524</f>
        <v xml:space="preserve"> </v>
      </c>
      <c r="G521" s="258" t="str">
        <f>[1]BASE!G524</f>
        <v xml:space="preserve"> </v>
      </c>
      <c r="H521" s="257">
        <f>[1]BASE!H524</f>
        <v>0</v>
      </c>
      <c r="I521" s="260" t="e">
        <f>[1]BASE!I524</f>
        <v>#N/A</v>
      </c>
    </row>
    <row r="522" spans="1:9" x14ac:dyDescent="0.25">
      <c r="A522" s="257" t="str">
        <f>[1]BASE!A525</f>
        <v/>
      </c>
      <c r="B522" s="258">
        <f>[1]BASE!B525</f>
        <v>0</v>
      </c>
      <c r="C522" s="257">
        <f>[1]BASE!C525</f>
        <v>0</v>
      </c>
      <c r="D522" s="258">
        <f>[1]BASE!D525</f>
        <v>0</v>
      </c>
      <c r="E522" s="257">
        <f>[1]BASE!E525</f>
        <v>0</v>
      </c>
      <c r="F522" s="258" t="str">
        <f>[1]BASE!F525</f>
        <v xml:space="preserve"> </v>
      </c>
      <c r="G522" s="258" t="str">
        <f>[1]BASE!G525</f>
        <v xml:space="preserve"> </v>
      </c>
      <c r="H522" s="257">
        <f>[1]BASE!H525</f>
        <v>0</v>
      </c>
      <c r="I522" s="260" t="e">
        <f>[1]BASE!I525</f>
        <v>#N/A</v>
      </c>
    </row>
    <row r="523" spans="1:9" x14ac:dyDescent="0.25">
      <c r="A523" s="257" t="str">
        <f>[1]BASE!A526</f>
        <v/>
      </c>
      <c r="B523" s="258">
        <f>[1]BASE!B526</f>
        <v>0</v>
      </c>
      <c r="C523" s="257">
        <f>[1]BASE!C526</f>
        <v>0</v>
      </c>
      <c r="D523" s="258">
        <f>[1]BASE!D526</f>
        <v>0</v>
      </c>
      <c r="E523" s="257">
        <f>[1]BASE!E526</f>
        <v>0</v>
      </c>
      <c r="F523" s="258" t="str">
        <f>[1]BASE!F526</f>
        <v xml:space="preserve"> </v>
      </c>
      <c r="G523" s="258" t="str">
        <f>[1]BASE!G526</f>
        <v xml:space="preserve"> </v>
      </c>
      <c r="H523" s="257">
        <f>[1]BASE!H526</f>
        <v>0</v>
      </c>
      <c r="I523" s="260" t="e">
        <f>[1]BASE!I526</f>
        <v>#N/A</v>
      </c>
    </row>
    <row r="524" spans="1:9" x14ac:dyDescent="0.25">
      <c r="A524" s="257" t="str">
        <f>[1]BASE!A527</f>
        <v/>
      </c>
      <c r="B524" s="258">
        <f>[1]BASE!B527</f>
        <v>0</v>
      </c>
      <c r="C524" s="257">
        <f>[1]BASE!C527</f>
        <v>0</v>
      </c>
      <c r="D524" s="258">
        <f>[1]BASE!D527</f>
        <v>0</v>
      </c>
      <c r="E524" s="257">
        <f>[1]BASE!E527</f>
        <v>0</v>
      </c>
      <c r="F524" s="258" t="str">
        <f>[1]BASE!F527</f>
        <v xml:space="preserve"> </v>
      </c>
      <c r="G524" s="258" t="str">
        <f>[1]BASE!G527</f>
        <v xml:space="preserve"> </v>
      </c>
      <c r="H524" s="257">
        <f>[1]BASE!H527</f>
        <v>0</v>
      </c>
      <c r="I524" s="260" t="e">
        <f>[1]BASE!I527</f>
        <v>#N/A</v>
      </c>
    </row>
    <row r="525" spans="1:9" x14ac:dyDescent="0.25">
      <c r="A525" s="257" t="str">
        <f>[1]BASE!A528</f>
        <v/>
      </c>
      <c r="B525" s="258">
        <f>[1]BASE!B528</f>
        <v>0</v>
      </c>
      <c r="C525" s="257">
        <f>[1]BASE!C528</f>
        <v>0</v>
      </c>
      <c r="D525" s="258">
        <f>[1]BASE!D528</f>
        <v>0</v>
      </c>
      <c r="E525" s="257">
        <f>[1]BASE!E528</f>
        <v>0</v>
      </c>
      <c r="F525" s="258" t="str">
        <f>[1]BASE!F528</f>
        <v xml:space="preserve"> </v>
      </c>
      <c r="G525" s="258" t="str">
        <f>[1]BASE!G528</f>
        <v xml:space="preserve"> </v>
      </c>
      <c r="H525" s="257">
        <f>[1]BASE!H528</f>
        <v>0</v>
      </c>
      <c r="I525" s="260" t="e">
        <f>[1]BASE!I528</f>
        <v>#N/A</v>
      </c>
    </row>
    <row r="526" spans="1:9" x14ac:dyDescent="0.25">
      <c r="A526" s="257" t="str">
        <f>[1]BASE!A529</f>
        <v/>
      </c>
      <c r="B526" s="258">
        <f>[1]BASE!B529</f>
        <v>0</v>
      </c>
      <c r="C526" s="257">
        <f>[1]BASE!C529</f>
        <v>0</v>
      </c>
      <c r="D526" s="258">
        <f>[1]BASE!D529</f>
        <v>0</v>
      </c>
      <c r="E526" s="257">
        <f>[1]BASE!E529</f>
        <v>0</v>
      </c>
      <c r="F526" s="258" t="str">
        <f>[1]BASE!F529</f>
        <v xml:space="preserve"> </v>
      </c>
      <c r="G526" s="258" t="str">
        <f>[1]BASE!G529</f>
        <v xml:space="preserve"> </v>
      </c>
      <c r="H526" s="257">
        <f>[1]BASE!H529</f>
        <v>0</v>
      </c>
      <c r="I526" s="260" t="e">
        <f>[1]BASE!I529</f>
        <v>#N/A</v>
      </c>
    </row>
    <row r="527" spans="1:9" x14ac:dyDescent="0.25">
      <c r="A527" s="257" t="str">
        <f>[1]BASE!A530</f>
        <v/>
      </c>
      <c r="B527" s="258">
        <f>[1]BASE!B530</f>
        <v>0</v>
      </c>
      <c r="C527" s="257">
        <f>[1]BASE!C530</f>
        <v>0</v>
      </c>
      <c r="D527" s="258">
        <f>[1]BASE!D530</f>
        <v>0</v>
      </c>
      <c r="E527" s="257">
        <f>[1]BASE!E530</f>
        <v>0</v>
      </c>
      <c r="F527" s="258" t="str">
        <f>[1]BASE!F530</f>
        <v xml:space="preserve"> </v>
      </c>
      <c r="G527" s="258" t="str">
        <f>[1]BASE!G530</f>
        <v xml:space="preserve"> </v>
      </c>
      <c r="H527" s="257">
        <f>[1]BASE!H530</f>
        <v>0</v>
      </c>
      <c r="I527" s="260" t="e">
        <f>[1]BASE!I530</f>
        <v>#N/A</v>
      </c>
    </row>
    <row r="528" spans="1:9" x14ac:dyDescent="0.25">
      <c r="A528" s="257" t="str">
        <f>[1]BASE!A531</f>
        <v/>
      </c>
      <c r="B528" s="258">
        <f>[1]BASE!B531</f>
        <v>0</v>
      </c>
      <c r="C528" s="257">
        <f>[1]BASE!C531</f>
        <v>0</v>
      </c>
      <c r="D528" s="258">
        <f>[1]BASE!D531</f>
        <v>0</v>
      </c>
      <c r="E528" s="257">
        <f>[1]BASE!E531</f>
        <v>0</v>
      </c>
      <c r="F528" s="258" t="str">
        <f>[1]BASE!F531</f>
        <v xml:space="preserve"> </v>
      </c>
      <c r="G528" s="258" t="str">
        <f>[1]BASE!G531</f>
        <v xml:space="preserve"> </v>
      </c>
      <c r="H528" s="257">
        <f>[1]BASE!H531</f>
        <v>0</v>
      </c>
      <c r="I528" s="260" t="e">
        <f>[1]BASE!I531</f>
        <v>#N/A</v>
      </c>
    </row>
    <row r="529" spans="1:9" x14ac:dyDescent="0.25">
      <c r="A529" s="257" t="str">
        <f>[1]BASE!A532</f>
        <v/>
      </c>
      <c r="B529" s="258">
        <f>[1]BASE!B532</f>
        <v>0</v>
      </c>
      <c r="C529" s="257">
        <f>[1]BASE!C532</f>
        <v>0</v>
      </c>
      <c r="D529" s="258">
        <f>[1]BASE!D532</f>
        <v>0</v>
      </c>
      <c r="E529" s="257">
        <f>[1]BASE!E532</f>
        <v>0</v>
      </c>
      <c r="F529" s="258" t="str">
        <f>[1]BASE!F532</f>
        <v xml:space="preserve"> </v>
      </c>
      <c r="G529" s="258" t="str">
        <f>[1]BASE!G532</f>
        <v xml:space="preserve"> </v>
      </c>
      <c r="H529" s="257">
        <f>[1]BASE!H532</f>
        <v>0</v>
      </c>
      <c r="I529" s="260" t="e">
        <f>[1]BASE!I532</f>
        <v>#N/A</v>
      </c>
    </row>
    <row r="530" spans="1:9" x14ac:dyDescent="0.25">
      <c r="A530" s="257" t="str">
        <f>[1]BASE!A533</f>
        <v/>
      </c>
      <c r="B530" s="258">
        <f>[1]BASE!B533</f>
        <v>0</v>
      </c>
      <c r="C530" s="257">
        <f>[1]BASE!C533</f>
        <v>0</v>
      </c>
      <c r="D530" s="258">
        <f>[1]BASE!D533</f>
        <v>0</v>
      </c>
      <c r="E530" s="257">
        <f>[1]BASE!E533</f>
        <v>0</v>
      </c>
      <c r="F530" s="258" t="str">
        <f>[1]BASE!F533</f>
        <v xml:space="preserve"> </v>
      </c>
      <c r="G530" s="258" t="str">
        <f>[1]BASE!G533</f>
        <v xml:space="preserve"> </v>
      </c>
      <c r="H530" s="257">
        <f>[1]BASE!H533</f>
        <v>0</v>
      </c>
      <c r="I530" s="260" t="e">
        <f>[1]BASE!I533</f>
        <v>#N/A</v>
      </c>
    </row>
    <row r="531" spans="1:9" x14ac:dyDescent="0.25">
      <c r="A531" s="257" t="str">
        <f>[1]BASE!A534</f>
        <v/>
      </c>
      <c r="B531" s="258">
        <f>[1]BASE!B534</f>
        <v>0</v>
      </c>
      <c r="C531" s="257">
        <f>[1]BASE!C534</f>
        <v>0</v>
      </c>
      <c r="D531" s="258">
        <f>[1]BASE!D534</f>
        <v>0</v>
      </c>
      <c r="E531" s="257">
        <f>[1]BASE!E534</f>
        <v>0</v>
      </c>
      <c r="F531" s="258" t="str">
        <f>[1]BASE!F534</f>
        <v xml:space="preserve"> </v>
      </c>
      <c r="G531" s="258" t="str">
        <f>[1]BASE!G534</f>
        <v xml:space="preserve"> </v>
      </c>
      <c r="H531" s="257">
        <f>[1]BASE!H534</f>
        <v>0</v>
      </c>
      <c r="I531" s="260" t="e">
        <f>[1]BASE!I534</f>
        <v>#N/A</v>
      </c>
    </row>
    <row r="532" spans="1:9" x14ac:dyDescent="0.25">
      <c r="A532" s="257" t="str">
        <f>[1]BASE!A535</f>
        <v/>
      </c>
      <c r="B532" s="258">
        <f>[1]BASE!B535</f>
        <v>0</v>
      </c>
      <c r="C532" s="257">
        <f>[1]BASE!C535</f>
        <v>0</v>
      </c>
      <c r="D532" s="258">
        <f>[1]BASE!D535</f>
        <v>0</v>
      </c>
      <c r="E532" s="257">
        <f>[1]BASE!E535</f>
        <v>0</v>
      </c>
      <c r="F532" s="258" t="str">
        <f>[1]BASE!F535</f>
        <v xml:space="preserve"> </v>
      </c>
      <c r="G532" s="258" t="str">
        <f>[1]BASE!G535</f>
        <v xml:space="preserve"> </v>
      </c>
      <c r="H532" s="257">
        <f>[1]BASE!H535</f>
        <v>0</v>
      </c>
      <c r="I532" s="260" t="e">
        <f>[1]BASE!I535</f>
        <v>#N/A</v>
      </c>
    </row>
    <row r="533" spans="1:9" x14ac:dyDescent="0.25"/>
  </sheetData>
  <autoFilter ref="A3:I3"/>
  <mergeCells count="1">
    <mergeCell ref="A1:I1"/>
  </mergeCells>
  <pageMargins left="0.511811024" right="0.511811024" top="0.78740157499999996" bottom="0.78740157499999996" header="0.31496062000000002" footer="0.31496062000000002"/>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0"/>
  <dimension ref="A10:X50"/>
  <sheetViews>
    <sheetView showGridLines="0" workbookViewId="0">
      <selection activeCell="A11" sqref="A11"/>
    </sheetView>
  </sheetViews>
  <sheetFormatPr defaultRowHeight="15" x14ac:dyDescent="0.25"/>
  <cols>
    <col min="1" max="1" width="31.28515625" style="1" customWidth="1"/>
    <col min="2" max="3" width="13.7109375" style="1" customWidth="1"/>
    <col min="4" max="4" width="15.7109375" style="1" customWidth="1"/>
    <col min="5" max="6" width="13.7109375" style="1" customWidth="1"/>
    <col min="7" max="7" width="15.7109375" style="1" customWidth="1"/>
    <col min="8" max="8" width="3.85546875" style="1" customWidth="1"/>
    <col min="9" max="9" width="31.28515625" style="1" customWidth="1"/>
    <col min="10" max="11" width="13.7109375" style="1" customWidth="1"/>
    <col min="12" max="12" width="15.7109375" style="1" customWidth="1"/>
    <col min="13" max="14" width="13.7109375" style="1" customWidth="1"/>
    <col min="15" max="15" width="15.7109375" style="1" customWidth="1"/>
    <col min="16" max="16" width="3.85546875" style="1" customWidth="1"/>
    <col min="17" max="17" width="31.28515625" style="1" customWidth="1"/>
    <col min="18" max="19" width="13.7109375" style="1" customWidth="1"/>
    <col min="20" max="20" width="15.7109375" style="1" customWidth="1"/>
    <col min="21" max="22" width="13.7109375" style="1" customWidth="1"/>
    <col min="23" max="23" width="15.7109375" style="1" customWidth="1"/>
    <col min="24" max="16384" width="9.140625" style="1"/>
  </cols>
  <sheetData>
    <row r="10" spans="1:24" x14ac:dyDescent="0.25">
      <c r="A10"/>
      <c r="B10"/>
      <c r="C10"/>
      <c r="D10"/>
      <c r="E10"/>
      <c r="F10"/>
      <c r="G10"/>
      <c r="H10"/>
      <c r="I10"/>
      <c r="J10"/>
      <c r="K10"/>
      <c r="L10"/>
      <c r="M10"/>
      <c r="N10"/>
      <c r="O10"/>
      <c r="P10"/>
      <c r="Q10"/>
      <c r="R10"/>
      <c r="S10"/>
      <c r="T10"/>
      <c r="U10"/>
      <c r="V10"/>
      <c r="W10"/>
      <c r="X10"/>
    </row>
    <row r="11" spans="1:24" x14ac:dyDescent="0.25">
      <c r="A11"/>
      <c r="B11"/>
      <c r="C11"/>
      <c r="D11"/>
      <c r="E11"/>
      <c r="F11"/>
      <c r="G11"/>
      <c r="H11"/>
      <c r="I11"/>
      <c r="J11"/>
      <c r="K11"/>
      <c r="L11"/>
      <c r="M11"/>
      <c r="N11"/>
      <c r="O11"/>
      <c r="P11"/>
      <c r="Q11"/>
      <c r="R11"/>
      <c r="S11"/>
      <c r="T11"/>
      <c r="U11"/>
      <c r="V11"/>
      <c r="W11"/>
      <c r="X11"/>
    </row>
    <row r="12" spans="1:24" x14ac:dyDescent="0.25">
      <c r="A12" s="700" t="str">
        <f>'[4]VCO-COMUNICAÇÃO'!A3</f>
        <v>AS INFORMAÇÕES SÃO BEM DIVULGADAS NO ÂMBITO DO MME?</v>
      </c>
      <c r="B12" s="702">
        <f>'[4]VCO-COMUNICAÇÃO'!B3</f>
        <v>2020</v>
      </c>
      <c r="C12" s="702"/>
      <c r="D12" s="702"/>
      <c r="E12" s="702">
        <f>'[4]VCO-COMUNICAÇÃO'!E3</f>
        <v>2017</v>
      </c>
      <c r="F12" s="702"/>
      <c r="G12" s="702"/>
      <c r="H12"/>
      <c r="I12" s="700" t="str">
        <f>'[4]VCO-COMUNICAÇÃO'!I3</f>
        <v>A COMUNICAÇÃO ENTRE AS UNIDADES DO MME FACILITA O DESENVOLVIMENTO DO TRABALHO?</v>
      </c>
      <c r="J12" s="702">
        <f>'[4]VCO-COMUNICAÇÃO'!J3</f>
        <v>2020</v>
      </c>
      <c r="K12" s="702"/>
      <c r="L12" s="702"/>
      <c r="M12" s="702">
        <f>'[4]VCO-COMUNICAÇÃO'!M3</f>
        <v>2017</v>
      </c>
      <c r="N12" s="702"/>
      <c r="O12" s="702"/>
      <c r="P12"/>
      <c r="Q12" s="700" t="str">
        <f>'[4]VCO-COMUNICAÇÃO'!Q3</f>
        <v>AS NORMAS E DIRETRIZES ADOTADAS PELO MME FACILITAM A EXECUÇÃO DAS MINHAS ATIVIDADES?</v>
      </c>
      <c r="R12" s="706">
        <f>'[4]VCO-COMUNICAÇÃO'!R3</f>
        <v>2020</v>
      </c>
      <c r="S12" s="707"/>
      <c r="T12" s="708"/>
      <c r="U12" s="706">
        <f>'[4]VCO-COMUNICAÇÃO'!U3</f>
        <v>2017</v>
      </c>
      <c r="V12" s="707"/>
      <c r="W12" s="708"/>
      <c r="X12"/>
    </row>
    <row r="13" spans="1:24" ht="48" customHeight="1" x14ac:dyDescent="0.25">
      <c r="A13" s="700"/>
      <c r="B13" s="426" t="str">
        <f>'[4]VCO-COMUNICAÇÃO'!B4</f>
        <v>TOTAL</v>
      </c>
      <c r="C13" s="426" t="str">
        <f>'[4]VCO-COMUNICAÇÃO'!C4</f>
        <v>%</v>
      </c>
      <c r="D13" s="426" t="str">
        <f>'[4]VCO-COMUNICAÇÃO'!D4</f>
        <v>RESULTADO</v>
      </c>
      <c r="E13" s="426" t="str">
        <f>'[4]VCO-COMUNICAÇÃO'!E4</f>
        <v>TOTAL</v>
      </c>
      <c r="F13" s="426" t="str">
        <f>'[4]VCO-COMUNICAÇÃO'!F4</f>
        <v>%</v>
      </c>
      <c r="G13" s="426" t="str">
        <f>'[4]VCO-COMUNICAÇÃO'!G4</f>
        <v>RESULTADO</v>
      </c>
      <c r="H13"/>
      <c r="I13" s="700"/>
      <c r="J13" s="426" t="str">
        <f>'[4]VCO-COMUNICAÇÃO'!J4</f>
        <v>TOTAL</v>
      </c>
      <c r="K13" s="426" t="str">
        <f>'[4]VCO-COMUNICAÇÃO'!K4</f>
        <v>%</v>
      </c>
      <c r="L13" s="426" t="str">
        <f>'[4]VCO-COMUNICAÇÃO'!L4</f>
        <v>RESULTADO</v>
      </c>
      <c r="M13" s="426" t="str">
        <f>'[4]VCO-COMUNICAÇÃO'!M4</f>
        <v>TOTAL</v>
      </c>
      <c r="N13" s="426" t="str">
        <f>'[4]VCO-COMUNICAÇÃO'!N4</f>
        <v>%</v>
      </c>
      <c r="O13" s="426" t="str">
        <f>'[4]VCO-COMUNICAÇÃO'!O4</f>
        <v>RESULTADO</v>
      </c>
      <c r="P13"/>
      <c r="Q13" s="700"/>
      <c r="R13" s="426" t="str">
        <f>'[4]VCO-COMUNICAÇÃO'!R4</f>
        <v>TOTAL</v>
      </c>
      <c r="S13" s="426" t="str">
        <f>'[4]VCO-COMUNICAÇÃO'!S4</f>
        <v>%</v>
      </c>
      <c r="T13" s="426" t="str">
        <f>'[4]VCO-COMUNICAÇÃO'!T4</f>
        <v>RESULTADO</v>
      </c>
      <c r="U13" s="426" t="str">
        <f>'[4]VCO-COMUNICAÇÃO'!U4</f>
        <v>TOTAL</v>
      </c>
      <c r="V13" s="426" t="str">
        <f>'[4]VCO-COMUNICAÇÃO'!V4</f>
        <v>%</v>
      </c>
      <c r="W13" s="426" t="str">
        <f>'[4]VCO-COMUNICAÇÃO'!W4</f>
        <v>RESULTADO</v>
      </c>
      <c r="X13"/>
    </row>
    <row r="14" spans="1:24" x14ac:dyDescent="0.25">
      <c r="A14" s="428" t="str">
        <f>'[4]VCO-COMUNICAÇÃO'!A5</f>
        <v>SIM</v>
      </c>
      <c r="B14" s="59">
        <f>'[4]VCO-COMUNICAÇÃO'!B5</f>
        <v>103</v>
      </c>
      <c r="C14" s="440">
        <f>'[4]VCO-COMUNICAÇÃO'!C5</f>
        <v>0.53645833333333337</v>
      </c>
      <c r="D14" s="430" t="str">
        <f>'[4]VCO-COMUNICAÇÃO'!D5</f>
        <v>SATISFATÓRIO</v>
      </c>
      <c r="E14" s="452">
        <f>'[4]VCO-COMUNICAÇÃO'!E5</f>
        <v>63</v>
      </c>
      <c r="F14" s="430">
        <f>'[4]VCO-COMUNICAÇÃO'!F5</f>
        <v>0.35</v>
      </c>
      <c r="G14" s="430" t="str">
        <f>'[4]VCO-COMUNICAÇÃO'!G5</f>
        <v>INSATISFATÓRIO</v>
      </c>
      <c r="H14"/>
      <c r="I14" s="428" t="str">
        <f>'[4]VCO-COMUNICAÇÃO'!I5</f>
        <v>SIM</v>
      </c>
      <c r="J14" s="59">
        <f>'[4]VCO-COMUNICAÇÃO'!J5</f>
        <v>111</v>
      </c>
      <c r="K14" s="440">
        <f>'[4]VCO-COMUNICAÇÃO'!K5</f>
        <v>0.578125</v>
      </c>
      <c r="L14" s="430" t="str">
        <f>'[4]VCO-COMUNICAÇÃO'!L5</f>
        <v>SATISFATÓRIO</v>
      </c>
      <c r="M14" s="452">
        <f>'[4]VCO-COMUNICAÇÃO'!M5</f>
        <v>64</v>
      </c>
      <c r="N14" s="430">
        <f>'[4]VCO-COMUNICAÇÃO'!N5</f>
        <v>0.35555555555555557</v>
      </c>
      <c r="O14" s="430" t="str">
        <f>'[4]VCO-COMUNICAÇÃO'!O5</f>
        <v>INSATISFATÓRIO</v>
      </c>
      <c r="P14"/>
      <c r="Q14" s="428" t="str">
        <f>'[4]VCO-COMUNICAÇÃO'!Q5</f>
        <v>SIM</v>
      </c>
      <c r="R14" s="59">
        <f>'[4]VCO-COMUNICAÇÃO'!R5</f>
        <v>121</v>
      </c>
      <c r="S14" s="440">
        <f>'[4]VCO-COMUNICAÇÃO'!S5</f>
        <v>0.63020833333333337</v>
      </c>
      <c r="T14" s="430" t="str">
        <f>'[4]VCO-COMUNICAÇÃO'!T5</f>
        <v>SATISFATÓRIO</v>
      </c>
      <c r="U14" s="452">
        <f>'[4]VCO-COMUNICAÇÃO'!U5</f>
        <v>84</v>
      </c>
      <c r="V14" s="430">
        <f>'[4]VCO-COMUNICAÇÃO'!V5</f>
        <v>0.46408839779005523</v>
      </c>
      <c r="W14" s="430" t="str">
        <f>'[4]VCO-COMUNICAÇÃO'!W5</f>
        <v>INSATISFATÓRIO</v>
      </c>
      <c r="X14"/>
    </row>
    <row r="15" spans="1:24" x14ac:dyDescent="0.25">
      <c r="A15" s="433" t="str">
        <f>'[4]VCO-COMUNICAÇÃO'!A6</f>
        <v>PARCIAL</v>
      </c>
      <c r="B15" s="59">
        <f>'[4]VCO-COMUNICAÇÃO'!B6</f>
        <v>73</v>
      </c>
      <c r="C15" s="440">
        <f>'[4]VCO-COMUNICAÇÃO'!C6</f>
        <v>0.38020833333333331</v>
      </c>
      <c r="D15" s="430" t="str">
        <f>'[4]VCO-COMUNICAÇÃO'!D6</f>
        <v>SATISFATÓRIO</v>
      </c>
      <c r="E15" s="452">
        <f>'[4]VCO-COMUNICAÇÃO'!E6</f>
        <v>82</v>
      </c>
      <c r="F15" s="430">
        <f>'[4]VCO-COMUNICAÇÃO'!F6</f>
        <v>0.45555555555555555</v>
      </c>
      <c r="G15" s="430" t="str">
        <f>'[4]VCO-COMUNICAÇÃO'!G6</f>
        <v>SATISFATÓRIO</v>
      </c>
      <c r="H15"/>
      <c r="I15" s="433" t="str">
        <f>'[4]VCO-COMUNICAÇÃO'!I6</f>
        <v>PARCIAL</v>
      </c>
      <c r="J15" s="59">
        <f>'[4]VCO-COMUNICAÇÃO'!J6</f>
        <v>63</v>
      </c>
      <c r="K15" s="440">
        <f>'[4]VCO-COMUNICAÇÃO'!K6</f>
        <v>0.328125</v>
      </c>
      <c r="L15" s="430" t="str">
        <f>'[4]VCO-COMUNICAÇÃO'!L6</f>
        <v>SATISFATÓRIO</v>
      </c>
      <c r="M15" s="452">
        <f>'[4]VCO-COMUNICAÇÃO'!M6</f>
        <v>70</v>
      </c>
      <c r="N15" s="430">
        <f>'[4]VCO-COMUNICAÇÃO'!N6</f>
        <v>0.3888888888888889</v>
      </c>
      <c r="O15" s="430" t="str">
        <f>'[4]VCO-COMUNICAÇÃO'!O6</f>
        <v>SATISFATÓRIO</v>
      </c>
      <c r="P15"/>
      <c r="Q15" s="433" t="str">
        <f>'[4]VCO-COMUNICAÇÃO'!Q6</f>
        <v>PARCIAL</v>
      </c>
      <c r="R15" s="59">
        <f>'[4]VCO-COMUNICAÇÃO'!R6</f>
        <v>62</v>
      </c>
      <c r="S15" s="440">
        <f>'[4]VCO-COMUNICAÇÃO'!S6</f>
        <v>0.32291666666666669</v>
      </c>
      <c r="T15" s="430" t="str">
        <f>'[4]VCO-COMUNICAÇÃO'!T6</f>
        <v>SATISFATÓRIO</v>
      </c>
      <c r="U15" s="452">
        <f>'[4]VCO-COMUNICAÇÃO'!U6</f>
        <v>67</v>
      </c>
      <c r="V15" s="430">
        <f>'[4]VCO-COMUNICAÇÃO'!V6</f>
        <v>0.37016574585635359</v>
      </c>
      <c r="W15" s="430" t="str">
        <f>'[4]VCO-COMUNICAÇÃO'!W6</f>
        <v>SATISFATÓRIO</v>
      </c>
      <c r="X15"/>
    </row>
    <row r="16" spans="1:24" x14ac:dyDescent="0.25">
      <c r="A16" s="433" t="str">
        <f>'[4]VCO-COMUNICAÇÃO'!A7</f>
        <v>NÃO</v>
      </c>
      <c r="B16" s="59">
        <f>'[4]VCO-COMUNICAÇÃO'!B7</f>
        <v>16</v>
      </c>
      <c r="C16" s="440">
        <f>'[4]VCO-COMUNICAÇÃO'!C7</f>
        <v>8.3333333333333329E-2</v>
      </c>
      <c r="D16" s="430" t="str">
        <f>'[4]VCO-COMUNICAÇÃO'!D7</f>
        <v>SATISFATÓRIO</v>
      </c>
      <c r="E16" s="452">
        <f>'[4]VCO-COMUNICAÇÃO'!E7</f>
        <v>35</v>
      </c>
      <c r="F16" s="430">
        <f>'[4]VCO-COMUNICAÇÃO'!F7</f>
        <v>0.19444444444444445</v>
      </c>
      <c r="G16" s="430" t="str">
        <f>'[4]VCO-COMUNICAÇÃO'!G7</f>
        <v>INSATISFATÓRIO</v>
      </c>
      <c r="H16"/>
      <c r="I16" s="433" t="str">
        <f>'[4]VCO-COMUNICAÇÃO'!I7</f>
        <v>NÃO</v>
      </c>
      <c r="J16" s="59">
        <f>'[4]VCO-COMUNICAÇÃO'!J7</f>
        <v>18</v>
      </c>
      <c r="K16" s="440">
        <f>'[4]VCO-COMUNICAÇÃO'!K7</f>
        <v>9.375E-2</v>
      </c>
      <c r="L16" s="430" t="str">
        <f>'[4]VCO-COMUNICAÇÃO'!L7</f>
        <v>SATISFATÓRIO</v>
      </c>
      <c r="M16" s="452">
        <f>'[4]VCO-COMUNICAÇÃO'!M7</f>
        <v>46</v>
      </c>
      <c r="N16" s="430">
        <f>'[4]VCO-COMUNICAÇÃO'!N7</f>
        <v>0.25555555555555554</v>
      </c>
      <c r="O16" s="430" t="str">
        <f>'[4]VCO-COMUNICAÇÃO'!O7</f>
        <v>INSATISFATÓRIO</v>
      </c>
      <c r="P16"/>
      <c r="Q16" s="433" t="str">
        <f>'[4]VCO-COMUNICAÇÃO'!Q7</f>
        <v>NÃO</v>
      </c>
      <c r="R16" s="59">
        <f>'[4]VCO-COMUNICAÇÃO'!R7</f>
        <v>9</v>
      </c>
      <c r="S16" s="440">
        <f>'[4]VCO-COMUNICAÇÃO'!S7</f>
        <v>4.6875E-2</v>
      </c>
      <c r="T16" s="430" t="str">
        <f>'[4]VCO-COMUNICAÇÃO'!T7</f>
        <v>DESEJÁVEL</v>
      </c>
      <c r="U16" s="452">
        <f>'[4]VCO-COMUNICAÇÃO'!U7</f>
        <v>30</v>
      </c>
      <c r="V16" s="430">
        <f>'[4]VCO-COMUNICAÇÃO'!V7</f>
        <v>0.16574585635359115</v>
      </c>
      <c r="W16" s="430" t="str">
        <f>'[4]VCO-COMUNICAÇÃO'!W7</f>
        <v>INSATISFATÓRIO</v>
      </c>
      <c r="X16"/>
    </row>
    <row r="17" spans="1:24" x14ac:dyDescent="0.25">
      <c r="A17" s="82" t="str">
        <f>'[4]VCO-COMUNICAÇÃO'!A8</f>
        <v>TOTAL</v>
      </c>
      <c r="B17" s="422">
        <f>'[4]VCO-COMUNICAÇÃO'!B8</f>
        <v>192</v>
      </c>
      <c r="C17" s="436">
        <f>'[4]VCO-COMUNICAÇÃO'!C8</f>
        <v>1</v>
      </c>
      <c r="D17" s="439"/>
      <c r="E17" s="422">
        <f>'[4]VCO-COMUNICAÇÃO'!E8</f>
        <v>180</v>
      </c>
      <c r="F17" s="436">
        <f>'[4]VCO-COMUNICAÇÃO'!F8</f>
        <v>1</v>
      </c>
      <c r="G17" s="439"/>
      <c r="H17"/>
      <c r="I17" s="82" t="str">
        <f>'[4]VCO-COMUNICAÇÃO'!I8</f>
        <v>TOTAL</v>
      </c>
      <c r="J17" s="422">
        <f>'[4]VCO-COMUNICAÇÃO'!J8</f>
        <v>192</v>
      </c>
      <c r="K17" s="436">
        <f>'[4]VCO-COMUNICAÇÃO'!K8</f>
        <v>1</v>
      </c>
      <c r="L17" s="439"/>
      <c r="M17" s="422">
        <f>'[4]VCO-COMUNICAÇÃO'!M8</f>
        <v>180</v>
      </c>
      <c r="N17" s="436">
        <f>'[4]VCO-COMUNICAÇÃO'!N8</f>
        <v>1</v>
      </c>
      <c r="O17" s="439"/>
      <c r="P17"/>
      <c r="Q17" s="82" t="str">
        <f>'[4]VCO-COMUNICAÇÃO'!Q8</f>
        <v>TOTAL</v>
      </c>
      <c r="R17" s="422">
        <f>'[4]VCO-COMUNICAÇÃO'!R8</f>
        <v>192</v>
      </c>
      <c r="S17" s="436">
        <f>'[4]VCO-COMUNICAÇÃO'!S8</f>
        <v>1</v>
      </c>
      <c r="T17" s="439"/>
      <c r="U17" s="422">
        <f>'[4]VCO-COMUNICAÇÃO'!U8</f>
        <v>181</v>
      </c>
      <c r="V17" s="436">
        <f>'[4]VCO-COMUNICAÇÃO'!V8</f>
        <v>1</v>
      </c>
      <c r="W17" s="439"/>
      <c r="X17"/>
    </row>
    <row r="18" spans="1:24" x14ac:dyDescent="0.25">
      <c r="A18"/>
      <c r="B18"/>
      <c r="C18"/>
      <c r="D18"/>
      <c r="E18"/>
      <c r="F18"/>
      <c r="G18"/>
      <c r="H18"/>
      <c r="I18"/>
      <c r="J18"/>
      <c r="K18"/>
      <c r="L18"/>
      <c r="M18"/>
      <c r="N18"/>
      <c r="O18"/>
      <c r="P18"/>
      <c r="Q18"/>
      <c r="R18"/>
      <c r="S18"/>
      <c r="T18"/>
      <c r="U18"/>
      <c r="V18"/>
      <c r="W18"/>
      <c r="X18"/>
    </row>
    <row r="19" spans="1:24" x14ac:dyDescent="0.25">
      <c r="A19"/>
      <c r="B19"/>
      <c r="C19"/>
      <c r="D19"/>
      <c r="E19"/>
      <c r="F19"/>
      <c r="G19"/>
      <c r="H19"/>
      <c r="I19"/>
      <c r="J19"/>
      <c r="K19"/>
      <c r="L19"/>
      <c r="M19"/>
      <c r="N19"/>
      <c r="O19"/>
      <c r="P19"/>
      <c r="Q19"/>
      <c r="R19"/>
      <c r="S19"/>
      <c r="T19"/>
      <c r="U19"/>
      <c r="V19"/>
      <c r="W19"/>
      <c r="X19"/>
    </row>
    <row r="20" spans="1:24" x14ac:dyDescent="0.25">
      <c r="A20"/>
      <c r="B20"/>
      <c r="C20"/>
      <c r="D20"/>
      <c r="E20"/>
      <c r="F20"/>
      <c r="G20"/>
      <c r="H20"/>
      <c r="I20"/>
      <c r="J20"/>
      <c r="K20"/>
      <c r="L20"/>
      <c r="M20"/>
      <c r="N20"/>
      <c r="O20"/>
      <c r="P20"/>
      <c r="Q20"/>
      <c r="R20"/>
      <c r="S20"/>
      <c r="T20"/>
      <c r="U20"/>
      <c r="V20"/>
      <c r="W20"/>
      <c r="X20"/>
    </row>
    <row r="21" spans="1:24" x14ac:dyDescent="0.25">
      <c r="A21"/>
      <c r="B21"/>
      <c r="C21"/>
      <c r="D21"/>
      <c r="E21"/>
      <c r="F21"/>
      <c r="G21"/>
      <c r="H21"/>
      <c r="I21"/>
      <c r="J21"/>
      <c r="K21"/>
      <c r="L21"/>
      <c r="M21"/>
      <c r="N21"/>
      <c r="O21"/>
      <c r="P21"/>
      <c r="Q21"/>
      <c r="R21"/>
      <c r="S21"/>
      <c r="T21"/>
      <c r="U21"/>
      <c r="V21"/>
      <c r="W21"/>
      <c r="X21"/>
    </row>
    <row r="22" spans="1:24" x14ac:dyDescent="0.25">
      <c r="A22"/>
      <c r="B22"/>
      <c r="C22"/>
      <c r="D22"/>
      <c r="E22"/>
      <c r="F22"/>
      <c r="G22"/>
      <c r="H22"/>
      <c r="I22"/>
      <c r="J22"/>
      <c r="K22"/>
      <c r="L22"/>
      <c r="M22"/>
      <c r="N22"/>
      <c r="O22"/>
      <c r="P22"/>
      <c r="Q22"/>
      <c r="R22"/>
      <c r="S22"/>
      <c r="T22"/>
      <c r="U22"/>
      <c r="V22"/>
      <c r="W22"/>
      <c r="X22"/>
    </row>
    <row r="23" spans="1:24" x14ac:dyDescent="0.25">
      <c r="A23"/>
      <c r="B23"/>
      <c r="C23"/>
      <c r="D23"/>
      <c r="E23"/>
      <c r="F23"/>
      <c r="G23"/>
      <c r="H23"/>
      <c r="I23"/>
      <c r="J23"/>
      <c r="K23"/>
      <c r="L23"/>
      <c r="M23"/>
      <c r="N23"/>
      <c r="O23"/>
      <c r="P23"/>
      <c r="Q23"/>
      <c r="R23"/>
      <c r="S23"/>
      <c r="T23"/>
      <c r="U23"/>
      <c r="V23"/>
      <c r="W23"/>
      <c r="X23"/>
    </row>
    <row r="24" spans="1:24" x14ac:dyDescent="0.25">
      <c r="A24"/>
      <c r="B24"/>
      <c r="C24"/>
      <c r="D24"/>
      <c r="E24"/>
      <c r="F24"/>
      <c r="G24"/>
      <c r="H24"/>
      <c r="I24"/>
      <c r="J24"/>
      <c r="K24"/>
      <c r="L24"/>
      <c r="M24"/>
      <c r="N24"/>
      <c r="O24"/>
      <c r="P24"/>
      <c r="Q24"/>
      <c r="R24"/>
      <c r="S24"/>
      <c r="T24"/>
      <c r="U24"/>
      <c r="V24"/>
      <c r="W24"/>
      <c r="X24"/>
    </row>
    <row r="25" spans="1:24" x14ac:dyDescent="0.25">
      <c r="A25"/>
      <c r="B25"/>
      <c r="C25"/>
      <c r="D25"/>
      <c r="E25"/>
      <c r="F25"/>
      <c r="G25"/>
      <c r="H25"/>
      <c r="I25"/>
      <c r="J25"/>
      <c r="K25"/>
      <c r="L25"/>
      <c r="M25"/>
      <c r="N25"/>
      <c r="O25"/>
      <c r="P25"/>
      <c r="Q25"/>
      <c r="R25"/>
      <c r="S25"/>
      <c r="T25"/>
      <c r="U25"/>
      <c r="V25"/>
      <c r="W25"/>
      <c r="X25"/>
    </row>
    <row r="26" spans="1:24" x14ac:dyDescent="0.25">
      <c r="A26"/>
      <c r="B26"/>
      <c r="C26"/>
      <c r="D26"/>
      <c r="E26"/>
      <c r="F26"/>
      <c r="G26"/>
      <c r="H26"/>
      <c r="I26"/>
      <c r="J26"/>
      <c r="K26"/>
      <c r="L26"/>
      <c r="M26"/>
      <c r="N26"/>
      <c r="O26"/>
      <c r="P26"/>
      <c r="Q26"/>
      <c r="R26"/>
      <c r="S26"/>
      <c r="T26"/>
      <c r="U26"/>
      <c r="V26"/>
      <c r="W26"/>
      <c r="X26"/>
    </row>
    <row r="27" spans="1:24" x14ac:dyDescent="0.25">
      <c r="A27"/>
      <c r="B27"/>
      <c r="C27"/>
      <c r="D27"/>
      <c r="E27"/>
      <c r="F27"/>
      <c r="G27"/>
      <c r="H27"/>
      <c r="I27"/>
      <c r="J27"/>
      <c r="K27"/>
      <c r="L27"/>
      <c r="M27"/>
      <c r="N27"/>
      <c r="O27"/>
      <c r="P27"/>
      <c r="Q27"/>
      <c r="R27"/>
      <c r="S27"/>
      <c r="T27"/>
      <c r="U27"/>
      <c r="V27"/>
      <c r="W27"/>
      <c r="X27"/>
    </row>
    <row r="28" spans="1:24" x14ac:dyDescent="0.25">
      <c r="A28"/>
      <c r="B28"/>
      <c r="C28"/>
      <c r="D28"/>
      <c r="E28"/>
      <c r="F28"/>
      <c r="G28"/>
      <c r="H28"/>
      <c r="I28"/>
      <c r="J28"/>
      <c r="K28"/>
      <c r="L28"/>
      <c r="M28"/>
      <c r="N28"/>
      <c r="O28"/>
      <c r="P28"/>
      <c r="Q28"/>
      <c r="R28"/>
      <c r="S28"/>
      <c r="T28"/>
      <c r="U28"/>
      <c r="V28"/>
      <c r="W28"/>
      <c r="X28"/>
    </row>
    <row r="29" spans="1:24" x14ac:dyDescent="0.25">
      <c r="A29"/>
      <c r="B29"/>
      <c r="C29"/>
      <c r="D29"/>
      <c r="E29"/>
      <c r="F29"/>
      <c r="G29"/>
      <c r="H29"/>
      <c r="I29"/>
      <c r="J29"/>
      <c r="K29"/>
      <c r="L29"/>
      <c r="M29"/>
      <c r="N29"/>
      <c r="O29"/>
      <c r="P29"/>
      <c r="Q29"/>
      <c r="R29"/>
      <c r="S29"/>
      <c r="T29"/>
      <c r="U29"/>
      <c r="V29"/>
      <c r="W29"/>
      <c r="X29"/>
    </row>
    <row r="30" spans="1:24" x14ac:dyDescent="0.25">
      <c r="A30"/>
      <c r="B30"/>
      <c r="C30"/>
      <c r="D30"/>
      <c r="E30"/>
      <c r="F30"/>
      <c r="G30"/>
      <c r="H30"/>
      <c r="I30"/>
      <c r="J30"/>
      <c r="K30"/>
      <c r="L30"/>
      <c r="M30"/>
      <c r="N30"/>
      <c r="O30"/>
      <c r="P30"/>
      <c r="Q30"/>
      <c r="R30"/>
      <c r="S30"/>
      <c r="T30"/>
      <c r="U30"/>
      <c r="V30"/>
      <c r="W30"/>
      <c r="X30"/>
    </row>
    <row r="31" spans="1:24" x14ac:dyDescent="0.25">
      <c r="A31"/>
      <c r="B31"/>
      <c r="C31"/>
      <c r="D31"/>
      <c r="E31"/>
      <c r="F31"/>
      <c r="G31"/>
      <c r="H31"/>
      <c r="I31"/>
      <c r="J31"/>
      <c r="K31"/>
      <c r="L31"/>
      <c r="M31"/>
      <c r="N31"/>
      <c r="O31"/>
      <c r="P31"/>
      <c r="Q31"/>
      <c r="R31"/>
      <c r="S31"/>
      <c r="T31"/>
      <c r="U31"/>
      <c r="V31"/>
      <c r="W31"/>
      <c r="X31"/>
    </row>
    <row r="32" spans="1:24" x14ac:dyDescent="0.25">
      <c r="A32"/>
      <c r="B32"/>
      <c r="C32"/>
      <c r="D32"/>
      <c r="E32"/>
      <c r="F32"/>
      <c r="G32"/>
      <c r="H32"/>
      <c r="I32"/>
      <c r="J32"/>
      <c r="K32"/>
      <c r="L32"/>
      <c r="M32"/>
      <c r="N32"/>
      <c r="O32"/>
      <c r="P32"/>
      <c r="Q32"/>
      <c r="R32"/>
      <c r="S32"/>
      <c r="T32"/>
      <c r="U32"/>
      <c r="V32"/>
      <c r="W32"/>
      <c r="X32"/>
    </row>
    <row r="33" spans="1:24" x14ac:dyDescent="0.25">
      <c r="A33"/>
      <c r="B33"/>
      <c r="C33"/>
      <c r="D33"/>
      <c r="E33"/>
      <c r="F33"/>
      <c r="G33"/>
      <c r="H33"/>
      <c r="I33"/>
      <c r="J33"/>
      <c r="K33"/>
      <c r="L33"/>
      <c r="M33"/>
      <c r="N33"/>
      <c r="O33"/>
      <c r="P33"/>
      <c r="Q33"/>
      <c r="R33"/>
      <c r="S33"/>
      <c r="T33"/>
      <c r="U33"/>
      <c r="V33"/>
      <c r="W33"/>
      <c r="X33"/>
    </row>
    <row r="34" spans="1:24" x14ac:dyDescent="0.25">
      <c r="A34"/>
      <c r="B34"/>
      <c r="C34"/>
      <c r="D34"/>
      <c r="E34"/>
      <c r="F34"/>
      <c r="G34"/>
      <c r="H34"/>
      <c r="I34"/>
      <c r="J34"/>
      <c r="K34"/>
      <c r="L34"/>
      <c r="M34"/>
      <c r="N34"/>
      <c r="O34"/>
      <c r="P34"/>
      <c r="Q34"/>
      <c r="R34"/>
      <c r="S34"/>
      <c r="T34"/>
      <c r="U34"/>
      <c r="V34"/>
      <c r="W34"/>
      <c r="X34"/>
    </row>
    <row r="35" spans="1:24" x14ac:dyDescent="0.25">
      <c r="A35"/>
      <c r="B35"/>
      <c r="C35"/>
      <c r="D35"/>
      <c r="E35"/>
      <c r="F35"/>
      <c r="G35"/>
      <c r="H35"/>
      <c r="I35"/>
      <c r="J35"/>
      <c r="K35"/>
      <c r="L35"/>
      <c r="M35"/>
      <c r="N35"/>
      <c r="O35"/>
      <c r="P35"/>
      <c r="Q35"/>
      <c r="R35"/>
      <c r="S35"/>
      <c r="T35"/>
      <c r="U35"/>
      <c r="V35"/>
      <c r="W35"/>
      <c r="X35"/>
    </row>
    <row r="36" spans="1:24" x14ac:dyDescent="0.25">
      <c r="A36"/>
      <c r="B36"/>
      <c r="C36"/>
      <c r="D36"/>
      <c r="E36"/>
      <c r="F36"/>
      <c r="G36"/>
      <c r="H36"/>
      <c r="I36"/>
      <c r="J36"/>
      <c r="K36"/>
      <c r="L36"/>
      <c r="M36"/>
      <c r="N36"/>
      <c r="O36"/>
      <c r="P36"/>
      <c r="Q36"/>
      <c r="R36"/>
      <c r="S36"/>
      <c r="T36"/>
      <c r="U36"/>
      <c r="V36"/>
      <c r="W36"/>
      <c r="X36"/>
    </row>
    <row r="37" spans="1:24" x14ac:dyDescent="0.25">
      <c r="A37"/>
      <c r="B37"/>
      <c r="C37"/>
      <c r="D37"/>
      <c r="E37"/>
      <c r="F37"/>
      <c r="G37"/>
      <c r="H37"/>
      <c r="I37"/>
      <c r="J37"/>
      <c r="K37"/>
      <c r="L37"/>
      <c r="M37"/>
      <c r="N37"/>
      <c r="O37"/>
      <c r="P37"/>
      <c r="Q37"/>
      <c r="R37"/>
      <c r="S37"/>
      <c r="T37"/>
      <c r="U37"/>
      <c r="V37"/>
      <c r="W37"/>
      <c r="X37"/>
    </row>
    <row r="38" spans="1:24" x14ac:dyDescent="0.25">
      <c r="A38"/>
      <c r="B38"/>
      <c r="C38"/>
      <c r="D38"/>
      <c r="E38"/>
      <c r="F38"/>
      <c r="G38"/>
      <c r="H38"/>
      <c r="I38"/>
      <c r="J38"/>
      <c r="K38"/>
      <c r="L38"/>
      <c r="M38"/>
      <c r="N38"/>
      <c r="O38"/>
      <c r="P38"/>
      <c r="Q38"/>
      <c r="R38"/>
      <c r="S38"/>
      <c r="T38"/>
      <c r="U38"/>
      <c r="V38"/>
      <c r="W38"/>
      <c r="X38"/>
    </row>
    <row r="39" spans="1:24" x14ac:dyDescent="0.25">
      <c r="A39"/>
      <c r="B39"/>
      <c r="C39"/>
      <c r="D39"/>
      <c r="E39"/>
      <c r="F39"/>
      <c r="G39"/>
      <c r="H39"/>
      <c r="I39"/>
      <c r="J39"/>
      <c r="K39"/>
      <c r="L39"/>
      <c r="M39"/>
      <c r="N39"/>
      <c r="O39"/>
      <c r="P39"/>
      <c r="Q39"/>
      <c r="R39"/>
      <c r="S39"/>
      <c r="T39"/>
      <c r="U39"/>
      <c r="V39"/>
      <c r="W39"/>
      <c r="X39"/>
    </row>
    <row r="40" spans="1:24" x14ac:dyDescent="0.25">
      <c r="A40"/>
      <c r="B40"/>
      <c r="C40"/>
      <c r="D40"/>
      <c r="E40"/>
      <c r="F40"/>
      <c r="G40"/>
      <c r="H40"/>
      <c r="I40"/>
      <c r="J40"/>
      <c r="K40"/>
      <c r="L40"/>
      <c r="M40"/>
      <c r="N40"/>
      <c r="O40"/>
      <c r="P40"/>
      <c r="Q40"/>
      <c r="R40"/>
      <c r="S40"/>
      <c r="T40"/>
      <c r="U40"/>
      <c r="V40"/>
      <c r="W40"/>
      <c r="X40"/>
    </row>
    <row r="41" spans="1:24" x14ac:dyDescent="0.25">
      <c r="A41"/>
      <c r="B41"/>
      <c r="C41"/>
      <c r="D41"/>
      <c r="E41"/>
      <c r="F41"/>
      <c r="G41"/>
      <c r="H41"/>
      <c r="I41"/>
      <c r="J41"/>
      <c r="K41"/>
      <c r="L41"/>
      <c r="M41"/>
      <c r="N41"/>
      <c r="O41"/>
      <c r="P41"/>
      <c r="Q41"/>
      <c r="R41"/>
      <c r="S41"/>
      <c r="T41"/>
      <c r="U41"/>
      <c r="V41"/>
      <c r="W41"/>
      <c r="X41"/>
    </row>
    <row r="42" spans="1:24" x14ac:dyDescent="0.25">
      <c r="A42"/>
      <c r="B42"/>
      <c r="C42"/>
      <c r="D42"/>
      <c r="E42"/>
      <c r="F42"/>
      <c r="G42"/>
      <c r="H42"/>
      <c r="I42"/>
      <c r="J42"/>
      <c r="K42"/>
      <c r="L42"/>
      <c r="M42"/>
      <c r="N42"/>
      <c r="O42"/>
      <c r="P42"/>
      <c r="Q42"/>
      <c r="R42"/>
      <c r="S42"/>
      <c r="T42"/>
      <c r="U42"/>
      <c r="V42"/>
      <c r="W42"/>
      <c r="X42"/>
    </row>
    <row r="43" spans="1:24" x14ac:dyDescent="0.25">
      <c r="A43"/>
      <c r="B43"/>
      <c r="C43"/>
      <c r="D43"/>
      <c r="E43"/>
      <c r="F43"/>
      <c r="G43"/>
      <c r="H43"/>
      <c r="I43"/>
      <c r="J43"/>
      <c r="K43"/>
      <c r="L43"/>
      <c r="M43"/>
      <c r="N43"/>
      <c r="O43"/>
      <c r="P43"/>
      <c r="Q43"/>
      <c r="R43"/>
      <c r="S43"/>
      <c r="T43"/>
      <c r="U43"/>
      <c r="V43"/>
      <c r="W43"/>
      <c r="X43"/>
    </row>
    <row r="44" spans="1:24" x14ac:dyDescent="0.25">
      <c r="A44"/>
      <c r="B44"/>
      <c r="C44"/>
      <c r="D44"/>
      <c r="E44"/>
      <c r="F44"/>
      <c r="G44"/>
      <c r="H44"/>
      <c r="I44"/>
      <c r="J44"/>
      <c r="K44"/>
      <c r="L44"/>
      <c r="M44"/>
      <c r="N44"/>
      <c r="O44"/>
      <c r="P44"/>
      <c r="Q44"/>
      <c r="R44"/>
      <c r="S44"/>
      <c r="T44"/>
      <c r="U44"/>
      <c r="V44"/>
      <c r="W44"/>
      <c r="X44"/>
    </row>
    <row r="45" spans="1:24" x14ac:dyDescent="0.25">
      <c r="A45"/>
      <c r="B45"/>
      <c r="C45"/>
      <c r="D45"/>
      <c r="E45"/>
      <c r="F45"/>
      <c r="G45"/>
      <c r="H45"/>
      <c r="I45"/>
      <c r="J45"/>
      <c r="K45"/>
      <c r="L45"/>
      <c r="M45"/>
      <c r="N45"/>
      <c r="O45"/>
      <c r="P45"/>
      <c r="Q45"/>
      <c r="R45"/>
      <c r="S45"/>
      <c r="T45"/>
      <c r="U45"/>
      <c r="V45"/>
      <c r="W45"/>
      <c r="X45"/>
    </row>
    <row r="46" spans="1:24" x14ac:dyDescent="0.25">
      <c r="A46"/>
      <c r="B46"/>
      <c r="C46"/>
      <c r="D46"/>
      <c r="E46"/>
      <c r="F46"/>
      <c r="G46"/>
      <c r="H46"/>
      <c r="I46"/>
      <c r="J46"/>
      <c r="K46"/>
      <c r="L46"/>
      <c r="M46"/>
      <c r="N46"/>
      <c r="O46"/>
      <c r="P46"/>
      <c r="Q46"/>
      <c r="R46"/>
      <c r="S46"/>
      <c r="T46"/>
      <c r="U46"/>
      <c r="V46"/>
      <c r="W46"/>
      <c r="X46"/>
    </row>
    <row r="47" spans="1:24" x14ac:dyDescent="0.25">
      <c r="A47"/>
      <c r="B47"/>
      <c r="C47"/>
      <c r="D47"/>
      <c r="E47"/>
      <c r="F47"/>
      <c r="G47"/>
      <c r="H47"/>
      <c r="I47"/>
      <c r="J47"/>
      <c r="K47"/>
      <c r="L47"/>
      <c r="M47"/>
      <c r="N47"/>
      <c r="O47"/>
      <c r="P47"/>
      <c r="Q47"/>
      <c r="R47"/>
      <c r="S47"/>
      <c r="T47"/>
      <c r="U47"/>
      <c r="V47"/>
      <c r="W47"/>
      <c r="X47"/>
    </row>
    <row r="48" spans="1:24" x14ac:dyDescent="0.25">
      <c r="A48"/>
      <c r="B48"/>
      <c r="C48"/>
      <c r="D48"/>
      <c r="E48"/>
      <c r="F48"/>
      <c r="G48"/>
      <c r="H48"/>
      <c r="I48"/>
      <c r="J48"/>
      <c r="K48"/>
      <c r="L48"/>
      <c r="M48"/>
      <c r="N48"/>
      <c r="O48"/>
      <c r="P48"/>
      <c r="Q48"/>
      <c r="R48"/>
      <c r="S48"/>
      <c r="T48"/>
      <c r="U48"/>
      <c r="V48"/>
      <c r="W48"/>
      <c r="X48"/>
    </row>
    <row r="49" spans="1:24" x14ac:dyDescent="0.25">
      <c r="A49"/>
      <c r="B49"/>
      <c r="C49"/>
      <c r="D49"/>
      <c r="E49"/>
      <c r="F49"/>
      <c r="G49"/>
      <c r="H49"/>
      <c r="I49"/>
      <c r="J49"/>
      <c r="K49"/>
      <c r="L49"/>
      <c r="M49"/>
      <c r="N49"/>
      <c r="O49"/>
      <c r="P49"/>
      <c r="Q49"/>
      <c r="R49"/>
      <c r="S49"/>
      <c r="T49"/>
      <c r="U49"/>
      <c r="V49"/>
      <c r="W49"/>
      <c r="X49"/>
    </row>
    <row r="50" spans="1:24" x14ac:dyDescent="0.25">
      <c r="A50"/>
      <c r="B50"/>
      <c r="C50"/>
      <c r="D50"/>
      <c r="E50"/>
      <c r="F50"/>
      <c r="G50"/>
      <c r="H50"/>
      <c r="I50"/>
      <c r="J50"/>
      <c r="K50"/>
      <c r="L50"/>
      <c r="M50"/>
      <c r="N50"/>
      <c r="O50"/>
      <c r="P50"/>
      <c r="Q50"/>
      <c r="R50"/>
      <c r="S50"/>
      <c r="T50"/>
      <c r="U50"/>
      <c r="V50"/>
      <c r="W50"/>
      <c r="X50"/>
    </row>
  </sheetData>
  <mergeCells count="9">
    <mergeCell ref="Q12:Q13"/>
    <mergeCell ref="R12:T12"/>
    <mergeCell ref="U12:W12"/>
    <mergeCell ref="A12:A13"/>
    <mergeCell ref="B12:D12"/>
    <mergeCell ref="E12:G12"/>
    <mergeCell ref="I12:I13"/>
    <mergeCell ref="J12:L12"/>
    <mergeCell ref="M12:O12"/>
  </mergeCells>
  <conditionalFormatting sqref="D14:D16">
    <cfRule type="containsText" dxfId="111" priority="21" operator="containsText" text="CRÍTICO">
      <formula>NOT(ISERROR(SEARCH("CRÍTICO",D14)))</formula>
    </cfRule>
    <cfRule type="containsText" dxfId="110" priority="22" operator="containsText" text="INSATISFATÓRIO">
      <formula>NOT(ISERROR(SEARCH("INSATISFATÓRIO",D14)))</formula>
    </cfRule>
    <cfRule type="containsText" dxfId="109" priority="23" operator="containsText" text="DESEJÁVEL">
      <formula>NOT(ISERROR(SEARCH("DESEJÁVEL",D14)))</formula>
    </cfRule>
    <cfRule type="containsText" dxfId="108" priority="24" operator="containsText" text="SATISFATÓRIO">
      <formula>NOT(ISERROR(SEARCH("SATISFATÓRIO",D14)))</formula>
    </cfRule>
  </conditionalFormatting>
  <conditionalFormatting sqref="G14:G16">
    <cfRule type="containsText" dxfId="107" priority="17" operator="containsText" text="CRÍTICO">
      <formula>NOT(ISERROR(SEARCH("CRÍTICO",G14)))</formula>
    </cfRule>
    <cfRule type="containsText" dxfId="106" priority="18" operator="containsText" text="INSATISFATÓRIO">
      <formula>NOT(ISERROR(SEARCH("INSATISFATÓRIO",G14)))</formula>
    </cfRule>
    <cfRule type="containsText" dxfId="105" priority="19" operator="containsText" text="DESEJÁVEL">
      <formula>NOT(ISERROR(SEARCH("DESEJÁVEL",G14)))</formula>
    </cfRule>
    <cfRule type="containsText" dxfId="104" priority="20" operator="containsText" text="SATISFATÓRIO">
      <formula>NOT(ISERROR(SEARCH("SATISFATÓRIO",G14)))</formula>
    </cfRule>
  </conditionalFormatting>
  <conditionalFormatting sqref="L14:L16">
    <cfRule type="containsText" dxfId="103" priority="13" operator="containsText" text="CRÍTICO">
      <formula>NOT(ISERROR(SEARCH("CRÍTICO",L14)))</formula>
    </cfRule>
    <cfRule type="containsText" dxfId="102" priority="14" operator="containsText" text="INSATISFATÓRIO">
      <formula>NOT(ISERROR(SEARCH("INSATISFATÓRIO",L14)))</formula>
    </cfRule>
    <cfRule type="containsText" dxfId="101" priority="15" operator="containsText" text="DESEJÁVEL">
      <formula>NOT(ISERROR(SEARCH("DESEJÁVEL",L14)))</formula>
    </cfRule>
    <cfRule type="containsText" dxfId="100" priority="16" operator="containsText" text="SATISFATÓRIO">
      <formula>NOT(ISERROR(SEARCH("SATISFATÓRIO",L14)))</formula>
    </cfRule>
  </conditionalFormatting>
  <conditionalFormatting sqref="T14:T16">
    <cfRule type="containsText" dxfId="99" priority="9" operator="containsText" text="CRÍTICO">
      <formula>NOT(ISERROR(SEARCH("CRÍTICO",T14)))</formula>
    </cfRule>
    <cfRule type="containsText" dxfId="98" priority="10" operator="containsText" text="INSATISFATÓRIO">
      <formula>NOT(ISERROR(SEARCH("INSATISFATÓRIO",T14)))</formula>
    </cfRule>
    <cfRule type="containsText" dxfId="97" priority="11" operator="containsText" text="DESEJÁVEL">
      <formula>NOT(ISERROR(SEARCH("DESEJÁVEL",T14)))</formula>
    </cfRule>
    <cfRule type="containsText" dxfId="96" priority="12" operator="containsText" text="SATISFATÓRIO">
      <formula>NOT(ISERROR(SEARCH("SATISFATÓRIO",T14)))</formula>
    </cfRule>
  </conditionalFormatting>
  <conditionalFormatting sqref="O14:O16">
    <cfRule type="containsText" dxfId="95" priority="5" operator="containsText" text="CRÍTICO">
      <formula>NOT(ISERROR(SEARCH("CRÍTICO",O14)))</formula>
    </cfRule>
    <cfRule type="containsText" dxfId="94" priority="6" operator="containsText" text="INSATISFATÓRIO">
      <formula>NOT(ISERROR(SEARCH("INSATISFATÓRIO",O14)))</formula>
    </cfRule>
    <cfRule type="containsText" dxfId="93" priority="7" operator="containsText" text="DESEJÁVEL">
      <formula>NOT(ISERROR(SEARCH("DESEJÁVEL",O14)))</formula>
    </cfRule>
    <cfRule type="containsText" dxfId="92" priority="8" operator="containsText" text="SATISFATÓRIO">
      <formula>NOT(ISERROR(SEARCH("SATISFATÓRIO",O14)))</formula>
    </cfRule>
  </conditionalFormatting>
  <conditionalFormatting sqref="W14:W16">
    <cfRule type="containsText" dxfId="91" priority="1" operator="containsText" text="CRÍTICO">
      <formula>NOT(ISERROR(SEARCH("CRÍTICO",W14)))</formula>
    </cfRule>
    <cfRule type="containsText" dxfId="90" priority="2" operator="containsText" text="INSATISFATÓRIO">
      <formula>NOT(ISERROR(SEARCH("INSATISFATÓRIO",W14)))</formula>
    </cfRule>
    <cfRule type="containsText" dxfId="89" priority="3" operator="containsText" text="DESEJÁVEL">
      <formula>NOT(ISERROR(SEARCH("DESEJÁVEL",W14)))</formula>
    </cfRule>
    <cfRule type="containsText" dxfId="88" priority="4" operator="containsText" text="SATISFATÓRIO">
      <formula>NOT(ISERROR(SEARCH("SATISFATÓRIO",W14)))</formula>
    </cfRule>
  </conditionalFormatting>
  <pageMargins left="0.511811024" right="0.511811024" top="0.78740157499999996" bottom="0.78740157499999996" header="0.31496062000000002" footer="0.31496062000000002"/>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1"/>
  <dimension ref="A10:P208"/>
  <sheetViews>
    <sheetView showGridLines="0" workbookViewId="0">
      <selection activeCell="A9" sqref="A9"/>
    </sheetView>
  </sheetViews>
  <sheetFormatPr defaultRowHeight="15" x14ac:dyDescent="0.25"/>
  <cols>
    <col min="1" max="1" width="31.140625" style="1" customWidth="1"/>
    <col min="2" max="7" width="15.7109375" style="1" customWidth="1"/>
    <col min="8" max="8" width="9.140625" style="1"/>
    <col min="9" max="9" width="31.28515625" style="1" customWidth="1"/>
    <col min="10" max="15" width="15.7109375" style="1" customWidth="1"/>
    <col min="16" max="16384" width="9.140625" style="1"/>
  </cols>
  <sheetData>
    <row r="10" spans="1:16" x14ac:dyDescent="0.25">
      <c r="A10"/>
      <c r="B10"/>
      <c r="C10"/>
      <c r="D10"/>
      <c r="E10"/>
      <c r="F10"/>
      <c r="G10"/>
      <c r="H10"/>
      <c r="I10"/>
      <c r="J10"/>
      <c r="K10"/>
      <c r="L10"/>
      <c r="M10"/>
      <c r="N10"/>
      <c r="O10"/>
      <c r="P10"/>
    </row>
    <row r="11" spans="1:16" x14ac:dyDescent="0.25">
      <c r="A11"/>
      <c r="B11"/>
      <c r="C11"/>
      <c r="D11"/>
      <c r="E11"/>
      <c r="F11"/>
      <c r="G11"/>
      <c r="H11"/>
      <c r="I11"/>
      <c r="J11"/>
      <c r="K11"/>
      <c r="L11"/>
      <c r="M11"/>
      <c r="N11"/>
      <c r="O11"/>
      <c r="P11"/>
    </row>
    <row r="12" spans="1:16" x14ac:dyDescent="0.25">
      <c r="A12" s="700" t="str">
        <f>'[4]VCO-ESTRUTURAFISICA'!A3</f>
        <v>CONSIDERO ADEQUADA A LIMPEZA REALIZADA NO MEU AMBIENTE DE TRABALHO?</v>
      </c>
      <c r="B12" s="702">
        <f>'[4]VCO-ESTRUTURAFISICA'!B3</f>
        <v>2020</v>
      </c>
      <c r="C12" s="702"/>
      <c r="D12" s="702"/>
      <c r="E12" s="702">
        <f>'[4]VCO-ESTRUTURAFISICA'!E3</f>
        <v>2017</v>
      </c>
      <c r="F12" s="702"/>
      <c r="G12" s="702"/>
      <c r="H12"/>
      <c r="I12" s="700" t="str">
        <f>'[4]VCO-ESTRUTURAFISICA'!I3</f>
        <v>CONSIDERO ADEQUADA A VENTILAÇÃO NO MEU AMBIENTE DE TRABALHO?</v>
      </c>
      <c r="J12" s="702">
        <f>'[4]VCO-ESTRUTURAFISICA'!J3</f>
        <v>2020</v>
      </c>
      <c r="K12" s="702"/>
      <c r="L12" s="702"/>
      <c r="M12" s="702">
        <f>'[4]VCO-ESTRUTURAFISICA'!M3</f>
        <v>2017</v>
      </c>
      <c r="N12" s="702"/>
      <c r="O12" s="702"/>
      <c r="P12"/>
    </row>
    <row r="13" spans="1:16" ht="31.5" customHeight="1" x14ac:dyDescent="0.25">
      <c r="A13" s="700"/>
      <c r="B13" s="426" t="str">
        <f>'[4]VCO-ESTRUTURAFISICA'!B4</f>
        <v>TOTAL</v>
      </c>
      <c r="C13" s="426" t="str">
        <f>'[4]VCO-ESTRUTURAFISICA'!C4</f>
        <v>%</v>
      </c>
      <c r="D13" s="426" t="str">
        <f>'[4]VCO-ESTRUTURAFISICA'!D4</f>
        <v>RESULTADO</v>
      </c>
      <c r="E13" s="426" t="str">
        <f>'[4]VCO-ESTRUTURAFISICA'!E4</f>
        <v>TOTAL</v>
      </c>
      <c r="F13" s="426" t="str">
        <f>'[4]VCO-ESTRUTURAFISICA'!F4</f>
        <v>%</v>
      </c>
      <c r="G13" s="426" t="str">
        <f>'[4]VCO-ESTRUTURAFISICA'!G4</f>
        <v>RESULTADO</v>
      </c>
      <c r="H13"/>
      <c r="I13" s="700"/>
      <c r="J13" s="426" t="str">
        <f>'[4]VCO-ESTRUTURAFISICA'!J4</f>
        <v>TOTAL</v>
      </c>
      <c r="K13" s="426" t="str">
        <f>'[4]VCO-ESTRUTURAFISICA'!K4</f>
        <v>%</v>
      </c>
      <c r="L13" s="426" t="str">
        <f>'[4]VCO-ESTRUTURAFISICA'!L4</f>
        <v>RESULTADO</v>
      </c>
      <c r="M13" s="426" t="str">
        <f>'[4]VCO-ESTRUTURAFISICA'!M4</f>
        <v>TOTAL</v>
      </c>
      <c r="N13" s="426" t="str">
        <f>'[4]VCO-ESTRUTURAFISICA'!N4</f>
        <v>%</v>
      </c>
      <c r="O13" s="426" t="str">
        <f>'[4]VCO-ESTRUTURAFISICA'!O4</f>
        <v>RESULTADO</v>
      </c>
      <c r="P13"/>
    </row>
    <row r="14" spans="1:16" x14ac:dyDescent="0.25">
      <c r="A14" s="428" t="str">
        <f>'[4]VCO-ESTRUTURAFISICA'!A5</f>
        <v>SIM</v>
      </c>
      <c r="B14" s="59">
        <f>'[4]VCO-ESTRUTURAFISICA'!B5</f>
        <v>176</v>
      </c>
      <c r="C14" s="440">
        <f>'[4]VCO-ESTRUTURAFISICA'!C5</f>
        <v>0.91666666666666663</v>
      </c>
      <c r="D14" s="430" t="str">
        <f>'[4]VCO-ESTRUTURAFISICA'!D5</f>
        <v>DESEJÁVEL</v>
      </c>
      <c r="E14" s="452">
        <f>'[4]VCO-ESTRUTURAFISICA'!E5</f>
        <v>140</v>
      </c>
      <c r="F14" s="430">
        <f>'[4]VCO-ESTRUTURAFISICA'!F5</f>
        <v>0.78212290502793291</v>
      </c>
      <c r="G14" s="430" t="str">
        <f>'[4]VCO-ESTRUTURAFISICA'!G5</f>
        <v>SATISFATÓRIO</v>
      </c>
      <c r="H14"/>
      <c r="I14" s="428" t="str">
        <f>'[4]VCO-ESTRUTURAFISICA'!I5</f>
        <v>SIM</v>
      </c>
      <c r="J14" s="59">
        <f>'[4]VCO-ESTRUTURAFISICA'!J5</f>
        <v>132</v>
      </c>
      <c r="K14" s="440">
        <f>'[4]VCO-ESTRUTURAFISICA'!K5</f>
        <v>0.6875</v>
      </c>
      <c r="L14" s="430" t="str">
        <f>'[4]VCO-ESTRUTURAFISICA'!L5</f>
        <v>SATISFATÓRIO</v>
      </c>
      <c r="M14" s="452">
        <f>'[4]VCO-ESTRUTURAFISICA'!M5</f>
        <v>122</v>
      </c>
      <c r="N14" s="430">
        <f>'[4]VCO-ESTRUTURAFISICA'!N5</f>
        <v>0.68156424581005581</v>
      </c>
      <c r="O14" s="430" t="str">
        <f>'[4]VCO-ESTRUTURAFISICA'!O5</f>
        <v>SATISFATÓRIO</v>
      </c>
      <c r="P14"/>
    </row>
    <row r="15" spans="1:16" x14ac:dyDescent="0.25">
      <c r="A15" s="433" t="str">
        <f>'[4]VCO-ESTRUTURAFISICA'!A6</f>
        <v>PARCIAL</v>
      </c>
      <c r="B15" s="59">
        <f>'[4]VCO-ESTRUTURAFISICA'!B6</f>
        <v>16</v>
      </c>
      <c r="C15" s="440">
        <f>'[4]VCO-ESTRUTURAFISICA'!C6</f>
        <v>8.3333333333333329E-2</v>
      </c>
      <c r="D15" s="430" t="str">
        <f>'[4]VCO-ESTRUTURAFISICA'!D6</f>
        <v>SATISFATÓRIO</v>
      </c>
      <c r="E15" s="452">
        <f>'[4]VCO-ESTRUTURAFISICA'!E6</f>
        <v>35</v>
      </c>
      <c r="F15" s="430">
        <f>'[4]VCO-ESTRUTURAFISICA'!F6</f>
        <v>0.19553072625698323</v>
      </c>
      <c r="G15" s="430" t="str">
        <f>'[4]VCO-ESTRUTURAFISICA'!G6</f>
        <v>SATISFATÓRIO</v>
      </c>
      <c r="H15"/>
      <c r="I15" s="433" t="str">
        <f>'[4]VCO-ESTRUTURAFISICA'!I6</f>
        <v>PARCIAL</v>
      </c>
      <c r="J15" s="59">
        <f>'[4]VCO-ESTRUTURAFISICA'!J6</f>
        <v>54</v>
      </c>
      <c r="K15" s="440">
        <f>'[4]VCO-ESTRUTURAFISICA'!K6</f>
        <v>0.28125</v>
      </c>
      <c r="L15" s="430" t="str">
        <f>'[4]VCO-ESTRUTURAFISICA'!L6</f>
        <v>SATISFATÓRIO</v>
      </c>
      <c r="M15" s="452">
        <f>'[4]VCO-ESTRUTURAFISICA'!M6</f>
        <v>47</v>
      </c>
      <c r="N15" s="430">
        <f>'[4]VCO-ESTRUTURAFISICA'!N6</f>
        <v>0.26256983240223464</v>
      </c>
      <c r="O15" s="430" t="str">
        <f>'[4]VCO-ESTRUTURAFISICA'!O6</f>
        <v>SATISFATÓRIO</v>
      </c>
      <c r="P15"/>
    </row>
    <row r="16" spans="1:16" x14ac:dyDescent="0.25">
      <c r="A16" s="433" t="str">
        <f>'[4]VCO-ESTRUTURAFISICA'!A7</f>
        <v>NÃO</v>
      </c>
      <c r="B16" s="59">
        <f>'[4]VCO-ESTRUTURAFISICA'!B7</f>
        <v>0</v>
      </c>
      <c r="C16" s="440">
        <f>'[4]VCO-ESTRUTURAFISICA'!C7</f>
        <v>0</v>
      </c>
      <c r="D16" s="430" t="str">
        <f>'[4]VCO-ESTRUTURAFISICA'!D7</f>
        <v>DESEJÁVEL</v>
      </c>
      <c r="E16" s="452">
        <f>'[4]VCO-ESTRUTURAFISICA'!E7</f>
        <v>4</v>
      </c>
      <c r="F16" s="430">
        <f>'[4]VCO-ESTRUTURAFISICA'!F7</f>
        <v>2.23463687150838E-2</v>
      </c>
      <c r="G16" s="430" t="str">
        <f>'[4]VCO-ESTRUTURAFISICA'!G7</f>
        <v>DESEJÁVEL</v>
      </c>
      <c r="H16"/>
      <c r="I16" s="433" t="str">
        <f>'[4]VCO-ESTRUTURAFISICA'!I7</f>
        <v>NÃO</v>
      </c>
      <c r="J16" s="59">
        <f>'[4]VCO-ESTRUTURAFISICA'!J7</f>
        <v>6</v>
      </c>
      <c r="K16" s="440">
        <f>'[4]VCO-ESTRUTURAFISICA'!K7</f>
        <v>3.125E-2</v>
      </c>
      <c r="L16" s="430" t="str">
        <f>'[4]VCO-ESTRUTURAFISICA'!L7</f>
        <v>DESEJÁVEL</v>
      </c>
      <c r="M16" s="452">
        <f>'[4]VCO-ESTRUTURAFISICA'!M7</f>
        <v>10</v>
      </c>
      <c r="N16" s="430">
        <f>'[4]VCO-ESTRUTURAFISICA'!N7</f>
        <v>5.5865921787709494E-2</v>
      </c>
      <c r="O16" s="430" t="str">
        <f>'[4]VCO-ESTRUTURAFISICA'!O7</f>
        <v>DESEJÁVEL</v>
      </c>
      <c r="P16"/>
    </row>
    <row r="17" spans="1:16" x14ac:dyDescent="0.25">
      <c r="A17" s="82" t="str">
        <f>'[4]VCO-ESTRUTURAFISICA'!A8</f>
        <v>TOTAL</v>
      </c>
      <c r="B17" s="422">
        <f>'[4]VCO-ESTRUTURAFISICA'!B8</f>
        <v>192</v>
      </c>
      <c r="C17" s="436">
        <f>'[4]VCO-ESTRUTURAFISICA'!C8</f>
        <v>1</v>
      </c>
      <c r="D17" s="439"/>
      <c r="E17" s="422">
        <f>'[4]VCO-ESTRUTURAFISICA'!E8</f>
        <v>179</v>
      </c>
      <c r="F17" s="436">
        <f>'[4]VCO-ESTRUTURAFISICA'!F8</f>
        <v>0.99999999999999989</v>
      </c>
      <c r="G17" s="439"/>
      <c r="H17"/>
      <c r="I17" s="82" t="str">
        <f>'[4]VCO-ESTRUTURAFISICA'!I8</f>
        <v>TOTAL</v>
      </c>
      <c r="J17" s="422">
        <f>'[4]VCO-ESTRUTURAFISICA'!J8</f>
        <v>192</v>
      </c>
      <c r="K17" s="436">
        <f>'[4]VCO-ESTRUTURAFISICA'!K8</f>
        <v>1</v>
      </c>
      <c r="L17" s="439"/>
      <c r="M17" s="422">
        <f>'[4]VCO-ESTRUTURAFISICA'!M8</f>
        <v>179</v>
      </c>
      <c r="N17" s="436">
        <f>'[4]VCO-ESTRUTURAFISICA'!N8</f>
        <v>1</v>
      </c>
      <c r="O17" s="439"/>
      <c r="P17"/>
    </row>
    <row r="18" spans="1:16" x14ac:dyDescent="0.25">
      <c r="A18"/>
      <c r="B18"/>
      <c r="C18"/>
      <c r="D18"/>
      <c r="E18"/>
      <c r="F18"/>
      <c r="G18"/>
      <c r="H18"/>
      <c r="I18"/>
      <c r="J18"/>
      <c r="K18"/>
      <c r="L18"/>
      <c r="M18"/>
      <c r="N18"/>
      <c r="O18"/>
      <c r="P18"/>
    </row>
    <row r="19" spans="1:16" x14ac:dyDescent="0.25">
      <c r="A19"/>
      <c r="B19"/>
      <c r="C19"/>
      <c r="D19"/>
      <c r="E19"/>
      <c r="F19"/>
      <c r="G19"/>
      <c r="H19"/>
      <c r="I19"/>
      <c r="J19"/>
      <c r="K19"/>
      <c r="L19"/>
      <c r="M19"/>
      <c r="N19"/>
      <c r="O19"/>
      <c r="P19"/>
    </row>
    <row r="20" spans="1:16" x14ac:dyDescent="0.25">
      <c r="A20"/>
      <c r="B20"/>
      <c r="C20"/>
      <c r="D20"/>
      <c r="E20"/>
      <c r="F20"/>
      <c r="G20"/>
      <c r="H20"/>
      <c r="I20"/>
      <c r="J20"/>
      <c r="K20"/>
      <c r="L20"/>
      <c r="M20"/>
      <c r="N20"/>
      <c r="O20"/>
      <c r="P20"/>
    </row>
    <row r="21" spans="1:16" x14ac:dyDescent="0.25">
      <c r="A21"/>
      <c r="B21"/>
      <c r="C21"/>
      <c r="D21"/>
      <c r="E21"/>
      <c r="F21"/>
      <c r="G21"/>
      <c r="H21"/>
      <c r="I21"/>
      <c r="J21"/>
      <c r="K21"/>
      <c r="L21"/>
      <c r="M21"/>
      <c r="N21"/>
      <c r="O21"/>
      <c r="P21"/>
    </row>
    <row r="22" spans="1:16" x14ac:dyDescent="0.25">
      <c r="A22"/>
      <c r="B22"/>
      <c r="C22"/>
      <c r="D22"/>
      <c r="E22"/>
      <c r="F22"/>
      <c r="G22"/>
      <c r="H22"/>
      <c r="I22"/>
      <c r="J22"/>
      <c r="K22"/>
      <c r="L22"/>
      <c r="M22"/>
      <c r="N22"/>
      <c r="O22"/>
      <c r="P22"/>
    </row>
    <row r="23" spans="1:16" x14ac:dyDescent="0.25">
      <c r="A23"/>
      <c r="B23"/>
      <c r="C23"/>
      <c r="D23"/>
      <c r="E23"/>
      <c r="F23"/>
      <c r="G23"/>
      <c r="H23"/>
      <c r="I23"/>
      <c r="J23"/>
      <c r="K23"/>
      <c r="L23"/>
      <c r="M23"/>
      <c r="N23"/>
      <c r="O23"/>
      <c r="P23"/>
    </row>
    <row r="24" spans="1:16" x14ac:dyDescent="0.25">
      <c r="A24"/>
      <c r="B24"/>
      <c r="C24"/>
      <c r="D24"/>
      <c r="E24"/>
      <c r="F24"/>
      <c r="G24"/>
      <c r="H24"/>
      <c r="I24"/>
      <c r="J24"/>
      <c r="K24"/>
      <c r="L24"/>
      <c r="M24"/>
      <c r="N24"/>
      <c r="O24"/>
      <c r="P24"/>
    </row>
    <row r="25" spans="1:16" x14ac:dyDescent="0.25">
      <c r="A25"/>
      <c r="B25"/>
      <c r="C25"/>
      <c r="D25"/>
      <c r="E25"/>
      <c r="F25"/>
      <c r="G25"/>
      <c r="H25"/>
      <c r="I25"/>
      <c r="J25"/>
      <c r="K25"/>
      <c r="L25"/>
      <c r="M25"/>
      <c r="N25"/>
      <c r="O25"/>
      <c r="P25"/>
    </row>
    <row r="26" spans="1:16" x14ac:dyDescent="0.25">
      <c r="A26"/>
      <c r="B26"/>
      <c r="C26"/>
      <c r="D26"/>
      <c r="E26"/>
      <c r="F26"/>
      <c r="G26"/>
      <c r="H26"/>
      <c r="I26"/>
      <c r="J26"/>
      <c r="K26"/>
      <c r="L26"/>
      <c r="M26"/>
      <c r="N26"/>
      <c r="O26"/>
      <c r="P26"/>
    </row>
    <row r="27" spans="1:16" x14ac:dyDescent="0.25">
      <c r="A27"/>
      <c r="B27"/>
      <c r="C27"/>
      <c r="D27"/>
      <c r="E27"/>
      <c r="F27"/>
      <c r="G27"/>
      <c r="H27"/>
      <c r="I27"/>
      <c r="J27"/>
      <c r="K27"/>
      <c r="L27"/>
      <c r="M27"/>
      <c r="N27"/>
      <c r="O27"/>
      <c r="P27"/>
    </row>
    <row r="28" spans="1:16" x14ac:dyDescent="0.25">
      <c r="A28"/>
      <c r="B28"/>
      <c r="C28"/>
      <c r="D28"/>
      <c r="E28"/>
      <c r="F28"/>
      <c r="G28"/>
      <c r="H28"/>
      <c r="I28"/>
      <c r="J28"/>
      <c r="K28"/>
      <c r="L28"/>
      <c r="M28"/>
      <c r="N28"/>
      <c r="O28"/>
      <c r="P28"/>
    </row>
    <row r="29" spans="1:16" x14ac:dyDescent="0.25">
      <c r="A29"/>
      <c r="B29"/>
      <c r="C29"/>
      <c r="D29"/>
      <c r="E29"/>
      <c r="F29"/>
      <c r="G29"/>
      <c r="H29"/>
      <c r="I29"/>
      <c r="J29"/>
      <c r="K29"/>
      <c r="L29"/>
      <c r="M29"/>
      <c r="N29"/>
      <c r="O29"/>
      <c r="P29"/>
    </row>
    <row r="30" spans="1:16" x14ac:dyDescent="0.25">
      <c r="A30"/>
      <c r="B30"/>
      <c r="C30"/>
      <c r="D30"/>
      <c r="E30"/>
      <c r="F30"/>
      <c r="G30"/>
      <c r="H30"/>
      <c r="I30"/>
      <c r="J30"/>
      <c r="K30"/>
      <c r="L30"/>
      <c r="M30"/>
      <c r="N30"/>
      <c r="O30"/>
      <c r="P30"/>
    </row>
    <row r="31" spans="1:16" x14ac:dyDescent="0.25">
      <c r="A31"/>
      <c r="B31"/>
      <c r="C31"/>
      <c r="D31"/>
      <c r="E31"/>
      <c r="F31"/>
      <c r="G31"/>
      <c r="H31"/>
      <c r="I31"/>
      <c r="J31"/>
      <c r="K31"/>
      <c r="L31"/>
      <c r="M31"/>
      <c r="N31"/>
      <c r="O31"/>
      <c r="P31"/>
    </row>
    <row r="32" spans="1:16" x14ac:dyDescent="0.25">
      <c r="A32"/>
      <c r="B32"/>
      <c r="C32"/>
      <c r="D32"/>
      <c r="E32"/>
      <c r="F32"/>
      <c r="G32"/>
      <c r="H32"/>
      <c r="I32"/>
      <c r="J32"/>
      <c r="K32"/>
      <c r="L32"/>
      <c r="M32"/>
      <c r="N32"/>
      <c r="O32"/>
      <c r="P32"/>
    </row>
    <row r="33" spans="1:16" x14ac:dyDescent="0.25">
      <c r="A33"/>
      <c r="B33"/>
      <c r="C33"/>
      <c r="D33"/>
      <c r="E33"/>
      <c r="F33"/>
      <c r="G33"/>
      <c r="H33"/>
      <c r="I33"/>
      <c r="J33"/>
      <c r="K33"/>
      <c r="L33"/>
      <c r="M33"/>
      <c r="N33"/>
      <c r="O33"/>
      <c r="P33"/>
    </row>
    <row r="34" spans="1:16" x14ac:dyDescent="0.25">
      <c r="A34"/>
      <c r="B34"/>
      <c r="C34"/>
      <c r="D34"/>
      <c r="E34"/>
      <c r="F34"/>
      <c r="G34"/>
      <c r="H34"/>
      <c r="I34"/>
      <c r="J34"/>
      <c r="K34"/>
      <c r="L34"/>
      <c r="M34"/>
      <c r="N34"/>
      <c r="O34"/>
      <c r="P34"/>
    </row>
    <row r="35" spans="1:16" x14ac:dyDescent="0.25">
      <c r="A35"/>
      <c r="B35"/>
      <c r="C35"/>
      <c r="D35"/>
      <c r="E35"/>
      <c r="F35"/>
      <c r="G35"/>
      <c r="H35"/>
      <c r="I35"/>
      <c r="J35"/>
      <c r="K35"/>
      <c r="L35"/>
      <c r="M35"/>
      <c r="N35"/>
      <c r="O35"/>
      <c r="P35"/>
    </row>
    <row r="36" spans="1:16" x14ac:dyDescent="0.25">
      <c r="A36"/>
      <c r="B36"/>
      <c r="C36"/>
      <c r="D36"/>
      <c r="E36"/>
      <c r="F36"/>
      <c r="G36"/>
      <c r="H36"/>
      <c r="I36"/>
      <c r="J36"/>
      <c r="K36"/>
      <c r="L36"/>
      <c r="M36"/>
      <c r="N36"/>
      <c r="O36"/>
      <c r="P36"/>
    </row>
    <row r="37" spans="1:16" x14ac:dyDescent="0.25">
      <c r="A37"/>
      <c r="B37"/>
      <c r="C37"/>
      <c r="D37"/>
      <c r="E37"/>
      <c r="F37"/>
      <c r="G37"/>
      <c r="H37"/>
      <c r="I37"/>
      <c r="J37"/>
      <c r="K37"/>
      <c r="L37"/>
      <c r="M37"/>
      <c r="N37"/>
      <c r="O37"/>
      <c r="P37"/>
    </row>
    <row r="38" spans="1:16" x14ac:dyDescent="0.25">
      <c r="A38"/>
      <c r="B38"/>
      <c r="C38"/>
      <c r="D38"/>
      <c r="E38"/>
      <c r="F38"/>
      <c r="G38"/>
      <c r="H38"/>
      <c r="I38"/>
      <c r="J38"/>
      <c r="K38"/>
      <c r="L38"/>
      <c r="M38"/>
      <c r="N38"/>
      <c r="O38"/>
      <c r="P38"/>
    </row>
    <row r="39" spans="1:16" x14ac:dyDescent="0.25">
      <c r="A39"/>
      <c r="B39"/>
      <c r="C39"/>
      <c r="D39"/>
      <c r="E39"/>
      <c r="F39"/>
      <c r="G39"/>
      <c r="H39"/>
      <c r="I39"/>
      <c r="J39"/>
      <c r="K39"/>
      <c r="L39"/>
      <c r="M39"/>
      <c r="N39"/>
      <c r="O39"/>
      <c r="P39"/>
    </row>
    <row r="40" spans="1:16" x14ac:dyDescent="0.25">
      <c r="A40"/>
      <c r="B40"/>
      <c r="C40"/>
      <c r="D40"/>
      <c r="E40"/>
      <c r="F40"/>
      <c r="G40"/>
      <c r="H40"/>
      <c r="I40"/>
      <c r="J40"/>
      <c r="K40"/>
      <c r="L40"/>
      <c r="M40"/>
      <c r="N40"/>
      <c r="O40"/>
      <c r="P40"/>
    </row>
    <row r="41" spans="1:16" x14ac:dyDescent="0.25">
      <c r="A41"/>
      <c r="B41"/>
      <c r="C41"/>
      <c r="D41"/>
      <c r="E41"/>
      <c r="F41"/>
      <c r="G41"/>
      <c r="H41"/>
      <c r="I41"/>
      <c r="J41"/>
      <c r="K41"/>
      <c r="L41"/>
      <c r="M41"/>
      <c r="N41"/>
      <c r="O41"/>
      <c r="P41"/>
    </row>
    <row r="42" spans="1:16" x14ac:dyDescent="0.25">
      <c r="A42"/>
      <c r="B42"/>
      <c r="C42"/>
      <c r="D42"/>
      <c r="E42"/>
      <c r="F42"/>
      <c r="G42"/>
      <c r="H42"/>
      <c r="I42"/>
      <c r="J42"/>
      <c r="K42"/>
      <c r="L42"/>
      <c r="M42"/>
      <c r="N42"/>
      <c r="O42"/>
      <c r="P42"/>
    </row>
    <row r="43" spans="1:16" x14ac:dyDescent="0.25">
      <c r="A43"/>
      <c r="B43"/>
      <c r="C43"/>
      <c r="D43"/>
      <c r="E43"/>
      <c r="F43"/>
      <c r="G43"/>
      <c r="H43"/>
      <c r="I43"/>
      <c r="J43"/>
      <c r="K43"/>
      <c r="L43"/>
      <c r="M43"/>
      <c r="N43"/>
      <c r="O43"/>
      <c r="P43"/>
    </row>
    <row r="44" spans="1:16" x14ac:dyDescent="0.25">
      <c r="A44"/>
      <c r="B44"/>
      <c r="C44"/>
      <c r="D44"/>
      <c r="E44"/>
      <c r="F44"/>
      <c r="G44"/>
      <c r="H44"/>
      <c r="I44"/>
      <c r="J44"/>
      <c r="K44"/>
      <c r="L44"/>
      <c r="M44"/>
      <c r="N44"/>
      <c r="O44"/>
      <c r="P44"/>
    </row>
    <row r="45" spans="1:16" x14ac:dyDescent="0.25">
      <c r="A45"/>
      <c r="B45"/>
      <c r="C45"/>
      <c r="D45"/>
      <c r="E45"/>
      <c r="F45"/>
      <c r="G45"/>
      <c r="H45"/>
      <c r="I45"/>
      <c r="J45"/>
      <c r="K45"/>
      <c r="L45"/>
      <c r="M45"/>
      <c r="N45"/>
      <c r="O45"/>
      <c r="P45"/>
    </row>
    <row r="46" spans="1:16" x14ac:dyDescent="0.25">
      <c r="A46"/>
      <c r="B46"/>
      <c r="C46"/>
      <c r="D46"/>
      <c r="E46"/>
      <c r="F46"/>
      <c r="G46"/>
      <c r="H46"/>
      <c r="I46"/>
      <c r="J46"/>
      <c r="K46"/>
      <c r="L46"/>
      <c r="M46"/>
      <c r="N46"/>
      <c r="O46"/>
      <c r="P46"/>
    </row>
    <row r="47" spans="1:16" x14ac:dyDescent="0.25">
      <c r="A47"/>
      <c r="B47"/>
      <c r="C47"/>
      <c r="D47"/>
      <c r="E47"/>
      <c r="F47"/>
      <c r="G47"/>
      <c r="H47"/>
      <c r="I47"/>
      <c r="J47"/>
      <c r="K47"/>
      <c r="L47"/>
      <c r="M47"/>
      <c r="N47"/>
      <c r="O47"/>
      <c r="P47"/>
    </row>
    <row r="48" spans="1:16" x14ac:dyDescent="0.25">
      <c r="A48"/>
      <c r="B48"/>
      <c r="C48"/>
      <c r="D48"/>
      <c r="E48"/>
      <c r="F48"/>
      <c r="G48"/>
      <c r="H48"/>
      <c r="I48"/>
      <c r="J48"/>
      <c r="K48"/>
      <c r="L48"/>
      <c r="M48"/>
      <c r="N48"/>
      <c r="O48"/>
      <c r="P48"/>
    </row>
    <row r="49" spans="1:16" x14ac:dyDescent="0.25">
      <c r="A49"/>
      <c r="B49"/>
      <c r="C49"/>
      <c r="D49"/>
      <c r="E49"/>
      <c r="F49"/>
      <c r="G49"/>
      <c r="H49"/>
      <c r="I49"/>
      <c r="J49"/>
      <c r="K49"/>
      <c r="L49"/>
      <c r="M49"/>
      <c r="N49"/>
      <c r="O49"/>
      <c r="P49"/>
    </row>
    <row r="50" spans="1:16" x14ac:dyDescent="0.25">
      <c r="A50"/>
      <c r="B50"/>
      <c r="C50"/>
      <c r="D50"/>
      <c r="E50"/>
      <c r="F50"/>
      <c r="G50"/>
      <c r="H50"/>
      <c r="I50"/>
      <c r="J50"/>
      <c r="K50"/>
      <c r="L50"/>
      <c r="M50"/>
      <c r="N50"/>
      <c r="O50"/>
      <c r="P50"/>
    </row>
    <row r="51" spans="1:16" x14ac:dyDescent="0.25">
      <c r="A51"/>
      <c r="B51"/>
      <c r="C51"/>
      <c r="D51"/>
      <c r="E51"/>
      <c r="F51"/>
      <c r="G51"/>
      <c r="H51"/>
      <c r="I51"/>
      <c r="J51"/>
      <c r="K51"/>
      <c r="L51"/>
      <c r="M51"/>
      <c r="N51"/>
      <c r="O51"/>
      <c r="P51"/>
    </row>
    <row r="52" spans="1:16" x14ac:dyDescent="0.25">
      <c r="A52" s="700" t="str">
        <f>'[4]VCO-ESTRUTURAFISICA'!A43</f>
        <v>CONSIDERO ADEQUADA A ILUMINAÇÃO NO MEU AMBIENTE DE TRABALHO?</v>
      </c>
      <c r="B52" s="702">
        <f>'[4]VCO-ESTRUTURAFISICA'!B43</f>
        <v>2020</v>
      </c>
      <c r="C52" s="702"/>
      <c r="D52" s="702"/>
      <c r="E52" s="702">
        <f>'[4]VCO-ESTRUTURAFISICA'!E43</f>
        <v>2018</v>
      </c>
      <c r="F52" s="702"/>
      <c r="G52" s="702"/>
      <c r="H52"/>
      <c r="I52" s="700" t="str">
        <f>'[4]VCO-ESTRUTURAFISICA'!I43</f>
        <v>CONSIDERO ADEQUADA A SEGURANÇA NO MEU AMBIENTE DE TRABALHO?</v>
      </c>
      <c r="J52" s="702">
        <f>'[4]VCO-ESTRUTURAFISICA'!J43</f>
        <v>2020</v>
      </c>
      <c r="K52" s="702"/>
      <c r="L52" s="702"/>
      <c r="M52" s="702">
        <f>'[4]VCO-ESTRUTURAFISICA'!M43</f>
        <v>2018</v>
      </c>
      <c r="N52" s="702"/>
      <c r="O52" s="702"/>
      <c r="P52"/>
    </row>
    <row r="53" spans="1:16" ht="33.75" customHeight="1" x14ac:dyDescent="0.25">
      <c r="A53" s="700"/>
      <c r="B53" s="426" t="str">
        <f>'[4]VCO-ESTRUTURAFISICA'!B44</f>
        <v>TOTAL</v>
      </c>
      <c r="C53" s="426" t="str">
        <f>'[4]VCO-ESTRUTURAFISICA'!C44</f>
        <v>%</v>
      </c>
      <c r="D53" s="426" t="str">
        <f>'[4]VCO-ESTRUTURAFISICA'!D44</f>
        <v>RESULTADO</v>
      </c>
      <c r="E53" s="426" t="str">
        <f>'[4]VCO-ESTRUTURAFISICA'!E44</f>
        <v>TOTAL</v>
      </c>
      <c r="F53" s="426" t="str">
        <f>'[4]VCO-ESTRUTURAFISICA'!F44</f>
        <v>%</v>
      </c>
      <c r="G53" s="426" t="str">
        <f>'[4]VCO-ESTRUTURAFISICA'!G44</f>
        <v>RESULTADO</v>
      </c>
      <c r="H53"/>
      <c r="I53" s="700"/>
      <c r="J53" s="426" t="str">
        <f>'[4]VCO-ESTRUTURAFISICA'!J44</f>
        <v>TOTAL</v>
      </c>
      <c r="K53" s="426" t="str">
        <f>'[4]VCO-ESTRUTURAFISICA'!K44</f>
        <v>%</v>
      </c>
      <c r="L53" s="426" t="str">
        <f>'[4]VCO-ESTRUTURAFISICA'!L44</f>
        <v>RESULTADO</v>
      </c>
      <c r="M53" s="426" t="str">
        <f>'[4]VCO-ESTRUTURAFISICA'!M44</f>
        <v>TOTAL</v>
      </c>
      <c r="N53" s="426" t="str">
        <f>'[4]VCO-ESTRUTURAFISICA'!N44</f>
        <v>%</v>
      </c>
      <c r="O53" s="426" t="str">
        <f>'[4]VCO-ESTRUTURAFISICA'!O44</f>
        <v>RESULTADO</v>
      </c>
      <c r="P53"/>
    </row>
    <row r="54" spans="1:16" x14ac:dyDescent="0.25">
      <c r="A54" s="428" t="str">
        <f>'[4]VCO-ESTRUTURAFISICA'!A45</f>
        <v>SIM</v>
      </c>
      <c r="B54" s="59">
        <f>'[4]VCO-ESTRUTURAFISICA'!B45</f>
        <v>154</v>
      </c>
      <c r="C54" s="440">
        <f>'[4]VCO-ESTRUTURAFISICA'!C45</f>
        <v>0.80208333333333337</v>
      </c>
      <c r="D54" s="430" t="str">
        <f>'[4]VCO-ESTRUTURAFISICA'!D45</f>
        <v>DESEJÁVEL</v>
      </c>
      <c r="E54" s="452">
        <f>'[4]VCO-ESTRUTURAFISICA'!E45</f>
        <v>154</v>
      </c>
      <c r="F54" s="430">
        <f>'[4]VCO-ESTRUTURAFISICA'!F45</f>
        <v>0.86033519553072624</v>
      </c>
      <c r="G54" s="430" t="str">
        <f>'[4]VCO-ESTRUTURAFISICA'!G45</f>
        <v>DESEJÁVEL</v>
      </c>
      <c r="H54"/>
      <c r="I54" s="428" t="str">
        <f>'[4]VCO-ESTRUTURAFISICA'!I45</f>
        <v>SIM</v>
      </c>
      <c r="J54" s="59">
        <f>'[4]VCO-ESTRUTURAFISICA'!J45</f>
        <v>171</v>
      </c>
      <c r="K54" s="440">
        <f>'[4]VCO-ESTRUTURAFISICA'!K45</f>
        <v>0.890625</v>
      </c>
      <c r="L54" s="430" t="str">
        <f>'[4]VCO-ESTRUTURAFISICA'!L45</f>
        <v>DESEJÁVEL</v>
      </c>
      <c r="M54" s="452">
        <f>'[4]VCO-ESTRUTURAFISICA'!M45</f>
        <v>147</v>
      </c>
      <c r="N54" s="430">
        <f>'[4]VCO-ESTRUTURAFISICA'!N45</f>
        <v>0.82122905027932958</v>
      </c>
      <c r="O54" s="430" t="str">
        <f>'[4]VCO-ESTRUTURAFISICA'!O45</f>
        <v>DESEJÁVEL</v>
      </c>
      <c r="P54"/>
    </row>
    <row r="55" spans="1:16" x14ac:dyDescent="0.25">
      <c r="A55" s="433" t="str">
        <f>'[4]VCO-ESTRUTURAFISICA'!A46</f>
        <v>PARCIAL</v>
      </c>
      <c r="B55" s="59">
        <f>'[4]VCO-ESTRUTURAFISICA'!B46</f>
        <v>34</v>
      </c>
      <c r="C55" s="440">
        <f>'[4]VCO-ESTRUTURAFISICA'!C46</f>
        <v>0.17708333333333334</v>
      </c>
      <c r="D55" s="430" t="str">
        <f>'[4]VCO-ESTRUTURAFISICA'!D46</f>
        <v>SATISFATÓRIO</v>
      </c>
      <c r="E55" s="452">
        <f>'[4]VCO-ESTRUTURAFISICA'!E46</f>
        <v>20</v>
      </c>
      <c r="F55" s="430">
        <f>'[4]VCO-ESTRUTURAFISICA'!F46</f>
        <v>0.11173184357541899</v>
      </c>
      <c r="G55" s="430" t="str">
        <f>'[4]VCO-ESTRUTURAFISICA'!G46</f>
        <v>SATISFATÓRIO</v>
      </c>
      <c r="H55"/>
      <c r="I55" s="433" t="str">
        <f>'[4]VCO-ESTRUTURAFISICA'!I46</f>
        <v>PARCIAL</v>
      </c>
      <c r="J55" s="59">
        <f>'[4]VCO-ESTRUTURAFISICA'!J46</f>
        <v>20</v>
      </c>
      <c r="K55" s="440">
        <f>'[4]VCO-ESTRUTURAFISICA'!K46</f>
        <v>0.10416666666666667</v>
      </c>
      <c r="L55" s="430" t="str">
        <f>'[4]VCO-ESTRUTURAFISICA'!L46</f>
        <v>SATISFATÓRIO</v>
      </c>
      <c r="M55" s="452">
        <f>'[4]VCO-ESTRUTURAFISICA'!M46</f>
        <v>30</v>
      </c>
      <c r="N55" s="430">
        <f>'[4]VCO-ESTRUTURAFISICA'!N46</f>
        <v>0.16759776536312848</v>
      </c>
      <c r="O55" s="430" t="str">
        <f>'[4]VCO-ESTRUTURAFISICA'!O46</f>
        <v>SATISFATÓRIO</v>
      </c>
      <c r="P55"/>
    </row>
    <row r="56" spans="1:16" x14ac:dyDescent="0.25">
      <c r="A56" s="433" t="str">
        <f>'[4]VCO-ESTRUTURAFISICA'!A47</f>
        <v>NÃO</v>
      </c>
      <c r="B56" s="59">
        <f>'[4]VCO-ESTRUTURAFISICA'!B47</f>
        <v>4</v>
      </c>
      <c r="C56" s="440">
        <f>'[4]VCO-ESTRUTURAFISICA'!C47</f>
        <v>2.0833333333333332E-2</v>
      </c>
      <c r="D56" s="430" t="str">
        <f>'[4]VCO-ESTRUTURAFISICA'!D47</f>
        <v>DESEJÁVEL</v>
      </c>
      <c r="E56" s="452">
        <f>'[4]VCO-ESTRUTURAFISICA'!E47</f>
        <v>5</v>
      </c>
      <c r="F56" s="430">
        <f>'[4]VCO-ESTRUTURAFISICA'!F47</f>
        <v>2.7932960893854747E-2</v>
      </c>
      <c r="G56" s="430" t="str">
        <f>'[4]VCO-ESTRUTURAFISICA'!G47</f>
        <v>DESEJÁVEL</v>
      </c>
      <c r="H56"/>
      <c r="I56" s="433" t="str">
        <f>'[4]VCO-ESTRUTURAFISICA'!I47</f>
        <v>NÃO</v>
      </c>
      <c r="J56" s="59">
        <f>'[4]VCO-ESTRUTURAFISICA'!J47</f>
        <v>1</v>
      </c>
      <c r="K56" s="440">
        <f>'[4]VCO-ESTRUTURAFISICA'!K47</f>
        <v>5.208333333333333E-3</v>
      </c>
      <c r="L56" s="430" t="str">
        <f>'[4]VCO-ESTRUTURAFISICA'!L47</f>
        <v>DESEJÁVEL</v>
      </c>
      <c r="M56" s="452">
        <f>'[4]VCO-ESTRUTURAFISICA'!M47</f>
        <v>2</v>
      </c>
      <c r="N56" s="430">
        <f>'[4]VCO-ESTRUTURAFISICA'!N47</f>
        <v>1.11731843575419E-2</v>
      </c>
      <c r="O56" s="430" t="str">
        <f>'[4]VCO-ESTRUTURAFISICA'!O47</f>
        <v>DESEJÁVEL</v>
      </c>
      <c r="P56"/>
    </row>
    <row r="57" spans="1:16" x14ac:dyDescent="0.25">
      <c r="A57" s="82" t="str">
        <f>'[4]VCO-ESTRUTURAFISICA'!A48</f>
        <v>TOTAL</v>
      </c>
      <c r="B57" s="422">
        <f>'[4]VCO-ESTRUTURAFISICA'!B48</f>
        <v>192</v>
      </c>
      <c r="C57" s="436">
        <f>'[4]VCO-ESTRUTURAFISICA'!C48</f>
        <v>1</v>
      </c>
      <c r="D57" s="439"/>
      <c r="E57" s="422">
        <f>'[4]VCO-ESTRUTURAFISICA'!E48</f>
        <v>179</v>
      </c>
      <c r="F57" s="436">
        <f>'[4]VCO-ESTRUTURAFISICA'!F48</f>
        <v>1</v>
      </c>
      <c r="G57" s="439"/>
      <c r="H57"/>
      <c r="I57" s="82" t="str">
        <f>'[4]VCO-ESTRUTURAFISICA'!I48</f>
        <v>TOTAL</v>
      </c>
      <c r="J57" s="422">
        <f>'[4]VCO-ESTRUTURAFISICA'!J48</f>
        <v>192</v>
      </c>
      <c r="K57" s="436">
        <f>'[4]VCO-ESTRUTURAFISICA'!K48</f>
        <v>1</v>
      </c>
      <c r="L57" s="439"/>
      <c r="M57" s="422">
        <f>'[4]VCO-ESTRUTURAFISICA'!M48</f>
        <v>179</v>
      </c>
      <c r="N57" s="436">
        <f>'[4]VCO-ESTRUTURAFISICA'!N48</f>
        <v>0.99999999999999989</v>
      </c>
      <c r="O57" s="439"/>
      <c r="P57"/>
    </row>
    <row r="58" spans="1:16" x14ac:dyDescent="0.25">
      <c r="A58"/>
      <c r="B58"/>
      <c r="C58"/>
      <c r="D58"/>
      <c r="E58"/>
      <c r="F58"/>
      <c r="G58"/>
      <c r="H58"/>
      <c r="I58"/>
      <c r="J58"/>
      <c r="K58"/>
      <c r="L58"/>
      <c r="M58"/>
      <c r="N58"/>
      <c r="O58"/>
      <c r="P58"/>
    </row>
    <row r="59" spans="1:16" x14ac:dyDescent="0.25">
      <c r="A59"/>
      <c r="B59"/>
      <c r="C59"/>
      <c r="D59"/>
      <c r="E59"/>
      <c r="F59"/>
      <c r="G59"/>
      <c r="H59"/>
      <c r="I59"/>
      <c r="J59"/>
      <c r="K59"/>
      <c r="L59"/>
      <c r="M59"/>
      <c r="N59"/>
      <c r="O59"/>
      <c r="P59"/>
    </row>
    <row r="60" spans="1:16" x14ac:dyDescent="0.25">
      <c r="A60"/>
      <c r="B60"/>
      <c r="C60"/>
      <c r="D60"/>
      <c r="E60"/>
      <c r="F60"/>
      <c r="G60"/>
      <c r="H60"/>
      <c r="I60"/>
      <c r="J60"/>
      <c r="K60"/>
      <c r="L60"/>
      <c r="M60"/>
      <c r="N60"/>
      <c r="O60"/>
      <c r="P60"/>
    </row>
    <row r="61" spans="1:16" x14ac:dyDescent="0.25">
      <c r="A61"/>
      <c r="B61"/>
      <c r="C61"/>
      <c r="D61"/>
      <c r="E61"/>
      <c r="F61"/>
      <c r="G61"/>
      <c r="H61"/>
      <c r="I61"/>
      <c r="J61"/>
      <c r="K61"/>
      <c r="L61"/>
      <c r="M61"/>
      <c r="N61"/>
      <c r="O61"/>
      <c r="P61"/>
    </row>
    <row r="62" spans="1:16" x14ac:dyDescent="0.25">
      <c r="A62"/>
      <c r="B62"/>
      <c r="C62"/>
      <c r="D62"/>
      <c r="E62"/>
      <c r="F62"/>
      <c r="G62"/>
      <c r="H62"/>
      <c r="I62"/>
      <c r="J62"/>
      <c r="K62"/>
      <c r="L62"/>
      <c r="M62"/>
      <c r="N62"/>
      <c r="O62"/>
      <c r="P62"/>
    </row>
    <row r="63" spans="1:16" x14ac:dyDescent="0.25">
      <c r="A63"/>
      <c r="B63"/>
      <c r="C63"/>
      <c r="D63"/>
      <c r="E63"/>
      <c r="F63"/>
      <c r="G63"/>
      <c r="H63"/>
      <c r="I63"/>
      <c r="J63"/>
      <c r="K63"/>
      <c r="L63"/>
      <c r="M63"/>
      <c r="N63"/>
      <c r="O63"/>
      <c r="P63"/>
    </row>
    <row r="64" spans="1:16" x14ac:dyDescent="0.25">
      <c r="A64"/>
      <c r="B64"/>
      <c r="C64"/>
      <c r="D64"/>
      <c r="E64"/>
      <c r="F64"/>
      <c r="G64"/>
      <c r="H64"/>
      <c r="I64"/>
      <c r="J64"/>
      <c r="K64"/>
      <c r="L64"/>
      <c r="M64"/>
      <c r="N64"/>
      <c r="O64"/>
      <c r="P64"/>
    </row>
    <row r="65" spans="1:16" x14ac:dyDescent="0.25">
      <c r="A65"/>
      <c r="B65"/>
      <c r="C65"/>
      <c r="D65"/>
      <c r="E65"/>
      <c r="F65"/>
      <c r="G65"/>
      <c r="H65"/>
      <c r="I65"/>
      <c r="J65"/>
      <c r="K65"/>
      <c r="L65"/>
      <c r="M65"/>
      <c r="N65"/>
      <c r="O65"/>
      <c r="P65"/>
    </row>
    <row r="66" spans="1:16" x14ac:dyDescent="0.25">
      <c r="A66"/>
      <c r="B66"/>
      <c r="C66"/>
      <c r="D66"/>
      <c r="E66"/>
      <c r="F66"/>
      <c r="G66"/>
      <c r="H66"/>
      <c r="I66"/>
      <c r="J66"/>
      <c r="K66"/>
      <c r="L66"/>
      <c r="M66"/>
      <c r="N66"/>
      <c r="O66"/>
      <c r="P66"/>
    </row>
    <row r="67" spans="1:16" x14ac:dyDescent="0.25">
      <c r="A67"/>
      <c r="B67"/>
      <c r="C67"/>
      <c r="D67"/>
      <c r="E67"/>
      <c r="F67"/>
      <c r="G67"/>
      <c r="H67"/>
      <c r="I67"/>
      <c r="J67"/>
      <c r="K67"/>
      <c r="L67"/>
      <c r="M67"/>
      <c r="N67"/>
      <c r="O67"/>
      <c r="P67"/>
    </row>
    <row r="68" spans="1:16" x14ac:dyDescent="0.25">
      <c r="A68"/>
      <c r="B68"/>
      <c r="C68"/>
      <c r="D68"/>
      <c r="E68"/>
      <c r="F68"/>
      <c r="G68"/>
      <c r="H68"/>
      <c r="I68"/>
      <c r="J68"/>
      <c r="K68"/>
      <c r="L68"/>
      <c r="M68"/>
      <c r="N68"/>
      <c r="O68"/>
      <c r="P68"/>
    </row>
    <row r="69" spans="1:16" x14ac:dyDescent="0.25">
      <c r="A69"/>
      <c r="B69"/>
      <c r="C69"/>
      <c r="D69"/>
      <c r="E69"/>
      <c r="F69"/>
      <c r="G69"/>
      <c r="H69"/>
      <c r="I69"/>
      <c r="J69"/>
      <c r="K69"/>
      <c r="L69"/>
      <c r="M69"/>
      <c r="N69"/>
      <c r="O69"/>
      <c r="P69"/>
    </row>
    <row r="70" spans="1:16" x14ac:dyDescent="0.25">
      <c r="A70"/>
      <c r="B70"/>
      <c r="C70"/>
      <c r="D70"/>
      <c r="E70"/>
      <c r="F70"/>
      <c r="G70"/>
      <c r="H70"/>
      <c r="I70"/>
      <c r="J70"/>
      <c r="K70"/>
      <c r="L70"/>
      <c r="M70"/>
      <c r="N70"/>
      <c r="O70"/>
      <c r="P70"/>
    </row>
    <row r="71" spans="1:16" x14ac:dyDescent="0.25">
      <c r="A71"/>
      <c r="B71"/>
      <c r="C71"/>
      <c r="D71"/>
      <c r="E71"/>
      <c r="F71"/>
      <c r="G71"/>
      <c r="H71"/>
      <c r="I71"/>
      <c r="J71"/>
      <c r="K71"/>
      <c r="L71"/>
      <c r="M71"/>
      <c r="N71"/>
      <c r="O71"/>
      <c r="P71"/>
    </row>
    <row r="72" spans="1:16" x14ac:dyDescent="0.25">
      <c r="A72"/>
      <c r="B72"/>
      <c r="C72"/>
      <c r="D72"/>
      <c r="E72"/>
      <c r="F72"/>
      <c r="G72"/>
      <c r="H72"/>
      <c r="I72"/>
      <c r="J72"/>
      <c r="K72"/>
      <c r="L72"/>
      <c r="M72"/>
      <c r="N72"/>
      <c r="O72"/>
      <c r="P72"/>
    </row>
    <row r="73" spans="1:16" x14ac:dyDescent="0.25">
      <c r="A73"/>
      <c r="B73"/>
      <c r="C73"/>
      <c r="D73"/>
      <c r="E73"/>
      <c r="F73"/>
      <c r="G73"/>
      <c r="H73"/>
      <c r="I73"/>
      <c r="J73"/>
      <c r="K73"/>
      <c r="L73"/>
      <c r="M73"/>
      <c r="N73"/>
      <c r="O73"/>
      <c r="P73"/>
    </row>
    <row r="74" spans="1:16" x14ac:dyDescent="0.25">
      <c r="A74"/>
      <c r="B74"/>
      <c r="C74"/>
      <c r="D74"/>
      <c r="E74"/>
      <c r="F74"/>
      <c r="G74"/>
      <c r="H74"/>
      <c r="I74"/>
      <c r="J74"/>
      <c r="K74"/>
      <c r="L74"/>
      <c r="M74"/>
      <c r="N74"/>
      <c r="O74"/>
      <c r="P74"/>
    </row>
    <row r="75" spans="1:16" x14ac:dyDescent="0.25">
      <c r="A75"/>
      <c r="B75"/>
      <c r="C75"/>
      <c r="D75"/>
      <c r="E75"/>
      <c r="F75"/>
      <c r="G75"/>
      <c r="H75"/>
      <c r="I75"/>
      <c r="J75"/>
      <c r="K75"/>
      <c r="L75"/>
      <c r="M75"/>
      <c r="N75"/>
      <c r="O75"/>
      <c r="P75"/>
    </row>
    <row r="76" spans="1:16" x14ac:dyDescent="0.25">
      <c r="A76"/>
      <c r="B76"/>
      <c r="C76"/>
      <c r="D76"/>
      <c r="E76"/>
      <c r="F76"/>
      <c r="G76"/>
      <c r="H76"/>
      <c r="I76"/>
      <c r="J76"/>
      <c r="K76"/>
      <c r="L76"/>
      <c r="M76"/>
      <c r="N76"/>
      <c r="O76"/>
      <c r="P76"/>
    </row>
    <row r="77" spans="1:16" x14ac:dyDescent="0.25">
      <c r="A77"/>
      <c r="B77"/>
      <c r="C77"/>
      <c r="D77"/>
      <c r="E77"/>
      <c r="F77"/>
      <c r="G77"/>
      <c r="H77"/>
      <c r="I77"/>
      <c r="J77"/>
      <c r="K77"/>
      <c r="L77"/>
      <c r="M77"/>
      <c r="N77"/>
      <c r="O77"/>
      <c r="P77"/>
    </row>
    <row r="78" spans="1:16" x14ac:dyDescent="0.25">
      <c r="A78"/>
      <c r="B78"/>
      <c r="C78"/>
      <c r="D78"/>
      <c r="E78"/>
      <c r="F78"/>
      <c r="G78"/>
      <c r="H78"/>
      <c r="I78"/>
      <c r="J78"/>
      <c r="K78"/>
      <c r="L78"/>
      <c r="M78"/>
      <c r="N78"/>
      <c r="O78"/>
      <c r="P78"/>
    </row>
    <row r="79" spans="1:16" x14ac:dyDescent="0.25">
      <c r="A79"/>
      <c r="B79"/>
      <c r="C79"/>
      <c r="D79"/>
      <c r="E79"/>
      <c r="F79"/>
      <c r="G79"/>
      <c r="H79"/>
      <c r="I79"/>
      <c r="J79"/>
      <c r="K79"/>
      <c r="L79"/>
      <c r="M79"/>
      <c r="N79"/>
      <c r="O79"/>
      <c r="P79"/>
    </row>
    <row r="80" spans="1:16" x14ac:dyDescent="0.25">
      <c r="A80"/>
      <c r="B80"/>
      <c r="C80"/>
      <c r="D80"/>
      <c r="E80"/>
      <c r="F80"/>
      <c r="G80"/>
      <c r="H80"/>
      <c r="I80"/>
      <c r="J80"/>
      <c r="K80"/>
      <c r="L80"/>
      <c r="M80"/>
      <c r="N80"/>
      <c r="O80"/>
      <c r="P80"/>
    </row>
    <row r="81" spans="1:16" x14ac:dyDescent="0.25">
      <c r="A81"/>
      <c r="B81"/>
      <c r="C81"/>
      <c r="D81"/>
      <c r="E81"/>
      <c r="F81"/>
      <c r="G81"/>
      <c r="H81"/>
      <c r="I81"/>
      <c r="J81"/>
      <c r="K81"/>
      <c r="L81"/>
      <c r="M81"/>
      <c r="N81"/>
      <c r="O81"/>
      <c r="P81"/>
    </row>
    <row r="82" spans="1:16" x14ac:dyDescent="0.25">
      <c r="A82"/>
      <c r="B82"/>
      <c r="C82"/>
      <c r="D82"/>
      <c r="E82"/>
      <c r="F82"/>
      <c r="G82"/>
      <c r="H82"/>
      <c r="I82"/>
      <c r="J82"/>
      <c r="K82"/>
      <c r="L82"/>
      <c r="M82"/>
      <c r="N82"/>
      <c r="O82"/>
      <c r="P82"/>
    </row>
    <row r="83" spans="1:16" x14ac:dyDescent="0.25">
      <c r="A83"/>
      <c r="B83"/>
      <c r="C83"/>
      <c r="D83"/>
      <c r="E83"/>
      <c r="F83"/>
      <c r="G83"/>
      <c r="H83"/>
      <c r="I83"/>
      <c r="J83"/>
      <c r="K83"/>
      <c r="L83"/>
      <c r="M83"/>
      <c r="N83"/>
      <c r="O83"/>
      <c r="P83"/>
    </row>
    <row r="84" spans="1:16" x14ac:dyDescent="0.25">
      <c r="A84"/>
      <c r="B84"/>
      <c r="C84"/>
      <c r="D84"/>
      <c r="E84"/>
      <c r="F84"/>
      <c r="G84"/>
      <c r="H84"/>
      <c r="I84"/>
      <c r="J84"/>
      <c r="K84"/>
      <c r="L84"/>
      <c r="M84"/>
      <c r="N84"/>
      <c r="O84"/>
      <c r="P84"/>
    </row>
    <row r="85" spans="1:16" x14ac:dyDescent="0.25">
      <c r="A85"/>
      <c r="B85"/>
      <c r="C85"/>
      <c r="D85"/>
      <c r="E85"/>
      <c r="F85"/>
      <c r="G85"/>
      <c r="H85"/>
      <c r="I85"/>
      <c r="J85"/>
      <c r="K85"/>
      <c r="L85"/>
      <c r="M85"/>
      <c r="N85"/>
      <c r="O85"/>
      <c r="P85"/>
    </row>
    <row r="86" spans="1:16" x14ac:dyDescent="0.25">
      <c r="A86"/>
      <c r="B86"/>
      <c r="C86"/>
      <c r="D86"/>
      <c r="E86"/>
      <c r="F86"/>
      <c r="G86"/>
      <c r="H86"/>
      <c r="I86"/>
      <c r="J86"/>
      <c r="K86"/>
      <c r="L86"/>
      <c r="M86"/>
      <c r="N86"/>
      <c r="O86"/>
      <c r="P86"/>
    </row>
    <row r="87" spans="1:16" x14ac:dyDescent="0.25">
      <c r="A87"/>
      <c r="B87"/>
      <c r="C87"/>
      <c r="D87"/>
      <c r="E87"/>
      <c r="F87"/>
      <c r="G87"/>
      <c r="H87"/>
      <c r="I87"/>
      <c r="J87"/>
      <c r="K87"/>
      <c r="L87"/>
      <c r="M87"/>
      <c r="N87"/>
      <c r="O87"/>
      <c r="P87"/>
    </row>
    <row r="88" spans="1:16" x14ac:dyDescent="0.25">
      <c r="A88"/>
      <c r="B88"/>
      <c r="C88"/>
      <c r="D88"/>
      <c r="E88"/>
      <c r="F88"/>
      <c r="G88"/>
      <c r="H88"/>
      <c r="I88"/>
      <c r="J88"/>
      <c r="K88"/>
      <c r="L88"/>
      <c r="M88"/>
      <c r="N88"/>
      <c r="O88"/>
      <c r="P88"/>
    </row>
    <row r="89" spans="1:16" x14ac:dyDescent="0.25">
      <c r="A89"/>
      <c r="B89"/>
      <c r="C89"/>
      <c r="D89"/>
      <c r="E89"/>
      <c r="F89"/>
      <c r="G89"/>
      <c r="H89"/>
      <c r="I89"/>
      <c r="J89"/>
      <c r="K89"/>
      <c r="L89"/>
      <c r="M89"/>
      <c r="N89"/>
      <c r="O89"/>
      <c r="P89"/>
    </row>
    <row r="90" spans="1:16" x14ac:dyDescent="0.25">
      <c r="A90"/>
      <c r="B90"/>
      <c r="C90"/>
      <c r="D90"/>
      <c r="E90"/>
      <c r="F90"/>
      <c r="G90"/>
      <c r="H90"/>
      <c r="I90"/>
      <c r="J90"/>
      <c r="K90"/>
      <c r="L90"/>
      <c r="M90"/>
      <c r="N90"/>
      <c r="O90"/>
      <c r="P90"/>
    </row>
    <row r="91" spans="1:16" x14ac:dyDescent="0.25">
      <c r="A91"/>
      <c r="B91"/>
      <c r="C91"/>
      <c r="D91"/>
      <c r="E91"/>
      <c r="F91"/>
      <c r="G91"/>
      <c r="H91"/>
      <c r="I91"/>
      <c r="J91"/>
      <c r="K91"/>
      <c r="L91"/>
      <c r="M91"/>
      <c r="N91"/>
      <c r="O91"/>
      <c r="P91"/>
    </row>
    <row r="92" spans="1:16" x14ac:dyDescent="0.25">
      <c r="A92" s="713" t="str">
        <f>'[4]VCO-ESTRUTURAFISICA'!A83</f>
        <v>CONSIDERO ADEQUADA A DISTRIBUIÇÃO DO ESPAÇO FÍSICO NO MEU AMBIENTE DE TRABALHO?</v>
      </c>
      <c r="B92" s="706">
        <f>'[4]VCO-ESTRUTURAFISICA'!B83</f>
        <v>2020</v>
      </c>
      <c r="C92" s="707"/>
      <c r="D92" s="708"/>
      <c r="E92" s="706">
        <f>'[4]VCO-ESTRUTURAFISICA'!E83</f>
        <v>2018</v>
      </c>
      <c r="F92" s="707"/>
      <c r="G92" s="708"/>
      <c r="H92"/>
      <c r="I92" s="700" t="str">
        <f>'[4]VCO-ESTRUTURAFISICA'!I83</f>
        <v>OS MÓVEIS SÃO ERGONÔMICOS?</v>
      </c>
      <c r="J92" s="702">
        <f>'[4]VCO-ESTRUTURAFISICA'!J83</f>
        <v>2020</v>
      </c>
      <c r="K92" s="702"/>
      <c r="L92" s="702"/>
      <c r="M92" s="702">
        <f>'[4]VCO-ESTRUTURAFISICA'!M83</f>
        <v>2018</v>
      </c>
      <c r="N92" s="702"/>
      <c r="O92" s="702"/>
      <c r="P92"/>
    </row>
    <row r="93" spans="1:16" ht="45.75" customHeight="1" x14ac:dyDescent="0.25">
      <c r="A93" s="714"/>
      <c r="B93" s="426" t="str">
        <f>'[4]VCO-ESTRUTURAFISICA'!B84</f>
        <v>TOTAL</v>
      </c>
      <c r="C93" s="426" t="str">
        <f>'[4]VCO-ESTRUTURAFISICA'!C84</f>
        <v>%</v>
      </c>
      <c r="D93" s="426" t="str">
        <f>'[4]VCO-ESTRUTURAFISICA'!D84</f>
        <v>RESULTADO</v>
      </c>
      <c r="E93" s="426" t="str">
        <f>'[4]VCO-ESTRUTURAFISICA'!E84</f>
        <v>TOTAL</v>
      </c>
      <c r="F93" s="426" t="str">
        <f>'[4]VCO-ESTRUTURAFISICA'!F84</f>
        <v>%</v>
      </c>
      <c r="G93" s="426" t="str">
        <f>'[4]VCO-ESTRUTURAFISICA'!G84</f>
        <v>RESULTADO</v>
      </c>
      <c r="H93"/>
      <c r="I93" s="700"/>
      <c r="J93" s="426" t="str">
        <f>'[4]VCO-ESTRUTURAFISICA'!J84</f>
        <v>TOTAL</v>
      </c>
      <c r="K93" s="426" t="str">
        <f>'[4]VCO-ESTRUTURAFISICA'!K84</f>
        <v>%</v>
      </c>
      <c r="L93" s="426" t="str">
        <f>'[4]VCO-ESTRUTURAFISICA'!L84</f>
        <v>RESULTADO</v>
      </c>
      <c r="M93" s="426" t="str">
        <f>'[4]VCO-ESTRUTURAFISICA'!M84</f>
        <v>TOTAL</v>
      </c>
      <c r="N93" s="426" t="str">
        <f>'[4]VCO-ESTRUTURAFISICA'!N84</f>
        <v>%</v>
      </c>
      <c r="O93" s="426" t="str">
        <f>'[4]VCO-ESTRUTURAFISICA'!O84</f>
        <v>RESULTADO</v>
      </c>
      <c r="P93"/>
    </row>
    <row r="94" spans="1:16" x14ac:dyDescent="0.25">
      <c r="A94" s="428" t="str">
        <f>'[4]VCO-ESTRUTURAFISICA'!A85</f>
        <v>SIM</v>
      </c>
      <c r="B94" s="59">
        <f>'[4]VCO-ESTRUTURAFISICA'!B85</f>
        <v>153</v>
      </c>
      <c r="C94" s="440">
        <f>'[4]VCO-ESTRUTURAFISICA'!C85</f>
        <v>0.796875</v>
      </c>
      <c r="D94" s="430" t="str">
        <f>'[4]VCO-ESTRUTURAFISICA'!D85</f>
        <v>SATISFATÓRIO</v>
      </c>
      <c r="E94" s="452">
        <f>'[4]VCO-ESTRUTURAFISICA'!E85</f>
        <v>134</v>
      </c>
      <c r="F94" s="430">
        <f>'[4]VCO-ESTRUTURAFISICA'!F85</f>
        <v>0.74860335195530725</v>
      </c>
      <c r="G94" s="430" t="str">
        <f>'[4]VCO-ESTRUTURAFISICA'!G85</f>
        <v>SATISFATÓRIO</v>
      </c>
      <c r="H94"/>
      <c r="I94" s="428" t="str">
        <f>'[4]VCO-ESTRUTURAFISICA'!I85</f>
        <v>SIM</v>
      </c>
      <c r="J94" s="59">
        <f>'[4]VCO-ESTRUTURAFISICA'!J85</f>
        <v>122</v>
      </c>
      <c r="K94" s="440">
        <f>'[4]VCO-ESTRUTURAFISICA'!K85</f>
        <v>0.63541666666666663</v>
      </c>
      <c r="L94" s="430" t="str">
        <f>'[4]VCO-ESTRUTURAFISICA'!L85</f>
        <v>SATISFATÓRIO</v>
      </c>
      <c r="M94" s="452" t="str">
        <f>'[4]VCO-ESTRUTURAFISICA'!M85</f>
        <v>*</v>
      </c>
      <c r="N94" s="430" t="str">
        <f>'[4]VCO-ESTRUTURAFISICA'!N85</f>
        <v>*</v>
      </c>
      <c r="O94" s="440" t="str">
        <f>'[4]VCO-ESTRUTURAFISICA'!O85</f>
        <v>*</v>
      </c>
      <c r="P94"/>
    </row>
    <row r="95" spans="1:16" x14ac:dyDescent="0.25">
      <c r="A95" s="433" t="str">
        <f>'[4]VCO-ESTRUTURAFISICA'!A86</f>
        <v>PARCIAL</v>
      </c>
      <c r="B95" s="59">
        <f>'[4]VCO-ESTRUTURAFISICA'!B86</f>
        <v>31</v>
      </c>
      <c r="C95" s="440">
        <f>'[4]VCO-ESTRUTURAFISICA'!C86</f>
        <v>0.16145833333333334</v>
      </c>
      <c r="D95" s="430" t="str">
        <f>'[4]VCO-ESTRUTURAFISICA'!D86</f>
        <v>SATISFATÓRIO</v>
      </c>
      <c r="E95" s="452">
        <f>'[4]VCO-ESTRUTURAFISICA'!E86</f>
        <v>35</v>
      </c>
      <c r="F95" s="430">
        <f>'[4]VCO-ESTRUTURAFISICA'!F86</f>
        <v>0.19553072625698323</v>
      </c>
      <c r="G95" s="430" t="str">
        <f>'[4]VCO-ESTRUTURAFISICA'!G86</f>
        <v>SATISFATÓRIO</v>
      </c>
      <c r="H95"/>
      <c r="I95" s="433" t="str">
        <f>'[4]VCO-ESTRUTURAFISICA'!I86</f>
        <v>PARCIAL</v>
      </c>
      <c r="J95" s="59">
        <f>'[4]VCO-ESTRUTURAFISICA'!J86</f>
        <v>55</v>
      </c>
      <c r="K95" s="440">
        <f>'[4]VCO-ESTRUTURAFISICA'!K86</f>
        <v>0.28645833333333331</v>
      </c>
      <c r="L95" s="430" t="str">
        <f>'[4]VCO-ESTRUTURAFISICA'!L86</f>
        <v>SATISFATÓRIO</v>
      </c>
      <c r="M95" s="452" t="str">
        <f>'[4]VCO-ESTRUTURAFISICA'!M86</f>
        <v>*</v>
      </c>
      <c r="N95" s="430" t="str">
        <f>'[4]VCO-ESTRUTURAFISICA'!N86</f>
        <v>*</v>
      </c>
      <c r="O95" s="440" t="str">
        <f>'[4]VCO-ESTRUTURAFISICA'!O86</f>
        <v>*</v>
      </c>
      <c r="P95"/>
    </row>
    <row r="96" spans="1:16" x14ac:dyDescent="0.25">
      <c r="A96" s="433" t="str">
        <f>'[4]VCO-ESTRUTURAFISICA'!A87</f>
        <v>NÃO</v>
      </c>
      <c r="B96" s="59">
        <f>'[4]VCO-ESTRUTURAFISICA'!B87</f>
        <v>8</v>
      </c>
      <c r="C96" s="440">
        <f>'[4]VCO-ESTRUTURAFISICA'!C87</f>
        <v>4.1666666666666664E-2</v>
      </c>
      <c r="D96" s="430" t="str">
        <f>'[4]VCO-ESTRUTURAFISICA'!D87</f>
        <v>DESEJÁVEL</v>
      </c>
      <c r="E96" s="452">
        <f>'[4]VCO-ESTRUTURAFISICA'!E87</f>
        <v>10</v>
      </c>
      <c r="F96" s="430">
        <f>'[4]VCO-ESTRUTURAFISICA'!F87</f>
        <v>5.5865921787709494E-2</v>
      </c>
      <c r="G96" s="430" t="str">
        <f>'[4]VCO-ESTRUTURAFISICA'!G87</f>
        <v>DESEJÁVEL</v>
      </c>
      <c r="H96"/>
      <c r="I96" s="433" t="str">
        <f>'[4]VCO-ESTRUTURAFISICA'!I87</f>
        <v>NÃO</v>
      </c>
      <c r="J96" s="59">
        <f>'[4]VCO-ESTRUTURAFISICA'!J87</f>
        <v>15</v>
      </c>
      <c r="K96" s="440">
        <f>'[4]VCO-ESTRUTURAFISICA'!K87</f>
        <v>7.8125E-2</v>
      </c>
      <c r="L96" s="430" t="str">
        <f>'[4]VCO-ESTRUTURAFISICA'!L87</f>
        <v>SATISFATÓRIO</v>
      </c>
      <c r="M96" s="452" t="str">
        <f>'[4]VCO-ESTRUTURAFISICA'!M87</f>
        <v>*</v>
      </c>
      <c r="N96" s="430" t="str">
        <f>'[4]VCO-ESTRUTURAFISICA'!N87</f>
        <v>*</v>
      </c>
      <c r="O96" s="440" t="str">
        <f>'[4]VCO-ESTRUTURAFISICA'!O87</f>
        <v>*</v>
      </c>
      <c r="P96"/>
    </row>
    <row r="97" spans="1:16" x14ac:dyDescent="0.25">
      <c r="A97" s="82" t="str">
        <f>'[4]VCO-ESTRUTURAFISICA'!A88</f>
        <v>TOTAL</v>
      </c>
      <c r="B97" s="422">
        <f>'[4]VCO-ESTRUTURAFISICA'!B88</f>
        <v>192</v>
      </c>
      <c r="C97" s="436">
        <f>'[4]VCO-ESTRUTURAFISICA'!C88</f>
        <v>1</v>
      </c>
      <c r="D97" s="439"/>
      <c r="E97" s="422">
        <f>'[4]VCO-ESTRUTURAFISICA'!E88</f>
        <v>179</v>
      </c>
      <c r="F97" s="436">
        <f>'[4]VCO-ESTRUTURAFISICA'!F88</f>
        <v>1</v>
      </c>
      <c r="G97" s="439"/>
      <c r="H97"/>
      <c r="I97" s="82" t="str">
        <f>'[4]VCO-ESTRUTURAFISICA'!I88</f>
        <v>TOTAL</v>
      </c>
      <c r="J97" s="422">
        <f>'[4]VCO-ESTRUTURAFISICA'!J88</f>
        <v>192</v>
      </c>
      <c r="K97" s="436">
        <f>'[4]VCO-ESTRUTURAFISICA'!K88</f>
        <v>1</v>
      </c>
      <c r="L97" s="439"/>
      <c r="M97" s="422" t="str">
        <f>'[4]VCO-ESTRUTURAFISICA'!M88</f>
        <v>*</v>
      </c>
      <c r="N97" s="436" t="str">
        <f>'[4]VCO-ESTRUTURAFISICA'!N88</f>
        <v>*</v>
      </c>
      <c r="O97" s="439"/>
      <c r="P97"/>
    </row>
    <row r="98" spans="1:16" x14ac:dyDescent="0.25">
      <c r="A98"/>
      <c r="B98"/>
      <c r="C98"/>
      <c r="D98"/>
      <c r="E98"/>
      <c r="F98"/>
      <c r="G98"/>
      <c r="H98"/>
      <c r="I98"/>
      <c r="J98"/>
      <c r="K98"/>
      <c r="L98"/>
      <c r="M98"/>
      <c r="N98"/>
      <c r="O98"/>
      <c r="P98"/>
    </row>
    <row r="99" spans="1:16" x14ac:dyDescent="0.25">
      <c r="A99"/>
      <c r="B99"/>
      <c r="C99"/>
      <c r="D99"/>
      <c r="E99"/>
      <c r="F99"/>
      <c r="G99"/>
      <c r="H99"/>
      <c r="I99"/>
      <c r="J99"/>
      <c r="K99"/>
      <c r="L99"/>
      <c r="M99"/>
      <c r="N99"/>
      <c r="O99"/>
      <c r="P99"/>
    </row>
    <row r="100" spans="1:16" x14ac:dyDescent="0.25">
      <c r="A100"/>
      <c r="B100"/>
      <c r="C100"/>
      <c r="D100"/>
      <c r="E100"/>
      <c r="F100"/>
      <c r="G100"/>
      <c r="H100"/>
      <c r="I100"/>
      <c r="J100"/>
      <c r="K100"/>
      <c r="L100"/>
      <c r="M100"/>
      <c r="N100"/>
      <c r="O100"/>
      <c r="P100"/>
    </row>
    <row r="101" spans="1:16" x14ac:dyDescent="0.25">
      <c r="A101"/>
      <c r="B101"/>
      <c r="C101"/>
      <c r="D101"/>
      <c r="E101"/>
      <c r="F101"/>
      <c r="G101"/>
      <c r="H101"/>
      <c r="I101"/>
      <c r="J101"/>
      <c r="K101"/>
      <c r="L101"/>
      <c r="M101"/>
      <c r="N101"/>
      <c r="O101"/>
      <c r="P101"/>
    </row>
    <row r="102" spans="1:16" x14ac:dyDescent="0.25">
      <c r="A102"/>
      <c r="B102"/>
      <c r="C102"/>
      <c r="D102"/>
      <c r="E102"/>
      <c r="F102"/>
      <c r="G102"/>
      <c r="H102"/>
      <c r="I102"/>
      <c r="J102"/>
      <c r="K102"/>
      <c r="L102"/>
      <c r="M102"/>
      <c r="N102"/>
      <c r="O102"/>
      <c r="P102"/>
    </row>
    <row r="103" spans="1:16" x14ac:dyDescent="0.25">
      <c r="A103"/>
      <c r="B103"/>
      <c r="C103"/>
      <c r="D103"/>
      <c r="E103"/>
      <c r="F103"/>
      <c r="G103"/>
      <c r="H103"/>
      <c r="I103"/>
      <c r="J103"/>
      <c r="K103"/>
      <c r="L103"/>
      <c r="M103"/>
      <c r="N103"/>
      <c r="O103"/>
      <c r="P103"/>
    </row>
    <row r="104" spans="1:16" x14ac:dyDescent="0.25">
      <c r="A104"/>
      <c r="B104"/>
      <c r="C104"/>
      <c r="D104"/>
      <c r="E104"/>
      <c r="F104"/>
      <c r="G104"/>
      <c r="H104"/>
      <c r="I104"/>
      <c r="J104"/>
      <c r="K104"/>
      <c r="L104"/>
      <c r="M104"/>
      <c r="N104"/>
      <c r="O104"/>
      <c r="P104"/>
    </row>
    <row r="105" spans="1:16" x14ac:dyDescent="0.25">
      <c r="A105"/>
      <c r="B105"/>
      <c r="C105"/>
      <c r="D105"/>
      <c r="E105"/>
      <c r="F105"/>
      <c r="G105"/>
      <c r="H105"/>
      <c r="I105"/>
      <c r="J105"/>
      <c r="K105"/>
      <c r="L105"/>
      <c r="M105"/>
      <c r="N105"/>
      <c r="O105"/>
      <c r="P105"/>
    </row>
    <row r="106" spans="1:16" x14ac:dyDescent="0.25">
      <c r="A106"/>
      <c r="B106"/>
      <c r="C106"/>
      <c r="D106"/>
      <c r="E106"/>
      <c r="F106"/>
      <c r="G106"/>
      <c r="H106"/>
      <c r="I106"/>
      <c r="J106"/>
      <c r="K106"/>
      <c r="L106"/>
      <c r="M106"/>
      <c r="N106"/>
      <c r="O106"/>
      <c r="P106"/>
    </row>
    <row r="107" spans="1:16" x14ac:dyDescent="0.25">
      <c r="A107"/>
      <c r="B107"/>
      <c r="C107"/>
      <c r="D107"/>
      <c r="E107"/>
      <c r="F107"/>
      <c r="G107"/>
      <c r="H107"/>
      <c r="I107"/>
      <c r="J107"/>
      <c r="K107"/>
      <c r="L107"/>
      <c r="M107"/>
      <c r="N107"/>
      <c r="O107"/>
      <c r="P107"/>
    </row>
    <row r="108" spans="1:16" x14ac:dyDescent="0.25">
      <c r="A108"/>
      <c r="B108"/>
      <c r="C108"/>
      <c r="D108"/>
      <c r="E108"/>
      <c r="F108"/>
      <c r="G108"/>
      <c r="H108"/>
      <c r="I108"/>
      <c r="J108"/>
      <c r="K108"/>
      <c r="L108"/>
      <c r="M108"/>
      <c r="N108"/>
      <c r="O108"/>
      <c r="P108"/>
    </row>
    <row r="109" spans="1:16" x14ac:dyDescent="0.25">
      <c r="A109"/>
      <c r="B109"/>
      <c r="C109"/>
      <c r="D109"/>
      <c r="E109"/>
      <c r="F109"/>
      <c r="G109"/>
      <c r="H109"/>
      <c r="I109"/>
      <c r="J109"/>
      <c r="K109"/>
      <c r="L109"/>
      <c r="M109"/>
      <c r="N109"/>
      <c r="O109"/>
      <c r="P109"/>
    </row>
    <row r="110" spans="1:16" x14ac:dyDescent="0.25">
      <c r="A110"/>
      <c r="B110"/>
      <c r="C110"/>
      <c r="D110"/>
      <c r="E110"/>
      <c r="F110"/>
      <c r="G110"/>
      <c r="H110"/>
      <c r="I110"/>
      <c r="J110"/>
      <c r="K110"/>
      <c r="L110"/>
      <c r="M110"/>
      <c r="N110"/>
      <c r="O110"/>
      <c r="P110"/>
    </row>
    <row r="111" spans="1:16" x14ac:dyDescent="0.25">
      <c r="A111"/>
      <c r="B111"/>
      <c r="C111"/>
      <c r="D111"/>
      <c r="E111"/>
      <c r="F111"/>
      <c r="G111"/>
      <c r="H111"/>
      <c r="I111"/>
      <c r="J111"/>
      <c r="K111"/>
      <c r="L111"/>
      <c r="M111"/>
      <c r="N111"/>
      <c r="O111"/>
      <c r="P111"/>
    </row>
    <row r="112" spans="1:16" x14ac:dyDescent="0.25">
      <c r="A112"/>
      <c r="B112"/>
      <c r="C112"/>
      <c r="D112"/>
      <c r="E112"/>
      <c r="F112"/>
      <c r="G112"/>
      <c r="H112"/>
      <c r="I112"/>
      <c r="J112"/>
      <c r="K112"/>
      <c r="L112"/>
      <c r="M112"/>
      <c r="N112"/>
      <c r="O112"/>
      <c r="P112"/>
    </row>
    <row r="113" spans="1:16" x14ac:dyDescent="0.25">
      <c r="A113"/>
      <c r="B113"/>
      <c r="C113"/>
      <c r="D113"/>
      <c r="E113"/>
      <c r="F113"/>
      <c r="G113"/>
      <c r="H113"/>
      <c r="I113"/>
      <c r="J113"/>
      <c r="K113"/>
      <c r="L113"/>
      <c r="M113"/>
      <c r="N113"/>
      <c r="O113"/>
      <c r="P113"/>
    </row>
    <row r="114" spans="1:16" x14ac:dyDescent="0.25">
      <c r="A114"/>
      <c r="B114"/>
      <c r="C114"/>
      <c r="D114"/>
      <c r="E114"/>
      <c r="F114"/>
      <c r="G114"/>
      <c r="H114"/>
      <c r="I114"/>
      <c r="J114"/>
      <c r="K114"/>
      <c r="L114"/>
      <c r="M114"/>
      <c r="N114"/>
      <c r="O114"/>
      <c r="P114"/>
    </row>
    <row r="115" spans="1:16" x14ac:dyDescent="0.25">
      <c r="A115"/>
      <c r="B115"/>
      <c r="C115"/>
      <c r="D115"/>
      <c r="E115"/>
      <c r="F115"/>
      <c r="G115"/>
      <c r="H115"/>
      <c r="I115"/>
      <c r="J115"/>
      <c r="K115"/>
      <c r="L115"/>
      <c r="M115"/>
      <c r="N115"/>
      <c r="O115"/>
      <c r="P115"/>
    </row>
    <row r="116" spans="1:16" x14ac:dyDescent="0.25">
      <c r="A116"/>
      <c r="B116"/>
      <c r="C116"/>
      <c r="D116"/>
      <c r="E116"/>
      <c r="F116"/>
      <c r="G116"/>
      <c r="H116"/>
      <c r="I116"/>
      <c r="J116"/>
      <c r="K116"/>
      <c r="L116"/>
      <c r="M116"/>
      <c r="N116"/>
      <c r="O116"/>
      <c r="P116"/>
    </row>
    <row r="117" spans="1:16" x14ac:dyDescent="0.25">
      <c r="A117"/>
      <c r="B117"/>
      <c r="C117"/>
      <c r="D117"/>
      <c r="E117"/>
      <c r="F117"/>
      <c r="G117"/>
      <c r="H117"/>
      <c r="I117"/>
      <c r="J117"/>
      <c r="K117"/>
      <c r="L117"/>
      <c r="M117"/>
      <c r="N117"/>
      <c r="O117"/>
      <c r="P117"/>
    </row>
    <row r="118" spans="1:16" x14ac:dyDescent="0.25">
      <c r="A118"/>
      <c r="B118"/>
      <c r="C118"/>
      <c r="D118"/>
      <c r="E118"/>
      <c r="F118"/>
      <c r="G118"/>
      <c r="H118"/>
      <c r="I118"/>
      <c r="J118"/>
      <c r="K118"/>
      <c r="L118"/>
      <c r="M118"/>
      <c r="N118"/>
      <c r="O118"/>
      <c r="P118"/>
    </row>
    <row r="119" spans="1:16" x14ac:dyDescent="0.25">
      <c r="A119"/>
      <c r="B119"/>
      <c r="C119"/>
      <c r="D119"/>
      <c r="E119"/>
      <c r="F119"/>
      <c r="G119"/>
      <c r="H119"/>
      <c r="I119"/>
      <c r="J119"/>
      <c r="K119"/>
      <c r="L119"/>
      <c r="M119"/>
      <c r="N119"/>
      <c r="O119"/>
      <c r="P119"/>
    </row>
    <row r="120" spans="1:16" x14ac:dyDescent="0.25">
      <c r="A120"/>
      <c r="B120"/>
      <c r="C120"/>
      <c r="D120"/>
      <c r="E120"/>
      <c r="F120"/>
      <c r="G120"/>
      <c r="H120"/>
      <c r="I120"/>
      <c r="J120"/>
      <c r="K120"/>
      <c r="L120"/>
      <c r="M120"/>
      <c r="N120"/>
      <c r="O120"/>
      <c r="P120"/>
    </row>
    <row r="121" spans="1:16" x14ac:dyDescent="0.25">
      <c r="A121"/>
      <c r="B121"/>
      <c r="C121"/>
      <c r="D121"/>
      <c r="E121"/>
      <c r="F121"/>
      <c r="G121"/>
      <c r="H121"/>
      <c r="I121"/>
      <c r="J121"/>
      <c r="K121"/>
      <c r="L121"/>
      <c r="M121"/>
      <c r="N121"/>
      <c r="O121"/>
      <c r="P121"/>
    </row>
    <row r="122" spans="1:16" x14ac:dyDescent="0.25">
      <c r="A122"/>
      <c r="B122"/>
      <c r="C122"/>
      <c r="D122"/>
      <c r="E122"/>
      <c r="F122"/>
      <c r="G122"/>
      <c r="H122"/>
      <c r="I122"/>
      <c r="J122"/>
      <c r="K122"/>
      <c r="L122"/>
      <c r="M122"/>
      <c r="N122"/>
      <c r="O122"/>
      <c r="P122"/>
    </row>
    <row r="123" spans="1:16" x14ac:dyDescent="0.25">
      <c r="A123"/>
      <c r="B123"/>
      <c r="C123"/>
      <c r="D123"/>
      <c r="E123"/>
      <c r="F123"/>
      <c r="G123"/>
      <c r="H123"/>
      <c r="I123"/>
      <c r="J123"/>
      <c r="K123"/>
      <c r="L123"/>
      <c r="M123"/>
      <c r="N123"/>
      <c r="O123"/>
      <c r="P123"/>
    </row>
    <row r="124" spans="1:16" x14ac:dyDescent="0.25">
      <c r="A124"/>
      <c r="B124"/>
      <c r="C124"/>
      <c r="D124"/>
      <c r="E124"/>
      <c r="F124"/>
      <c r="G124"/>
      <c r="H124"/>
      <c r="I124"/>
      <c r="J124"/>
      <c r="K124"/>
      <c r="L124"/>
      <c r="M124"/>
      <c r="N124"/>
      <c r="O124"/>
      <c r="P124"/>
    </row>
    <row r="125" spans="1:16" x14ac:dyDescent="0.25">
      <c r="A125"/>
      <c r="B125"/>
      <c r="C125"/>
      <c r="D125"/>
      <c r="E125"/>
      <c r="F125"/>
      <c r="G125"/>
      <c r="H125"/>
      <c r="I125"/>
      <c r="J125"/>
      <c r="K125"/>
      <c r="L125"/>
      <c r="M125"/>
      <c r="N125"/>
      <c r="O125"/>
      <c r="P125"/>
    </row>
    <row r="126" spans="1:16" x14ac:dyDescent="0.25">
      <c r="A126"/>
      <c r="B126"/>
      <c r="C126"/>
      <c r="D126"/>
      <c r="E126"/>
      <c r="F126"/>
      <c r="G126"/>
      <c r="H126"/>
      <c r="I126"/>
      <c r="J126"/>
      <c r="K126"/>
      <c r="L126"/>
      <c r="M126"/>
      <c r="N126"/>
      <c r="O126"/>
      <c r="P126"/>
    </row>
    <row r="127" spans="1:16" x14ac:dyDescent="0.25">
      <c r="A127"/>
      <c r="B127"/>
      <c r="C127"/>
      <c r="D127"/>
      <c r="E127"/>
      <c r="F127"/>
      <c r="G127"/>
      <c r="H127"/>
      <c r="I127"/>
      <c r="J127"/>
      <c r="K127"/>
      <c r="L127"/>
      <c r="M127"/>
      <c r="N127"/>
      <c r="O127"/>
      <c r="P127"/>
    </row>
    <row r="128" spans="1:16" x14ac:dyDescent="0.25">
      <c r="A128"/>
      <c r="B128"/>
      <c r="C128"/>
      <c r="D128"/>
      <c r="E128"/>
      <c r="F128"/>
      <c r="G128"/>
      <c r="H128"/>
      <c r="I128"/>
      <c r="J128"/>
      <c r="K128"/>
      <c r="L128"/>
      <c r="M128"/>
      <c r="N128"/>
      <c r="O128"/>
      <c r="P128"/>
    </row>
    <row r="129" spans="1:16" x14ac:dyDescent="0.25">
      <c r="A129"/>
      <c r="B129"/>
      <c r="C129"/>
      <c r="D129"/>
      <c r="E129"/>
      <c r="F129"/>
      <c r="G129"/>
      <c r="H129"/>
      <c r="I129"/>
      <c r="J129"/>
      <c r="K129"/>
      <c r="L129"/>
      <c r="M129"/>
      <c r="N129"/>
      <c r="O129"/>
      <c r="P129"/>
    </row>
    <row r="130" spans="1:16" x14ac:dyDescent="0.25">
      <c r="A130"/>
      <c r="B130"/>
      <c r="C130"/>
      <c r="D130"/>
      <c r="E130"/>
      <c r="F130"/>
      <c r="G130"/>
      <c r="H130"/>
      <c r="I130"/>
      <c r="J130"/>
      <c r="K130"/>
      <c r="L130"/>
      <c r="M130"/>
      <c r="N130"/>
      <c r="O130"/>
      <c r="P130"/>
    </row>
    <row r="131" spans="1:16" x14ac:dyDescent="0.25">
      <c r="A131" s="700" t="str">
        <f>'[4]VCO-ESTRUTURAFISICA'!A122</f>
        <v>CONSIDERO ADEQUADO OS EQUIPAMENTOS DE INFORMÁTICA?</v>
      </c>
      <c r="B131" s="702">
        <f>'[4]VCO-ESTRUTURAFISICA'!B122</f>
        <v>2020</v>
      </c>
      <c r="C131" s="702"/>
      <c r="D131" s="702"/>
      <c r="E131" s="702">
        <f>'[4]VCO-ESTRUTURAFISICA'!E122</f>
        <v>2018</v>
      </c>
      <c r="F131" s="702"/>
      <c r="G131" s="702"/>
      <c r="H131"/>
      <c r="I131" s="700" t="str">
        <f>'[4]VCO-ESTRUTURAFISICA'!I122</f>
        <v>CONSIDERO ADEQUADO OS MATERIAIS DE CONSUMO?</v>
      </c>
      <c r="J131" s="702">
        <f>'[4]VCO-ESTRUTURAFISICA'!J122</f>
        <v>2020</v>
      </c>
      <c r="K131" s="702"/>
      <c r="L131" s="702"/>
      <c r="M131" s="702">
        <f>'[4]VCO-ESTRUTURAFISICA'!M122</f>
        <v>2018</v>
      </c>
      <c r="N131" s="702"/>
      <c r="O131" s="702"/>
      <c r="P131"/>
    </row>
    <row r="132" spans="1:16" ht="37.5" customHeight="1" x14ac:dyDescent="0.25">
      <c r="A132" s="700"/>
      <c r="B132" s="426" t="str">
        <f>'[4]VCO-ESTRUTURAFISICA'!B123</f>
        <v>TOTAL</v>
      </c>
      <c r="C132" s="426" t="str">
        <f>'[4]VCO-ESTRUTURAFISICA'!C123</f>
        <v>%</v>
      </c>
      <c r="D132" s="426" t="str">
        <f>'[4]VCO-ESTRUTURAFISICA'!D123</f>
        <v>RESULTADO</v>
      </c>
      <c r="E132" s="426" t="str">
        <f>'[4]VCO-ESTRUTURAFISICA'!E123</f>
        <v>TOTAL</v>
      </c>
      <c r="F132" s="426" t="str">
        <f>'[4]VCO-ESTRUTURAFISICA'!F123</f>
        <v>%</v>
      </c>
      <c r="G132" s="426" t="str">
        <f>'[4]VCO-ESTRUTURAFISICA'!G123</f>
        <v>RESULTADO</v>
      </c>
      <c r="H132"/>
      <c r="I132" s="700"/>
      <c r="J132" s="426" t="str">
        <f>'[4]VCO-ESTRUTURAFISICA'!J123</f>
        <v>TOTAL</v>
      </c>
      <c r="K132" s="426" t="str">
        <f>'[4]VCO-ESTRUTURAFISICA'!K123</f>
        <v>%</v>
      </c>
      <c r="L132" s="426" t="str">
        <f>'[4]VCO-ESTRUTURAFISICA'!L123</f>
        <v>RESULTADO</v>
      </c>
      <c r="M132" s="426" t="str">
        <f>'[4]VCO-ESTRUTURAFISICA'!M123</f>
        <v>TOTAL</v>
      </c>
      <c r="N132" s="426" t="str">
        <f>'[4]VCO-ESTRUTURAFISICA'!N123</f>
        <v>%</v>
      </c>
      <c r="O132" s="426" t="str">
        <f>'[4]VCO-ESTRUTURAFISICA'!O123</f>
        <v>RESULTADO</v>
      </c>
      <c r="P132"/>
    </row>
    <row r="133" spans="1:16" x14ac:dyDescent="0.25">
      <c r="A133" s="428" t="str">
        <f>'[4]VCO-ESTRUTURAFISICA'!A124</f>
        <v>SIM</v>
      </c>
      <c r="B133" s="59">
        <f>'[4]VCO-ESTRUTURAFISICA'!B124</f>
        <v>152</v>
      </c>
      <c r="C133" s="440">
        <f>'[4]VCO-ESTRUTURAFISICA'!C124</f>
        <v>0.79166666666666663</v>
      </c>
      <c r="D133" s="430" t="str">
        <f>'[4]VCO-ESTRUTURAFISICA'!D124</f>
        <v>SATISFATÓRIO</v>
      </c>
      <c r="E133" s="452">
        <f>'[4]VCO-ESTRUTURAFISICA'!E124</f>
        <v>153</v>
      </c>
      <c r="F133" s="430">
        <f>'[4]VCO-ESTRUTURAFISICA'!F124</f>
        <v>0.85474860335195535</v>
      </c>
      <c r="G133" s="430" t="str">
        <f>'[4]VCO-ESTRUTURAFISICA'!G124</f>
        <v>DESEJÁVEL</v>
      </c>
      <c r="H133"/>
      <c r="I133" s="428" t="str">
        <f>'[4]VCO-ESTRUTURAFISICA'!I124</f>
        <v>SIM</v>
      </c>
      <c r="J133" s="59">
        <f>'[4]VCO-ESTRUTURAFISICA'!J124</f>
        <v>140</v>
      </c>
      <c r="K133" s="440">
        <f>'[4]VCO-ESTRUTURAFISICA'!K124</f>
        <v>0.72916666666666663</v>
      </c>
      <c r="L133" s="430" t="str">
        <f>'[4]VCO-ESTRUTURAFISICA'!L124</f>
        <v>SATISFATÓRIO</v>
      </c>
      <c r="M133" s="452">
        <f>'[4]VCO-ESTRUTURAFISICA'!M124</f>
        <v>124</v>
      </c>
      <c r="N133" s="430">
        <f>'[4]VCO-ESTRUTURAFISICA'!N124</f>
        <v>0.69273743016759781</v>
      </c>
      <c r="O133" s="430" t="str">
        <f>'[4]VCO-ESTRUTURAFISICA'!O124</f>
        <v>SATISFATÓRIO</v>
      </c>
      <c r="P133"/>
    </row>
    <row r="134" spans="1:16" x14ac:dyDescent="0.25">
      <c r="A134" s="433" t="str">
        <f>'[4]VCO-ESTRUTURAFISICA'!A125</f>
        <v>PARCIAL</v>
      </c>
      <c r="B134" s="59">
        <f>'[4]VCO-ESTRUTURAFISICA'!B125</f>
        <v>38</v>
      </c>
      <c r="C134" s="440">
        <f>'[4]VCO-ESTRUTURAFISICA'!C125</f>
        <v>0.19791666666666666</v>
      </c>
      <c r="D134" s="430" t="str">
        <f>'[4]VCO-ESTRUTURAFISICA'!D125</f>
        <v>SATISFATÓRIO</v>
      </c>
      <c r="E134" s="452">
        <f>'[4]VCO-ESTRUTURAFISICA'!E125</f>
        <v>22</v>
      </c>
      <c r="F134" s="430">
        <f>'[4]VCO-ESTRUTURAFISICA'!F125</f>
        <v>0.12290502793296089</v>
      </c>
      <c r="G134" s="430" t="str">
        <f>'[4]VCO-ESTRUTURAFISICA'!G125</f>
        <v>SATISFATÓRIO</v>
      </c>
      <c r="H134"/>
      <c r="I134" s="433" t="str">
        <f>'[4]VCO-ESTRUTURAFISICA'!I125</f>
        <v>PARCIAL</v>
      </c>
      <c r="J134" s="59">
        <f>'[4]VCO-ESTRUTURAFISICA'!J125</f>
        <v>49</v>
      </c>
      <c r="K134" s="440">
        <f>'[4]VCO-ESTRUTURAFISICA'!K125</f>
        <v>0.25520833333333331</v>
      </c>
      <c r="L134" s="430" t="str">
        <f>'[4]VCO-ESTRUTURAFISICA'!L125</f>
        <v>SATISFATÓRIO</v>
      </c>
      <c r="M134" s="452">
        <f>'[4]VCO-ESTRUTURAFISICA'!M125</f>
        <v>49</v>
      </c>
      <c r="N134" s="430">
        <f>'[4]VCO-ESTRUTURAFISICA'!N125</f>
        <v>0.27374301675977653</v>
      </c>
      <c r="O134" s="430" t="str">
        <f>'[4]VCO-ESTRUTURAFISICA'!O125</f>
        <v>SATISFATÓRIO</v>
      </c>
      <c r="P134"/>
    </row>
    <row r="135" spans="1:16" x14ac:dyDescent="0.25">
      <c r="A135" s="433" t="str">
        <f>'[4]VCO-ESTRUTURAFISICA'!A126</f>
        <v>NÃO</v>
      </c>
      <c r="B135" s="59">
        <f>'[4]VCO-ESTRUTURAFISICA'!B126</f>
        <v>2</v>
      </c>
      <c r="C135" s="440">
        <f>'[4]VCO-ESTRUTURAFISICA'!C126</f>
        <v>1.0416666666666666E-2</v>
      </c>
      <c r="D135" s="430" t="str">
        <f>'[4]VCO-ESTRUTURAFISICA'!D126</f>
        <v>DESEJÁVEL</v>
      </c>
      <c r="E135" s="452">
        <f>'[4]VCO-ESTRUTURAFISICA'!E126</f>
        <v>4</v>
      </c>
      <c r="F135" s="430">
        <f>'[4]VCO-ESTRUTURAFISICA'!F126</f>
        <v>2.23463687150838E-2</v>
      </c>
      <c r="G135" s="430" t="str">
        <f>'[4]VCO-ESTRUTURAFISICA'!G126</f>
        <v>DESEJÁVEL</v>
      </c>
      <c r="H135"/>
      <c r="I135" s="433" t="str">
        <f>'[4]VCO-ESTRUTURAFISICA'!I126</f>
        <v>NÃO</v>
      </c>
      <c r="J135" s="59">
        <f>'[4]VCO-ESTRUTURAFISICA'!J126</f>
        <v>3</v>
      </c>
      <c r="K135" s="440">
        <f>'[4]VCO-ESTRUTURAFISICA'!K126</f>
        <v>1.5625E-2</v>
      </c>
      <c r="L135" s="430" t="str">
        <f>'[4]VCO-ESTRUTURAFISICA'!L126</f>
        <v>DESEJÁVEL</v>
      </c>
      <c r="M135" s="452">
        <f>'[4]VCO-ESTRUTURAFISICA'!M126</f>
        <v>6</v>
      </c>
      <c r="N135" s="430">
        <f>'[4]VCO-ESTRUTURAFISICA'!N126</f>
        <v>3.3519553072625698E-2</v>
      </c>
      <c r="O135" s="430" t="str">
        <f>'[4]VCO-ESTRUTURAFISICA'!O126</f>
        <v>DESEJÁVEL</v>
      </c>
      <c r="P135"/>
    </row>
    <row r="136" spans="1:16" x14ac:dyDescent="0.25">
      <c r="A136" s="82" t="str">
        <f>'[4]VCO-ESTRUTURAFISICA'!A127</f>
        <v>TOTAL</v>
      </c>
      <c r="B136" s="422">
        <f>'[4]VCO-ESTRUTURAFISICA'!B127</f>
        <v>192</v>
      </c>
      <c r="C136" s="436">
        <f>'[4]VCO-ESTRUTURAFISICA'!C127</f>
        <v>0.99999999999999989</v>
      </c>
      <c r="D136" s="439"/>
      <c r="E136" s="422">
        <f>'[4]VCO-ESTRUTURAFISICA'!E127</f>
        <v>179</v>
      </c>
      <c r="F136" s="436">
        <f>'[4]VCO-ESTRUTURAFISICA'!F127</f>
        <v>1</v>
      </c>
      <c r="G136" s="439"/>
      <c r="H136"/>
      <c r="I136" s="82" t="str">
        <f>'[4]VCO-ESTRUTURAFISICA'!I127</f>
        <v>TOTAL</v>
      </c>
      <c r="J136" s="422">
        <f>'[4]VCO-ESTRUTURAFISICA'!J127</f>
        <v>192</v>
      </c>
      <c r="K136" s="436">
        <f>'[4]VCO-ESTRUTURAFISICA'!K127</f>
        <v>1</v>
      </c>
      <c r="L136" s="439"/>
      <c r="M136" s="422">
        <f>'[4]VCO-ESTRUTURAFISICA'!M127</f>
        <v>179</v>
      </c>
      <c r="N136" s="436">
        <f>'[4]VCO-ESTRUTURAFISICA'!N127</f>
        <v>1</v>
      </c>
      <c r="O136" s="439"/>
      <c r="P136"/>
    </row>
    <row r="137" spans="1:16" x14ac:dyDescent="0.25">
      <c r="A137"/>
      <c r="B137"/>
      <c r="C137"/>
      <c r="D137"/>
      <c r="E137"/>
      <c r="F137"/>
      <c r="G137"/>
      <c r="H137"/>
      <c r="I137"/>
      <c r="J137"/>
      <c r="K137"/>
      <c r="L137"/>
      <c r="M137"/>
      <c r="N137"/>
      <c r="O137"/>
      <c r="P137"/>
    </row>
    <row r="138" spans="1:16" x14ac:dyDescent="0.25">
      <c r="A138"/>
      <c r="B138"/>
      <c r="C138"/>
      <c r="D138"/>
      <c r="E138"/>
      <c r="F138"/>
      <c r="G138"/>
      <c r="H138"/>
      <c r="I138"/>
      <c r="J138"/>
      <c r="K138"/>
      <c r="L138"/>
      <c r="M138"/>
      <c r="N138"/>
      <c r="O138"/>
      <c r="P138"/>
    </row>
    <row r="139" spans="1:16" x14ac:dyDescent="0.25">
      <c r="A139"/>
      <c r="B139"/>
      <c r="C139"/>
      <c r="D139"/>
      <c r="E139"/>
      <c r="F139"/>
      <c r="G139"/>
      <c r="H139"/>
      <c r="I139"/>
      <c r="J139"/>
      <c r="K139"/>
      <c r="L139"/>
      <c r="M139"/>
      <c r="N139"/>
      <c r="O139"/>
      <c r="P139"/>
    </row>
    <row r="140" spans="1:16" x14ac:dyDescent="0.25">
      <c r="A140"/>
      <c r="B140"/>
      <c r="C140"/>
      <c r="D140"/>
      <c r="E140"/>
      <c r="F140"/>
      <c r="G140"/>
      <c r="H140"/>
      <c r="I140"/>
      <c r="J140"/>
      <c r="K140"/>
      <c r="L140"/>
      <c r="M140"/>
      <c r="N140"/>
      <c r="O140"/>
      <c r="P140"/>
    </row>
    <row r="141" spans="1:16" x14ac:dyDescent="0.25">
      <c r="A141"/>
      <c r="B141"/>
      <c r="C141"/>
      <c r="D141"/>
      <c r="E141"/>
      <c r="F141"/>
      <c r="G141"/>
      <c r="H141"/>
      <c r="I141"/>
      <c r="J141"/>
      <c r="K141"/>
      <c r="L141"/>
      <c r="M141"/>
      <c r="N141"/>
      <c r="O141"/>
      <c r="P141"/>
    </row>
    <row r="142" spans="1:16" x14ac:dyDescent="0.25">
      <c r="A142"/>
      <c r="B142"/>
      <c r="C142"/>
      <c r="D142"/>
      <c r="E142"/>
      <c r="F142"/>
      <c r="G142"/>
      <c r="H142"/>
      <c r="I142"/>
      <c r="J142"/>
      <c r="K142"/>
      <c r="L142"/>
      <c r="M142"/>
      <c r="N142"/>
      <c r="O142"/>
      <c r="P142"/>
    </row>
    <row r="143" spans="1:16" x14ac:dyDescent="0.25">
      <c r="A143"/>
      <c r="B143"/>
      <c r="C143"/>
      <c r="D143"/>
      <c r="E143"/>
      <c r="F143"/>
      <c r="G143"/>
      <c r="H143"/>
      <c r="I143"/>
      <c r="J143"/>
      <c r="K143"/>
      <c r="L143"/>
      <c r="M143"/>
      <c r="N143"/>
      <c r="O143"/>
      <c r="P143"/>
    </row>
    <row r="144" spans="1:16" x14ac:dyDescent="0.25">
      <c r="A144"/>
      <c r="B144"/>
      <c r="C144"/>
      <c r="D144"/>
      <c r="E144"/>
      <c r="F144"/>
      <c r="G144"/>
      <c r="H144"/>
      <c r="I144"/>
      <c r="J144"/>
      <c r="K144"/>
      <c r="L144"/>
      <c r="M144"/>
      <c r="N144"/>
      <c r="O144"/>
      <c r="P144"/>
    </row>
    <row r="145" spans="1:16" x14ac:dyDescent="0.25">
      <c r="A145"/>
      <c r="B145"/>
      <c r="C145"/>
      <c r="D145"/>
      <c r="E145"/>
      <c r="F145"/>
      <c r="G145"/>
      <c r="H145"/>
      <c r="I145"/>
      <c r="J145"/>
      <c r="K145"/>
      <c r="L145"/>
      <c r="M145"/>
      <c r="N145"/>
      <c r="O145"/>
      <c r="P145"/>
    </row>
    <row r="146" spans="1:16" x14ac:dyDescent="0.25">
      <c r="A146"/>
      <c r="B146"/>
      <c r="C146"/>
      <c r="D146"/>
      <c r="E146"/>
      <c r="F146"/>
      <c r="G146"/>
      <c r="H146"/>
      <c r="I146"/>
      <c r="J146"/>
      <c r="K146"/>
      <c r="L146"/>
      <c r="M146"/>
      <c r="N146"/>
      <c r="O146"/>
      <c r="P146"/>
    </row>
    <row r="147" spans="1:16" x14ac:dyDescent="0.25">
      <c r="A147"/>
      <c r="B147"/>
      <c r="C147"/>
      <c r="D147"/>
      <c r="E147"/>
      <c r="F147"/>
      <c r="G147"/>
      <c r="H147"/>
      <c r="I147"/>
      <c r="J147"/>
      <c r="K147"/>
      <c r="L147"/>
      <c r="M147"/>
      <c r="N147"/>
      <c r="O147"/>
      <c r="P147"/>
    </row>
    <row r="148" spans="1:16" x14ac:dyDescent="0.25">
      <c r="A148"/>
      <c r="B148"/>
      <c r="C148"/>
      <c r="D148"/>
      <c r="E148"/>
      <c r="F148"/>
      <c r="G148"/>
      <c r="H148"/>
      <c r="I148"/>
      <c r="J148"/>
      <c r="K148"/>
      <c r="L148"/>
      <c r="M148"/>
      <c r="N148"/>
      <c r="O148"/>
      <c r="P148"/>
    </row>
    <row r="149" spans="1:16" x14ac:dyDescent="0.25">
      <c r="A149"/>
      <c r="B149"/>
      <c r="C149"/>
      <c r="D149"/>
      <c r="E149"/>
      <c r="F149"/>
      <c r="G149"/>
      <c r="H149"/>
      <c r="I149"/>
      <c r="J149"/>
      <c r="K149"/>
      <c r="L149"/>
      <c r="M149"/>
      <c r="N149"/>
      <c r="O149"/>
      <c r="P149"/>
    </row>
    <row r="150" spans="1:16" x14ac:dyDescent="0.25">
      <c r="A150"/>
      <c r="B150"/>
      <c r="C150"/>
      <c r="D150"/>
      <c r="E150"/>
      <c r="F150"/>
      <c r="G150"/>
      <c r="H150"/>
      <c r="I150"/>
      <c r="J150"/>
      <c r="K150"/>
      <c r="L150"/>
      <c r="M150"/>
      <c r="N150"/>
      <c r="O150"/>
      <c r="P150"/>
    </row>
    <row r="151" spans="1:16" x14ac:dyDescent="0.25">
      <c r="A151"/>
      <c r="B151"/>
      <c r="C151"/>
      <c r="D151"/>
      <c r="E151"/>
      <c r="F151"/>
      <c r="G151"/>
      <c r="H151"/>
      <c r="I151"/>
      <c r="J151"/>
      <c r="K151"/>
      <c r="L151"/>
      <c r="M151"/>
      <c r="N151"/>
      <c r="O151"/>
      <c r="P151"/>
    </row>
    <row r="152" spans="1:16" x14ac:dyDescent="0.25">
      <c r="A152"/>
      <c r="B152"/>
      <c r="C152"/>
      <c r="D152"/>
      <c r="E152"/>
      <c r="F152"/>
      <c r="G152"/>
      <c r="H152"/>
      <c r="I152"/>
      <c r="J152"/>
      <c r="K152"/>
      <c r="L152"/>
      <c r="M152"/>
      <c r="N152"/>
      <c r="O152"/>
      <c r="P152"/>
    </row>
    <row r="153" spans="1:16" x14ac:dyDescent="0.25">
      <c r="A153"/>
      <c r="B153"/>
      <c r="C153"/>
      <c r="D153"/>
      <c r="E153"/>
      <c r="F153"/>
      <c r="G153"/>
      <c r="H153"/>
      <c r="I153"/>
      <c r="J153"/>
      <c r="K153"/>
      <c r="L153"/>
      <c r="M153"/>
      <c r="N153"/>
      <c r="O153"/>
      <c r="P153"/>
    </row>
    <row r="154" spans="1:16" x14ac:dyDescent="0.25">
      <c r="A154"/>
      <c r="B154"/>
      <c r="C154"/>
      <c r="D154"/>
      <c r="E154"/>
      <c r="F154"/>
      <c r="G154"/>
      <c r="H154"/>
      <c r="I154"/>
      <c r="J154"/>
      <c r="K154"/>
      <c r="L154"/>
      <c r="M154"/>
      <c r="N154"/>
      <c r="O154"/>
      <c r="P154"/>
    </row>
    <row r="155" spans="1:16" x14ac:dyDescent="0.25">
      <c r="A155"/>
      <c r="B155"/>
      <c r="C155"/>
      <c r="D155"/>
      <c r="E155"/>
      <c r="F155"/>
      <c r="G155"/>
      <c r="H155"/>
      <c r="I155"/>
      <c r="J155"/>
      <c r="K155"/>
      <c r="L155"/>
      <c r="M155"/>
      <c r="N155"/>
      <c r="O155"/>
      <c r="P155"/>
    </row>
    <row r="156" spans="1:16" x14ac:dyDescent="0.25">
      <c r="A156"/>
      <c r="B156"/>
      <c r="C156"/>
      <c r="D156"/>
      <c r="E156"/>
      <c r="F156"/>
      <c r="G156"/>
      <c r="H156"/>
      <c r="I156"/>
      <c r="J156"/>
      <c r="K156"/>
      <c r="L156"/>
      <c r="M156"/>
      <c r="N156"/>
      <c r="O156"/>
      <c r="P156"/>
    </row>
    <row r="157" spans="1:16" x14ac:dyDescent="0.25">
      <c r="A157"/>
      <c r="B157"/>
      <c r="C157"/>
      <c r="D157"/>
      <c r="E157"/>
      <c r="F157"/>
      <c r="G157"/>
      <c r="H157"/>
      <c r="I157"/>
      <c r="J157"/>
      <c r="K157"/>
      <c r="L157"/>
      <c r="M157"/>
      <c r="N157"/>
      <c r="O157"/>
      <c r="P157"/>
    </row>
    <row r="158" spans="1:16" x14ac:dyDescent="0.25">
      <c r="A158"/>
      <c r="B158"/>
      <c r="C158"/>
      <c r="D158"/>
      <c r="E158"/>
      <c r="F158"/>
      <c r="G158"/>
      <c r="H158"/>
      <c r="I158"/>
      <c r="J158"/>
      <c r="K158"/>
      <c r="L158"/>
      <c r="M158"/>
      <c r="N158"/>
      <c r="O158"/>
      <c r="P158"/>
    </row>
    <row r="159" spans="1:16" x14ac:dyDescent="0.25">
      <c r="A159"/>
      <c r="B159"/>
      <c r="C159"/>
      <c r="D159"/>
      <c r="E159"/>
      <c r="F159"/>
      <c r="G159"/>
      <c r="H159"/>
      <c r="I159"/>
      <c r="J159"/>
      <c r="K159"/>
      <c r="L159"/>
      <c r="M159"/>
      <c r="N159"/>
      <c r="O159"/>
      <c r="P159"/>
    </row>
    <row r="160" spans="1:16" x14ac:dyDescent="0.25">
      <c r="A160"/>
      <c r="B160"/>
      <c r="C160"/>
      <c r="D160"/>
      <c r="E160"/>
      <c r="F160"/>
      <c r="G160"/>
      <c r="H160"/>
      <c r="I160"/>
      <c r="J160"/>
      <c r="K160"/>
      <c r="L160"/>
      <c r="M160"/>
      <c r="N160"/>
      <c r="O160"/>
      <c r="P160"/>
    </row>
    <row r="161" spans="1:16" x14ac:dyDescent="0.25">
      <c r="A161"/>
      <c r="B161"/>
      <c r="C161"/>
      <c r="D161"/>
      <c r="E161"/>
      <c r="F161"/>
      <c r="G161"/>
      <c r="H161"/>
      <c r="I161"/>
      <c r="J161"/>
      <c r="K161"/>
      <c r="L161"/>
      <c r="M161"/>
      <c r="N161"/>
      <c r="O161"/>
      <c r="P161"/>
    </row>
    <row r="162" spans="1:16" x14ac:dyDescent="0.25">
      <c r="A162"/>
      <c r="B162"/>
      <c r="C162"/>
      <c r="D162"/>
      <c r="E162"/>
      <c r="F162"/>
      <c r="G162"/>
      <c r="H162"/>
      <c r="I162"/>
      <c r="J162"/>
      <c r="K162"/>
      <c r="L162"/>
      <c r="M162"/>
      <c r="N162"/>
      <c r="O162"/>
      <c r="P162"/>
    </row>
    <row r="163" spans="1:16" x14ac:dyDescent="0.25">
      <c r="A163"/>
      <c r="B163"/>
      <c r="C163"/>
      <c r="D163"/>
      <c r="E163"/>
      <c r="F163"/>
      <c r="G163"/>
      <c r="H163"/>
      <c r="I163"/>
      <c r="J163"/>
      <c r="K163"/>
      <c r="L163"/>
      <c r="M163"/>
      <c r="N163"/>
      <c r="O163"/>
      <c r="P163"/>
    </row>
    <row r="164" spans="1:16" x14ac:dyDescent="0.25">
      <c r="A164"/>
      <c r="B164"/>
      <c r="C164"/>
      <c r="D164"/>
      <c r="E164"/>
      <c r="F164"/>
      <c r="G164"/>
      <c r="H164"/>
      <c r="I164"/>
      <c r="J164"/>
      <c r="K164"/>
      <c r="L164"/>
      <c r="M164"/>
      <c r="N164"/>
      <c r="O164"/>
      <c r="P164"/>
    </row>
    <row r="165" spans="1:16" x14ac:dyDescent="0.25">
      <c r="A165"/>
      <c r="B165"/>
      <c r="C165"/>
      <c r="D165"/>
      <c r="E165"/>
      <c r="F165"/>
      <c r="G165"/>
      <c r="H165"/>
      <c r="I165"/>
      <c r="J165"/>
      <c r="K165"/>
      <c r="L165"/>
      <c r="M165"/>
      <c r="N165"/>
      <c r="O165"/>
      <c r="P165"/>
    </row>
    <row r="166" spans="1:16" x14ac:dyDescent="0.25">
      <c r="A166"/>
      <c r="B166"/>
      <c r="C166"/>
      <c r="D166"/>
      <c r="E166"/>
      <c r="F166"/>
      <c r="G166"/>
      <c r="H166"/>
      <c r="I166"/>
      <c r="J166"/>
      <c r="K166"/>
      <c r="L166"/>
      <c r="M166"/>
      <c r="N166"/>
      <c r="O166"/>
      <c r="P166"/>
    </row>
    <row r="167" spans="1:16" x14ac:dyDescent="0.25">
      <c r="A167"/>
      <c r="B167"/>
      <c r="C167"/>
      <c r="D167"/>
      <c r="E167"/>
      <c r="F167"/>
      <c r="G167"/>
      <c r="H167"/>
      <c r="I167"/>
      <c r="J167"/>
      <c r="K167"/>
      <c r="L167"/>
      <c r="M167"/>
      <c r="N167"/>
      <c r="O167"/>
      <c r="P167"/>
    </row>
    <row r="168" spans="1:16" x14ac:dyDescent="0.25">
      <c r="A168"/>
      <c r="B168"/>
      <c r="C168"/>
      <c r="D168"/>
      <c r="E168"/>
      <c r="F168"/>
      <c r="G168"/>
      <c r="H168"/>
      <c r="I168"/>
      <c r="J168"/>
      <c r="K168"/>
      <c r="L168"/>
      <c r="M168"/>
      <c r="N168"/>
      <c r="O168"/>
      <c r="P168"/>
    </row>
    <row r="169" spans="1:16" x14ac:dyDescent="0.25">
      <c r="A169"/>
      <c r="B169"/>
      <c r="C169"/>
      <c r="D169"/>
      <c r="E169"/>
      <c r="F169"/>
      <c r="G169"/>
      <c r="H169"/>
      <c r="I169"/>
      <c r="J169"/>
      <c r="K169"/>
      <c r="L169"/>
      <c r="M169"/>
      <c r="N169"/>
      <c r="O169"/>
      <c r="P169"/>
    </row>
    <row r="170" spans="1:16" x14ac:dyDescent="0.25">
      <c r="A170"/>
      <c r="B170"/>
      <c r="C170"/>
      <c r="D170"/>
      <c r="E170"/>
      <c r="F170"/>
      <c r="G170"/>
      <c r="H170"/>
      <c r="I170"/>
      <c r="J170"/>
      <c r="K170"/>
      <c r="L170"/>
      <c r="M170"/>
      <c r="N170"/>
      <c r="O170"/>
      <c r="P170"/>
    </row>
    <row r="171" spans="1:16" x14ac:dyDescent="0.25">
      <c r="A171" s="700" t="str">
        <f>'[4]VCO-ESTRUTURAFISICA'!A162</f>
        <v>CONSIDERO ADEQUADA A LOCALIZAÇÃO DO MEU TRABALHO?</v>
      </c>
      <c r="B171" s="702">
        <f>'[4]VCO-ESTRUTURAFISICA'!B162</f>
        <v>2020</v>
      </c>
      <c r="C171" s="702"/>
      <c r="D171" s="702"/>
      <c r="E171" s="702">
        <f>'[4]VCO-ESTRUTURAFISICA'!E162</f>
        <v>2018</v>
      </c>
      <c r="F171" s="702"/>
      <c r="G171" s="702"/>
      <c r="H171"/>
      <c r="I171" s="700" t="str">
        <f>'[4]VCO-ESTRUTURAFISICA'!I162</f>
        <v>CONSIDERO ADEQUADA A ACESSIBILIDADE NO MME?</v>
      </c>
      <c r="J171" s="702">
        <f>'[4]VCO-ESTRUTURAFISICA'!J162</f>
        <v>2020</v>
      </c>
      <c r="K171" s="702"/>
      <c r="L171" s="702"/>
      <c r="M171" s="702">
        <f>'[4]VCO-ESTRUTURAFISICA'!M162</f>
        <v>2018</v>
      </c>
      <c r="N171" s="702"/>
      <c r="O171" s="702"/>
      <c r="P171"/>
    </row>
    <row r="172" spans="1:16" ht="31.5" customHeight="1" x14ac:dyDescent="0.25">
      <c r="A172" s="700"/>
      <c r="B172" s="426" t="str">
        <f>'[4]VCO-ESTRUTURAFISICA'!B163</f>
        <v>TOTAL</v>
      </c>
      <c r="C172" s="426" t="str">
        <f>'[4]VCO-ESTRUTURAFISICA'!C163</f>
        <v>%</v>
      </c>
      <c r="D172" s="426" t="str">
        <f>'[4]VCO-ESTRUTURAFISICA'!D163</f>
        <v>RESULTADO</v>
      </c>
      <c r="E172" s="426" t="str">
        <f>'[4]VCO-ESTRUTURAFISICA'!E163</f>
        <v>TOTAL</v>
      </c>
      <c r="F172" s="426" t="str">
        <f>'[4]VCO-ESTRUTURAFISICA'!F163</f>
        <v>%</v>
      </c>
      <c r="G172" s="426" t="str">
        <f>'[4]VCO-ESTRUTURAFISICA'!G163</f>
        <v>RESULTADO</v>
      </c>
      <c r="H172"/>
      <c r="I172" s="700"/>
      <c r="J172" s="426" t="str">
        <f>'[4]VCO-ESTRUTURAFISICA'!J163</f>
        <v>TOTAL</v>
      </c>
      <c r="K172" s="426" t="str">
        <f>'[4]VCO-ESTRUTURAFISICA'!K163</f>
        <v>%</v>
      </c>
      <c r="L172" s="426" t="str">
        <f>'[4]VCO-ESTRUTURAFISICA'!L163</f>
        <v>RESULTADO</v>
      </c>
      <c r="M172" s="426" t="str">
        <f>'[4]VCO-ESTRUTURAFISICA'!M163</f>
        <v>TOTAL</v>
      </c>
      <c r="N172" s="426" t="str">
        <f>'[4]VCO-ESTRUTURAFISICA'!N163</f>
        <v>%</v>
      </c>
      <c r="O172" s="426" t="str">
        <f>'[4]VCO-ESTRUTURAFISICA'!O163</f>
        <v>RESULTADO</v>
      </c>
      <c r="P172"/>
    </row>
    <row r="173" spans="1:16" x14ac:dyDescent="0.25">
      <c r="A173" s="428" t="str">
        <f>'[4]VCO-ESTRUTURAFISICA'!A164</f>
        <v>SIM</v>
      </c>
      <c r="B173" s="59">
        <f>'[4]VCO-ESTRUTURAFISICA'!B164</f>
        <v>172</v>
      </c>
      <c r="C173" s="440">
        <f>'[4]VCO-ESTRUTURAFISICA'!C164</f>
        <v>0.89583333333333337</v>
      </c>
      <c r="D173" s="430" t="str">
        <f>'[4]VCO-ESTRUTURAFISICA'!D164</f>
        <v>DESEJÁVEL</v>
      </c>
      <c r="E173" s="452" t="str">
        <f>'[4]VCO-ESTRUTURAFISICA'!E164</f>
        <v>*</v>
      </c>
      <c r="F173" s="430" t="str">
        <f>'[4]VCO-ESTRUTURAFISICA'!F164</f>
        <v>*</v>
      </c>
      <c r="G173" s="440" t="str">
        <f>'[4]VCO-ESTRUTURAFISICA'!G164</f>
        <v>*</v>
      </c>
      <c r="H173"/>
      <c r="I173" s="428" t="str">
        <f>'[4]VCO-ESTRUTURAFISICA'!I164</f>
        <v>SIM</v>
      </c>
      <c r="J173" s="59">
        <f>'[4]VCO-ESTRUTURAFISICA'!J164</f>
        <v>177</v>
      </c>
      <c r="K173" s="440">
        <f>'[4]VCO-ESTRUTURAFISICA'!K164</f>
        <v>0.921875</v>
      </c>
      <c r="L173" s="430" t="str">
        <f>'[4]VCO-ESTRUTURAFISICA'!L164</f>
        <v>DESEJÁVEL</v>
      </c>
      <c r="M173" s="452">
        <f>'[4]VCO-ESTRUTURAFISICA'!M164</f>
        <v>138</v>
      </c>
      <c r="N173" s="430">
        <f>'[4]VCO-ESTRUTURAFISICA'!N164</f>
        <v>0.77094972067039103</v>
      </c>
      <c r="O173" s="430" t="str">
        <f>'[4]VCO-ESTRUTURAFISICA'!O164</f>
        <v>SATISFATÓRIO</v>
      </c>
      <c r="P173"/>
    </row>
    <row r="174" spans="1:16" x14ac:dyDescent="0.25">
      <c r="A174" s="433" t="str">
        <f>'[4]VCO-ESTRUTURAFISICA'!A165</f>
        <v>PARCIAL</v>
      </c>
      <c r="B174" s="59">
        <f>'[4]VCO-ESTRUTURAFISICA'!B165</f>
        <v>18</v>
      </c>
      <c r="C174" s="440">
        <f>'[4]VCO-ESTRUTURAFISICA'!C165</f>
        <v>9.375E-2</v>
      </c>
      <c r="D174" s="430" t="str">
        <f>'[4]VCO-ESTRUTURAFISICA'!D165</f>
        <v>SATISFATÓRIO</v>
      </c>
      <c r="E174" s="452" t="str">
        <f>'[4]VCO-ESTRUTURAFISICA'!E165</f>
        <v>*</v>
      </c>
      <c r="F174" s="430" t="str">
        <f>'[4]VCO-ESTRUTURAFISICA'!F165</f>
        <v>*</v>
      </c>
      <c r="G174" s="440" t="str">
        <f>'[4]VCO-ESTRUTURAFISICA'!G165</f>
        <v>*</v>
      </c>
      <c r="H174"/>
      <c r="I174" s="433" t="str">
        <f>'[4]VCO-ESTRUTURAFISICA'!I165</f>
        <v>PARCIAL</v>
      </c>
      <c r="J174" s="59">
        <f>'[4]VCO-ESTRUTURAFISICA'!J165</f>
        <v>15</v>
      </c>
      <c r="K174" s="440">
        <f>'[4]VCO-ESTRUTURAFISICA'!K165</f>
        <v>7.8125E-2</v>
      </c>
      <c r="L174" s="430" t="str">
        <f>'[4]VCO-ESTRUTURAFISICA'!L165</f>
        <v>SATISFATÓRIO</v>
      </c>
      <c r="M174" s="452">
        <f>'[4]VCO-ESTRUTURAFISICA'!M165</f>
        <v>35</v>
      </c>
      <c r="N174" s="430">
        <f>'[4]VCO-ESTRUTURAFISICA'!N165</f>
        <v>0.19553072625698323</v>
      </c>
      <c r="O174" s="430" t="str">
        <f>'[4]VCO-ESTRUTURAFISICA'!O165</f>
        <v>SATISFATÓRIO</v>
      </c>
      <c r="P174"/>
    </row>
    <row r="175" spans="1:16" x14ac:dyDescent="0.25">
      <c r="A175" s="433" t="str">
        <f>'[4]VCO-ESTRUTURAFISICA'!A166</f>
        <v>NÃO</v>
      </c>
      <c r="B175" s="59">
        <f>'[4]VCO-ESTRUTURAFISICA'!B166</f>
        <v>2</v>
      </c>
      <c r="C175" s="440">
        <f>'[4]VCO-ESTRUTURAFISICA'!C166</f>
        <v>1.0416666666666666E-2</v>
      </c>
      <c r="D175" s="430" t="str">
        <f>'[4]VCO-ESTRUTURAFISICA'!D166</f>
        <v>DESEJÁVEL</v>
      </c>
      <c r="E175" s="452" t="str">
        <f>'[4]VCO-ESTRUTURAFISICA'!E166</f>
        <v>*</v>
      </c>
      <c r="F175" s="430" t="str">
        <f>'[4]VCO-ESTRUTURAFISICA'!F166</f>
        <v>*</v>
      </c>
      <c r="G175" s="440" t="str">
        <f>'[4]VCO-ESTRUTURAFISICA'!G166</f>
        <v>*</v>
      </c>
      <c r="H175"/>
      <c r="I175" s="433" t="str">
        <f>'[4]VCO-ESTRUTURAFISICA'!I166</f>
        <v>NÃO</v>
      </c>
      <c r="J175" s="59">
        <f>'[4]VCO-ESTRUTURAFISICA'!J166</f>
        <v>0</v>
      </c>
      <c r="K175" s="440">
        <f>'[4]VCO-ESTRUTURAFISICA'!K166</f>
        <v>0</v>
      </c>
      <c r="L175" s="430" t="str">
        <f>'[4]VCO-ESTRUTURAFISICA'!L166</f>
        <v>DESEJÁVEL</v>
      </c>
      <c r="M175" s="452">
        <f>'[4]VCO-ESTRUTURAFISICA'!M166</f>
        <v>6</v>
      </c>
      <c r="N175" s="430">
        <f>'[4]VCO-ESTRUTURAFISICA'!N166</f>
        <v>3.3519553072625698E-2</v>
      </c>
      <c r="O175" s="430" t="str">
        <f>'[4]VCO-ESTRUTURAFISICA'!O166</f>
        <v>DESEJÁVEL</v>
      </c>
      <c r="P175"/>
    </row>
    <row r="176" spans="1:16" x14ac:dyDescent="0.25">
      <c r="A176" s="82" t="str">
        <f>'[4]VCO-ESTRUTURAFISICA'!A167</f>
        <v>TOTAL</v>
      </c>
      <c r="B176" s="422">
        <f>'[4]VCO-ESTRUTURAFISICA'!B167</f>
        <v>192</v>
      </c>
      <c r="C176" s="436">
        <f>'[4]VCO-ESTRUTURAFISICA'!C167</f>
        <v>1</v>
      </c>
      <c r="D176" s="439"/>
      <c r="E176" s="422" t="str">
        <f>'[4]VCO-ESTRUTURAFISICA'!E167</f>
        <v>*</v>
      </c>
      <c r="F176" s="436" t="str">
        <f>'[4]VCO-ESTRUTURAFISICA'!F167</f>
        <v>*</v>
      </c>
      <c r="G176" s="439"/>
      <c r="H176"/>
      <c r="I176" s="82" t="str">
        <f>'[4]VCO-ESTRUTURAFISICA'!I167</f>
        <v>TOTAL</v>
      </c>
      <c r="J176" s="422">
        <f>'[4]VCO-ESTRUTURAFISICA'!J167</f>
        <v>192</v>
      </c>
      <c r="K176" s="436">
        <f>'[4]VCO-ESTRUTURAFISICA'!K167</f>
        <v>1</v>
      </c>
      <c r="L176" s="439"/>
      <c r="M176" s="422">
        <f>'[4]VCO-ESTRUTURAFISICA'!M167</f>
        <v>179</v>
      </c>
      <c r="N176" s="436">
        <f>'[4]VCO-ESTRUTURAFISICA'!N167</f>
        <v>0.99999999999999989</v>
      </c>
      <c r="O176" s="439"/>
      <c r="P176"/>
    </row>
    <row r="177" spans="1:16" x14ac:dyDescent="0.25">
      <c r="A177"/>
      <c r="B177"/>
      <c r="C177"/>
      <c r="D177"/>
      <c r="E177"/>
      <c r="F177"/>
      <c r="G177"/>
      <c r="H177"/>
      <c r="I177"/>
      <c r="J177"/>
      <c r="K177"/>
      <c r="L177"/>
      <c r="M177"/>
      <c r="N177"/>
      <c r="O177"/>
      <c r="P177"/>
    </row>
    <row r="178" spans="1:16" x14ac:dyDescent="0.25">
      <c r="A178"/>
      <c r="B178"/>
      <c r="C178"/>
      <c r="D178"/>
      <c r="E178"/>
      <c r="F178"/>
      <c r="G178"/>
      <c r="H178"/>
      <c r="I178"/>
      <c r="J178"/>
      <c r="K178"/>
      <c r="L178"/>
      <c r="M178"/>
      <c r="N178"/>
      <c r="O178"/>
      <c r="P178"/>
    </row>
    <row r="179" spans="1:16" x14ac:dyDescent="0.25">
      <c r="A179"/>
      <c r="B179"/>
      <c r="C179"/>
      <c r="D179"/>
      <c r="E179"/>
      <c r="F179"/>
      <c r="G179"/>
      <c r="H179"/>
      <c r="I179"/>
      <c r="J179"/>
      <c r="K179"/>
      <c r="L179"/>
      <c r="M179"/>
      <c r="N179"/>
      <c r="O179"/>
      <c r="P179"/>
    </row>
    <row r="180" spans="1:16" x14ac:dyDescent="0.25">
      <c r="A180"/>
      <c r="B180"/>
      <c r="C180"/>
      <c r="D180"/>
      <c r="E180"/>
      <c r="F180"/>
      <c r="G180"/>
      <c r="H180"/>
      <c r="I180"/>
      <c r="J180"/>
      <c r="K180"/>
      <c r="L180"/>
      <c r="M180"/>
      <c r="N180"/>
      <c r="O180"/>
      <c r="P180"/>
    </row>
    <row r="181" spans="1:16" x14ac:dyDescent="0.25">
      <c r="A181"/>
      <c r="B181"/>
      <c r="C181"/>
      <c r="D181"/>
      <c r="E181"/>
      <c r="F181"/>
      <c r="G181"/>
      <c r="H181"/>
      <c r="I181"/>
      <c r="J181"/>
      <c r="K181"/>
      <c r="L181"/>
      <c r="M181"/>
      <c r="N181"/>
      <c r="O181"/>
      <c r="P181"/>
    </row>
    <row r="182" spans="1:16" x14ac:dyDescent="0.25">
      <c r="A182"/>
      <c r="B182"/>
      <c r="C182"/>
      <c r="D182"/>
      <c r="E182"/>
      <c r="F182"/>
      <c r="G182"/>
      <c r="H182"/>
      <c r="I182"/>
      <c r="J182"/>
      <c r="K182"/>
      <c r="L182"/>
      <c r="M182"/>
      <c r="N182"/>
      <c r="O182"/>
      <c r="P182"/>
    </row>
    <row r="183" spans="1:16" x14ac:dyDescent="0.25">
      <c r="A183"/>
      <c r="B183"/>
      <c r="C183"/>
      <c r="D183"/>
      <c r="E183"/>
      <c r="F183"/>
      <c r="G183"/>
      <c r="H183"/>
      <c r="I183"/>
      <c r="J183"/>
      <c r="K183"/>
      <c r="L183"/>
      <c r="M183"/>
      <c r="N183"/>
      <c r="O183"/>
      <c r="P183"/>
    </row>
    <row r="184" spans="1:16" x14ac:dyDescent="0.25">
      <c r="A184"/>
      <c r="B184"/>
      <c r="C184"/>
      <c r="D184"/>
      <c r="E184"/>
      <c r="F184"/>
      <c r="G184"/>
      <c r="H184"/>
      <c r="I184"/>
      <c r="J184"/>
      <c r="K184"/>
      <c r="L184"/>
      <c r="M184"/>
      <c r="N184"/>
      <c r="O184"/>
      <c r="P184"/>
    </row>
    <row r="185" spans="1:16" x14ac:dyDescent="0.25">
      <c r="A185"/>
      <c r="B185"/>
      <c r="C185"/>
      <c r="D185"/>
      <c r="E185"/>
      <c r="F185"/>
      <c r="G185"/>
      <c r="H185"/>
      <c r="I185"/>
      <c r="J185"/>
      <c r="K185"/>
      <c r="L185"/>
      <c r="M185"/>
      <c r="N185"/>
      <c r="O185"/>
      <c r="P185"/>
    </row>
    <row r="186" spans="1:16" x14ac:dyDescent="0.25">
      <c r="A186"/>
      <c r="B186"/>
      <c r="C186"/>
      <c r="D186"/>
      <c r="E186"/>
      <c r="F186"/>
      <c r="G186"/>
      <c r="H186"/>
      <c r="I186"/>
      <c r="J186"/>
      <c r="K186"/>
      <c r="L186"/>
      <c r="M186"/>
      <c r="N186"/>
      <c r="O186"/>
      <c r="P186"/>
    </row>
    <row r="187" spans="1:16" x14ac:dyDescent="0.25">
      <c r="A187"/>
      <c r="B187"/>
      <c r="C187"/>
      <c r="D187"/>
      <c r="E187"/>
      <c r="F187"/>
      <c r="G187"/>
      <c r="H187"/>
      <c r="I187"/>
      <c r="J187"/>
      <c r="K187"/>
      <c r="L187"/>
      <c r="M187"/>
      <c r="N187"/>
      <c r="O187"/>
      <c r="P187"/>
    </row>
    <row r="188" spans="1:16" x14ac:dyDescent="0.25">
      <c r="A188"/>
      <c r="B188"/>
      <c r="C188"/>
      <c r="D188"/>
      <c r="E188"/>
      <c r="F188"/>
      <c r="G188"/>
      <c r="H188"/>
      <c r="I188"/>
      <c r="J188"/>
      <c r="K188"/>
      <c r="L188"/>
      <c r="M188"/>
      <c r="N188"/>
      <c r="O188"/>
      <c r="P188"/>
    </row>
    <row r="189" spans="1:16" x14ac:dyDescent="0.25">
      <c r="A189"/>
      <c r="B189"/>
      <c r="C189"/>
      <c r="D189"/>
      <c r="E189"/>
      <c r="F189"/>
      <c r="G189"/>
      <c r="H189"/>
      <c r="I189"/>
      <c r="J189"/>
      <c r="K189"/>
      <c r="L189"/>
      <c r="M189"/>
      <c r="N189"/>
      <c r="O189"/>
      <c r="P189"/>
    </row>
    <row r="190" spans="1:16" x14ac:dyDescent="0.25">
      <c r="A190"/>
      <c r="B190"/>
      <c r="C190"/>
      <c r="D190"/>
      <c r="E190"/>
      <c r="F190"/>
      <c r="G190"/>
      <c r="H190"/>
      <c r="I190"/>
      <c r="J190"/>
      <c r="K190"/>
      <c r="L190"/>
      <c r="M190"/>
      <c r="N190"/>
      <c r="O190"/>
      <c r="P190"/>
    </row>
    <row r="191" spans="1:16" x14ac:dyDescent="0.25">
      <c r="A191"/>
      <c r="B191"/>
      <c r="C191"/>
      <c r="D191"/>
      <c r="E191"/>
      <c r="F191"/>
      <c r="G191"/>
      <c r="H191"/>
      <c r="I191"/>
      <c r="J191"/>
      <c r="K191"/>
      <c r="L191"/>
      <c r="M191"/>
      <c r="N191"/>
      <c r="O191"/>
      <c r="P191"/>
    </row>
    <row r="192" spans="1:16" x14ac:dyDescent="0.25">
      <c r="A192"/>
      <c r="B192"/>
      <c r="C192"/>
      <c r="D192"/>
      <c r="E192"/>
      <c r="F192"/>
      <c r="G192"/>
      <c r="H192"/>
      <c r="I192"/>
      <c r="J192"/>
      <c r="K192"/>
      <c r="L192"/>
      <c r="M192"/>
      <c r="N192"/>
      <c r="O192"/>
      <c r="P192"/>
    </row>
    <row r="193" spans="1:16" x14ac:dyDescent="0.25">
      <c r="A193"/>
      <c r="B193"/>
      <c r="C193"/>
      <c r="D193"/>
      <c r="E193"/>
      <c r="F193"/>
      <c r="G193"/>
      <c r="H193"/>
      <c r="I193"/>
      <c r="J193"/>
      <c r="K193"/>
      <c r="L193"/>
      <c r="M193"/>
      <c r="N193"/>
      <c r="O193"/>
      <c r="P193"/>
    </row>
    <row r="194" spans="1:16" x14ac:dyDescent="0.25">
      <c r="A194"/>
      <c r="B194"/>
      <c r="C194"/>
      <c r="D194"/>
      <c r="E194"/>
      <c r="F194"/>
      <c r="G194"/>
      <c r="H194"/>
      <c r="I194"/>
      <c r="J194"/>
      <c r="K194"/>
      <c r="L194"/>
      <c r="M194"/>
      <c r="N194"/>
      <c r="O194"/>
      <c r="P194"/>
    </row>
    <row r="195" spans="1:16" x14ac:dyDescent="0.25">
      <c r="A195"/>
      <c r="B195"/>
      <c r="C195"/>
      <c r="D195"/>
      <c r="E195"/>
      <c r="F195"/>
      <c r="G195"/>
      <c r="H195"/>
      <c r="I195"/>
      <c r="J195"/>
      <c r="K195"/>
      <c r="L195"/>
      <c r="M195"/>
      <c r="N195"/>
      <c r="O195"/>
      <c r="P195"/>
    </row>
    <row r="196" spans="1:16" x14ac:dyDescent="0.25">
      <c r="A196"/>
      <c r="B196"/>
      <c r="C196"/>
      <c r="D196"/>
      <c r="E196"/>
      <c r="F196"/>
      <c r="G196"/>
      <c r="H196"/>
      <c r="I196"/>
      <c r="J196"/>
      <c r="K196"/>
      <c r="L196"/>
      <c r="M196"/>
      <c r="N196"/>
      <c r="O196"/>
      <c r="P196"/>
    </row>
    <row r="197" spans="1:16" x14ac:dyDescent="0.25">
      <c r="A197"/>
      <c r="B197"/>
      <c r="C197"/>
      <c r="D197"/>
      <c r="E197"/>
      <c r="F197"/>
      <c r="G197"/>
      <c r="H197"/>
      <c r="I197"/>
      <c r="J197"/>
      <c r="K197"/>
      <c r="L197"/>
      <c r="M197"/>
      <c r="N197"/>
      <c r="O197"/>
      <c r="P197"/>
    </row>
    <row r="198" spans="1:16" x14ac:dyDescent="0.25">
      <c r="A198"/>
      <c r="B198"/>
      <c r="C198"/>
      <c r="D198"/>
      <c r="E198"/>
      <c r="F198"/>
      <c r="G198"/>
      <c r="H198"/>
      <c r="I198"/>
      <c r="J198"/>
      <c r="K198"/>
      <c r="L198"/>
      <c r="M198"/>
      <c r="N198"/>
      <c r="O198"/>
      <c r="P198"/>
    </row>
    <row r="199" spans="1:16" x14ac:dyDescent="0.25">
      <c r="A199"/>
      <c r="B199"/>
      <c r="C199"/>
      <c r="D199"/>
      <c r="E199"/>
      <c r="F199"/>
      <c r="G199"/>
      <c r="H199"/>
      <c r="I199"/>
      <c r="J199"/>
      <c r="K199"/>
      <c r="L199"/>
      <c r="M199"/>
      <c r="N199"/>
      <c r="O199"/>
      <c r="P199"/>
    </row>
    <row r="200" spans="1:16" x14ac:dyDescent="0.25">
      <c r="A200"/>
      <c r="B200"/>
      <c r="C200"/>
      <c r="D200"/>
      <c r="E200"/>
      <c r="F200"/>
      <c r="G200"/>
      <c r="H200"/>
      <c r="I200"/>
      <c r="J200"/>
      <c r="K200"/>
      <c r="L200"/>
      <c r="M200"/>
      <c r="N200"/>
      <c r="O200"/>
      <c r="P200"/>
    </row>
    <row r="201" spans="1:16" x14ac:dyDescent="0.25">
      <c r="A201"/>
      <c r="B201"/>
      <c r="C201"/>
      <c r="D201"/>
      <c r="E201"/>
      <c r="F201"/>
      <c r="G201"/>
      <c r="H201"/>
      <c r="I201"/>
      <c r="J201"/>
      <c r="K201"/>
      <c r="L201"/>
      <c r="M201"/>
      <c r="N201"/>
      <c r="O201"/>
      <c r="P201"/>
    </row>
    <row r="202" spans="1:16" x14ac:dyDescent="0.25">
      <c r="A202"/>
      <c r="B202"/>
      <c r="C202"/>
      <c r="D202"/>
      <c r="E202"/>
      <c r="F202"/>
      <c r="G202"/>
      <c r="H202"/>
      <c r="I202"/>
      <c r="J202"/>
      <c r="K202"/>
      <c r="L202"/>
      <c r="M202"/>
      <c r="N202"/>
      <c r="O202"/>
      <c r="P202"/>
    </row>
    <row r="203" spans="1:16" x14ac:dyDescent="0.25">
      <c r="A203"/>
      <c r="B203"/>
      <c r="C203"/>
      <c r="D203"/>
      <c r="E203"/>
      <c r="F203"/>
      <c r="G203"/>
      <c r="H203"/>
      <c r="I203"/>
      <c r="J203"/>
      <c r="K203"/>
      <c r="L203"/>
      <c r="M203"/>
      <c r="N203"/>
      <c r="O203"/>
      <c r="P203"/>
    </row>
    <row r="204" spans="1:16" x14ac:dyDescent="0.25">
      <c r="A204"/>
      <c r="B204"/>
      <c r="C204"/>
      <c r="D204"/>
      <c r="E204"/>
      <c r="F204"/>
      <c r="G204"/>
      <c r="H204"/>
      <c r="I204"/>
      <c r="J204"/>
      <c r="K204"/>
      <c r="L204"/>
      <c r="M204"/>
      <c r="N204"/>
      <c r="O204"/>
      <c r="P204"/>
    </row>
    <row r="205" spans="1:16" x14ac:dyDescent="0.25">
      <c r="A205"/>
      <c r="B205"/>
      <c r="C205"/>
      <c r="D205"/>
      <c r="E205"/>
      <c r="F205"/>
      <c r="G205"/>
      <c r="H205"/>
      <c r="I205"/>
      <c r="J205"/>
      <c r="K205"/>
      <c r="L205"/>
      <c r="M205"/>
      <c r="N205"/>
      <c r="O205"/>
      <c r="P205"/>
    </row>
    <row r="206" spans="1:16" x14ac:dyDescent="0.25">
      <c r="A206"/>
      <c r="B206"/>
      <c r="C206"/>
      <c r="D206"/>
      <c r="E206"/>
      <c r="F206"/>
      <c r="G206"/>
      <c r="H206"/>
      <c r="I206"/>
      <c r="J206"/>
      <c r="K206"/>
      <c r="L206"/>
      <c r="M206"/>
      <c r="N206"/>
      <c r="O206"/>
      <c r="P206"/>
    </row>
    <row r="207" spans="1:16" x14ac:dyDescent="0.25">
      <c r="A207"/>
      <c r="B207"/>
      <c r="C207"/>
      <c r="D207"/>
      <c r="E207"/>
      <c r="F207"/>
      <c r="G207"/>
      <c r="H207"/>
      <c r="I207"/>
      <c r="J207"/>
      <c r="K207"/>
      <c r="L207"/>
      <c r="M207"/>
      <c r="N207"/>
      <c r="O207"/>
      <c r="P207"/>
    </row>
    <row r="208" spans="1:16" x14ac:dyDescent="0.25">
      <c r="A208"/>
      <c r="B208"/>
      <c r="C208"/>
      <c r="D208"/>
      <c r="E208"/>
      <c r="F208"/>
      <c r="G208"/>
      <c r="H208"/>
      <c r="I208"/>
      <c r="J208"/>
      <c r="K208"/>
      <c r="L208"/>
      <c r="M208"/>
      <c r="N208"/>
      <c r="O208"/>
      <c r="P208"/>
    </row>
  </sheetData>
  <mergeCells count="30">
    <mergeCell ref="M171:O171"/>
    <mergeCell ref="A131:A132"/>
    <mergeCell ref="B131:D131"/>
    <mergeCell ref="E131:G131"/>
    <mergeCell ref="I131:I132"/>
    <mergeCell ref="J131:L131"/>
    <mergeCell ref="M131:O131"/>
    <mergeCell ref="A171:A172"/>
    <mergeCell ref="B171:D171"/>
    <mergeCell ref="E171:G171"/>
    <mergeCell ref="I171:I172"/>
    <mergeCell ref="J171:L171"/>
    <mergeCell ref="M92:O92"/>
    <mergeCell ref="A52:A53"/>
    <mergeCell ref="B52:D52"/>
    <mergeCell ref="E52:G52"/>
    <mergeCell ref="I52:I53"/>
    <mergeCell ref="J52:L52"/>
    <mergeCell ref="M52:O52"/>
    <mergeCell ref="A92:A93"/>
    <mergeCell ref="B92:D92"/>
    <mergeCell ref="E92:G92"/>
    <mergeCell ref="I92:I93"/>
    <mergeCell ref="J92:L92"/>
    <mergeCell ref="M12:O12"/>
    <mergeCell ref="A12:A13"/>
    <mergeCell ref="B12:D12"/>
    <mergeCell ref="E12:G12"/>
    <mergeCell ref="I12:I13"/>
    <mergeCell ref="J12:L12"/>
  </mergeCells>
  <conditionalFormatting sqref="D14:D16">
    <cfRule type="containsText" dxfId="87" priority="69" operator="containsText" text="CRÍTICO">
      <formula>NOT(ISERROR(SEARCH("CRÍTICO",D14)))</formula>
    </cfRule>
    <cfRule type="containsText" dxfId="86" priority="70" operator="containsText" text="INSATISFATÓRIO">
      <formula>NOT(ISERROR(SEARCH("INSATISFATÓRIO",D14)))</formula>
    </cfRule>
    <cfRule type="containsText" dxfId="85" priority="71" operator="containsText" text="DESEJÁVEL">
      <formula>NOT(ISERROR(SEARCH("DESEJÁVEL",D14)))</formula>
    </cfRule>
    <cfRule type="containsText" dxfId="84" priority="72" operator="containsText" text="SATISFATÓRIO">
      <formula>NOT(ISERROR(SEARCH("SATISFATÓRIO",D14)))</formula>
    </cfRule>
  </conditionalFormatting>
  <conditionalFormatting sqref="L14:L16">
    <cfRule type="containsText" dxfId="83" priority="65" operator="containsText" text="CRÍTICO">
      <formula>NOT(ISERROR(SEARCH("CRÍTICO",L14)))</formula>
    </cfRule>
    <cfRule type="containsText" dxfId="82" priority="66" operator="containsText" text="INSATISFATÓRIO">
      <formula>NOT(ISERROR(SEARCH("INSATISFATÓRIO",L14)))</formula>
    </cfRule>
    <cfRule type="containsText" dxfId="81" priority="67" operator="containsText" text="DESEJÁVEL">
      <formula>NOT(ISERROR(SEARCH("DESEJÁVEL",L14)))</formula>
    </cfRule>
    <cfRule type="containsText" dxfId="80" priority="68" operator="containsText" text="SATISFATÓRIO">
      <formula>NOT(ISERROR(SEARCH("SATISFATÓRIO",L14)))</formula>
    </cfRule>
  </conditionalFormatting>
  <conditionalFormatting sqref="G14:G16">
    <cfRule type="containsText" dxfId="79" priority="61" operator="containsText" text="CRÍTICO">
      <formula>NOT(ISERROR(SEARCH("CRÍTICO",G14)))</formula>
    </cfRule>
    <cfRule type="containsText" dxfId="78" priority="62" operator="containsText" text="INSATISFATÓRIO">
      <formula>NOT(ISERROR(SEARCH("INSATISFATÓRIO",G14)))</formula>
    </cfRule>
    <cfRule type="containsText" dxfId="77" priority="63" operator="containsText" text="DESEJÁVEL">
      <formula>NOT(ISERROR(SEARCH("DESEJÁVEL",G14)))</formula>
    </cfRule>
    <cfRule type="containsText" dxfId="76" priority="64" operator="containsText" text="SATISFATÓRIO">
      <formula>NOT(ISERROR(SEARCH("SATISFATÓRIO",G14)))</formula>
    </cfRule>
  </conditionalFormatting>
  <conditionalFormatting sqref="O14:O16">
    <cfRule type="containsText" dxfId="75" priority="57" operator="containsText" text="CRÍTICO">
      <formula>NOT(ISERROR(SEARCH("CRÍTICO",O14)))</formula>
    </cfRule>
    <cfRule type="containsText" dxfId="74" priority="58" operator="containsText" text="INSATISFATÓRIO">
      <formula>NOT(ISERROR(SEARCH("INSATISFATÓRIO",O14)))</formula>
    </cfRule>
    <cfRule type="containsText" dxfId="73" priority="59" operator="containsText" text="DESEJÁVEL">
      <formula>NOT(ISERROR(SEARCH("DESEJÁVEL",O14)))</formula>
    </cfRule>
    <cfRule type="containsText" dxfId="72" priority="60" operator="containsText" text="SATISFATÓRIO">
      <formula>NOT(ISERROR(SEARCH("SATISFATÓRIO",O14)))</formula>
    </cfRule>
  </conditionalFormatting>
  <conditionalFormatting sqref="D54:D56">
    <cfRule type="containsText" dxfId="71" priority="53" operator="containsText" text="CRÍTICO">
      <formula>NOT(ISERROR(SEARCH("CRÍTICO",D54)))</formula>
    </cfRule>
    <cfRule type="containsText" dxfId="70" priority="54" operator="containsText" text="INSATISFATÓRIO">
      <formula>NOT(ISERROR(SEARCH("INSATISFATÓRIO",D54)))</formula>
    </cfRule>
    <cfRule type="containsText" dxfId="69" priority="55" operator="containsText" text="DESEJÁVEL">
      <formula>NOT(ISERROR(SEARCH("DESEJÁVEL",D54)))</formula>
    </cfRule>
    <cfRule type="containsText" dxfId="68" priority="56" operator="containsText" text="SATISFATÓRIO">
      <formula>NOT(ISERROR(SEARCH("SATISFATÓRIO",D54)))</formula>
    </cfRule>
  </conditionalFormatting>
  <conditionalFormatting sqref="G54:G56">
    <cfRule type="containsText" dxfId="67" priority="49" operator="containsText" text="CRÍTICO">
      <formula>NOT(ISERROR(SEARCH("CRÍTICO",G54)))</formula>
    </cfRule>
    <cfRule type="containsText" dxfId="66" priority="50" operator="containsText" text="INSATISFATÓRIO">
      <formula>NOT(ISERROR(SEARCH("INSATISFATÓRIO",G54)))</formula>
    </cfRule>
    <cfRule type="containsText" dxfId="65" priority="51" operator="containsText" text="DESEJÁVEL">
      <formula>NOT(ISERROR(SEARCH("DESEJÁVEL",G54)))</formula>
    </cfRule>
    <cfRule type="containsText" dxfId="64" priority="52" operator="containsText" text="SATISFATÓRIO">
      <formula>NOT(ISERROR(SEARCH("SATISFATÓRIO",G54)))</formula>
    </cfRule>
  </conditionalFormatting>
  <conditionalFormatting sqref="L54:L56">
    <cfRule type="containsText" dxfId="63" priority="45" operator="containsText" text="CRÍTICO">
      <formula>NOT(ISERROR(SEARCH("CRÍTICO",L54)))</formula>
    </cfRule>
    <cfRule type="containsText" dxfId="62" priority="46" operator="containsText" text="INSATISFATÓRIO">
      <formula>NOT(ISERROR(SEARCH("INSATISFATÓRIO",L54)))</formula>
    </cfRule>
    <cfRule type="containsText" dxfId="61" priority="47" operator="containsText" text="DESEJÁVEL">
      <formula>NOT(ISERROR(SEARCH("DESEJÁVEL",L54)))</formula>
    </cfRule>
    <cfRule type="containsText" dxfId="60" priority="48" operator="containsText" text="SATISFATÓRIO">
      <formula>NOT(ISERROR(SEARCH("SATISFATÓRIO",L54)))</formula>
    </cfRule>
  </conditionalFormatting>
  <conditionalFormatting sqref="D94:D96">
    <cfRule type="containsText" dxfId="59" priority="41" operator="containsText" text="CRÍTICO">
      <formula>NOT(ISERROR(SEARCH("CRÍTICO",D94)))</formula>
    </cfRule>
    <cfRule type="containsText" dxfId="58" priority="42" operator="containsText" text="INSATISFATÓRIO">
      <formula>NOT(ISERROR(SEARCH("INSATISFATÓRIO",D94)))</formula>
    </cfRule>
    <cfRule type="containsText" dxfId="57" priority="43" operator="containsText" text="DESEJÁVEL">
      <formula>NOT(ISERROR(SEARCH("DESEJÁVEL",D94)))</formula>
    </cfRule>
    <cfRule type="containsText" dxfId="56" priority="44" operator="containsText" text="SATISFATÓRIO">
      <formula>NOT(ISERROR(SEARCH("SATISFATÓRIO",D94)))</formula>
    </cfRule>
  </conditionalFormatting>
  <conditionalFormatting sqref="L94:L96">
    <cfRule type="containsText" dxfId="55" priority="37" operator="containsText" text="CRÍTICO">
      <formula>NOT(ISERROR(SEARCH("CRÍTICO",L94)))</formula>
    </cfRule>
    <cfRule type="containsText" dxfId="54" priority="38" operator="containsText" text="INSATISFATÓRIO">
      <formula>NOT(ISERROR(SEARCH("INSATISFATÓRIO",L94)))</formula>
    </cfRule>
    <cfRule type="containsText" dxfId="53" priority="39" operator="containsText" text="DESEJÁVEL">
      <formula>NOT(ISERROR(SEARCH("DESEJÁVEL",L94)))</formula>
    </cfRule>
    <cfRule type="containsText" dxfId="52" priority="40" operator="containsText" text="SATISFATÓRIO">
      <formula>NOT(ISERROR(SEARCH("SATISFATÓRIO",L94)))</formula>
    </cfRule>
  </conditionalFormatting>
  <conditionalFormatting sqref="O54:O56">
    <cfRule type="containsText" dxfId="51" priority="33" operator="containsText" text="CRÍTICO">
      <formula>NOT(ISERROR(SEARCH("CRÍTICO",O54)))</formula>
    </cfRule>
    <cfRule type="containsText" dxfId="50" priority="34" operator="containsText" text="INSATISFATÓRIO">
      <formula>NOT(ISERROR(SEARCH("INSATISFATÓRIO",O54)))</formula>
    </cfRule>
    <cfRule type="containsText" dxfId="49" priority="35" operator="containsText" text="DESEJÁVEL">
      <formula>NOT(ISERROR(SEARCH("DESEJÁVEL",O54)))</formula>
    </cfRule>
    <cfRule type="containsText" dxfId="48" priority="36" operator="containsText" text="SATISFATÓRIO">
      <formula>NOT(ISERROR(SEARCH("SATISFATÓRIO",O54)))</formula>
    </cfRule>
  </conditionalFormatting>
  <conditionalFormatting sqref="G94:G96">
    <cfRule type="containsText" dxfId="47" priority="29" operator="containsText" text="CRÍTICO">
      <formula>NOT(ISERROR(SEARCH("CRÍTICO",G94)))</formula>
    </cfRule>
    <cfRule type="containsText" dxfId="46" priority="30" operator="containsText" text="INSATISFATÓRIO">
      <formula>NOT(ISERROR(SEARCH("INSATISFATÓRIO",G94)))</formula>
    </cfRule>
    <cfRule type="containsText" dxfId="45" priority="31" operator="containsText" text="DESEJÁVEL">
      <formula>NOT(ISERROR(SEARCH("DESEJÁVEL",G94)))</formula>
    </cfRule>
    <cfRule type="containsText" dxfId="44" priority="32" operator="containsText" text="SATISFATÓRIO">
      <formula>NOT(ISERROR(SEARCH("SATISFATÓRIO",G94)))</formula>
    </cfRule>
  </conditionalFormatting>
  <conditionalFormatting sqref="D133:D135">
    <cfRule type="containsText" dxfId="43" priority="25" operator="containsText" text="CRÍTICO">
      <formula>NOT(ISERROR(SEARCH("CRÍTICO",D133)))</formula>
    </cfRule>
    <cfRule type="containsText" dxfId="42" priority="26" operator="containsText" text="INSATISFATÓRIO">
      <formula>NOT(ISERROR(SEARCH("INSATISFATÓRIO",D133)))</formula>
    </cfRule>
    <cfRule type="containsText" dxfId="41" priority="27" operator="containsText" text="DESEJÁVEL">
      <formula>NOT(ISERROR(SEARCH("DESEJÁVEL",D133)))</formula>
    </cfRule>
    <cfRule type="containsText" dxfId="40" priority="28" operator="containsText" text="SATISFATÓRIO">
      <formula>NOT(ISERROR(SEARCH("SATISFATÓRIO",D133)))</formula>
    </cfRule>
  </conditionalFormatting>
  <conditionalFormatting sqref="L133:L135">
    <cfRule type="containsText" dxfId="39" priority="21" operator="containsText" text="CRÍTICO">
      <formula>NOT(ISERROR(SEARCH("CRÍTICO",L133)))</formula>
    </cfRule>
    <cfRule type="containsText" dxfId="38" priority="22" operator="containsText" text="INSATISFATÓRIO">
      <formula>NOT(ISERROR(SEARCH("INSATISFATÓRIO",L133)))</formula>
    </cfRule>
    <cfRule type="containsText" dxfId="37" priority="23" operator="containsText" text="DESEJÁVEL">
      <formula>NOT(ISERROR(SEARCH("DESEJÁVEL",L133)))</formula>
    </cfRule>
    <cfRule type="containsText" dxfId="36" priority="24" operator="containsText" text="SATISFATÓRIO">
      <formula>NOT(ISERROR(SEARCH("SATISFATÓRIO",L133)))</formula>
    </cfRule>
  </conditionalFormatting>
  <conditionalFormatting sqref="G133:G135">
    <cfRule type="containsText" dxfId="35" priority="17" operator="containsText" text="CRÍTICO">
      <formula>NOT(ISERROR(SEARCH("CRÍTICO",G133)))</formula>
    </cfRule>
    <cfRule type="containsText" dxfId="34" priority="18" operator="containsText" text="INSATISFATÓRIO">
      <formula>NOT(ISERROR(SEARCH("INSATISFATÓRIO",G133)))</formula>
    </cfRule>
    <cfRule type="containsText" dxfId="33" priority="19" operator="containsText" text="DESEJÁVEL">
      <formula>NOT(ISERROR(SEARCH("DESEJÁVEL",G133)))</formula>
    </cfRule>
    <cfRule type="containsText" dxfId="32" priority="20" operator="containsText" text="SATISFATÓRIO">
      <formula>NOT(ISERROR(SEARCH("SATISFATÓRIO",G133)))</formula>
    </cfRule>
  </conditionalFormatting>
  <conditionalFormatting sqref="O133:O135">
    <cfRule type="containsText" dxfId="31" priority="13" operator="containsText" text="CRÍTICO">
      <formula>NOT(ISERROR(SEARCH("CRÍTICO",O133)))</formula>
    </cfRule>
    <cfRule type="containsText" dxfId="30" priority="14" operator="containsText" text="INSATISFATÓRIO">
      <formula>NOT(ISERROR(SEARCH("INSATISFATÓRIO",O133)))</formula>
    </cfRule>
    <cfRule type="containsText" dxfId="29" priority="15" operator="containsText" text="DESEJÁVEL">
      <formula>NOT(ISERROR(SEARCH("DESEJÁVEL",O133)))</formula>
    </cfRule>
    <cfRule type="containsText" dxfId="28" priority="16" operator="containsText" text="SATISFATÓRIO">
      <formula>NOT(ISERROR(SEARCH("SATISFATÓRIO",O133)))</formula>
    </cfRule>
  </conditionalFormatting>
  <conditionalFormatting sqref="D173:D175">
    <cfRule type="containsText" dxfId="27" priority="9" operator="containsText" text="CRÍTICO">
      <formula>NOT(ISERROR(SEARCH("CRÍTICO",D173)))</formula>
    </cfRule>
    <cfRule type="containsText" dxfId="26" priority="10" operator="containsText" text="INSATISFATÓRIO">
      <formula>NOT(ISERROR(SEARCH("INSATISFATÓRIO",D173)))</formula>
    </cfRule>
    <cfRule type="containsText" dxfId="25" priority="11" operator="containsText" text="DESEJÁVEL">
      <formula>NOT(ISERROR(SEARCH("DESEJÁVEL",D173)))</formula>
    </cfRule>
    <cfRule type="containsText" dxfId="24" priority="12" operator="containsText" text="SATISFATÓRIO">
      <formula>NOT(ISERROR(SEARCH("SATISFATÓRIO",D173)))</formula>
    </cfRule>
  </conditionalFormatting>
  <conditionalFormatting sqref="L173:L175">
    <cfRule type="containsText" dxfId="23" priority="5" operator="containsText" text="CRÍTICO">
      <formula>NOT(ISERROR(SEARCH("CRÍTICO",L173)))</formula>
    </cfRule>
    <cfRule type="containsText" dxfId="22" priority="6" operator="containsText" text="INSATISFATÓRIO">
      <formula>NOT(ISERROR(SEARCH("INSATISFATÓRIO",L173)))</formula>
    </cfRule>
    <cfRule type="containsText" dxfId="21" priority="7" operator="containsText" text="DESEJÁVEL">
      <formula>NOT(ISERROR(SEARCH("DESEJÁVEL",L173)))</formula>
    </cfRule>
    <cfRule type="containsText" dxfId="20" priority="8" operator="containsText" text="SATISFATÓRIO">
      <formula>NOT(ISERROR(SEARCH("SATISFATÓRIO",L173)))</formula>
    </cfRule>
  </conditionalFormatting>
  <conditionalFormatting sqref="O173:O175">
    <cfRule type="containsText" dxfId="19" priority="1" operator="containsText" text="CRÍTICO">
      <formula>NOT(ISERROR(SEARCH("CRÍTICO",O173)))</formula>
    </cfRule>
    <cfRule type="containsText" dxfId="18" priority="2" operator="containsText" text="INSATISFATÓRIO">
      <formula>NOT(ISERROR(SEARCH("INSATISFATÓRIO",O173)))</formula>
    </cfRule>
    <cfRule type="containsText" dxfId="17" priority="3" operator="containsText" text="DESEJÁVEL">
      <formula>NOT(ISERROR(SEARCH("DESEJÁVEL",O173)))</formula>
    </cfRule>
    <cfRule type="containsText" dxfId="16" priority="4" operator="containsText" text="SATISFATÓRIO">
      <formula>NOT(ISERROR(SEARCH("SATISFATÓRIO",O173)))</formula>
    </cfRule>
  </conditionalFormatting>
  <pageMargins left="0.511811024" right="0.511811024" top="0.78740157499999996" bottom="0.78740157499999996" header="0.31496062000000002" footer="0.31496062000000002"/>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2"/>
  <dimension ref="A10:P58"/>
  <sheetViews>
    <sheetView showGridLines="0" workbookViewId="0">
      <selection activeCell="A9" sqref="A9"/>
    </sheetView>
  </sheetViews>
  <sheetFormatPr defaultRowHeight="15" x14ac:dyDescent="0.25"/>
  <cols>
    <col min="1" max="1" width="36" style="1" customWidth="1"/>
    <col min="2" max="7" width="15.7109375" style="1" customWidth="1"/>
    <col min="8" max="8" width="6.7109375" style="1" customWidth="1"/>
    <col min="9" max="9" width="36" style="1" customWidth="1"/>
    <col min="10" max="15" width="15.7109375" style="1" customWidth="1"/>
    <col min="16" max="16384" width="9.140625" style="1"/>
  </cols>
  <sheetData>
    <row r="10" spans="1:16" x14ac:dyDescent="0.25">
      <c r="A10"/>
      <c r="B10"/>
      <c r="C10"/>
      <c r="D10"/>
      <c r="E10"/>
      <c r="F10"/>
      <c r="G10"/>
      <c r="H10"/>
      <c r="I10"/>
      <c r="J10"/>
      <c r="K10"/>
      <c r="L10"/>
      <c r="M10"/>
      <c r="N10"/>
      <c r="O10"/>
      <c r="P10"/>
    </row>
    <row r="11" spans="1:16" x14ac:dyDescent="0.25">
      <c r="A11"/>
      <c r="B11"/>
      <c r="C11"/>
      <c r="D11"/>
      <c r="E11"/>
      <c r="F11"/>
      <c r="G11"/>
      <c r="H11"/>
      <c r="I11"/>
      <c r="J11"/>
      <c r="K11"/>
      <c r="L11"/>
      <c r="M11"/>
      <c r="N11"/>
      <c r="O11"/>
      <c r="P11"/>
    </row>
    <row r="12" spans="1:16" x14ac:dyDescent="0.25">
      <c r="A12" s="700" t="str">
        <f>'[4]VCO-PANDEMIA'!A3</f>
        <v>DURANTE O PERÍODO DA PANDEMIA, NO TELETRABALHO, OS SISTEMAS REMOTOS DISPONIBILIZADOS FUNCIONARAM A CONTENTO?</v>
      </c>
      <c r="B12" s="702">
        <f>'[4]VCO-PANDEMIA'!B3</f>
        <v>2020</v>
      </c>
      <c r="C12" s="702"/>
      <c r="D12" s="702"/>
      <c r="E12" s="702">
        <f>'[4]VCO-PANDEMIA'!E3</f>
        <v>2017</v>
      </c>
      <c r="F12" s="702"/>
      <c r="G12" s="702"/>
      <c r="H12"/>
      <c r="I12" s="700" t="str">
        <f>'[4]VCO-PANDEMIA'!I3</f>
        <v>DURANTE O PERÍODO DE PANDEMIA, NO TRABALHO PRESENCIAL, AS INSTALAÇÕES DO MME ENCONTRARAM -SE APTAS AO EXERCÍCIO SEGURO DAS ATIVIDADES?</v>
      </c>
      <c r="J12" s="702">
        <f>'[4]VCO-PANDEMIA'!J3</f>
        <v>2020</v>
      </c>
      <c r="K12" s="702"/>
      <c r="L12" s="702"/>
      <c r="M12" s="702">
        <f>'[4]VCO-PANDEMIA'!M3</f>
        <v>2017</v>
      </c>
      <c r="N12" s="702"/>
      <c r="O12" s="702"/>
      <c r="P12"/>
    </row>
    <row r="13" spans="1:16" ht="68.25" customHeight="1" x14ac:dyDescent="0.25">
      <c r="A13" s="700"/>
      <c r="B13" s="426" t="str">
        <f>'[4]VCO-PANDEMIA'!B4</f>
        <v>TOTAL</v>
      </c>
      <c r="C13" s="426" t="str">
        <f>'[4]VCO-PANDEMIA'!C4</f>
        <v>%</v>
      </c>
      <c r="D13" s="426" t="str">
        <f>'[4]VCO-PANDEMIA'!D4</f>
        <v>RESULTADO</v>
      </c>
      <c r="E13" s="426" t="str">
        <f>'[4]VCO-PANDEMIA'!E4</f>
        <v>TOTAL</v>
      </c>
      <c r="F13" s="426" t="str">
        <f>'[4]VCO-PANDEMIA'!F4</f>
        <v>%</v>
      </c>
      <c r="G13" s="426" t="str">
        <f>'[4]VCO-PANDEMIA'!G4</f>
        <v>RESULTADO</v>
      </c>
      <c r="H13"/>
      <c r="I13" s="700"/>
      <c r="J13" s="426" t="str">
        <f>'[4]VCO-PANDEMIA'!J4</f>
        <v>TOTAL</v>
      </c>
      <c r="K13" s="426" t="str">
        <f>'[4]VCO-PANDEMIA'!K4</f>
        <v>%</v>
      </c>
      <c r="L13" s="426" t="str">
        <f>'[4]VCO-PANDEMIA'!L4</f>
        <v>RESULTADO</v>
      </c>
      <c r="M13" s="426" t="str">
        <f>'[4]VCO-PANDEMIA'!M4</f>
        <v>TOTAL</v>
      </c>
      <c r="N13" s="426" t="str">
        <f>'[4]VCO-PANDEMIA'!N4</f>
        <v>%</v>
      </c>
      <c r="O13" s="426" t="str">
        <f>'[4]VCO-PANDEMIA'!O4</f>
        <v>RESULTADO</v>
      </c>
      <c r="P13"/>
    </row>
    <row r="14" spans="1:16" x14ac:dyDescent="0.25">
      <c r="A14" s="428" t="str">
        <f>'[4]VCO-PANDEMIA'!A5</f>
        <v>SIM</v>
      </c>
      <c r="B14" s="59">
        <f>'[4]VCO-PANDEMIA'!B5</f>
        <v>126</v>
      </c>
      <c r="C14" s="440">
        <f>'[4]VCO-PANDEMIA'!C5</f>
        <v>0.65625</v>
      </c>
      <c r="D14" s="430" t="str">
        <f>'[4]VCO-PANDEMIA'!D5</f>
        <v>SATISFATÓRIO</v>
      </c>
      <c r="E14" s="452" t="str">
        <f>'[4]VCO-PANDEMIA'!E5</f>
        <v>*</v>
      </c>
      <c r="F14" s="430" t="str">
        <f>'[4]VCO-PANDEMIA'!F5</f>
        <v>*</v>
      </c>
      <c r="G14" s="440" t="str">
        <f>'[4]VCO-PANDEMIA'!G5</f>
        <v>*</v>
      </c>
      <c r="H14"/>
      <c r="I14" s="428" t="str">
        <f>'[4]VCO-PANDEMIA'!I5</f>
        <v>SIM</v>
      </c>
      <c r="J14" s="59">
        <f>'[4]VCO-PANDEMIA'!J5</f>
        <v>140</v>
      </c>
      <c r="K14" s="440">
        <f>'[4]VCO-PANDEMIA'!K5</f>
        <v>0.72916666666666663</v>
      </c>
      <c r="L14" s="430" t="str">
        <f>'[4]VCO-PANDEMIA'!L5</f>
        <v>SATISFATÓRIO</v>
      </c>
      <c r="M14" s="452" t="str">
        <f>'[4]VCO-PANDEMIA'!M5</f>
        <v>*</v>
      </c>
      <c r="N14" s="430" t="str">
        <f>'[4]VCO-PANDEMIA'!N5</f>
        <v>*</v>
      </c>
      <c r="O14" s="440" t="str">
        <f>'[4]VCO-PANDEMIA'!O5</f>
        <v>*</v>
      </c>
      <c r="P14"/>
    </row>
    <row r="15" spans="1:16" x14ac:dyDescent="0.25">
      <c r="A15" s="433" t="str">
        <f>'[4]VCO-PANDEMIA'!A6</f>
        <v>PARCIAL</v>
      </c>
      <c r="B15" s="59">
        <f>'[4]VCO-PANDEMIA'!B6</f>
        <v>62</v>
      </c>
      <c r="C15" s="440">
        <f>'[4]VCO-PANDEMIA'!C6</f>
        <v>0.32291666666666669</v>
      </c>
      <c r="D15" s="430" t="str">
        <f>'[4]VCO-PANDEMIA'!D6</f>
        <v>SATISFATÓRIO</v>
      </c>
      <c r="E15" s="452" t="str">
        <f>'[4]VCO-PANDEMIA'!E6</f>
        <v>*</v>
      </c>
      <c r="F15" s="430" t="str">
        <f>'[4]VCO-PANDEMIA'!F6</f>
        <v>*</v>
      </c>
      <c r="G15" s="440" t="str">
        <f>'[4]VCO-PANDEMIA'!G6</f>
        <v>*</v>
      </c>
      <c r="H15"/>
      <c r="I15" s="433" t="str">
        <f>'[4]VCO-PANDEMIA'!I6</f>
        <v>PARCIAL</v>
      </c>
      <c r="J15" s="59">
        <f>'[4]VCO-PANDEMIA'!J6</f>
        <v>40</v>
      </c>
      <c r="K15" s="440">
        <f>'[4]VCO-PANDEMIA'!K6</f>
        <v>0.20833333333333334</v>
      </c>
      <c r="L15" s="430" t="str">
        <f>'[4]VCO-PANDEMIA'!L6</f>
        <v>SATISFATÓRIO</v>
      </c>
      <c r="M15" s="452" t="str">
        <f>'[4]VCO-PANDEMIA'!M6</f>
        <v>*</v>
      </c>
      <c r="N15" s="430" t="str">
        <f>'[4]VCO-PANDEMIA'!N6</f>
        <v>*</v>
      </c>
      <c r="O15" s="440" t="str">
        <f>'[4]VCO-PANDEMIA'!O6</f>
        <v>*</v>
      </c>
      <c r="P15"/>
    </row>
    <row r="16" spans="1:16" x14ac:dyDescent="0.25">
      <c r="A16" s="433" t="str">
        <f>'[4]VCO-PANDEMIA'!A7</f>
        <v>NÃO</v>
      </c>
      <c r="B16" s="59">
        <f>'[4]VCO-PANDEMIA'!B7</f>
        <v>4</v>
      </c>
      <c r="C16" s="440">
        <f>'[4]VCO-PANDEMIA'!C7</f>
        <v>2.0833333333333332E-2</v>
      </c>
      <c r="D16" s="430" t="str">
        <f>'[4]VCO-PANDEMIA'!D7</f>
        <v>DESEJÁVEL</v>
      </c>
      <c r="E16" s="452" t="str">
        <f>'[4]VCO-PANDEMIA'!E7</f>
        <v>*</v>
      </c>
      <c r="F16" s="430" t="str">
        <f>'[4]VCO-PANDEMIA'!F7</f>
        <v>*</v>
      </c>
      <c r="G16" s="440" t="str">
        <f>'[4]VCO-PANDEMIA'!G7</f>
        <v>*</v>
      </c>
      <c r="H16"/>
      <c r="I16" s="433" t="str">
        <f>'[4]VCO-PANDEMIA'!I7</f>
        <v>NÃO</v>
      </c>
      <c r="J16" s="59">
        <f>'[4]VCO-PANDEMIA'!J7</f>
        <v>12</v>
      </c>
      <c r="K16" s="440">
        <f>'[4]VCO-PANDEMIA'!K7</f>
        <v>6.25E-2</v>
      </c>
      <c r="L16" s="430" t="str">
        <f>'[4]VCO-PANDEMIA'!L7</f>
        <v>SATISFATÓRIO</v>
      </c>
      <c r="M16" s="452" t="str">
        <f>'[4]VCO-PANDEMIA'!M7</f>
        <v>*</v>
      </c>
      <c r="N16" s="430" t="str">
        <f>'[4]VCO-PANDEMIA'!N7</f>
        <v>*</v>
      </c>
      <c r="O16" s="440" t="str">
        <f>'[4]VCO-PANDEMIA'!O7</f>
        <v>*</v>
      </c>
      <c r="P16"/>
    </row>
    <row r="17" spans="1:16" x14ac:dyDescent="0.25">
      <c r="A17" s="82" t="str">
        <f>'[4]VCO-PANDEMIA'!A8</f>
        <v>TOTAL</v>
      </c>
      <c r="B17" s="422">
        <f>'[4]VCO-PANDEMIA'!B8</f>
        <v>192</v>
      </c>
      <c r="C17" s="436">
        <f>'[4]VCO-PANDEMIA'!C8</f>
        <v>1</v>
      </c>
      <c r="D17" s="439"/>
      <c r="E17" s="422" t="str">
        <f>'[4]VCO-PANDEMIA'!E8</f>
        <v>*</v>
      </c>
      <c r="F17" s="436" t="str">
        <f>'[4]VCO-PANDEMIA'!F8</f>
        <v>*</v>
      </c>
      <c r="G17" s="439"/>
      <c r="H17"/>
      <c r="I17" s="82" t="str">
        <f>'[4]VCO-PANDEMIA'!I8</f>
        <v>TOTAL</v>
      </c>
      <c r="J17" s="422">
        <f>'[4]VCO-PANDEMIA'!J8</f>
        <v>192</v>
      </c>
      <c r="K17" s="436">
        <f>'[4]VCO-PANDEMIA'!K8</f>
        <v>1</v>
      </c>
      <c r="L17" s="439"/>
      <c r="M17" s="422" t="str">
        <f>'[4]VCO-PANDEMIA'!M8</f>
        <v>*</v>
      </c>
      <c r="N17" s="436" t="str">
        <f>'[4]VCO-PANDEMIA'!N8</f>
        <v>*</v>
      </c>
      <c r="O17" s="439"/>
      <c r="P17"/>
    </row>
    <row r="18" spans="1:16" x14ac:dyDescent="0.25">
      <c r="A18"/>
      <c r="B18"/>
      <c r="C18"/>
      <c r="D18"/>
      <c r="E18"/>
      <c r="F18"/>
      <c r="G18"/>
      <c r="H18"/>
      <c r="I18"/>
      <c r="J18"/>
      <c r="K18"/>
      <c r="L18"/>
      <c r="M18"/>
      <c r="N18"/>
      <c r="O18"/>
      <c r="P18"/>
    </row>
    <row r="19" spans="1:16" x14ac:dyDescent="0.25">
      <c r="A19"/>
      <c r="B19"/>
      <c r="C19"/>
      <c r="D19"/>
      <c r="E19"/>
      <c r="F19"/>
      <c r="G19"/>
      <c r="H19"/>
      <c r="I19"/>
      <c r="J19"/>
      <c r="K19"/>
      <c r="L19"/>
      <c r="M19"/>
      <c r="N19"/>
      <c r="O19"/>
      <c r="P19"/>
    </row>
    <row r="20" spans="1:16" x14ac:dyDescent="0.25">
      <c r="A20"/>
      <c r="B20"/>
      <c r="C20"/>
      <c r="D20"/>
      <c r="E20"/>
      <c r="F20"/>
      <c r="G20"/>
      <c r="H20"/>
      <c r="I20"/>
      <c r="J20"/>
      <c r="K20"/>
      <c r="L20"/>
      <c r="M20"/>
      <c r="N20"/>
      <c r="O20"/>
      <c r="P20"/>
    </row>
    <row r="21" spans="1:16" x14ac:dyDescent="0.25">
      <c r="A21"/>
      <c r="B21"/>
      <c r="C21"/>
      <c r="D21"/>
      <c r="E21"/>
      <c r="F21"/>
      <c r="G21"/>
      <c r="H21"/>
      <c r="I21"/>
      <c r="J21"/>
      <c r="K21"/>
      <c r="L21"/>
      <c r="M21"/>
      <c r="N21"/>
      <c r="O21"/>
      <c r="P21"/>
    </row>
    <row r="22" spans="1:16" x14ac:dyDescent="0.25">
      <c r="A22"/>
      <c r="B22"/>
      <c r="C22"/>
      <c r="D22"/>
      <c r="E22"/>
      <c r="F22"/>
      <c r="G22"/>
      <c r="H22"/>
      <c r="I22"/>
      <c r="J22"/>
      <c r="K22"/>
      <c r="L22"/>
      <c r="M22"/>
      <c r="N22"/>
      <c r="O22"/>
      <c r="P22"/>
    </row>
    <row r="23" spans="1:16" x14ac:dyDescent="0.25">
      <c r="A23"/>
      <c r="B23"/>
      <c r="C23"/>
      <c r="D23"/>
      <c r="E23"/>
      <c r="F23"/>
      <c r="G23"/>
      <c r="H23"/>
      <c r="I23"/>
      <c r="J23"/>
      <c r="K23"/>
      <c r="L23"/>
      <c r="M23"/>
      <c r="N23"/>
      <c r="O23"/>
      <c r="P23"/>
    </row>
    <row r="24" spans="1:16" x14ac:dyDescent="0.25">
      <c r="A24"/>
      <c r="B24"/>
      <c r="C24"/>
      <c r="D24"/>
      <c r="E24"/>
      <c r="F24"/>
      <c r="G24"/>
      <c r="H24"/>
      <c r="I24"/>
      <c r="J24"/>
      <c r="K24"/>
      <c r="L24"/>
      <c r="M24"/>
      <c r="N24"/>
      <c r="O24"/>
      <c r="P24"/>
    </row>
    <row r="25" spans="1:16" x14ac:dyDescent="0.25">
      <c r="A25"/>
      <c r="B25"/>
      <c r="C25"/>
      <c r="D25"/>
      <c r="E25"/>
      <c r="F25"/>
      <c r="G25"/>
      <c r="H25"/>
      <c r="I25"/>
      <c r="J25"/>
      <c r="K25"/>
      <c r="L25"/>
      <c r="M25"/>
      <c r="N25"/>
      <c r="O25"/>
      <c r="P25"/>
    </row>
    <row r="26" spans="1:16" x14ac:dyDescent="0.25">
      <c r="A26"/>
      <c r="B26"/>
      <c r="C26"/>
      <c r="D26"/>
      <c r="E26"/>
      <c r="F26"/>
      <c r="G26"/>
      <c r="H26"/>
      <c r="I26"/>
      <c r="J26"/>
      <c r="K26"/>
      <c r="L26"/>
      <c r="M26"/>
      <c r="N26"/>
      <c r="O26"/>
      <c r="P26"/>
    </row>
    <row r="27" spans="1:16" x14ac:dyDescent="0.25">
      <c r="A27"/>
      <c r="B27"/>
      <c r="C27"/>
      <c r="D27"/>
      <c r="E27"/>
      <c r="F27"/>
      <c r="G27"/>
      <c r="H27"/>
      <c r="I27"/>
      <c r="J27"/>
      <c r="K27"/>
      <c r="L27"/>
      <c r="M27"/>
      <c r="N27"/>
      <c r="O27"/>
      <c r="P27"/>
    </row>
    <row r="28" spans="1:16" x14ac:dyDescent="0.25">
      <c r="A28"/>
      <c r="B28"/>
      <c r="C28"/>
      <c r="D28"/>
      <c r="E28"/>
      <c r="F28"/>
      <c r="G28"/>
      <c r="H28"/>
      <c r="I28"/>
      <c r="J28"/>
      <c r="K28"/>
      <c r="L28"/>
      <c r="M28"/>
      <c r="N28"/>
      <c r="O28"/>
      <c r="P28"/>
    </row>
    <row r="29" spans="1:16" x14ac:dyDescent="0.25">
      <c r="A29"/>
      <c r="B29"/>
      <c r="C29"/>
      <c r="D29"/>
      <c r="E29"/>
      <c r="F29"/>
      <c r="G29"/>
      <c r="H29"/>
      <c r="I29"/>
      <c r="J29"/>
      <c r="K29"/>
      <c r="L29"/>
      <c r="M29"/>
      <c r="N29"/>
      <c r="O29"/>
      <c r="P29"/>
    </row>
    <row r="30" spans="1:16" x14ac:dyDescent="0.25">
      <c r="A30"/>
      <c r="B30"/>
      <c r="C30"/>
      <c r="D30"/>
      <c r="E30"/>
      <c r="F30"/>
      <c r="G30"/>
      <c r="H30"/>
      <c r="I30"/>
      <c r="J30"/>
      <c r="K30"/>
      <c r="L30"/>
      <c r="M30"/>
      <c r="N30"/>
      <c r="O30"/>
      <c r="P30"/>
    </row>
    <row r="31" spans="1:16" x14ac:dyDescent="0.25">
      <c r="A31"/>
      <c r="B31"/>
      <c r="C31"/>
      <c r="D31"/>
      <c r="E31"/>
      <c r="F31"/>
      <c r="G31"/>
      <c r="H31"/>
      <c r="I31"/>
      <c r="J31"/>
      <c r="K31"/>
      <c r="L31"/>
      <c r="M31"/>
      <c r="N31"/>
      <c r="O31"/>
      <c r="P31"/>
    </row>
    <row r="32" spans="1:16" x14ac:dyDescent="0.25">
      <c r="A32"/>
      <c r="B32"/>
      <c r="C32"/>
      <c r="D32"/>
      <c r="E32"/>
      <c r="F32"/>
      <c r="G32"/>
      <c r="H32"/>
      <c r="I32"/>
      <c r="J32"/>
      <c r="K32"/>
      <c r="L32"/>
      <c r="M32"/>
      <c r="N32"/>
      <c r="O32"/>
      <c r="P32"/>
    </row>
    <row r="33" spans="1:16" x14ac:dyDescent="0.25">
      <c r="A33"/>
      <c r="B33"/>
      <c r="C33"/>
      <c r="D33"/>
      <c r="E33"/>
      <c r="F33"/>
      <c r="G33"/>
      <c r="H33"/>
      <c r="I33"/>
      <c r="J33"/>
      <c r="K33"/>
      <c r="L33"/>
      <c r="M33"/>
      <c r="N33"/>
      <c r="O33"/>
      <c r="P33"/>
    </row>
    <row r="34" spans="1:16" x14ac:dyDescent="0.25">
      <c r="A34"/>
      <c r="B34"/>
      <c r="C34"/>
      <c r="D34"/>
      <c r="E34"/>
      <c r="F34"/>
      <c r="G34"/>
      <c r="H34"/>
      <c r="I34"/>
      <c r="J34"/>
      <c r="K34"/>
      <c r="L34"/>
      <c r="M34"/>
      <c r="N34"/>
      <c r="O34"/>
      <c r="P34"/>
    </row>
    <row r="35" spans="1:16" x14ac:dyDescent="0.25">
      <c r="A35"/>
      <c r="B35"/>
      <c r="C35"/>
      <c r="D35"/>
      <c r="E35"/>
      <c r="F35"/>
      <c r="G35"/>
      <c r="H35"/>
      <c r="I35"/>
      <c r="J35"/>
      <c r="K35"/>
      <c r="L35"/>
      <c r="M35"/>
      <c r="N35"/>
      <c r="O35"/>
      <c r="P35"/>
    </row>
    <row r="36" spans="1:16" x14ac:dyDescent="0.25">
      <c r="A36" s="700" t="str">
        <f>'[4]VCO-PANDEMIA'!A27</f>
        <v>DURANTE O PERÍODO DE PANDEMIA, NO TELETRABALHO, CONTRIBUÍ PARA O DESENVOLVIMENTO DAS ATIVIDADES NECESSÁRIAS?</v>
      </c>
      <c r="B36" s="706">
        <f>'[4]VCO-PANDEMIA'!B27</f>
        <v>2020</v>
      </c>
      <c r="C36" s="707"/>
      <c r="D36" s="708"/>
      <c r="E36" s="702">
        <f>'[4]VCO-PANDEMIA'!E27</f>
        <v>2017</v>
      </c>
      <c r="F36" s="702"/>
      <c r="G36" s="702"/>
      <c r="H36"/>
      <c r="I36" s="700" t="str">
        <f>'[4]VCO-PANDEMIA'!I27</f>
        <v>DURANTE O PERÍODO DA PANDEMIA, NO TRABALHO PRESENCIAL, CONTRIBUÍ PARA O DESENVOLVIMENTO DAS NECESSÁRIAS?</v>
      </c>
      <c r="J36" s="702">
        <f>'[4]VCO-PANDEMIA'!J27</f>
        <v>2020</v>
      </c>
      <c r="K36" s="702"/>
      <c r="L36" s="702"/>
      <c r="M36" s="702">
        <f>'[4]VCO-PANDEMIA'!M27</f>
        <v>2017</v>
      </c>
      <c r="N36" s="702"/>
      <c r="O36" s="702"/>
      <c r="P36"/>
    </row>
    <row r="37" spans="1:16" ht="57" customHeight="1" x14ac:dyDescent="0.25">
      <c r="A37" s="700"/>
      <c r="B37" s="426" t="str">
        <f>'[4]VCO-PANDEMIA'!B28</f>
        <v>TOTAL</v>
      </c>
      <c r="C37" s="426" t="str">
        <f>'[4]VCO-PANDEMIA'!C28</f>
        <v>%</v>
      </c>
      <c r="D37" s="426" t="str">
        <f>'[4]VCO-PANDEMIA'!D28</f>
        <v>RESULTADO</v>
      </c>
      <c r="E37" s="426" t="str">
        <f>'[4]VCO-PANDEMIA'!E28</f>
        <v>TOTAL</v>
      </c>
      <c r="F37" s="426" t="str">
        <f>'[4]VCO-PANDEMIA'!F28</f>
        <v>%</v>
      </c>
      <c r="G37" s="426" t="str">
        <f>'[4]VCO-PANDEMIA'!G28</f>
        <v>RESULTADO</v>
      </c>
      <c r="H37"/>
      <c r="I37" s="700"/>
      <c r="J37" s="426" t="str">
        <f>'[4]VCO-PANDEMIA'!J28</f>
        <v>TOTAL</v>
      </c>
      <c r="K37" s="426" t="str">
        <f>'[4]VCO-PANDEMIA'!K28</f>
        <v>%</v>
      </c>
      <c r="L37" s="426" t="str">
        <f>'[4]VCO-PANDEMIA'!L28</f>
        <v>RESULTADO</v>
      </c>
      <c r="M37" s="426" t="str">
        <f>'[4]VCO-PANDEMIA'!M28</f>
        <v>TOTAL</v>
      </c>
      <c r="N37" s="426" t="str">
        <f>'[4]VCO-PANDEMIA'!N28</f>
        <v>%</v>
      </c>
      <c r="O37" s="426" t="str">
        <f>'[4]VCO-PANDEMIA'!O28</f>
        <v>RESULTADO</v>
      </c>
      <c r="P37"/>
    </row>
    <row r="38" spans="1:16" x14ac:dyDescent="0.25">
      <c r="A38" s="428" t="str">
        <f>'[4]VCO-PANDEMIA'!A29</f>
        <v>SIM</v>
      </c>
      <c r="B38" s="59">
        <f>'[4]VCO-PANDEMIA'!B29</f>
        <v>173</v>
      </c>
      <c r="C38" s="440">
        <f>'[4]VCO-PANDEMIA'!C29</f>
        <v>0.90104166666666663</v>
      </c>
      <c r="D38" s="430" t="str">
        <f>'[4]VCO-PANDEMIA'!D29</f>
        <v>DESEJÁVEL</v>
      </c>
      <c r="E38" s="452" t="str">
        <f>'[4]VCO-PANDEMIA'!E29</f>
        <v>*</v>
      </c>
      <c r="F38" s="430" t="str">
        <f>'[4]VCO-PANDEMIA'!F29</f>
        <v>*</v>
      </c>
      <c r="G38" s="440" t="str">
        <f>'[4]VCO-PANDEMIA'!G29</f>
        <v>*</v>
      </c>
      <c r="H38"/>
      <c r="I38" s="428" t="str">
        <f>'[4]VCO-PANDEMIA'!I29</f>
        <v>SIM</v>
      </c>
      <c r="J38" s="59">
        <f>'[4]VCO-PANDEMIA'!J29</f>
        <v>151</v>
      </c>
      <c r="K38" s="440">
        <f>'[4]VCO-PANDEMIA'!K29</f>
        <v>0.78645833333333337</v>
      </c>
      <c r="L38" s="430" t="str">
        <f>'[4]VCO-PANDEMIA'!L29</f>
        <v>SATISFATÓRIO</v>
      </c>
      <c r="M38" s="452" t="str">
        <f>'[4]VCO-PANDEMIA'!M29</f>
        <v>*</v>
      </c>
      <c r="N38" s="430" t="str">
        <f>'[4]VCO-PANDEMIA'!N29</f>
        <v>*</v>
      </c>
      <c r="O38" s="440" t="str">
        <f>'[4]VCO-PANDEMIA'!O29</f>
        <v>*</v>
      </c>
      <c r="P38"/>
    </row>
    <row r="39" spans="1:16" x14ac:dyDescent="0.25">
      <c r="A39" s="433" t="str">
        <f>'[4]VCO-PANDEMIA'!A30</f>
        <v>PARCIAL</v>
      </c>
      <c r="B39" s="59">
        <f>'[4]VCO-PANDEMIA'!B30</f>
        <v>17</v>
      </c>
      <c r="C39" s="440">
        <f>'[4]VCO-PANDEMIA'!C30</f>
        <v>8.8541666666666671E-2</v>
      </c>
      <c r="D39" s="430" t="str">
        <f>'[4]VCO-PANDEMIA'!D30</f>
        <v>SATISFATÓRIO</v>
      </c>
      <c r="E39" s="452" t="str">
        <f>'[4]VCO-PANDEMIA'!E30</f>
        <v>*</v>
      </c>
      <c r="F39" s="430" t="str">
        <f>'[4]VCO-PANDEMIA'!F30</f>
        <v>*</v>
      </c>
      <c r="G39" s="440" t="str">
        <f>'[4]VCO-PANDEMIA'!G30</f>
        <v>*</v>
      </c>
      <c r="H39"/>
      <c r="I39" s="433" t="str">
        <f>'[4]VCO-PANDEMIA'!I30</f>
        <v>PARCIAL</v>
      </c>
      <c r="J39" s="59">
        <f>'[4]VCO-PANDEMIA'!J30</f>
        <v>27</v>
      </c>
      <c r="K39" s="440">
        <f>'[4]VCO-PANDEMIA'!K30</f>
        <v>0.140625</v>
      </c>
      <c r="L39" s="430" t="str">
        <f>'[4]VCO-PANDEMIA'!L30</f>
        <v>SATISFATÓRIO</v>
      </c>
      <c r="M39" s="452" t="str">
        <f>'[4]VCO-PANDEMIA'!M30</f>
        <v>*</v>
      </c>
      <c r="N39" s="430" t="str">
        <f>'[4]VCO-PANDEMIA'!N30</f>
        <v>*</v>
      </c>
      <c r="O39" s="440" t="str">
        <f>'[4]VCO-PANDEMIA'!O30</f>
        <v>*</v>
      </c>
      <c r="P39"/>
    </row>
    <row r="40" spans="1:16" x14ac:dyDescent="0.25">
      <c r="A40" s="433" t="str">
        <f>'[4]VCO-PANDEMIA'!A31</f>
        <v>NÃO</v>
      </c>
      <c r="B40" s="59">
        <f>'[4]VCO-PANDEMIA'!B31</f>
        <v>2</v>
      </c>
      <c r="C40" s="440">
        <f>'[4]VCO-PANDEMIA'!C31</f>
        <v>1.0416666666666666E-2</v>
      </c>
      <c r="D40" s="430" t="str">
        <f>'[4]VCO-PANDEMIA'!D31</f>
        <v>DESEJÁVEL</v>
      </c>
      <c r="E40" s="452" t="str">
        <f>'[4]VCO-PANDEMIA'!E31</f>
        <v>*</v>
      </c>
      <c r="F40" s="430" t="str">
        <f>'[4]VCO-PANDEMIA'!F31</f>
        <v>*</v>
      </c>
      <c r="G40" s="440" t="str">
        <f>'[4]VCO-PANDEMIA'!G31</f>
        <v>*</v>
      </c>
      <c r="H40"/>
      <c r="I40" s="433" t="str">
        <f>'[4]VCO-PANDEMIA'!I31</f>
        <v>NÃO</v>
      </c>
      <c r="J40" s="59">
        <f>'[4]VCO-PANDEMIA'!J31</f>
        <v>14</v>
      </c>
      <c r="K40" s="440">
        <f>'[4]VCO-PANDEMIA'!K31</f>
        <v>7.2916666666666671E-2</v>
      </c>
      <c r="L40" s="430" t="str">
        <f>'[4]VCO-PANDEMIA'!L31</f>
        <v>SATISFATÓRIO</v>
      </c>
      <c r="M40" s="452" t="str">
        <f>'[4]VCO-PANDEMIA'!M31</f>
        <v>*</v>
      </c>
      <c r="N40" s="430" t="str">
        <f>'[4]VCO-PANDEMIA'!N31</f>
        <v>*</v>
      </c>
      <c r="O40" s="440" t="str">
        <f>'[4]VCO-PANDEMIA'!O31</f>
        <v>*</v>
      </c>
      <c r="P40"/>
    </row>
    <row r="41" spans="1:16" x14ac:dyDescent="0.25">
      <c r="A41" s="82" t="str">
        <f>'[4]VCO-PANDEMIA'!A32</f>
        <v>TOTAL</v>
      </c>
      <c r="B41" s="422">
        <f>'[4]VCO-PANDEMIA'!B32</f>
        <v>192</v>
      </c>
      <c r="C41" s="436">
        <f>'[4]VCO-PANDEMIA'!C32</f>
        <v>0.99999999999999989</v>
      </c>
      <c r="D41" s="439"/>
      <c r="E41" s="422" t="str">
        <f>'[4]VCO-PANDEMIA'!E32</f>
        <v>*</v>
      </c>
      <c r="F41" s="436" t="str">
        <f>'[4]VCO-PANDEMIA'!F32</f>
        <v>*</v>
      </c>
      <c r="G41" s="439"/>
      <c r="H41"/>
      <c r="I41" s="82" t="str">
        <f>'[4]VCO-PANDEMIA'!I32</f>
        <v>TOTAL</v>
      </c>
      <c r="J41" s="422">
        <f>'[4]VCO-PANDEMIA'!J32</f>
        <v>192</v>
      </c>
      <c r="K41" s="436">
        <f>'[4]VCO-PANDEMIA'!K32</f>
        <v>1</v>
      </c>
      <c r="L41" s="439"/>
      <c r="M41" s="422" t="str">
        <f>'[4]VCO-PANDEMIA'!M32</f>
        <v>*</v>
      </c>
      <c r="N41" s="436" t="str">
        <f>'[4]VCO-PANDEMIA'!N32</f>
        <v>*</v>
      </c>
      <c r="O41" s="439"/>
      <c r="P41"/>
    </row>
    <row r="42" spans="1:16" x14ac:dyDescent="0.25">
      <c r="A42"/>
      <c r="B42"/>
      <c r="C42"/>
      <c r="D42"/>
      <c r="E42"/>
      <c r="F42"/>
      <c r="G42"/>
      <c r="H42"/>
      <c r="I42"/>
      <c r="J42"/>
      <c r="K42"/>
      <c r="L42"/>
      <c r="M42"/>
      <c r="N42"/>
      <c r="O42"/>
      <c r="P42"/>
    </row>
    <row r="43" spans="1:16" x14ac:dyDescent="0.25">
      <c r="A43"/>
      <c r="B43"/>
      <c r="C43"/>
      <c r="D43"/>
      <c r="E43"/>
      <c r="F43"/>
      <c r="G43"/>
      <c r="H43"/>
      <c r="I43"/>
      <c r="J43"/>
      <c r="K43"/>
      <c r="L43"/>
      <c r="M43"/>
      <c r="N43"/>
      <c r="O43"/>
      <c r="P43"/>
    </row>
    <row r="44" spans="1:16" x14ac:dyDescent="0.25">
      <c r="A44"/>
      <c r="B44"/>
      <c r="C44"/>
      <c r="D44"/>
      <c r="E44"/>
      <c r="F44"/>
      <c r="G44"/>
      <c r="H44"/>
      <c r="I44"/>
      <c r="J44"/>
      <c r="K44"/>
      <c r="L44"/>
      <c r="M44"/>
      <c r="N44"/>
      <c r="O44"/>
      <c r="P44"/>
    </row>
    <row r="45" spans="1:16" x14ac:dyDescent="0.25">
      <c r="A45"/>
      <c r="B45"/>
      <c r="C45"/>
      <c r="D45"/>
      <c r="E45"/>
      <c r="F45"/>
      <c r="G45"/>
      <c r="H45"/>
      <c r="I45"/>
      <c r="J45"/>
      <c r="K45"/>
      <c r="L45"/>
      <c r="M45"/>
      <c r="N45"/>
      <c r="O45"/>
      <c r="P45"/>
    </row>
    <row r="46" spans="1:16" x14ac:dyDescent="0.25">
      <c r="A46"/>
      <c r="B46"/>
      <c r="C46"/>
      <c r="D46"/>
      <c r="E46"/>
      <c r="F46"/>
      <c r="G46"/>
      <c r="H46"/>
      <c r="I46"/>
      <c r="J46"/>
      <c r="K46"/>
      <c r="L46"/>
      <c r="M46"/>
      <c r="N46"/>
      <c r="O46"/>
      <c r="P46"/>
    </row>
    <row r="47" spans="1:16" x14ac:dyDescent="0.25">
      <c r="A47"/>
      <c r="B47"/>
      <c r="C47"/>
      <c r="D47"/>
      <c r="E47"/>
      <c r="F47"/>
      <c r="G47"/>
      <c r="H47"/>
      <c r="I47"/>
      <c r="J47"/>
      <c r="K47"/>
      <c r="L47"/>
      <c r="M47"/>
      <c r="N47"/>
      <c r="O47"/>
      <c r="P47"/>
    </row>
    <row r="48" spans="1:16" x14ac:dyDescent="0.25">
      <c r="A48"/>
      <c r="B48"/>
      <c r="C48"/>
      <c r="D48"/>
      <c r="E48"/>
      <c r="F48"/>
      <c r="G48"/>
      <c r="H48"/>
      <c r="I48"/>
      <c r="J48"/>
      <c r="K48"/>
      <c r="L48"/>
      <c r="M48"/>
      <c r="N48"/>
      <c r="O48"/>
      <c r="P48"/>
    </row>
    <row r="49" spans="1:16" x14ac:dyDescent="0.25">
      <c r="A49"/>
      <c r="B49"/>
      <c r="C49"/>
      <c r="D49"/>
      <c r="E49"/>
      <c r="F49"/>
      <c r="G49"/>
      <c r="H49"/>
      <c r="I49"/>
      <c r="J49"/>
      <c r="K49"/>
      <c r="L49"/>
      <c r="M49"/>
      <c r="N49"/>
      <c r="O49"/>
      <c r="P49"/>
    </row>
    <row r="50" spans="1:16" x14ac:dyDescent="0.25">
      <c r="A50"/>
      <c r="B50"/>
      <c r="C50"/>
      <c r="D50"/>
      <c r="E50"/>
      <c r="F50"/>
      <c r="G50"/>
      <c r="H50"/>
      <c r="I50"/>
      <c r="J50"/>
      <c r="K50"/>
      <c r="L50"/>
      <c r="M50"/>
      <c r="N50"/>
      <c r="O50"/>
      <c r="P50"/>
    </row>
    <row r="51" spans="1:16" x14ac:dyDescent="0.25">
      <c r="A51"/>
      <c r="B51"/>
      <c r="C51"/>
      <c r="D51"/>
      <c r="E51"/>
      <c r="F51"/>
      <c r="G51"/>
      <c r="H51"/>
      <c r="I51"/>
      <c r="J51"/>
      <c r="K51"/>
      <c r="L51"/>
      <c r="M51"/>
      <c r="N51"/>
      <c r="O51"/>
      <c r="P51"/>
    </row>
    <row r="52" spans="1:16" x14ac:dyDescent="0.25">
      <c r="A52"/>
      <c r="B52"/>
      <c r="C52"/>
      <c r="D52"/>
      <c r="E52"/>
      <c r="F52"/>
      <c r="G52"/>
      <c r="H52"/>
      <c r="I52"/>
      <c r="J52"/>
      <c r="K52"/>
      <c r="L52"/>
      <c r="M52"/>
      <c r="N52"/>
      <c r="O52"/>
      <c r="P52"/>
    </row>
    <row r="53" spans="1:16" x14ac:dyDescent="0.25">
      <c r="A53"/>
      <c r="B53"/>
      <c r="C53"/>
      <c r="D53"/>
      <c r="E53"/>
      <c r="F53"/>
      <c r="G53"/>
      <c r="H53"/>
      <c r="I53"/>
      <c r="J53"/>
      <c r="K53"/>
      <c r="L53"/>
      <c r="M53"/>
      <c r="N53"/>
      <c r="O53"/>
      <c r="P53"/>
    </row>
    <row r="54" spans="1:16" x14ac:dyDescent="0.25">
      <c r="A54"/>
      <c r="B54"/>
      <c r="C54"/>
      <c r="D54"/>
      <c r="E54"/>
      <c r="F54"/>
      <c r="G54"/>
      <c r="H54"/>
      <c r="I54"/>
      <c r="J54"/>
      <c r="K54"/>
      <c r="L54"/>
      <c r="M54"/>
      <c r="N54"/>
      <c r="O54"/>
      <c r="P54"/>
    </row>
    <row r="55" spans="1:16" x14ac:dyDescent="0.25">
      <c r="A55"/>
      <c r="B55"/>
      <c r="C55"/>
      <c r="D55"/>
      <c r="E55"/>
      <c r="F55"/>
      <c r="G55"/>
      <c r="H55"/>
      <c r="I55"/>
      <c r="J55"/>
      <c r="K55"/>
      <c r="L55"/>
      <c r="M55"/>
      <c r="N55"/>
      <c r="O55"/>
      <c r="P55"/>
    </row>
    <row r="56" spans="1:16" x14ac:dyDescent="0.25">
      <c r="A56"/>
      <c r="B56"/>
      <c r="C56"/>
      <c r="D56"/>
      <c r="E56"/>
      <c r="F56"/>
      <c r="G56"/>
      <c r="H56"/>
      <c r="I56"/>
      <c r="J56"/>
      <c r="K56"/>
      <c r="L56"/>
      <c r="M56"/>
      <c r="N56"/>
      <c r="O56"/>
      <c r="P56"/>
    </row>
    <row r="57" spans="1:16" x14ac:dyDescent="0.25">
      <c r="A57"/>
      <c r="B57"/>
      <c r="C57"/>
      <c r="D57"/>
      <c r="E57"/>
      <c r="F57"/>
      <c r="G57"/>
      <c r="H57"/>
      <c r="I57"/>
      <c r="J57"/>
      <c r="K57"/>
      <c r="L57"/>
      <c r="M57"/>
      <c r="N57"/>
      <c r="O57"/>
      <c r="P57"/>
    </row>
    <row r="58" spans="1:16" x14ac:dyDescent="0.25">
      <c r="A58"/>
      <c r="B58"/>
      <c r="C58"/>
      <c r="D58"/>
      <c r="E58"/>
      <c r="F58"/>
      <c r="G58"/>
      <c r="H58"/>
      <c r="I58"/>
      <c r="J58"/>
      <c r="K58"/>
      <c r="L58"/>
      <c r="M58"/>
      <c r="N58"/>
      <c r="O58"/>
      <c r="P58"/>
    </row>
  </sheetData>
  <mergeCells count="12">
    <mergeCell ref="M36:O36"/>
    <mergeCell ref="A12:A13"/>
    <mergeCell ref="B12:D12"/>
    <mergeCell ref="E12:G12"/>
    <mergeCell ref="I12:I13"/>
    <mergeCell ref="J12:L12"/>
    <mergeCell ref="M12:O12"/>
    <mergeCell ref="A36:A37"/>
    <mergeCell ref="B36:D36"/>
    <mergeCell ref="E36:G36"/>
    <mergeCell ref="I36:I37"/>
    <mergeCell ref="J36:L36"/>
  </mergeCells>
  <conditionalFormatting sqref="D14:D16">
    <cfRule type="containsText" dxfId="15" priority="13" operator="containsText" text="CRÍTICO">
      <formula>NOT(ISERROR(SEARCH("CRÍTICO",D14)))</formula>
    </cfRule>
    <cfRule type="containsText" dxfId="14" priority="14" operator="containsText" text="INSATISFATÓRIO">
      <formula>NOT(ISERROR(SEARCH("INSATISFATÓRIO",D14)))</formula>
    </cfRule>
    <cfRule type="containsText" dxfId="13" priority="15" operator="containsText" text="DESEJÁVEL">
      <formula>NOT(ISERROR(SEARCH("DESEJÁVEL",D14)))</formula>
    </cfRule>
    <cfRule type="containsText" dxfId="12" priority="16" operator="containsText" text="SATISFATÓRIO">
      <formula>NOT(ISERROR(SEARCH("SATISFATÓRIO",D14)))</formula>
    </cfRule>
  </conditionalFormatting>
  <conditionalFormatting sqref="L14:L16">
    <cfRule type="containsText" dxfId="11" priority="9" operator="containsText" text="CRÍTICO">
      <formula>NOT(ISERROR(SEARCH("CRÍTICO",L14)))</formula>
    </cfRule>
    <cfRule type="containsText" dxfId="10" priority="10" operator="containsText" text="INSATISFATÓRIO">
      <formula>NOT(ISERROR(SEARCH("INSATISFATÓRIO",L14)))</formula>
    </cfRule>
    <cfRule type="containsText" dxfId="9" priority="11" operator="containsText" text="DESEJÁVEL">
      <formula>NOT(ISERROR(SEARCH("DESEJÁVEL",L14)))</formula>
    </cfRule>
    <cfRule type="containsText" dxfId="8" priority="12" operator="containsText" text="SATISFATÓRIO">
      <formula>NOT(ISERROR(SEARCH("SATISFATÓRIO",L14)))</formula>
    </cfRule>
  </conditionalFormatting>
  <conditionalFormatting sqref="D38:D40">
    <cfRule type="containsText" dxfId="7" priority="5" operator="containsText" text="CRÍTICO">
      <formula>NOT(ISERROR(SEARCH("CRÍTICO",D38)))</formula>
    </cfRule>
    <cfRule type="containsText" dxfId="6" priority="6" operator="containsText" text="INSATISFATÓRIO">
      <formula>NOT(ISERROR(SEARCH("INSATISFATÓRIO",D38)))</formula>
    </cfRule>
    <cfRule type="containsText" dxfId="5" priority="7" operator="containsText" text="DESEJÁVEL">
      <formula>NOT(ISERROR(SEARCH("DESEJÁVEL",D38)))</formula>
    </cfRule>
    <cfRule type="containsText" dxfId="4" priority="8" operator="containsText" text="SATISFATÓRIO">
      <formula>NOT(ISERROR(SEARCH("SATISFATÓRIO",D38)))</formula>
    </cfRule>
  </conditionalFormatting>
  <conditionalFormatting sqref="L38:L40">
    <cfRule type="containsText" dxfId="3" priority="1" operator="containsText" text="CRÍTICO">
      <formula>NOT(ISERROR(SEARCH("CRÍTICO",L38)))</formula>
    </cfRule>
    <cfRule type="containsText" dxfId="2" priority="2" operator="containsText" text="INSATISFATÓRIO">
      <formula>NOT(ISERROR(SEARCH("INSATISFATÓRIO",L38)))</formula>
    </cfRule>
    <cfRule type="containsText" dxfId="1" priority="3" operator="containsText" text="DESEJÁVEL">
      <formula>NOT(ISERROR(SEARCH("DESEJÁVEL",L38)))</formula>
    </cfRule>
    <cfRule type="containsText" dxfId="0" priority="4" operator="containsText" text="SATISFATÓRIO">
      <formula>NOT(ISERROR(SEARCH("SATISFATÓRIO",L38)))</formula>
    </cfRule>
  </conditionalFormatting>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9"/>
  <dimension ref="A1:AB253"/>
  <sheetViews>
    <sheetView showGridLines="0" workbookViewId="0"/>
  </sheetViews>
  <sheetFormatPr defaultColWidth="0" defaultRowHeight="15" zeroHeight="1" x14ac:dyDescent="0.25"/>
  <cols>
    <col min="1" max="3" width="9.140625" style="418" customWidth="1"/>
    <col min="4" max="25" width="9.140625" customWidth="1"/>
    <col min="26" max="28" width="9.140625" style="418" customWidth="1"/>
    <col min="29" max="16384" width="9.140625" hidden="1"/>
  </cols>
  <sheetData>
    <row r="1" spans="4:25" s="418" customFormat="1" x14ac:dyDescent="0.25"/>
    <row r="2" spans="4:25" s="418" customFormat="1" x14ac:dyDescent="0.25">
      <c r="D2" s="477" t="s">
        <v>812</v>
      </c>
      <c r="E2" s="477"/>
      <c r="F2" s="477"/>
      <c r="G2" s="477"/>
      <c r="H2" s="477"/>
      <c r="I2" s="477"/>
      <c r="J2" s="477"/>
      <c r="K2" s="477"/>
      <c r="L2" s="477"/>
      <c r="M2" s="477"/>
      <c r="N2" s="477"/>
      <c r="O2" s="477"/>
      <c r="P2" s="477"/>
      <c r="Q2" s="477"/>
      <c r="R2" s="477"/>
      <c r="S2" s="477"/>
      <c r="T2" s="477"/>
      <c r="U2" s="477"/>
      <c r="V2" s="477"/>
      <c r="W2" s="477"/>
      <c r="X2" s="477"/>
      <c r="Y2" s="477"/>
    </row>
    <row r="3" spans="4:25" s="418" customFormat="1" x14ac:dyDescent="0.25">
      <c r="D3" s="477"/>
      <c r="E3" s="477"/>
      <c r="F3" s="477"/>
      <c r="G3" s="477"/>
      <c r="H3" s="477"/>
      <c r="I3" s="477"/>
      <c r="J3" s="477"/>
      <c r="K3" s="477"/>
      <c r="L3" s="477"/>
      <c r="M3" s="477"/>
      <c r="N3" s="477"/>
      <c r="O3" s="477"/>
      <c r="P3" s="477"/>
      <c r="Q3" s="477"/>
      <c r="R3" s="477"/>
      <c r="S3" s="477"/>
      <c r="T3" s="477"/>
      <c r="U3" s="477"/>
      <c r="V3" s="477"/>
      <c r="W3" s="477"/>
      <c r="X3" s="477"/>
      <c r="Y3" s="477"/>
    </row>
    <row r="4" spans="4:25" s="418" customFormat="1" x14ac:dyDescent="0.25">
      <c r="D4" s="477"/>
      <c r="E4" s="477"/>
      <c r="F4" s="477"/>
      <c r="G4" s="477"/>
      <c r="H4" s="477"/>
      <c r="I4" s="477"/>
      <c r="J4" s="477"/>
      <c r="K4" s="477"/>
      <c r="L4" s="477"/>
      <c r="M4" s="477"/>
      <c r="N4" s="477"/>
      <c r="O4" s="477"/>
      <c r="P4" s="477"/>
      <c r="Q4" s="477"/>
      <c r="R4" s="477"/>
      <c r="S4" s="477"/>
      <c r="T4" s="477"/>
      <c r="U4" s="477"/>
      <c r="V4" s="477"/>
      <c r="W4" s="477"/>
      <c r="X4" s="477"/>
      <c r="Y4" s="477"/>
    </row>
    <row r="5" spans="4:25" s="418" customFormat="1" x14ac:dyDescent="0.25"/>
    <row r="6" spans="4:25" s="418" customFormat="1" x14ac:dyDescent="0.25"/>
    <row r="7" spans="4:25" s="418" customFormat="1" x14ac:dyDescent="0.25"/>
    <row r="8" spans="4:25" s="418" customFormat="1" x14ac:dyDescent="0.25"/>
    <row r="9" spans="4:25" s="418" customFormat="1" x14ac:dyDescent="0.25"/>
    <row r="10" spans="4:25" s="418" customFormat="1" x14ac:dyDescent="0.25"/>
    <row r="11" spans="4:25" s="418" customFormat="1" x14ac:dyDescent="0.25"/>
    <row r="12" spans="4:25" s="418" customFormat="1" x14ac:dyDescent="0.25"/>
    <row r="13" spans="4:25" s="418" customFormat="1" x14ac:dyDescent="0.25"/>
    <row r="14" spans="4:25" s="418" customFormat="1" x14ac:dyDescent="0.25"/>
    <row r="15" spans="4:25" s="418" customFormat="1" x14ac:dyDescent="0.25"/>
    <row r="16" spans="4:25" s="418" customFormat="1" x14ac:dyDescent="0.25"/>
    <row r="17" s="418" customFormat="1" x14ac:dyDescent="0.25"/>
    <row r="18" s="418" customFormat="1" x14ac:dyDescent="0.25"/>
    <row r="19" s="418" customFormat="1" x14ac:dyDescent="0.25"/>
    <row r="20" s="418" customFormat="1" x14ac:dyDescent="0.25"/>
    <row r="21" s="418" customFormat="1" x14ac:dyDescent="0.25"/>
    <row r="22" s="418" customFormat="1" x14ac:dyDescent="0.25"/>
    <row r="23" s="418" customFormat="1" x14ac:dyDescent="0.25"/>
    <row r="24" s="418" customFormat="1" x14ac:dyDescent="0.25"/>
    <row r="25" s="418" customFormat="1" x14ac:dyDescent="0.25"/>
    <row r="26" s="418" customFormat="1" x14ac:dyDescent="0.25"/>
    <row r="27" s="418" customFormat="1" x14ac:dyDescent="0.25"/>
    <row r="28" s="418" customFormat="1" x14ac:dyDescent="0.25"/>
    <row r="29" s="418" customFormat="1" x14ac:dyDescent="0.25"/>
    <row r="30" s="418" customFormat="1" x14ac:dyDescent="0.25"/>
    <row r="31" s="418" customFormat="1" x14ac:dyDescent="0.25"/>
    <row r="32" s="418" customFormat="1" x14ac:dyDescent="0.25"/>
    <row r="33" spans="24:24" s="418" customFormat="1" x14ac:dyDescent="0.25"/>
    <row r="34" spans="24:24" s="418" customFormat="1" x14ac:dyDescent="0.25"/>
    <row r="35" spans="24:24" s="418" customFormat="1" x14ac:dyDescent="0.25"/>
    <row r="36" spans="24:24" s="418" customFormat="1" x14ac:dyDescent="0.25"/>
    <row r="37" spans="24:24" s="418" customFormat="1" x14ac:dyDescent="0.25"/>
    <row r="38" spans="24:24" s="418" customFormat="1" x14ac:dyDescent="0.25"/>
    <row r="39" spans="24:24" s="418" customFormat="1" x14ac:dyDescent="0.25"/>
    <row r="40" spans="24:24" s="418" customFormat="1" x14ac:dyDescent="0.25"/>
    <row r="41" spans="24:24" s="418" customFormat="1" x14ac:dyDescent="0.25"/>
    <row r="42" spans="24:24" s="418" customFormat="1" x14ac:dyDescent="0.25"/>
    <row r="43" spans="24:24" s="418" customFormat="1" x14ac:dyDescent="0.25"/>
    <row r="44" spans="24:24" s="418" customFormat="1" x14ac:dyDescent="0.25"/>
    <row r="45" spans="24:24" s="418" customFormat="1" x14ac:dyDescent="0.25"/>
    <row r="46" spans="24:24" s="418" customFormat="1" x14ac:dyDescent="0.25"/>
    <row r="47" spans="24:24" s="419" customFormat="1" ht="12" x14ac:dyDescent="0.2"/>
    <row r="48" spans="24:24" s="419" customFormat="1" ht="12" x14ac:dyDescent="0.2">
      <c r="X48" s="419">
        <f>SUM(X24:X44)</f>
        <v>0</v>
      </c>
    </row>
    <row r="49" spans="25:25" s="419" customFormat="1" ht="12" x14ac:dyDescent="0.2"/>
    <row r="50" spans="25:25" s="419" customFormat="1" ht="12" x14ac:dyDescent="0.2"/>
    <row r="51" spans="25:25" s="419" customFormat="1" ht="12" x14ac:dyDescent="0.2"/>
    <row r="52" spans="25:25" s="419" customFormat="1" ht="12" x14ac:dyDescent="0.2"/>
    <row r="53" spans="25:25" s="419" customFormat="1" ht="12" x14ac:dyDescent="0.2"/>
    <row r="54" spans="25:25" s="419" customFormat="1" ht="12" x14ac:dyDescent="0.2"/>
    <row r="55" spans="25:25" s="419" customFormat="1" ht="12" x14ac:dyDescent="0.2">
      <c r="Y55" s="420" t="e">
        <f>X48/X45</f>
        <v>#DIV/0!</v>
      </c>
    </row>
    <row r="56" spans="25:25" s="419" customFormat="1" ht="12" x14ac:dyDescent="0.2"/>
    <row r="57" spans="25:25" s="419" customFormat="1" ht="12" x14ac:dyDescent="0.2"/>
    <row r="58" spans="25:25" s="419" customFormat="1" ht="12" x14ac:dyDescent="0.2"/>
    <row r="59" spans="25:25" s="419" customFormat="1" ht="12" x14ac:dyDescent="0.2"/>
    <row r="60" spans="25:25" s="419" customFormat="1" ht="12" x14ac:dyDescent="0.2"/>
    <row r="61" spans="25:25" s="419" customFormat="1" ht="12" x14ac:dyDescent="0.2"/>
    <row r="62" spans="25:25" s="419" customFormat="1" ht="12" x14ac:dyDescent="0.2"/>
    <row r="63" spans="25:25" s="419" customFormat="1" ht="12" x14ac:dyDescent="0.2"/>
    <row r="64" spans="25:25" s="419" customFormat="1" ht="12" x14ac:dyDescent="0.2"/>
    <row r="65" s="419" customFormat="1" ht="12" x14ac:dyDescent="0.2"/>
    <row r="66" s="419" customFormat="1" ht="12" x14ac:dyDescent="0.2"/>
    <row r="67" s="419" customFormat="1" ht="12" x14ac:dyDescent="0.2"/>
    <row r="68" s="419" customFormat="1" ht="12" x14ac:dyDescent="0.2"/>
    <row r="69" s="419" customFormat="1" ht="12" x14ac:dyDescent="0.2"/>
    <row r="70" s="419" customFormat="1" ht="12" x14ac:dyDescent="0.2"/>
    <row r="71" s="419" customFormat="1" ht="12" x14ac:dyDescent="0.2"/>
    <row r="72" s="419" customFormat="1" ht="12" x14ac:dyDescent="0.2"/>
    <row r="73" s="419" customFormat="1" ht="12" x14ac:dyDescent="0.2"/>
    <row r="74" s="419" customFormat="1" ht="12" x14ac:dyDescent="0.2"/>
    <row r="75" s="419" customFormat="1" ht="12" x14ac:dyDescent="0.2"/>
    <row r="76" s="419" customFormat="1" ht="12" x14ac:dyDescent="0.2"/>
    <row r="77" s="419" customFormat="1" ht="12" x14ac:dyDescent="0.2"/>
    <row r="78" s="419" customFormat="1" ht="12" x14ac:dyDescent="0.2"/>
    <row r="79" s="419" customFormat="1" ht="12" x14ac:dyDescent="0.2"/>
    <row r="80" s="419" customFormat="1" ht="12" x14ac:dyDescent="0.2"/>
    <row r="81" s="419" customFormat="1" ht="12" x14ac:dyDescent="0.2"/>
    <row r="82" s="419" customFormat="1" ht="12" x14ac:dyDescent="0.2"/>
    <row r="83" s="419" customFormat="1" ht="12" x14ac:dyDescent="0.2"/>
    <row r="84" s="419" customFormat="1" ht="12" x14ac:dyDescent="0.2"/>
    <row r="85" s="419" customFormat="1" ht="12" x14ac:dyDescent="0.2"/>
    <row r="86" s="419" customFormat="1" ht="12" x14ac:dyDescent="0.2"/>
    <row r="87" s="419" customFormat="1" ht="12" x14ac:dyDescent="0.2"/>
    <row r="88" s="419" customFormat="1" ht="12" x14ac:dyDescent="0.2"/>
    <row r="89" s="419" customFormat="1" ht="12" x14ac:dyDescent="0.2"/>
    <row r="90" s="419" customFormat="1" ht="12" x14ac:dyDescent="0.2"/>
    <row r="91" s="419" customFormat="1" ht="12" x14ac:dyDescent="0.2"/>
    <row r="92" s="419" customFormat="1" ht="12" x14ac:dyDescent="0.2"/>
    <row r="93" s="419" customFormat="1" ht="12" x14ac:dyDescent="0.2"/>
    <row r="94" s="419" customFormat="1" ht="12" x14ac:dyDescent="0.2"/>
    <row r="95" s="419" customFormat="1" ht="12" x14ac:dyDescent="0.2"/>
    <row r="96" s="419" customFormat="1" ht="12" x14ac:dyDescent="0.2"/>
    <row r="97" s="419" customFormat="1" ht="12" x14ac:dyDescent="0.2"/>
    <row r="98" s="419" customFormat="1" ht="12" x14ac:dyDescent="0.2"/>
    <row r="99" s="419" customFormat="1" ht="12" x14ac:dyDescent="0.2"/>
    <row r="100" s="419" customFormat="1" ht="12" x14ac:dyDescent="0.2"/>
    <row r="101" s="419" customFormat="1" ht="12" x14ac:dyDescent="0.2"/>
    <row r="102" s="419" customFormat="1" ht="12" x14ac:dyDescent="0.2"/>
    <row r="103" s="419" customFormat="1" ht="12" x14ac:dyDescent="0.2"/>
    <row r="104" s="419" customFormat="1" ht="12" x14ac:dyDescent="0.2"/>
    <row r="105" s="419" customFormat="1" ht="12" x14ac:dyDescent="0.2"/>
    <row r="106" s="419" customFormat="1" ht="12" x14ac:dyDescent="0.2"/>
    <row r="107" s="419" customFormat="1" ht="12" x14ac:dyDescent="0.2"/>
    <row r="108" s="419" customFormat="1" ht="12" x14ac:dyDescent="0.2"/>
    <row r="109" s="419" customFormat="1" ht="12" x14ac:dyDescent="0.2"/>
    <row r="110" s="419" customFormat="1" ht="12" x14ac:dyDescent="0.2"/>
    <row r="111" s="419" customFormat="1" ht="12" x14ac:dyDescent="0.2"/>
    <row r="112" s="419" customFormat="1" ht="12" x14ac:dyDescent="0.2"/>
    <row r="113" spans="1:28" s="419" customFormat="1" ht="12" x14ac:dyDescent="0.2"/>
    <row r="114" spans="1:28" s="419" customFormat="1" ht="12" x14ac:dyDescent="0.2"/>
    <row r="115" spans="1:28" s="419" customFormat="1" ht="12" x14ac:dyDescent="0.2"/>
    <row r="116" spans="1:28" s="419" customFormat="1" ht="12" x14ac:dyDescent="0.2"/>
    <row r="117" spans="1:28" s="419" customFormat="1" ht="12" x14ac:dyDescent="0.2"/>
    <row r="118" spans="1:28" s="419" customFormat="1" ht="12" x14ac:dyDescent="0.2"/>
    <row r="119" spans="1:28" s="419" customFormat="1" ht="12" x14ac:dyDescent="0.2"/>
    <row r="120" spans="1:28" s="419" customFormat="1" ht="12" x14ac:dyDescent="0.2"/>
    <row r="121" spans="1:28" s="417" customFormat="1" ht="12" hidden="1" x14ac:dyDescent="0.2">
      <c r="A121" s="419"/>
      <c r="B121" s="419"/>
      <c r="C121" s="419"/>
      <c r="Z121" s="419"/>
      <c r="AA121" s="419"/>
      <c r="AB121" s="419"/>
    </row>
    <row r="122" spans="1:28" s="417" customFormat="1" ht="12" hidden="1" x14ac:dyDescent="0.2">
      <c r="A122" s="419"/>
      <c r="B122" s="419"/>
      <c r="C122" s="419"/>
      <c r="Z122" s="419"/>
      <c r="AA122" s="419"/>
      <c r="AB122" s="419"/>
    </row>
    <row r="123" spans="1:28" s="417" customFormat="1" ht="12" hidden="1" x14ac:dyDescent="0.2">
      <c r="A123" s="419"/>
      <c r="B123" s="419"/>
      <c r="C123" s="419"/>
      <c r="Z123" s="419"/>
      <c r="AA123" s="419"/>
      <c r="AB123" s="419"/>
    </row>
    <row r="124" spans="1:28" s="417" customFormat="1" ht="12" hidden="1" x14ac:dyDescent="0.2">
      <c r="A124" s="419"/>
      <c r="B124" s="419"/>
      <c r="C124" s="419"/>
      <c r="Z124" s="419"/>
      <c r="AA124" s="419"/>
      <c r="AB124" s="419"/>
    </row>
    <row r="125" spans="1:28" s="417" customFormat="1" ht="12" hidden="1" x14ac:dyDescent="0.2">
      <c r="A125" s="419"/>
      <c r="B125" s="419"/>
      <c r="C125" s="419"/>
      <c r="Z125" s="419"/>
      <c r="AA125" s="419"/>
      <c r="AB125" s="419"/>
    </row>
    <row r="126" spans="1:28" s="417" customFormat="1" ht="12" hidden="1" x14ac:dyDescent="0.2">
      <c r="A126" s="419"/>
      <c r="B126" s="419"/>
      <c r="C126" s="419"/>
      <c r="Z126" s="419"/>
      <c r="AA126" s="419"/>
      <c r="AB126" s="419"/>
    </row>
    <row r="127" spans="1:28" s="417" customFormat="1" ht="12" hidden="1" x14ac:dyDescent="0.2">
      <c r="A127" s="419"/>
      <c r="B127" s="419"/>
      <c r="C127" s="419"/>
      <c r="Z127" s="419"/>
      <c r="AA127" s="419"/>
      <c r="AB127" s="419"/>
    </row>
    <row r="128" spans="1:28" s="417" customFormat="1" ht="12" hidden="1" x14ac:dyDescent="0.2">
      <c r="A128" s="419"/>
      <c r="B128" s="419"/>
      <c r="C128" s="419"/>
      <c r="Z128" s="419"/>
      <c r="AA128" s="419"/>
      <c r="AB128" s="419"/>
    </row>
    <row r="129" spans="1:28" s="417" customFormat="1" ht="12" hidden="1" x14ac:dyDescent="0.2">
      <c r="A129" s="419"/>
      <c r="B129" s="419"/>
      <c r="C129" s="419"/>
      <c r="Z129" s="419"/>
      <c r="AA129" s="419"/>
      <c r="AB129" s="419"/>
    </row>
    <row r="130" spans="1:28" s="417" customFormat="1" ht="12" hidden="1" x14ac:dyDescent="0.2">
      <c r="A130" s="419"/>
      <c r="B130" s="419"/>
      <c r="C130" s="419"/>
      <c r="Z130" s="419"/>
      <c r="AA130" s="419"/>
      <c r="AB130" s="419"/>
    </row>
    <row r="131" spans="1:28" s="417" customFormat="1" ht="12" hidden="1" x14ac:dyDescent="0.2">
      <c r="A131" s="419"/>
      <c r="B131" s="419"/>
      <c r="C131" s="419"/>
      <c r="Z131" s="419"/>
      <c r="AA131" s="419"/>
      <c r="AB131" s="419"/>
    </row>
    <row r="132" spans="1:28" s="417" customFormat="1" ht="12" hidden="1" x14ac:dyDescent="0.2">
      <c r="A132" s="419"/>
      <c r="B132" s="419"/>
      <c r="C132" s="419"/>
      <c r="Z132" s="419"/>
      <c r="AA132" s="419"/>
      <c r="AB132" s="419"/>
    </row>
    <row r="133" spans="1:28" s="417" customFormat="1" ht="12" hidden="1" x14ac:dyDescent="0.2">
      <c r="A133" s="419"/>
      <c r="B133" s="419"/>
      <c r="C133" s="419"/>
      <c r="Z133" s="419"/>
      <c r="AA133" s="419"/>
      <c r="AB133" s="419"/>
    </row>
    <row r="134" spans="1:28" s="417" customFormat="1" ht="12" hidden="1" x14ac:dyDescent="0.2">
      <c r="A134" s="419"/>
      <c r="B134" s="419"/>
      <c r="C134" s="419"/>
      <c r="Z134" s="419"/>
      <c r="AA134" s="419"/>
      <c r="AB134" s="419"/>
    </row>
    <row r="135" spans="1:28" s="417" customFormat="1" ht="12" hidden="1" x14ac:dyDescent="0.2">
      <c r="A135" s="419"/>
      <c r="B135" s="419"/>
      <c r="C135" s="419"/>
      <c r="Z135" s="419"/>
      <c r="AA135" s="419"/>
      <c r="AB135" s="419"/>
    </row>
    <row r="136" spans="1:28" s="417" customFormat="1" ht="12" hidden="1" x14ac:dyDescent="0.2">
      <c r="A136" s="419"/>
      <c r="B136" s="419"/>
      <c r="C136" s="419"/>
      <c r="Z136" s="419"/>
      <c r="AA136" s="419"/>
      <c r="AB136" s="419"/>
    </row>
    <row r="137" spans="1:28" s="417" customFormat="1" ht="12" hidden="1" x14ac:dyDescent="0.2">
      <c r="A137" s="419"/>
      <c r="B137" s="419"/>
      <c r="C137" s="419"/>
      <c r="Z137" s="419"/>
      <c r="AA137" s="419"/>
      <c r="AB137" s="419"/>
    </row>
    <row r="138" spans="1:28" s="417" customFormat="1" ht="12" hidden="1" x14ac:dyDescent="0.2">
      <c r="A138" s="419"/>
      <c r="B138" s="419"/>
      <c r="C138" s="419"/>
      <c r="Z138" s="419"/>
      <c r="AA138" s="419"/>
      <c r="AB138" s="419"/>
    </row>
    <row r="139" spans="1:28" s="417" customFormat="1" ht="12" hidden="1" x14ac:dyDescent="0.2">
      <c r="A139" s="419"/>
      <c r="B139" s="419"/>
      <c r="C139" s="419"/>
      <c r="Z139" s="419"/>
      <c r="AA139" s="419"/>
      <c r="AB139" s="419"/>
    </row>
    <row r="140" spans="1:28" s="417" customFormat="1" ht="12" hidden="1" x14ac:dyDescent="0.2">
      <c r="A140" s="419"/>
      <c r="B140" s="419"/>
      <c r="C140" s="419"/>
      <c r="Z140" s="419"/>
      <c r="AA140" s="419"/>
      <c r="AB140" s="419"/>
    </row>
    <row r="141" spans="1:28" s="417" customFormat="1" ht="12" hidden="1" x14ac:dyDescent="0.2">
      <c r="A141" s="419"/>
      <c r="B141" s="419"/>
      <c r="C141" s="419"/>
      <c r="Z141" s="419"/>
      <c r="AA141" s="419"/>
      <c r="AB141" s="419"/>
    </row>
    <row r="142" spans="1:28" s="417" customFormat="1" ht="12" hidden="1" x14ac:dyDescent="0.2">
      <c r="A142" s="419"/>
      <c r="B142" s="419"/>
      <c r="C142" s="419"/>
      <c r="Z142" s="419"/>
      <c r="AA142" s="419"/>
      <c r="AB142" s="419"/>
    </row>
    <row r="143" spans="1:28" s="417" customFormat="1" ht="12" hidden="1" x14ac:dyDescent="0.2">
      <c r="A143" s="419"/>
      <c r="B143" s="419"/>
      <c r="C143" s="419"/>
      <c r="Z143" s="419"/>
      <c r="AA143" s="419"/>
      <c r="AB143" s="419"/>
    </row>
    <row r="144" spans="1:28" s="417" customFormat="1" ht="12" hidden="1" x14ac:dyDescent="0.2">
      <c r="A144" s="419"/>
      <c r="B144" s="419"/>
      <c r="C144" s="419"/>
      <c r="Z144" s="419"/>
      <c r="AA144" s="419"/>
      <c r="AB144" s="419"/>
    </row>
    <row r="145" spans="1:28" s="417" customFormat="1" ht="12" hidden="1" x14ac:dyDescent="0.2">
      <c r="A145" s="419"/>
      <c r="B145" s="419"/>
      <c r="C145" s="419"/>
      <c r="Z145" s="419"/>
      <c r="AA145" s="419"/>
      <c r="AB145" s="419"/>
    </row>
    <row r="146" spans="1:28" s="417" customFormat="1" ht="12" hidden="1" x14ac:dyDescent="0.2">
      <c r="A146" s="419"/>
      <c r="B146" s="419"/>
      <c r="C146" s="419"/>
      <c r="Z146" s="419"/>
      <c r="AA146" s="419"/>
      <c r="AB146" s="419"/>
    </row>
    <row r="147" spans="1:28" s="417" customFormat="1" ht="12" hidden="1" x14ac:dyDescent="0.2">
      <c r="A147" s="419"/>
      <c r="B147" s="419"/>
      <c r="C147" s="419"/>
      <c r="Z147" s="419"/>
      <c r="AA147" s="419"/>
      <c r="AB147" s="419"/>
    </row>
    <row r="148" spans="1:28" s="417" customFormat="1" ht="12" hidden="1" x14ac:dyDescent="0.2">
      <c r="A148" s="419"/>
      <c r="B148" s="419"/>
      <c r="C148" s="419"/>
      <c r="Z148" s="419"/>
      <c r="AA148" s="419"/>
      <c r="AB148" s="419"/>
    </row>
    <row r="149" spans="1:28" s="417" customFormat="1" ht="12" hidden="1" x14ac:dyDescent="0.2">
      <c r="A149" s="419"/>
      <c r="B149" s="419"/>
      <c r="C149" s="419"/>
      <c r="Z149" s="419"/>
      <c r="AA149" s="419"/>
      <c r="AB149" s="419"/>
    </row>
    <row r="150" spans="1:28" s="417" customFormat="1" ht="12" hidden="1" x14ac:dyDescent="0.2">
      <c r="A150" s="419"/>
      <c r="B150" s="419"/>
      <c r="C150" s="419"/>
      <c r="Z150" s="419"/>
      <c r="AA150" s="419"/>
      <c r="AB150" s="419"/>
    </row>
    <row r="151" spans="1:28" s="417" customFormat="1" ht="12" hidden="1" x14ac:dyDescent="0.2">
      <c r="A151" s="419"/>
      <c r="B151" s="419"/>
      <c r="C151" s="419"/>
      <c r="Z151" s="419"/>
      <c r="AA151" s="419"/>
      <c r="AB151" s="419"/>
    </row>
    <row r="152" spans="1:28" s="417" customFormat="1" ht="12" hidden="1" x14ac:dyDescent="0.2">
      <c r="A152" s="419"/>
      <c r="B152" s="419"/>
      <c r="C152" s="419"/>
      <c r="Z152" s="419"/>
      <c r="AA152" s="419"/>
      <c r="AB152" s="419"/>
    </row>
    <row r="153" spans="1:28" s="417" customFormat="1" ht="12" hidden="1" x14ac:dyDescent="0.2">
      <c r="A153" s="419"/>
      <c r="B153" s="419"/>
      <c r="C153" s="419"/>
      <c r="Z153" s="419"/>
      <c r="AA153" s="419"/>
      <c r="AB153" s="419"/>
    </row>
    <row r="154" spans="1:28" s="417" customFormat="1" ht="12" hidden="1" x14ac:dyDescent="0.2">
      <c r="A154" s="419"/>
      <c r="B154" s="419"/>
      <c r="C154" s="419"/>
      <c r="Z154" s="419"/>
      <c r="AA154" s="419"/>
      <c r="AB154" s="419"/>
    </row>
    <row r="155" spans="1:28" s="417" customFormat="1" ht="12" hidden="1" x14ac:dyDescent="0.2">
      <c r="A155" s="419"/>
      <c r="B155" s="419"/>
      <c r="C155" s="419"/>
      <c r="Z155" s="419"/>
      <c r="AA155" s="419"/>
      <c r="AB155" s="419"/>
    </row>
    <row r="156" spans="1:28" s="417" customFormat="1" ht="12" hidden="1" x14ac:dyDescent="0.2">
      <c r="A156" s="419"/>
      <c r="B156" s="419"/>
      <c r="C156" s="419"/>
      <c r="Z156" s="419"/>
      <c r="AA156" s="419"/>
      <c r="AB156" s="419"/>
    </row>
    <row r="157" spans="1:28" s="417" customFormat="1" ht="12" hidden="1" x14ac:dyDescent="0.2">
      <c r="A157" s="419"/>
      <c r="B157" s="419"/>
      <c r="C157" s="419"/>
      <c r="Z157" s="419"/>
      <c r="AA157" s="419"/>
      <c r="AB157" s="419"/>
    </row>
    <row r="158" spans="1:28" s="417" customFormat="1" ht="12" hidden="1" x14ac:dyDescent="0.2">
      <c r="A158" s="419"/>
      <c r="B158" s="419"/>
      <c r="C158" s="419"/>
      <c r="Z158" s="419"/>
      <c r="AA158" s="419"/>
      <c r="AB158" s="419"/>
    </row>
    <row r="159" spans="1:28" s="417" customFormat="1" ht="12" hidden="1" x14ac:dyDescent="0.2">
      <c r="A159" s="419"/>
      <c r="B159" s="419"/>
      <c r="C159" s="419"/>
      <c r="Z159" s="419"/>
      <c r="AA159" s="419"/>
      <c r="AB159" s="419"/>
    </row>
    <row r="160" spans="1:28" s="417" customFormat="1" ht="12" hidden="1" x14ac:dyDescent="0.2">
      <c r="A160" s="419"/>
      <c r="B160" s="419"/>
      <c r="C160" s="419"/>
      <c r="Z160" s="419"/>
      <c r="AA160" s="419"/>
      <c r="AB160" s="419"/>
    </row>
    <row r="161" spans="1:28" s="417" customFormat="1" ht="12" hidden="1" x14ac:dyDescent="0.2">
      <c r="A161" s="419"/>
      <c r="B161" s="419"/>
      <c r="C161" s="419"/>
      <c r="Z161" s="419"/>
      <c r="AA161" s="419"/>
      <c r="AB161" s="419"/>
    </row>
    <row r="162" spans="1:28" s="417" customFormat="1" ht="12" hidden="1" x14ac:dyDescent="0.2">
      <c r="A162" s="419"/>
      <c r="B162" s="419"/>
      <c r="C162" s="419"/>
      <c r="Z162" s="419"/>
      <c r="AA162" s="419"/>
      <c r="AB162" s="419"/>
    </row>
    <row r="163" spans="1:28" s="417" customFormat="1" ht="12" hidden="1" x14ac:dyDescent="0.2">
      <c r="A163" s="419"/>
      <c r="B163" s="419"/>
      <c r="C163" s="419"/>
      <c r="Z163" s="419"/>
      <c r="AA163" s="419"/>
      <c r="AB163" s="419"/>
    </row>
    <row r="164" spans="1:28" s="417" customFormat="1" ht="12" hidden="1" x14ac:dyDescent="0.2">
      <c r="A164" s="419"/>
      <c r="B164" s="419"/>
      <c r="C164" s="419"/>
      <c r="Z164" s="419"/>
      <c r="AA164" s="419"/>
      <c r="AB164" s="419"/>
    </row>
    <row r="165" spans="1:28" s="417" customFormat="1" ht="12" hidden="1" x14ac:dyDescent="0.2">
      <c r="A165" s="419"/>
      <c r="B165" s="419"/>
      <c r="C165" s="419"/>
      <c r="Z165" s="419"/>
      <c r="AA165" s="419"/>
      <c r="AB165" s="419"/>
    </row>
    <row r="166" spans="1:28" s="417" customFormat="1" ht="12" hidden="1" x14ac:dyDescent="0.2">
      <c r="A166" s="419"/>
      <c r="B166" s="419"/>
      <c r="C166" s="419"/>
      <c r="Z166" s="419"/>
      <c r="AA166" s="419"/>
      <c r="AB166" s="419"/>
    </row>
    <row r="167" spans="1:28" s="417" customFormat="1" ht="12" hidden="1" x14ac:dyDescent="0.2">
      <c r="A167" s="419"/>
      <c r="B167" s="419"/>
      <c r="C167" s="419"/>
      <c r="Z167" s="419"/>
      <c r="AA167" s="419"/>
      <c r="AB167" s="419"/>
    </row>
    <row r="168" spans="1:28" s="417" customFormat="1" ht="12" hidden="1" x14ac:dyDescent="0.2">
      <c r="A168" s="419"/>
      <c r="B168" s="419"/>
      <c r="C168" s="419"/>
      <c r="Z168" s="419"/>
      <c r="AA168" s="419"/>
      <c r="AB168" s="419"/>
    </row>
    <row r="169" spans="1:28" s="417" customFormat="1" ht="12" hidden="1" x14ac:dyDescent="0.2">
      <c r="A169" s="419"/>
      <c r="B169" s="419"/>
      <c r="C169" s="419"/>
      <c r="Z169" s="419"/>
      <c r="AA169" s="419"/>
      <c r="AB169" s="419"/>
    </row>
    <row r="170" spans="1:28" s="417" customFormat="1" ht="12" hidden="1" x14ac:dyDescent="0.2">
      <c r="A170" s="419"/>
      <c r="B170" s="419"/>
      <c r="C170" s="419"/>
      <c r="Z170" s="419"/>
      <c r="AA170" s="419"/>
      <c r="AB170" s="419"/>
    </row>
    <row r="171" spans="1:28" s="417" customFormat="1" ht="12" hidden="1" x14ac:dyDescent="0.2">
      <c r="A171" s="419"/>
      <c r="B171" s="419"/>
      <c r="C171" s="419"/>
      <c r="Z171" s="419"/>
      <c r="AA171" s="419"/>
      <c r="AB171" s="419"/>
    </row>
    <row r="172" spans="1:28" s="417" customFormat="1" ht="12" hidden="1" x14ac:dyDescent="0.2">
      <c r="A172" s="419"/>
      <c r="B172" s="419"/>
      <c r="C172" s="419"/>
      <c r="Z172" s="419"/>
      <c r="AA172" s="419"/>
      <c r="AB172" s="419"/>
    </row>
    <row r="173" spans="1:28" s="417" customFormat="1" ht="12" hidden="1" x14ac:dyDescent="0.2">
      <c r="A173" s="419"/>
      <c r="B173" s="419"/>
      <c r="C173" s="419"/>
      <c r="Z173" s="419"/>
      <c r="AA173" s="419"/>
      <c r="AB173" s="419"/>
    </row>
    <row r="174" spans="1:28" s="417" customFormat="1" ht="12" hidden="1" x14ac:dyDescent="0.2">
      <c r="A174" s="419"/>
      <c r="B174" s="419"/>
      <c r="C174" s="419"/>
      <c r="Z174" s="419"/>
      <c r="AA174" s="419"/>
      <c r="AB174" s="419"/>
    </row>
    <row r="175" spans="1:28" s="417" customFormat="1" ht="12" hidden="1" x14ac:dyDescent="0.2">
      <c r="A175" s="419"/>
      <c r="B175" s="419"/>
      <c r="C175" s="419"/>
      <c r="Z175" s="419"/>
      <c r="AA175" s="419"/>
      <c r="AB175" s="419"/>
    </row>
    <row r="176" spans="1:28" s="417" customFormat="1" ht="12" hidden="1" x14ac:dyDescent="0.2">
      <c r="A176" s="419"/>
      <c r="B176" s="419"/>
      <c r="C176" s="419"/>
      <c r="Z176" s="419"/>
      <c r="AA176" s="419"/>
      <c r="AB176" s="419"/>
    </row>
    <row r="177" spans="1:28" s="417" customFormat="1" ht="12" hidden="1" x14ac:dyDescent="0.2">
      <c r="A177" s="419"/>
      <c r="B177" s="419"/>
      <c r="C177" s="419"/>
      <c r="Z177" s="419"/>
      <c r="AA177" s="419"/>
      <c r="AB177" s="419"/>
    </row>
    <row r="178" spans="1:28" s="417" customFormat="1" ht="12" hidden="1" x14ac:dyDescent="0.2">
      <c r="A178" s="419"/>
      <c r="B178" s="419"/>
      <c r="C178" s="419"/>
      <c r="Z178" s="419"/>
      <c r="AA178" s="419"/>
      <c r="AB178" s="419"/>
    </row>
    <row r="179" spans="1:28" s="417" customFormat="1" ht="12" hidden="1" x14ac:dyDescent="0.2">
      <c r="A179" s="419"/>
      <c r="B179" s="419"/>
      <c r="C179" s="419"/>
      <c r="Z179" s="419"/>
      <c r="AA179" s="419"/>
      <c r="AB179" s="419"/>
    </row>
    <row r="180" spans="1:28" s="417" customFormat="1" ht="12" hidden="1" x14ac:dyDescent="0.2">
      <c r="A180" s="419"/>
      <c r="B180" s="419"/>
      <c r="C180" s="419"/>
      <c r="Z180" s="419"/>
      <c r="AA180" s="419"/>
      <c r="AB180" s="419"/>
    </row>
    <row r="181" spans="1:28" s="417" customFormat="1" ht="12" hidden="1" x14ac:dyDescent="0.2">
      <c r="A181" s="419"/>
      <c r="B181" s="419"/>
      <c r="C181" s="419"/>
      <c r="Z181" s="419"/>
      <c r="AA181" s="419"/>
      <c r="AB181" s="419"/>
    </row>
    <row r="182" spans="1:28" s="417" customFormat="1" ht="12" hidden="1" x14ac:dyDescent="0.2">
      <c r="A182" s="419"/>
      <c r="B182" s="419"/>
      <c r="C182" s="419"/>
      <c r="Z182" s="419"/>
      <c r="AA182" s="419"/>
      <c r="AB182" s="419"/>
    </row>
    <row r="183" spans="1:28" s="417" customFormat="1" ht="12" hidden="1" x14ac:dyDescent="0.2">
      <c r="A183" s="419"/>
      <c r="B183" s="419"/>
      <c r="C183" s="419"/>
      <c r="Z183" s="419"/>
      <c r="AA183" s="419"/>
      <c r="AB183" s="419"/>
    </row>
    <row r="184" spans="1:28" s="417" customFormat="1" ht="12" hidden="1" x14ac:dyDescent="0.2">
      <c r="A184" s="419"/>
      <c r="B184" s="419"/>
      <c r="C184" s="419"/>
      <c r="Z184" s="419"/>
      <c r="AA184" s="419"/>
      <c r="AB184" s="419"/>
    </row>
    <row r="185" spans="1:28" s="417" customFormat="1" ht="12" hidden="1" x14ac:dyDescent="0.2">
      <c r="A185" s="419"/>
      <c r="B185" s="419"/>
      <c r="C185" s="419"/>
      <c r="Z185" s="419"/>
      <c r="AA185" s="419"/>
      <c r="AB185" s="419"/>
    </row>
    <row r="186" spans="1:28" s="417" customFormat="1" ht="12" hidden="1" x14ac:dyDescent="0.2">
      <c r="A186" s="419"/>
      <c r="B186" s="419"/>
      <c r="C186" s="419"/>
      <c r="Z186" s="419"/>
      <c r="AA186" s="419"/>
      <c r="AB186" s="419"/>
    </row>
    <row r="187" spans="1:28" s="417" customFormat="1" ht="12" hidden="1" x14ac:dyDescent="0.2">
      <c r="A187" s="419"/>
      <c r="B187" s="419"/>
      <c r="C187" s="419"/>
      <c r="Z187" s="419"/>
      <c r="AA187" s="419"/>
      <c r="AB187" s="419"/>
    </row>
    <row r="188" spans="1:28" s="417" customFormat="1" ht="12" hidden="1" x14ac:dyDescent="0.2">
      <c r="A188" s="419"/>
      <c r="B188" s="419"/>
      <c r="C188" s="419"/>
      <c r="Z188" s="419"/>
      <c r="AA188" s="419"/>
      <c r="AB188" s="419"/>
    </row>
    <row r="189" spans="1:28" s="417" customFormat="1" ht="12" hidden="1" x14ac:dyDescent="0.2">
      <c r="A189" s="419"/>
      <c r="B189" s="419"/>
      <c r="C189" s="419"/>
      <c r="Z189" s="419"/>
      <c r="AA189" s="419"/>
      <c r="AB189" s="419"/>
    </row>
    <row r="190" spans="1:28" s="417" customFormat="1" ht="12" hidden="1" x14ac:dyDescent="0.2">
      <c r="A190" s="419"/>
      <c r="B190" s="419"/>
      <c r="C190" s="419"/>
      <c r="Z190" s="419"/>
      <c r="AA190" s="419"/>
      <c r="AB190" s="419"/>
    </row>
    <row r="191" spans="1:28" s="417" customFormat="1" ht="12" hidden="1" x14ac:dyDescent="0.2">
      <c r="A191" s="419"/>
      <c r="B191" s="419"/>
      <c r="C191" s="419"/>
      <c r="Z191" s="419"/>
      <c r="AA191" s="419"/>
      <c r="AB191" s="419"/>
    </row>
    <row r="192" spans="1:28" s="417" customFormat="1" ht="12" hidden="1" x14ac:dyDescent="0.2">
      <c r="A192" s="419"/>
      <c r="B192" s="419"/>
      <c r="C192" s="419"/>
      <c r="Z192" s="419"/>
      <c r="AA192" s="419"/>
      <c r="AB192" s="419"/>
    </row>
    <row r="193" spans="1:28" s="417" customFormat="1" ht="12" hidden="1" x14ac:dyDescent="0.2">
      <c r="A193" s="419"/>
      <c r="B193" s="419"/>
      <c r="C193" s="419"/>
      <c r="Z193" s="419"/>
      <c r="AA193" s="419"/>
      <c r="AB193" s="419"/>
    </row>
    <row r="194" spans="1:28" s="417" customFormat="1" ht="12" hidden="1" x14ac:dyDescent="0.2">
      <c r="A194" s="419"/>
      <c r="B194" s="419"/>
      <c r="C194" s="419"/>
      <c r="Z194" s="419"/>
      <c r="AA194" s="419"/>
      <c r="AB194" s="419"/>
    </row>
    <row r="195" spans="1:28" s="417" customFormat="1" ht="12" hidden="1" x14ac:dyDescent="0.2">
      <c r="A195" s="419"/>
      <c r="B195" s="419"/>
      <c r="C195" s="419"/>
      <c r="Z195" s="419"/>
      <c r="AA195" s="419"/>
      <c r="AB195" s="419"/>
    </row>
    <row r="196" spans="1:28" s="417" customFormat="1" ht="12" hidden="1" x14ac:dyDescent="0.2">
      <c r="A196" s="419"/>
      <c r="B196" s="419"/>
      <c r="C196" s="419"/>
      <c r="Z196" s="419"/>
      <c r="AA196" s="419"/>
      <c r="AB196" s="419"/>
    </row>
    <row r="197" spans="1:28" s="417" customFormat="1" ht="12" hidden="1" x14ac:dyDescent="0.2">
      <c r="A197" s="419"/>
      <c r="B197" s="419"/>
      <c r="C197" s="419"/>
      <c r="Z197" s="419"/>
      <c r="AA197" s="419"/>
      <c r="AB197" s="419"/>
    </row>
    <row r="198" spans="1:28" s="417" customFormat="1" ht="12" hidden="1" x14ac:dyDescent="0.2">
      <c r="A198" s="419"/>
      <c r="B198" s="419"/>
      <c r="C198" s="419"/>
      <c r="Z198" s="419"/>
      <c r="AA198" s="419"/>
      <c r="AB198" s="419"/>
    </row>
    <row r="199" spans="1:28" s="417" customFormat="1" ht="12" hidden="1" x14ac:dyDescent="0.2">
      <c r="A199" s="419"/>
      <c r="B199" s="419"/>
      <c r="C199" s="419"/>
      <c r="Z199" s="419"/>
      <c r="AA199" s="419"/>
      <c r="AB199" s="419"/>
    </row>
    <row r="200" spans="1:28" s="417" customFormat="1" ht="12" hidden="1" x14ac:dyDescent="0.2">
      <c r="A200" s="419"/>
      <c r="B200" s="419"/>
      <c r="C200" s="419"/>
      <c r="Z200" s="419"/>
      <c r="AA200" s="419"/>
      <c r="AB200" s="419"/>
    </row>
    <row r="201" spans="1:28" s="417" customFormat="1" ht="12" hidden="1" x14ac:dyDescent="0.2">
      <c r="A201" s="419"/>
      <c r="B201" s="419"/>
      <c r="C201" s="419"/>
      <c r="Z201" s="419"/>
      <c r="AA201" s="419"/>
      <c r="AB201" s="419"/>
    </row>
    <row r="202" spans="1:28" s="417" customFormat="1" ht="12" hidden="1" x14ac:dyDescent="0.2">
      <c r="A202" s="419"/>
      <c r="B202" s="419"/>
      <c r="C202" s="419"/>
      <c r="Z202" s="419"/>
      <c r="AA202" s="419"/>
      <c r="AB202" s="419"/>
    </row>
    <row r="203" spans="1:28" s="417" customFormat="1" ht="12" hidden="1" x14ac:dyDescent="0.2">
      <c r="A203" s="419"/>
      <c r="B203" s="419"/>
      <c r="C203" s="419"/>
      <c r="Z203" s="419"/>
      <c r="AA203" s="419"/>
      <c r="AB203" s="419"/>
    </row>
    <row r="204" spans="1:28" s="417" customFormat="1" ht="12" hidden="1" x14ac:dyDescent="0.2">
      <c r="A204" s="419"/>
      <c r="B204" s="419"/>
      <c r="C204" s="419"/>
      <c r="Z204" s="419"/>
      <c r="AA204" s="419"/>
      <c r="AB204" s="419"/>
    </row>
    <row r="205" spans="1:28" s="417" customFormat="1" ht="12" hidden="1" x14ac:dyDescent="0.2">
      <c r="A205" s="419"/>
      <c r="B205" s="419"/>
      <c r="C205" s="419"/>
      <c r="Z205" s="419"/>
      <c r="AA205" s="419"/>
      <c r="AB205" s="419"/>
    </row>
    <row r="206" spans="1:28" s="417" customFormat="1" ht="12" hidden="1" x14ac:dyDescent="0.2">
      <c r="A206" s="419"/>
      <c r="B206" s="419"/>
      <c r="C206" s="419"/>
      <c r="Z206" s="419"/>
      <c r="AA206" s="419"/>
      <c r="AB206" s="419"/>
    </row>
    <row r="207" spans="1:28" s="417" customFormat="1" ht="12" hidden="1" x14ac:dyDescent="0.2">
      <c r="A207" s="419"/>
      <c r="B207" s="419"/>
      <c r="C207" s="419"/>
      <c r="Z207" s="419"/>
      <c r="AA207" s="419"/>
      <c r="AB207" s="419"/>
    </row>
    <row r="208" spans="1:28" s="417" customFormat="1" ht="12" hidden="1" x14ac:dyDescent="0.2">
      <c r="A208" s="419"/>
      <c r="B208" s="419"/>
      <c r="C208" s="419"/>
      <c r="Z208" s="419"/>
      <c r="AA208" s="419"/>
      <c r="AB208" s="419"/>
    </row>
    <row r="209" spans="1:28" s="417" customFormat="1" ht="12" hidden="1" x14ac:dyDescent="0.2">
      <c r="A209" s="419"/>
      <c r="B209" s="419"/>
      <c r="C209" s="419"/>
      <c r="Z209" s="419"/>
      <c r="AA209" s="419"/>
      <c r="AB209" s="419"/>
    </row>
    <row r="210" spans="1:28" s="417" customFormat="1" ht="12" hidden="1" x14ac:dyDescent="0.2">
      <c r="A210" s="419"/>
      <c r="B210" s="419"/>
      <c r="C210" s="419"/>
      <c r="Z210" s="419"/>
      <c r="AA210" s="419"/>
      <c r="AB210" s="419"/>
    </row>
    <row r="211" spans="1:28" s="417" customFormat="1" ht="12" hidden="1" x14ac:dyDescent="0.2">
      <c r="A211" s="419"/>
      <c r="B211" s="419"/>
      <c r="C211" s="419"/>
      <c r="Z211" s="419"/>
      <c r="AA211" s="419"/>
      <c r="AB211" s="419"/>
    </row>
    <row r="212" spans="1:28" s="417" customFormat="1" ht="12" hidden="1" x14ac:dyDescent="0.2">
      <c r="A212" s="419"/>
      <c r="B212" s="419"/>
      <c r="C212" s="419"/>
      <c r="Z212" s="419"/>
      <c r="AA212" s="419"/>
      <c r="AB212" s="419"/>
    </row>
    <row r="213" spans="1:28" s="417" customFormat="1" ht="12" hidden="1" x14ac:dyDescent="0.2">
      <c r="A213" s="419"/>
      <c r="B213" s="419"/>
      <c r="C213" s="419"/>
      <c r="Z213" s="419"/>
      <c r="AA213" s="419"/>
      <c r="AB213" s="419"/>
    </row>
    <row r="214" spans="1:28" s="417" customFormat="1" ht="12" hidden="1" x14ac:dyDescent="0.2">
      <c r="A214" s="419"/>
      <c r="B214" s="419"/>
      <c r="C214" s="419"/>
      <c r="Z214" s="419"/>
      <c r="AA214" s="419"/>
      <c r="AB214" s="419"/>
    </row>
    <row r="215" spans="1:28" s="417" customFormat="1" ht="12" hidden="1" x14ac:dyDescent="0.2">
      <c r="A215" s="419"/>
      <c r="B215" s="419"/>
      <c r="C215" s="419"/>
      <c r="Z215" s="419"/>
      <c r="AA215" s="419"/>
      <c r="AB215" s="419"/>
    </row>
    <row r="216" spans="1:28" s="417" customFormat="1" ht="12" hidden="1" x14ac:dyDescent="0.2">
      <c r="A216" s="419"/>
      <c r="B216" s="419"/>
      <c r="C216" s="419"/>
      <c r="Z216" s="419"/>
      <c r="AA216" s="419"/>
      <c r="AB216" s="419"/>
    </row>
    <row r="217" spans="1:28" s="417" customFormat="1" ht="12" hidden="1" x14ac:dyDescent="0.2">
      <c r="A217" s="419"/>
      <c r="B217" s="419"/>
      <c r="C217" s="419"/>
      <c r="Z217" s="419"/>
      <c r="AA217" s="419"/>
      <c r="AB217" s="419"/>
    </row>
    <row r="218" spans="1:28" s="417" customFormat="1" ht="12" hidden="1" x14ac:dyDescent="0.2">
      <c r="A218" s="419"/>
      <c r="B218" s="419"/>
      <c r="C218" s="419"/>
      <c r="Z218" s="419"/>
      <c r="AA218" s="419"/>
      <c r="AB218" s="419"/>
    </row>
    <row r="219" spans="1:28" s="417" customFormat="1" ht="12" hidden="1" x14ac:dyDescent="0.2">
      <c r="A219" s="419"/>
      <c r="B219" s="419"/>
      <c r="C219" s="419"/>
      <c r="Z219" s="419"/>
      <c r="AA219" s="419"/>
      <c r="AB219" s="419"/>
    </row>
    <row r="220" spans="1:28" s="417" customFormat="1" ht="12" hidden="1" x14ac:dyDescent="0.2">
      <c r="A220" s="419"/>
      <c r="B220" s="419"/>
      <c r="C220" s="419"/>
      <c r="Z220" s="419"/>
      <c r="AA220" s="419"/>
      <c r="AB220" s="419"/>
    </row>
    <row r="221" spans="1:28" s="417" customFormat="1" ht="12" hidden="1" x14ac:dyDescent="0.2">
      <c r="A221" s="419"/>
      <c r="B221" s="419"/>
      <c r="C221" s="419"/>
      <c r="Z221" s="419"/>
      <c r="AA221" s="419"/>
      <c r="AB221" s="419"/>
    </row>
    <row r="222" spans="1:28" s="417" customFormat="1" ht="12" hidden="1" x14ac:dyDescent="0.2">
      <c r="A222" s="419"/>
      <c r="B222" s="419"/>
      <c r="C222" s="419"/>
      <c r="Z222" s="419"/>
      <c r="AA222" s="419"/>
      <c r="AB222" s="419"/>
    </row>
    <row r="223" spans="1:28" s="417" customFormat="1" ht="12" hidden="1" x14ac:dyDescent="0.2">
      <c r="A223" s="419"/>
      <c r="B223" s="419"/>
      <c r="C223" s="419"/>
      <c r="Z223" s="419"/>
      <c r="AA223" s="419"/>
      <c r="AB223" s="419"/>
    </row>
    <row r="224" spans="1:28" s="417" customFormat="1" ht="12" hidden="1" x14ac:dyDescent="0.2">
      <c r="A224" s="419"/>
      <c r="B224" s="419"/>
      <c r="C224" s="419"/>
      <c r="Z224" s="419"/>
      <c r="AA224" s="419"/>
      <c r="AB224" s="419"/>
    </row>
    <row r="225" spans="1:28" s="417" customFormat="1" ht="12" hidden="1" x14ac:dyDescent="0.2">
      <c r="A225" s="419"/>
      <c r="B225" s="419"/>
      <c r="C225" s="419"/>
      <c r="Z225" s="419"/>
      <c r="AA225" s="419"/>
      <c r="AB225" s="419"/>
    </row>
    <row r="226" spans="1:28" hidden="1" x14ac:dyDescent="0.25"/>
    <row r="227" spans="1:28" hidden="1" x14ac:dyDescent="0.25"/>
    <row r="228" spans="1:28" hidden="1" x14ac:dyDescent="0.25"/>
    <row r="229" spans="1:28" hidden="1" x14ac:dyDescent="0.25"/>
    <row r="230" spans="1:28" hidden="1" x14ac:dyDescent="0.25"/>
    <row r="231" spans="1:28" hidden="1" x14ac:dyDescent="0.25"/>
    <row r="232" spans="1:28" hidden="1" x14ac:dyDescent="0.25"/>
    <row r="233" spans="1:28" hidden="1" x14ac:dyDescent="0.25"/>
    <row r="234" spans="1:28" hidden="1" x14ac:dyDescent="0.25"/>
    <row r="235" spans="1:28" hidden="1" x14ac:dyDescent="0.25"/>
    <row r="236" spans="1:28" hidden="1" x14ac:dyDescent="0.25"/>
    <row r="237" spans="1:28" hidden="1" x14ac:dyDescent="0.25"/>
    <row r="238" spans="1:28" hidden="1" x14ac:dyDescent="0.25"/>
    <row r="239" spans="1:28" hidden="1" x14ac:dyDescent="0.25"/>
    <row r="240" spans="1:28"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sheetData>
  <mergeCells count="1">
    <mergeCell ref="D2:Y4"/>
  </mergeCell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dimension ref="A1:Q177"/>
  <sheetViews>
    <sheetView showGridLines="0" zoomScale="95" zoomScaleNormal="95" workbookViewId="0">
      <selection sqref="A1:P1"/>
    </sheetView>
  </sheetViews>
  <sheetFormatPr defaultColWidth="0" defaultRowHeight="15" zeroHeight="1" x14ac:dyDescent="0.25"/>
  <cols>
    <col min="1" max="1" width="10.28515625" customWidth="1"/>
    <col min="2" max="2" width="78.28515625" bestFit="1" customWidth="1"/>
    <col min="3" max="16" width="13.42578125" customWidth="1"/>
    <col min="17" max="17" width="5.140625" customWidth="1"/>
    <col min="18" max="16384" width="9.140625" hidden="1"/>
  </cols>
  <sheetData>
    <row r="1" spans="1:16" ht="36" customHeight="1" x14ac:dyDescent="0.25">
      <c r="A1" s="493" t="s">
        <v>11</v>
      </c>
      <c r="B1" s="493"/>
      <c r="C1" s="493"/>
      <c r="D1" s="493"/>
      <c r="E1" s="493"/>
      <c r="F1" s="493"/>
      <c r="G1" s="493"/>
      <c r="H1" s="493"/>
      <c r="I1" s="493"/>
      <c r="J1" s="493"/>
      <c r="K1" s="493"/>
      <c r="L1" s="493"/>
      <c r="M1" s="493"/>
      <c r="N1" s="493"/>
      <c r="O1" s="493"/>
      <c r="P1" s="493"/>
    </row>
    <row r="2" spans="1:16" x14ac:dyDescent="0.25"/>
    <row r="3" spans="1:16" ht="25.5" x14ac:dyDescent="0.25">
      <c r="A3" s="41" t="str">
        <f>[1]ATIVO!A4</f>
        <v>Área</v>
      </c>
      <c r="B3" s="41" t="str">
        <f>[1]ATIVO!B4</f>
        <v>MINISTÉRIO DE MINAS E ENERGIA</v>
      </c>
      <c r="C3" s="5" t="str">
        <f>[1]ATIVO!C4</f>
        <v>Natureza Especial</v>
      </c>
      <c r="D3" s="5" t="str">
        <f>[1]ATIVO!D4</f>
        <v>Ativo Permanente</v>
      </c>
      <c r="E3" s="5" t="str">
        <f>[1]ATIVO!E4</f>
        <v>Requisitado Órgãos</v>
      </c>
      <c r="F3" s="5" t="str">
        <f>[1]ATIVO!F4</f>
        <v>Requisitado Empresas</v>
      </c>
      <c r="G3" s="5" t="str">
        <f>[1]ATIVO!G4</f>
        <v>Sem Vínculo</v>
      </c>
      <c r="H3" s="5" t="str">
        <f>[1]ATIVO!H4</f>
        <v>Exercício Descentralizado</v>
      </c>
      <c r="I3" s="5" t="str">
        <f>[1]ATIVO!I4</f>
        <v>Contrato Temporário</v>
      </c>
      <c r="J3" s="5" t="str">
        <f>[1]ATIVO!J4</f>
        <v>Anistiado</v>
      </c>
      <c r="K3" s="5" t="str">
        <f>[1]ATIVO!K4</f>
        <v>Total</v>
      </c>
      <c r="L3" s="5" t="str">
        <f>[1]ATIVO!L4</f>
        <v>Total Área</v>
      </c>
      <c r="M3" s="5" t="str">
        <f>[1]ATIVO!M4</f>
        <v>Sexo Feminino</v>
      </c>
      <c r="N3" s="5" t="str">
        <f>[1]ATIVO!N4</f>
        <v>Sexo Masculino</v>
      </c>
      <c r="O3" s="5" t="str">
        <f>[1]ATIVO!O4</f>
        <v>Total</v>
      </c>
      <c r="P3" s="5" t="str">
        <f>[1]ATIVO!P4</f>
        <v>Total Área</v>
      </c>
    </row>
    <row r="4" spans="1:16" x14ac:dyDescent="0.25">
      <c r="A4" s="481" t="str">
        <f>[1]ATIVO!A5</f>
        <v>MEIO</v>
      </c>
      <c r="B4" s="6" t="str">
        <f>[1]ATIVO!B5</f>
        <v>Gabinete do Ministro</v>
      </c>
      <c r="C4" s="7">
        <f>[1]ATIVO!C5</f>
        <v>1</v>
      </c>
      <c r="D4" s="7">
        <f>[1]ATIVO!D5</f>
        <v>19</v>
      </c>
      <c r="E4" s="7">
        <f>[1]ATIVO!E5</f>
        <v>13</v>
      </c>
      <c r="F4" s="7">
        <f>[1]ATIVO!F5</f>
        <v>0</v>
      </c>
      <c r="G4" s="7">
        <f>[1]ATIVO!G5</f>
        <v>24</v>
      </c>
      <c r="H4" s="7">
        <f>[1]ATIVO!H5</f>
        <v>0</v>
      </c>
      <c r="I4" s="7">
        <f>[1]ATIVO!I5</f>
        <v>0</v>
      </c>
      <c r="J4" s="7">
        <f>[1]ATIVO!J5</f>
        <v>2</v>
      </c>
      <c r="K4" s="8">
        <f>[1]ATIVO!K5</f>
        <v>59</v>
      </c>
      <c r="L4" s="484">
        <f>[1]ATIVO!L5</f>
        <v>322</v>
      </c>
      <c r="M4" s="9">
        <f>[1]ATIVO!M5</f>
        <v>25</v>
      </c>
      <c r="N4" s="9">
        <f>[1]ATIVO!N5</f>
        <v>34</v>
      </c>
      <c r="O4" s="10">
        <f>[1]ATIVO!O5</f>
        <v>59</v>
      </c>
      <c r="P4" s="480">
        <f>[1]ATIVO!P5</f>
        <v>322</v>
      </c>
    </row>
    <row r="5" spans="1:16" x14ac:dyDescent="0.25">
      <c r="A5" s="482"/>
      <c r="B5" s="6" t="str">
        <f>[1]ATIVO!B6</f>
        <v>Assessoria Econômica</v>
      </c>
      <c r="C5" s="7">
        <f>[1]ATIVO!C6</f>
        <v>0</v>
      </c>
      <c r="D5" s="7">
        <f>[1]ATIVO!D6</f>
        <v>1</v>
      </c>
      <c r="E5" s="7">
        <f>[1]ATIVO!E6</f>
        <v>6</v>
      </c>
      <c r="F5" s="7">
        <f>[1]ATIVO!F6</f>
        <v>0</v>
      </c>
      <c r="G5" s="7">
        <f>[1]ATIVO!G6</f>
        <v>1</v>
      </c>
      <c r="H5" s="7">
        <f>[1]ATIVO!H6</f>
        <v>0</v>
      </c>
      <c r="I5" s="7">
        <f>[1]ATIVO!I6</f>
        <v>0</v>
      </c>
      <c r="J5" s="7">
        <f>[1]ATIVO!J6</f>
        <v>0</v>
      </c>
      <c r="K5" s="8">
        <f>[1]ATIVO!K6</f>
        <v>8</v>
      </c>
      <c r="L5" s="478"/>
      <c r="M5" s="9">
        <f>[1]ATIVO!M6</f>
        <v>5</v>
      </c>
      <c r="N5" s="9">
        <f>[1]ATIVO!N6</f>
        <v>3</v>
      </c>
      <c r="O5" s="10">
        <f>[1]ATIVO!O6</f>
        <v>8</v>
      </c>
      <c r="P5" s="480"/>
    </row>
    <row r="6" spans="1:16" x14ac:dyDescent="0.25">
      <c r="A6" s="482"/>
      <c r="B6" s="6" t="str">
        <f>[1]ATIVO!B7</f>
        <v>Assessoria Especial de Relações Internacionais</v>
      </c>
      <c r="C6" s="7">
        <f>[1]ATIVO!C7</f>
        <v>0</v>
      </c>
      <c r="D6" s="7">
        <f>[1]ATIVO!D7</f>
        <v>1</v>
      </c>
      <c r="E6" s="7">
        <f>[1]ATIVO!E7</f>
        <v>1</v>
      </c>
      <c r="F6" s="7">
        <f>[1]ATIVO!F7</f>
        <v>0</v>
      </c>
      <c r="G6" s="7">
        <f>[1]ATIVO!G7</f>
        <v>2</v>
      </c>
      <c r="H6" s="7">
        <f>[1]ATIVO!H7</f>
        <v>0</v>
      </c>
      <c r="I6" s="7">
        <f>[1]ATIVO!I7</f>
        <v>0</v>
      </c>
      <c r="J6" s="7">
        <f>[1]ATIVO!J7</f>
        <v>0</v>
      </c>
      <c r="K6" s="8">
        <f>[1]ATIVO!K7</f>
        <v>4</v>
      </c>
      <c r="L6" s="478"/>
      <c r="M6" s="9">
        <f>[1]ATIVO!M7</f>
        <v>1</v>
      </c>
      <c r="N6" s="9">
        <f>[1]ATIVO!N7</f>
        <v>3</v>
      </c>
      <c r="O6" s="10">
        <f>[1]ATIVO!O7</f>
        <v>4</v>
      </c>
      <c r="P6" s="480"/>
    </row>
    <row r="7" spans="1:16" x14ac:dyDescent="0.25">
      <c r="A7" s="482"/>
      <c r="B7" s="6" t="str">
        <f>[1]ATIVO!B8</f>
        <v>Assessoria Especial de Controle Interno</v>
      </c>
      <c r="C7" s="7">
        <f>[1]ATIVO!C8</f>
        <v>0</v>
      </c>
      <c r="D7" s="7">
        <f>[1]ATIVO!D8</f>
        <v>1</v>
      </c>
      <c r="E7" s="7">
        <f>[1]ATIVO!E8</f>
        <v>1</v>
      </c>
      <c r="F7" s="7">
        <f>[1]ATIVO!F8</f>
        <v>0</v>
      </c>
      <c r="G7" s="7">
        <f>[1]ATIVO!G8</f>
        <v>2</v>
      </c>
      <c r="H7" s="7">
        <f>[1]ATIVO!H8</f>
        <v>0</v>
      </c>
      <c r="I7" s="7">
        <f>[1]ATIVO!I8</f>
        <v>0</v>
      </c>
      <c r="J7" s="7">
        <f>[1]ATIVO!J8</f>
        <v>0</v>
      </c>
      <c r="K7" s="8">
        <f>[1]ATIVO!K8</f>
        <v>4</v>
      </c>
      <c r="L7" s="478"/>
      <c r="M7" s="9">
        <f>[1]ATIVO!M8</f>
        <v>3</v>
      </c>
      <c r="N7" s="9">
        <f>[1]ATIVO!N8</f>
        <v>1</v>
      </c>
      <c r="O7" s="10">
        <f>[1]ATIVO!O8</f>
        <v>4</v>
      </c>
      <c r="P7" s="480"/>
    </row>
    <row r="8" spans="1:16" x14ac:dyDescent="0.25">
      <c r="A8" s="482"/>
      <c r="B8" s="11" t="str">
        <f>[1]ATIVO!B9</f>
        <v>Assessoria Especial de Acompanhamento de Políticas, Estratégias e Desempenho Setoriais</v>
      </c>
      <c r="C8" s="7">
        <f>[1]ATIVO!C9</f>
        <v>0</v>
      </c>
      <c r="D8" s="7">
        <f>[1]ATIVO!D9</f>
        <v>1</v>
      </c>
      <c r="E8" s="7">
        <f>[1]ATIVO!E9</f>
        <v>0</v>
      </c>
      <c r="F8" s="7">
        <f>[1]ATIVO!F9</f>
        <v>0</v>
      </c>
      <c r="G8" s="7">
        <f>[1]ATIVO!G9</f>
        <v>4</v>
      </c>
      <c r="H8" s="7">
        <f>[1]ATIVO!H9</f>
        <v>0</v>
      </c>
      <c r="I8" s="7">
        <f>[1]ATIVO!I9</f>
        <v>0</v>
      </c>
      <c r="J8" s="7">
        <f>[1]ATIVO!J9</f>
        <v>0</v>
      </c>
      <c r="K8" s="8">
        <f>[1]ATIVO!K9</f>
        <v>5</v>
      </c>
      <c r="L8" s="478"/>
      <c r="M8" s="9">
        <f>[1]ATIVO!M9</f>
        <v>0</v>
      </c>
      <c r="N8" s="9">
        <f>[1]ATIVO!N9</f>
        <v>5</v>
      </c>
      <c r="O8" s="10">
        <f>[1]ATIVO!O9</f>
        <v>5</v>
      </c>
      <c r="P8" s="480"/>
    </row>
    <row r="9" spans="1:16" x14ac:dyDescent="0.25">
      <c r="A9" s="482"/>
      <c r="B9" s="6" t="str">
        <f>[1]ATIVO!B10</f>
        <v>Consultoria Jurídica</v>
      </c>
      <c r="C9" s="7">
        <f>[1]ATIVO!C10</f>
        <v>0</v>
      </c>
      <c r="D9" s="7">
        <f>[1]ATIVO!D10</f>
        <v>3</v>
      </c>
      <c r="E9" s="7">
        <f>[1]ATIVO!E10</f>
        <v>0</v>
      </c>
      <c r="F9" s="7">
        <f>[1]ATIVO!F10</f>
        <v>0</v>
      </c>
      <c r="G9" s="7">
        <f>[1]ATIVO!G10</f>
        <v>7</v>
      </c>
      <c r="H9" s="7">
        <f>[1]ATIVO!H10</f>
        <v>11</v>
      </c>
      <c r="I9" s="7">
        <f>[1]ATIVO!I10</f>
        <v>0</v>
      </c>
      <c r="J9" s="7">
        <f>[1]ATIVO!J10</f>
        <v>0</v>
      </c>
      <c r="K9" s="8">
        <f>[1]ATIVO!K10</f>
        <v>21</v>
      </c>
      <c r="L9" s="478"/>
      <c r="M9" s="9">
        <f>[1]ATIVO!M10</f>
        <v>8</v>
      </c>
      <c r="N9" s="9">
        <f>[1]ATIVO!N10</f>
        <v>13</v>
      </c>
      <c r="O9" s="10">
        <f>[1]ATIVO!O10</f>
        <v>21</v>
      </c>
      <c r="P9" s="480"/>
    </row>
    <row r="10" spans="1:16" x14ac:dyDescent="0.25">
      <c r="A10" s="483"/>
      <c r="B10" s="6" t="str">
        <f>[1]ATIVO!B11</f>
        <v>Secretaria Executiva</v>
      </c>
      <c r="C10" s="7">
        <f>[1]ATIVO!C11</f>
        <v>1</v>
      </c>
      <c r="D10" s="7">
        <f>[1]ATIVO!D11</f>
        <v>90</v>
      </c>
      <c r="E10" s="7">
        <f>[1]ATIVO!E11</f>
        <v>28</v>
      </c>
      <c r="F10" s="7">
        <f>[1]ATIVO!F11</f>
        <v>1</v>
      </c>
      <c r="G10" s="7">
        <f>[1]ATIVO!G11</f>
        <v>29</v>
      </c>
      <c r="H10" s="7">
        <f>[1]ATIVO!H11</f>
        <v>19</v>
      </c>
      <c r="I10" s="7">
        <f>[1]ATIVO!I11</f>
        <v>3</v>
      </c>
      <c r="J10" s="7">
        <f>[1]ATIVO!J11</f>
        <v>50</v>
      </c>
      <c r="K10" s="8">
        <f>[1]ATIVO!K11</f>
        <v>221</v>
      </c>
      <c r="L10" s="479"/>
      <c r="M10" s="9">
        <f>[1]ATIVO!M11</f>
        <v>107</v>
      </c>
      <c r="N10" s="9">
        <f>[1]ATIVO!N11</f>
        <v>114</v>
      </c>
      <c r="O10" s="10">
        <f>[1]ATIVO!O11</f>
        <v>221</v>
      </c>
      <c r="P10" s="480"/>
    </row>
    <row r="11" spans="1:16" x14ac:dyDescent="0.25">
      <c r="A11" s="481" t="str">
        <f>[1]ATIVO!A12</f>
        <v>FINALISTICA</v>
      </c>
      <c r="B11" s="6" t="str">
        <f>[1]ATIVO!B12</f>
        <v>Secretaria de Geologia, Mineração e Transformação Mineral</v>
      </c>
      <c r="C11" s="7">
        <f>[1]ATIVO!C12</f>
        <v>0</v>
      </c>
      <c r="D11" s="7">
        <f>[1]ATIVO!D12</f>
        <v>5</v>
      </c>
      <c r="E11" s="7">
        <f>[1]ATIVO!E12</f>
        <v>3</v>
      </c>
      <c r="F11" s="7">
        <f>[1]ATIVO!F12</f>
        <v>0</v>
      </c>
      <c r="G11" s="7">
        <f>[1]ATIVO!G12</f>
        <v>18</v>
      </c>
      <c r="H11" s="7">
        <f>[1]ATIVO!H12</f>
        <v>8</v>
      </c>
      <c r="I11" s="7">
        <f>[1]ATIVO!I12</f>
        <v>0</v>
      </c>
      <c r="J11" s="7">
        <f>[1]ATIVO!J12</f>
        <v>5</v>
      </c>
      <c r="K11" s="8">
        <f>[1]ATIVO!K12</f>
        <v>39</v>
      </c>
      <c r="L11" s="484">
        <f>[1]ATIVO!L12</f>
        <v>168</v>
      </c>
      <c r="M11" s="9">
        <f>[1]ATIVO!M12</f>
        <v>19</v>
      </c>
      <c r="N11" s="9">
        <f>[1]ATIVO!N12</f>
        <v>20</v>
      </c>
      <c r="O11" s="10">
        <f>[1]ATIVO!O12</f>
        <v>39</v>
      </c>
      <c r="P11" s="480">
        <f>[1]ATIVO!P12</f>
        <v>168</v>
      </c>
    </row>
    <row r="12" spans="1:16" x14ac:dyDescent="0.25">
      <c r="A12" s="482"/>
      <c r="B12" s="6" t="str">
        <f>[1]ATIVO!B13</f>
        <v>Secretaria de Planejamento e Desenvolvimento Energético</v>
      </c>
      <c r="C12" s="7">
        <f>[1]ATIVO!C13</f>
        <v>0</v>
      </c>
      <c r="D12" s="7">
        <f>[1]ATIVO!D13</f>
        <v>7</v>
      </c>
      <c r="E12" s="7">
        <f>[1]ATIVO!E13</f>
        <v>7</v>
      </c>
      <c r="F12" s="7">
        <f>[1]ATIVO!F13</f>
        <v>0</v>
      </c>
      <c r="G12" s="7">
        <f>[1]ATIVO!G13</f>
        <v>12</v>
      </c>
      <c r="H12" s="7">
        <f>[1]ATIVO!H13</f>
        <v>15</v>
      </c>
      <c r="I12" s="7">
        <f>[1]ATIVO!I13</f>
        <v>0</v>
      </c>
      <c r="J12" s="7">
        <f>[1]ATIVO!J13</f>
        <v>4</v>
      </c>
      <c r="K12" s="8">
        <f>[1]ATIVO!K13</f>
        <v>45</v>
      </c>
      <c r="L12" s="478"/>
      <c r="M12" s="9">
        <f>[1]ATIVO!M13</f>
        <v>19</v>
      </c>
      <c r="N12" s="9">
        <f>[1]ATIVO!N13</f>
        <v>26</v>
      </c>
      <c r="O12" s="10">
        <f>[1]ATIVO!O13</f>
        <v>45</v>
      </c>
      <c r="P12" s="480"/>
    </row>
    <row r="13" spans="1:16" x14ac:dyDescent="0.25">
      <c r="A13" s="482"/>
      <c r="B13" s="6" t="str">
        <f>[1]ATIVO!B14</f>
        <v>Secretaria de Petróleo, Gás Natural e Biocombustíveis</v>
      </c>
      <c r="C13" s="7">
        <f>[1]ATIVO!C14</f>
        <v>0</v>
      </c>
      <c r="D13" s="7">
        <f>[1]ATIVO!D14</f>
        <v>2</v>
      </c>
      <c r="E13" s="7">
        <f>[1]ATIVO!E14</f>
        <v>9</v>
      </c>
      <c r="F13" s="7">
        <f>[1]ATIVO!F14</f>
        <v>0</v>
      </c>
      <c r="G13" s="7">
        <f>[1]ATIVO!G14</f>
        <v>5</v>
      </c>
      <c r="H13" s="7">
        <f>[1]ATIVO!H14</f>
        <v>16</v>
      </c>
      <c r="I13" s="7">
        <f>[1]ATIVO!I14</f>
        <v>0</v>
      </c>
      <c r="J13" s="7">
        <f>[1]ATIVO!J14</f>
        <v>0</v>
      </c>
      <c r="K13" s="8">
        <f>[1]ATIVO!K14</f>
        <v>32</v>
      </c>
      <c r="L13" s="478"/>
      <c r="M13" s="9">
        <f>[1]ATIVO!M14</f>
        <v>9</v>
      </c>
      <c r="N13" s="9">
        <f>[1]ATIVO!N14</f>
        <v>23</v>
      </c>
      <c r="O13" s="10">
        <f>[1]ATIVO!O14</f>
        <v>32</v>
      </c>
      <c r="P13" s="480"/>
    </row>
    <row r="14" spans="1:16" x14ac:dyDescent="0.25">
      <c r="A14" s="483"/>
      <c r="B14" s="6" t="str">
        <f>[1]ATIVO!B15</f>
        <v>Secretaria de Energia Elétrica</v>
      </c>
      <c r="C14" s="7">
        <f>[1]ATIVO!C15</f>
        <v>0</v>
      </c>
      <c r="D14" s="7">
        <f>[1]ATIVO!D15</f>
        <v>2</v>
      </c>
      <c r="E14" s="7">
        <f>[1]ATIVO!E15</f>
        <v>3</v>
      </c>
      <c r="F14" s="7">
        <f>[1]ATIVO!F15</f>
        <v>4</v>
      </c>
      <c r="G14" s="7">
        <f>[1]ATIVO!G15</f>
        <v>15</v>
      </c>
      <c r="H14" s="7">
        <f>[1]ATIVO!H15</f>
        <v>19</v>
      </c>
      <c r="I14" s="7">
        <f>[1]ATIVO!I15</f>
        <v>0</v>
      </c>
      <c r="J14" s="7">
        <f>[1]ATIVO!J15</f>
        <v>9</v>
      </c>
      <c r="K14" s="8">
        <f>[1]ATIVO!K15</f>
        <v>52</v>
      </c>
      <c r="L14" s="479"/>
      <c r="M14" s="9">
        <f>[1]ATIVO!M15</f>
        <v>18</v>
      </c>
      <c r="N14" s="9">
        <f>[1]ATIVO!N15</f>
        <v>34</v>
      </c>
      <c r="O14" s="10">
        <f>[1]ATIVO!O15</f>
        <v>52</v>
      </c>
      <c r="P14" s="480"/>
    </row>
    <row r="15" spans="1:16" x14ac:dyDescent="0.25">
      <c r="A15" s="18"/>
      <c r="B15" s="12" t="str">
        <f>[1]ATIVO!B16</f>
        <v>TOTAL</v>
      </c>
      <c r="C15" s="8">
        <f>[1]ATIVO!C16</f>
        <v>2</v>
      </c>
      <c r="D15" s="8">
        <f>[1]ATIVO!D16</f>
        <v>132</v>
      </c>
      <c r="E15" s="8">
        <f>[1]ATIVO!E16</f>
        <v>71</v>
      </c>
      <c r="F15" s="8">
        <f>[1]ATIVO!F16</f>
        <v>5</v>
      </c>
      <c r="G15" s="8">
        <f>[1]ATIVO!G16</f>
        <v>119</v>
      </c>
      <c r="H15" s="8">
        <f>[1]ATIVO!H16</f>
        <v>88</v>
      </c>
      <c r="I15" s="8">
        <f>[1]ATIVO!I16</f>
        <v>3</v>
      </c>
      <c r="J15" s="8">
        <f>[1]ATIVO!J16</f>
        <v>70</v>
      </c>
      <c r="K15" s="8">
        <f>[1]ATIVO!K16</f>
        <v>490</v>
      </c>
      <c r="L15" s="8">
        <f>[1]ATIVO!L16</f>
        <v>490</v>
      </c>
      <c r="M15" s="8">
        <f>[1]ATIVO!M16</f>
        <v>214</v>
      </c>
      <c r="N15" s="8">
        <f>[1]ATIVO!N16</f>
        <v>276</v>
      </c>
      <c r="O15" s="8">
        <f>[1]ATIVO!O16</f>
        <v>490</v>
      </c>
      <c r="P15" s="13">
        <f>[1]ATIVO!P16</f>
        <v>490</v>
      </c>
    </row>
    <row r="16" spans="1:16" x14ac:dyDescent="0.25">
      <c r="A16" s="40"/>
      <c r="B16" s="14" t="str">
        <f>[1]ATIVO!B17</f>
        <v>Aguardando Exercício</v>
      </c>
      <c r="C16" s="15">
        <f>[1]ATIVO!C17</f>
        <v>0</v>
      </c>
      <c r="D16" s="15">
        <f>[1]ATIVO!D17</f>
        <v>5</v>
      </c>
      <c r="E16" s="15">
        <f>[1]ATIVO!E17</f>
        <v>0</v>
      </c>
      <c r="F16" s="15">
        <f>[1]ATIVO!F17</f>
        <v>0</v>
      </c>
      <c r="G16" s="15">
        <f>[1]ATIVO!G17</f>
        <v>0</v>
      </c>
      <c r="H16" s="15">
        <f>[1]ATIVO!H17</f>
        <v>0</v>
      </c>
      <c r="I16" s="15">
        <f>[1]ATIVO!I17</f>
        <v>0</v>
      </c>
      <c r="J16" s="15">
        <f>[1]ATIVO!J17</f>
        <v>22</v>
      </c>
      <c r="K16" s="15">
        <f>[1]ATIVO!K17</f>
        <v>27</v>
      </c>
      <c r="L16" s="15">
        <f>[1]ATIVO!L17</f>
        <v>517</v>
      </c>
      <c r="M16" s="16">
        <f>[1]ATIVO!M17</f>
        <v>10</v>
      </c>
      <c r="N16" s="16">
        <f>[1]ATIVO!N17</f>
        <v>17</v>
      </c>
      <c r="O16" s="16">
        <f>[1]ATIVO!O17</f>
        <v>27</v>
      </c>
      <c r="P16" s="17">
        <f>[1]ATIVO!P17</f>
        <v>517</v>
      </c>
    </row>
    <row r="17" spans="1:16" x14ac:dyDescent="0.25">
      <c r="A17" s="18"/>
      <c r="B17" s="18"/>
      <c r="C17" s="18"/>
      <c r="D17" s="18"/>
      <c r="E17" s="18"/>
      <c r="F17" s="18"/>
      <c r="G17" s="18"/>
      <c r="H17" s="18"/>
      <c r="I17" s="18"/>
      <c r="J17" s="18"/>
      <c r="K17" s="18"/>
      <c r="L17" s="18"/>
      <c r="M17" s="19"/>
      <c r="N17" s="19"/>
      <c r="O17" s="19"/>
      <c r="P17" s="19"/>
    </row>
    <row r="18" spans="1:16" ht="25.5" x14ac:dyDescent="0.25">
      <c r="A18" s="41" t="str">
        <f>[1]ATIVO!A19</f>
        <v>Área</v>
      </c>
      <c r="B18" s="41" t="str">
        <f>[1]ATIVO!B19</f>
        <v>GABINETE DO MINISTRO</v>
      </c>
      <c r="C18" s="5" t="str">
        <f>[1]ATIVO!C19</f>
        <v>Natureza Especial</v>
      </c>
      <c r="D18" s="5" t="str">
        <f>[1]ATIVO!D19</f>
        <v>Ativo Permanente</v>
      </c>
      <c r="E18" s="5" t="str">
        <f>[1]ATIVO!E19</f>
        <v>Requisitado Órgãos</v>
      </c>
      <c r="F18" s="5" t="str">
        <f>[1]ATIVO!F19</f>
        <v>Requisitado Empresas</v>
      </c>
      <c r="G18" s="5" t="str">
        <f>[1]ATIVO!G19</f>
        <v>Sem Vínculo</v>
      </c>
      <c r="H18" s="5" t="str">
        <f>[1]ATIVO!H19</f>
        <v>Exercício Descentralizado</v>
      </c>
      <c r="I18" s="5" t="str">
        <f>[1]ATIVO!I19</f>
        <v>Contrato Temporário</v>
      </c>
      <c r="J18" s="5" t="str">
        <f>[1]ATIVO!J19</f>
        <v>Anistiado</v>
      </c>
      <c r="K18" s="5" t="str">
        <f>[1]ATIVO!K19</f>
        <v>Total</v>
      </c>
      <c r="L18" s="5" t="str">
        <f>[1]ATIVO!L19</f>
        <v>Total Área</v>
      </c>
      <c r="M18" s="5" t="str">
        <f>[1]ATIVO!M19</f>
        <v>Sexo Feminino</v>
      </c>
      <c r="N18" s="5" t="str">
        <f>[1]ATIVO!N19</f>
        <v>Sexo Masculino</v>
      </c>
      <c r="O18" s="5" t="str">
        <f>[1]ATIVO!O19</f>
        <v>Total</v>
      </c>
      <c r="P18" s="5" t="str">
        <f>[1]ATIVO!P19</f>
        <v>Total Área</v>
      </c>
    </row>
    <row r="19" spans="1:16" x14ac:dyDescent="0.25">
      <c r="A19" s="481" t="str">
        <f>[1]ATIVO!A22</f>
        <v>MEIO</v>
      </c>
      <c r="B19" s="6" t="str">
        <f>[1]ATIVO!B20</f>
        <v xml:space="preserve">          Chefia de Gabinete</v>
      </c>
      <c r="C19" s="20">
        <f>[1]ATIVO!C20</f>
        <v>1</v>
      </c>
      <c r="D19" s="7">
        <f>[1]ATIVO!D20</f>
        <v>0</v>
      </c>
      <c r="E19" s="7">
        <f>[1]ATIVO!E20</f>
        <v>9</v>
      </c>
      <c r="F19" s="7">
        <f>[1]ATIVO!F20</f>
        <v>0</v>
      </c>
      <c r="G19" s="7">
        <f>[1]ATIVO!G20</f>
        <v>3</v>
      </c>
      <c r="H19" s="7">
        <f>[1]ATIVO!H20</f>
        <v>0</v>
      </c>
      <c r="I19" s="7">
        <f>[1]ATIVO!I20</f>
        <v>0</v>
      </c>
      <c r="J19" s="7">
        <f>[1]ATIVO!J20</f>
        <v>0</v>
      </c>
      <c r="K19" s="8">
        <f>[1]ATIVO!K20</f>
        <v>13</v>
      </c>
      <c r="L19" s="478">
        <f>[1]ATIVO!L20</f>
        <v>59</v>
      </c>
      <c r="M19" s="21">
        <f>[1]ATIVO!M20</f>
        <v>5</v>
      </c>
      <c r="N19" s="21">
        <f>[1]ATIVO!N20</f>
        <v>8</v>
      </c>
      <c r="O19" s="22">
        <f>[1]ATIVO!O20</f>
        <v>13</v>
      </c>
      <c r="P19" s="480">
        <f>[1]ATIVO!P20</f>
        <v>59</v>
      </c>
    </row>
    <row r="20" spans="1:16" x14ac:dyDescent="0.25">
      <c r="A20" s="482"/>
      <c r="B20" s="6" t="str">
        <f>[1]ATIVO!B21</f>
        <v xml:space="preserve">          Assessoria Técnica Administrativa</v>
      </c>
      <c r="C20" s="20">
        <f>[1]ATIVO!C21</f>
        <v>0</v>
      </c>
      <c r="D20" s="7">
        <f>[1]ATIVO!D21</f>
        <v>16</v>
      </c>
      <c r="E20" s="7">
        <f>[1]ATIVO!E21</f>
        <v>0</v>
      </c>
      <c r="F20" s="7">
        <f>[1]ATIVO!F21</f>
        <v>0</v>
      </c>
      <c r="G20" s="7">
        <f>[1]ATIVO!G21</f>
        <v>3</v>
      </c>
      <c r="H20" s="7">
        <f>[1]ATIVO!H21</f>
        <v>0</v>
      </c>
      <c r="I20" s="7">
        <f>[1]ATIVO!I21</f>
        <v>0</v>
      </c>
      <c r="J20" s="7">
        <f>[1]ATIVO!J21</f>
        <v>1</v>
      </c>
      <c r="K20" s="8">
        <f>[1]ATIVO!K21</f>
        <v>20</v>
      </c>
      <c r="L20" s="478"/>
      <c r="M20" s="23">
        <f>[1]ATIVO!M21</f>
        <v>3</v>
      </c>
      <c r="N20" s="23">
        <f>[1]ATIVO!N21</f>
        <v>17</v>
      </c>
      <c r="O20" s="22">
        <f>[1]ATIVO!O21</f>
        <v>20</v>
      </c>
      <c r="P20" s="480"/>
    </row>
    <row r="21" spans="1:16" ht="15" customHeight="1" x14ac:dyDescent="0.25">
      <c r="A21" s="482"/>
      <c r="B21" s="6" t="str">
        <f>[1]ATIVO!B22</f>
        <v xml:space="preserve">          Assessoria Parlamentar</v>
      </c>
      <c r="C21" s="20">
        <f>[1]ATIVO!C22</f>
        <v>0</v>
      </c>
      <c r="D21" s="7">
        <f>[1]ATIVO!D22</f>
        <v>0</v>
      </c>
      <c r="E21" s="7">
        <f>[1]ATIVO!E22</f>
        <v>0</v>
      </c>
      <c r="F21" s="7">
        <f>[1]ATIVO!F22</f>
        <v>0</v>
      </c>
      <c r="G21" s="7">
        <f>[1]ATIVO!G22</f>
        <v>8</v>
      </c>
      <c r="H21" s="7">
        <f>[1]ATIVO!H22</f>
        <v>0</v>
      </c>
      <c r="I21" s="7">
        <f>[1]ATIVO!I22</f>
        <v>0</v>
      </c>
      <c r="J21" s="7">
        <f>[1]ATIVO!J22</f>
        <v>0</v>
      </c>
      <c r="K21" s="8">
        <f>[1]ATIVO!K22</f>
        <v>8</v>
      </c>
      <c r="L21" s="478"/>
      <c r="M21" s="21">
        <f>[1]ATIVO!M22</f>
        <v>6</v>
      </c>
      <c r="N21" s="21">
        <f>[1]ATIVO!N22</f>
        <v>2</v>
      </c>
      <c r="O21" s="22">
        <f>[1]ATIVO!O22</f>
        <v>8</v>
      </c>
      <c r="P21" s="480"/>
    </row>
    <row r="22" spans="1:16" x14ac:dyDescent="0.25">
      <c r="A22" s="482"/>
      <c r="B22" s="6" t="str">
        <f>[1]ATIVO!B23</f>
        <v xml:space="preserve">          Assessoria de Comunicação Social</v>
      </c>
      <c r="C22" s="20">
        <f>[1]ATIVO!C23</f>
        <v>0</v>
      </c>
      <c r="D22" s="7">
        <f>[1]ATIVO!D23</f>
        <v>1</v>
      </c>
      <c r="E22" s="7">
        <f>[1]ATIVO!E23</f>
        <v>1</v>
      </c>
      <c r="F22" s="7">
        <f>[1]ATIVO!F23</f>
        <v>0</v>
      </c>
      <c r="G22" s="7">
        <f>[1]ATIVO!G23</f>
        <v>6</v>
      </c>
      <c r="H22" s="7">
        <f>[1]ATIVO!H23</f>
        <v>0</v>
      </c>
      <c r="I22" s="7">
        <f>[1]ATIVO!I23</f>
        <v>0</v>
      </c>
      <c r="J22" s="7">
        <f>[1]ATIVO!J23</f>
        <v>1</v>
      </c>
      <c r="K22" s="8">
        <f>[1]ATIVO!K23</f>
        <v>9</v>
      </c>
      <c r="L22" s="478"/>
      <c r="M22" s="21">
        <f>[1]ATIVO!M23</f>
        <v>4</v>
      </c>
      <c r="N22" s="21">
        <f>[1]ATIVO!N23</f>
        <v>5</v>
      </c>
      <c r="O22" s="22">
        <f>[1]ATIVO!O23</f>
        <v>9</v>
      </c>
      <c r="P22" s="480"/>
    </row>
    <row r="23" spans="1:16" x14ac:dyDescent="0.25">
      <c r="A23" s="482"/>
      <c r="B23" s="6" t="str">
        <f>[1]ATIVO!B24</f>
        <v xml:space="preserve">          Ouvidoria-Geral</v>
      </c>
      <c r="C23" s="20">
        <f>[1]ATIVO!C24</f>
        <v>0</v>
      </c>
      <c r="D23" s="7">
        <f>[1]ATIVO!D24</f>
        <v>2</v>
      </c>
      <c r="E23" s="7">
        <f>[1]ATIVO!E24</f>
        <v>1</v>
      </c>
      <c r="F23" s="7">
        <f>[1]ATIVO!F24</f>
        <v>0</v>
      </c>
      <c r="G23" s="7">
        <f>[1]ATIVO!G24</f>
        <v>1</v>
      </c>
      <c r="H23" s="7">
        <f>[1]ATIVO!H24</f>
        <v>0</v>
      </c>
      <c r="I23" s="7">
        <f>[1]ATIVO!I24</f>
        <v>0</v>
      </c>
      <c r="J23" s="7">
        <f>[1]ATIVO!J24</f>
        <v>0</v>
      </c>
      <c r="K23" s="8">
        <f>[1]ATIVO!K24</f>
        <v>4</v>
      </c>
      <c r="L23" s="478"/>
      <c r="M23" s="21">
        <f>[1]ATIVO!M24</f>
        <v>2</v>
      </c>
      <c r="N23" s="21">
        <f>[1]ATIVO!N24</f>
        <v>2</v>
      </c>
      <c r="O23" s="22">
        <f>[1]ATIVO!O24</f>
        <v>4</v>
      </c>
      <c r="P23" s="480"/>
    </row>
    <row r="24" spans="1:16" x14ac:dyDescent="0.25">
      <c r="A24" s="483"/>
      <c r="B24" s="24" t="str">
        <f>[1]ATIVO!B25</f>
        <v xml:space="preserve">          Assessoria de Apoio ao Ministro</v>
      </c>
      <c r="C24" s="7">
        <f>[1]ATIVO!C25</f>
        <v>0</v>
      </c>
      <c r="D24" s="7">
        <f>[1]ATIVO!D25</f>
        <v>0</v>
      </c>
      <c r="E24" s="7">
        <f>[1]ATIVO!E25</f>
        <v>2</v>
      </c>
      <c r="F24" s="7">
        <f>[1]ATIVO!F25</f>
        <v>0</v>
      </c>
      <c r="G24" s="7">
        <f>[1]ATIVO!G25</f>
        <v>3</v>
      </c>
      <c r="H24" s="7">
        <f>[1]ATIVO!H25</f>
        <v>0</v>
      </c>
      <c r="I24" s="7">
        <f>[1]ATIVO!I25</f>
        <v>0</v>
      </c>
      <c r="J24" s="7">
        <f>[1]ATIVO!J25</f>
        <v>0</v>
      </c>
      <c r="K24" s="8">
        <f>[1]ATIVO!K25</f>
        <v>5</v>
      </c>
      <c r="L24" s="479"/>
      <c r="M24" s="21">
        <f>[1]ATIVO!M25</f>
        <v>5</v>
      </c>
      <c r="N24" s="21">
        <f>[1]ATIVO!N25</f>
        <v>0</v>
      </c>
      <c r="O24" s="22">
        <f>[1]ATIVO!O25</f>
        <v>5</v>
      </c>
      <c r="P24" s="480"/>
    </row>
    <row r="25" spans="1:16" x14ac:dyDescent="0.25">
      <c r="A25" s="18"/>
      <c r="B25" s="12" t="str">
        <f>[1]ATIVO!B26</f>
        <v>TOTAL</v>
      </c>
      <c r="C25" s="8">
        <f>[1]ATIVO!C26</f>
        <v>1</v>
      </c>
      <c r="D25" s="8">
        <f>[1]ATIVO!D26</f>
        <v>19</v>
      </c>
      <c r="E25" s="8">
        <f>[1]ATIVO!E26</f>
        <v>13</v>
      </c>
      <c r="F25" s="8">
        <f>[1]ATIVO!F26</f>
        <v>0</v>
      </c>
      <c r="G25" s="8">
        <f>[1]ATIVO!G26</f>
        <v>24</v>
      </c>
      <c r="H25" s="8">
        <f>[1]ATIVO!H26</f>
        <v>0</v>
      </c>
      <c r="I25" s="8">
        <f>[1]ATIVO!I26</f>
        <v>0</v>
      </c>
      <c r="J25" s="8">
        <f>[1]ATIVO!J26</f>
        <v>2</v>
      </c>
      <c r="K25" s="8">
        <f>[1]ATIVO!K26</f>
        <v>59</v>
      </c>
      <c r="L25" s="8">
        <f>[1]ATIVO!L26</f>
        <v>59</v>
      </c>
      <c r="M25" s="8">
        <f>[1]ATIVO!M26</f>
        <v>25</v>
      </c>
      <c r="N25" s="8">
        <f>[1]ATIVO!N26</f>
        <v>34</v>
      </c>
      <c r="O25" s="8">
        <f>[1]ATIVO!O26</f>
        <v>59</v>
      </c>
      <c r="P25" s="13">
        <f>[1]ATIVO!P26</f>
        <v>59</v>
      </c>
    </row>
    <row r="26" spans="1:16" x14ac:dyDescent="0.25">
      <c r="A26" s="18"/>
      <c r="B26" s="18"/>
      <c r="C26" s="18"/>
      <c r="D26" s="18"/>
      <c r="E26" s="18"/>
      <c r="F26" s="18"/>
      <c r="G26" s="18"/>
      <c r="H26" s="18"/>
      <c r="I26" s="18"/>
      <c r="J26" s="18"/>
      <c r="K26" s="25"/>
      <c r="L26" s="18"/>
      <c r="M26" s="19"/>
      <c r="N26" s="19"/>
      <c r="O26" s="19"/>
      <c r="P26" s="19"/>
    </row>
    <row r="27" spans="1:16" ht="25.5" customHeight="1" x14ac:dyDescent="0.25">
      <c r="A27" s="41" t="str">
        <f>[1]ATIVO!A28</f>
        <v>Área</v>
      </c>
      <c r="B27" s="41" t="str">
        <f>[1]ATIVO!B28</f>
        <v>ASSESSORIA ESPECIAL DE RELAÇÕES INTERNACIONAIS</v>
      </c>
      <c r="C27" s="5" t="str">
        <f>[1]ATIVO!C28</f>
        <v>Natureza Especial</v>
      </c>
      <c r="D27" s="5" t="str">
        <f>[1]ATIVO!D28</f>
        <v>Ativo Permanente</v>
      </c>
      <c r="E27" s="5" t="str">
        <f>[1]ATIVO!E28</f>
        <v>Requisitado Órgãos</v>
      </c>
      <c r="F27" s="5" t="str">
        <f>[1]ATIVO!F28</f>
        <v>Requisitado Empresas</v>
      </c>
      <c r="G27" s="5" t="str">
        <f>[1]ATIVO!G28</f>
        <v>Sem Vínculo</v>
      </c>
      <c r="H27" s="5" t="str">
        <f>[1]ATIVO!H28</f>
        <v>Exercício Descentralizado</v>
      </c>
      <c r="I27" s="5" t="str">
        <f>[1]ATIVO!I28</f>
        <v>Contrato Temporário</v>
      </c>
      <c r="J27" s="5" t="str">
        <f>[1]ATIVO!J28</f>
        <v>Anistiado</v>
      </c>
      <c r="K27" s="5" t="str">
        <f>[1]ATIVO!K28</f>
        <v>Total</v>
      </c>
      <c r="L27" s="5" t="str">
        <f>[1]ATIVO!L28</f>
        <v>Total Área</v>
      </c>
      <c r="M27" s="5" t="str">
        <f>[1]ATIVO!M28</f>
        <v>Sexo Feminino</v>
      </c>
      <c r="N27" s="5" t="str">
        <f>[1]ATIVO!N28</f>
        <v>Sexo Masculino</v>
      </c>
      <c r="O27" s="5" t="str">
        <f>[1]ATIVO!O28</f>
        <v>Total</v>
      </c>
      <c r="P27" s="5" t="str">
        <f>[1]ATIVO!P28</f>
        <v>Total Área</v>
      </c>
    </row>
    <row r="28" spans="1:16" x14ac:dyDescent="0.25">
      <c r="A28" s="12" t="str">
        <f>[1]ATIVO!A29</f>
        <v>MEIO</v>
      </c>
      <c r="B28" s="6" t="str">
        <f>[1]ATIVO!B29</f>
        <v xml:space="preserve">          Assessoria Especial de Relações Internacionais</v>
      </c>
      <c r="C28" s="20">
        <f>[1]ATIVO!C29</f>
        <v>0</v>
      </c>
      <c r="D28" s="7">
        <f>[1]ATIVO!D29</f>
        <v>1</v>
      </c>
      <c r="E28" s="7">
        <f>[1]ATIVO!E29</f>
        <v>1</v>
      </c>
      <c r="F28" s="7">
        <f>[1]ATIVO!F29</f>
        <v>0</v>
      </c>
      <c r="G28" s="7">
        <f>[1]ATIVO!G29</f>
        <v>2</v>
      </c>
      <c r="H28" s="7">
        <f>[1]ATIVO!H29</f>
        <v>0</v>
      </c>
      <c r="I28" s="7">
        <f>[1]ATIVO!I29</f>
        <v>0</v>
      </c>
      <c r="J28" s="7">
        <f>[1]ATIVO!J29</f>
        <v>0</v>
      </c>
      <c r="K28" s="8">
        <f>[1]ATIVO!K29</f>
        <v>4</v>
      </c>
      <c r="L28" s="26">
        <f>[1]ATIVO!L29</f>
        <v>4</v>
      </c>
      <c r="M28" s="21">
        <f>[1]ATIVO!M29</f>
        <v>1</v>
      </c>
      <c r="N28" s="21">
        <f>[1]ATIVO!N29</f>
        <v>3</v>
      </c>
      <c r="O28" s="22">
        <f>[1]ATIVO!O29</f>
        <v>4</v>
      </c>
      <c r="P28" s="22">
        <f>[1]ATIVO!P29</f>
        <v>4</v>
      </c>
    </row>
    <row r="29" spans="1:16" x14ac:dyDescent="0.25">
      <c r="A29" s="18"/>
      <c r="B29" s="12" t="str">
        <f>[1]ATIVO!B30</f>
        <v>TOTAL</v>
      </c>
      <c r="C29" s="8">
        <f>[1]ATIVO!C30</f>
        <v>0</v>
      </c>
      <c r="D29" s="8">
        <f>[1]ATIVO!D30</f>
        <v>1</v>
      </c>
      <c r="E29" s="8">
        <f>[1]ATIVO!E30</f>
        <v>1</v>
      </c>
      <c r="F29" s="8">
        <f>[1]ATIVO!F30</f>
        <v>0</v>
      </c>
      <c r="G29" s="8">
        <f>[1]ATIVO!G30</f>
        <v>2</v>
      </c>
      <c r="H29" s="8">
        <f>[1]ATIVO!H30</f>
        <v>0</v>
      </c>
      <c r="I29" s="8">
        <f>[1]ATIVO!I30</f>
        <v>0</v>
      </c>
      <c r="J29" s="8">
        <f>[1]ATIVO!J30</f>
        <v>0</v>
      </c>
      <c r="K29" s="8">
        <f>[1]ATIVO!K30</f>
        <v>4</v>
      </c>
      <c r="L29" s="8">
        <f>[1]ATIVO!L30</f>
        <v>4</v>
      </c>
      <c r="M29" s="8">
        <f>[1]ATIVO!M30</f>
        <v>1</v>
      </c>
      <c r="N29" s="8">
        <f>[1]ATIVO!N30</f>
        <v>3</v>
      </c>
      <c r="O29" s="8">
        <f>[1]ATIVO!O30</f>
        <v>4</v>
      </c>
      <c r="P29" s="13">
        <f>[1]ATIVO!P30</f>
        <v>4</v>
      </c>
    </row>
    <row r="30" spans="1:16" x14ac:dyDescent="0.25">
      <c r="A30" s="18"/>
      <c r="B30" s="18"/>
      <c r="C30" s="18"/>
      <c r="D30" s="18"/>
      <c r="E30" s="18"/>
      <c r="F30" s="18"/>
      <c r="G30" s="18"/>
      <c r="H30" s="18"/>
      <c r="I30" s="18"/>
      <c r="J30" s="18"/>
      <c r="K30" s="18"/>
      <c r="L30" s="18"/>
      <c r="M30" s="19"/>
      <c r="N30" s="19"/>
      <c r="O30" s="19"/>
      <c r="P30" s="19"/>
    </row>
    <row r="31" spans="1:16" ht="25.5" customHeight="1" x14ac:dyDescent="0.25">
      <c r="A31" s="41" t="str">
        <f>[1]ATIVO!A32</f>
        <v>Área</v>
      </c>
      <c r="B31" s="42" t="str">
        <f>[1]ATIVO!B32</f>
        <v>ASSESSORIA ESPECIAL DE ACOMPANHAMENTO DE POLÍTICAS, ESTRATÉGIAS E DESEMPENHO SETORIAIS</v>
      </c>
      <c r="C31" s="5" t="str">
        <f>[1]ATIVO!C32</f>
        <v>Natureza Especial</v>
      </c>
      <c r="D31" s="5" t="str">
        <f>[1]ATIVO!D32</f>
        <v>Ativo Permanente</v>
      </c>
      <c r="E31" s="5" t="str">
        <f>[1]ATIVO!E32</f>
        <v>Requisitado Órgãos</v>
      </c>
      <c r="F31" s="5" t="str">
        <f>[1]ATIVO!F32</f>
        <v>Requisitado Empresas</v>
      </c>
      <c r="G31" s="5" t="str">
        <f>[1]ATIVO!G32</f>
        <v>Sem Vínculo</v>
      </c>
      <c r="H31" s="5" t="str">
        <f>[1]ATIVO!H32</f>
        <v>Exercício Descentralizado</v>
      </c>
      <c r="I31" s="5" t="str">
        <f>[1]ATIVO!I32</f>
        <v>Contrato Temporário</v>
      </c>
      <c r="J31" s="5" t="str">
        <f>[1]ATIVO!J32</f>
        <v>Anistiado</v>
      </c>
      <c r="K31" s="5" t="str">
        <f>[1]ATIVO!K32</f>
        <v>Total</v>
      </c>
      <c r="L31" s="5" t="str">
        <f>[1]ATIVO!L32</f>
        <v>Total Área</v>
      </c>
      <c r="M31" s="5" t="str">
        <f>[1]ATIVO!M32</f>
        <v>Sexo Feminino</v>
      </c>
      <c r="N31" s="5" t="str">
        <f>[1]ATIVO!N32</f>
        <v>Sexo Masculino</v>
      </c>
      <c r="O31" s="5" t="str">
        <f>[1]ATIVO!O32</f>
        <v>Total</v>
      </c>
      <c r="P31" s="5" t="str">
        <f>[1]ATIVO!P32</f>
        <v>Total Área</v>
      </c>
    </row>
    <row r="32" spans="1:16" x14ac:dyDescent="0.25">
      <c r="A32" s="12" t="str">
        <f>[1]ATIVO!A33</f>
        <v>MEIO</v>
      </c>
      <c r="B32" s="27" t="str">
        <f>[1]ATIVO!B33</f>
        <v>Assessoria Especial de Acompanhamento de Políticas, Estratégias e Desempenho Setoriais</v>
      </c>
      <c r="C32" s="20">
        <f>[1]ATIVO!C33</f>
        <v>0</v>
      </c>
      <c r="D32" s="7">
        <f>[1]ATIVO!D33</f>
        <v>1</v>
      </c>
      <c r="E32" s="7">
        <f>[1]ATIVO!E33</f>
        <v>0</v>
      </c>
      <c r="F32" s="7">
        <f>[1]ATIVO!F33</f>
        <v>0</v>
      </c>
      <c r="G32" s="7">
        <f>[1]ATIVO!G33</f>
        <v>4</v>
      </c>
      <c r="H32" s="7">
        <f>[1]ATIVO!H33</f>
        <v>0</v>
      </c>
      <c r="I32" s="7">
        <f>[1]ATIVO!I33</f>
        <v>0</v>
      </c>
      <c r="J32" s="7">
        <f>[1]ATIVO!J33</f>
        <v>0</v>
      </c>
      <c r="K32" s="8">
        <f>[1]ATIVO!K33</f>
        <v>5</v>
      </c>
      <c r="L32" s="26">
        <f>[1]ATIVO!L33</f>
        <v>5</v>
      </c>
      <c r="M32" s="16">
        <f>[1]ATIVO!M33</f>
        <v>0</v>
      </c>
      <c r="N32" s="16">
        <f>[1]ATIVO!N33</f>
        <v>5</v>
      </c>
      <c r="O32" s="22">
        <f>[1]ATIVO!O33</f>
        <v>5</v>
      </c>
      <c r="P32" s="22">
        <f>[1]ATIVO!P33</f>
        <v>5</v>
      </c>
    </row>
    <row r="33" spans="1:16" x14ac:dyDescent="0.25">
      <c r="A33" s="18"/>
      <c r="B33" s="12" t="str">
        <f>[1]ATIVO!B34</f>
        <v>TOTAL</v>
      </c>
      <c r="C33" s="8">
        <f>[1]ATIVO!C34</f>
        <v>0</v>
      </c>
      <c r="D33" s="8">
        <f>[1]ATIVO!D34</f>
        <v>1</v>
      </c>
      <c r="E33" s="8">
        <f>[1]ATIVO!E34</f>
        <v>0</v>
      </c>
      <c r="F33" s="8">
        <f>[1]ATIVO!F34</f>
        <v>0</v>
      </c>
      <c r="G33" s="8">
        <f>[1]ATIVO!G34</f>
        <v>4</v>
      </c>
      <c r="H33" s="8">
        <f>[1]ATIVO!H34</f>
        <v>0</v>
      </c>
      <c r="I33" s="8">
        <f>[1]ATIVO!I34</f>
        <v>0</v>
      </c>
      <c r="J33" s="8">
        <f>[1]ATIVO!J34</f>
        <v>0</v>
      </c>
      <c r="K33" s="8">
        <f>[1]ATIVO!K34</f>
        <v>5</v>
      </c>
      <c r="L33" s="8">
        <f>[1]ATIVO!L34</f>
        <v>5</v>
      </c>
      <c r="M33" s="8">
        <f>[1]ATIVO!M34</f>
        <v>0</v>
      </c>
      <c r="N33" s="8">
        <f>[1]ATIVO!N34</f>
        <v>5</v>
      </c>
      <c r="O33" s="8">
        <f>[1]ATIVO!O34</f>
        <v>5</v>
      </c>
      <c r="P33" s="13">
        <f>[1]ATIVO!P34</f>
        <v>5</v>
      </c>
    </row>
    <row r="34" spans="1:16" x14ac:dyDescent="0.25">
      <c r="A34" s="18"/>
      <c r="B34" s="18"/>
      <c r="C34" s="18"/>
      <c r="D34" s="18"/>
      <c r="E34" s="18"/>
      <c r="F34" s="18"/>
      <c r="G34" s="18"/>
      <c r="H34" s="18"/>
      <c r="I34" s="18"/>
      <c r="J34" s="18"/>
      <c r="K34" s="18"/>
      <c r="L34" s="18"/>
      <c r="M34" s="19"/>
      <c r="N34" s="19"/>
      <c r="O34" s="19"/>
      <c r="P34" s="19"/>
    </row>
    <row r="35" spans="1:16" ht="25.5" customHeight="1" x14ac:dyDescent="0.25">
      <c r="A35" s="41" t="str">
        <f>[1]ATIVO!A36</f>
        <v>Área</v>
      </c>
      <c r="B35" s="41" t="str">
        <f>[1]ATIVO!B36</f>
        <v>ASSESSORIA ESPECIAL DE CONTROLE INTERNO</v>
      </c>
      <c r="C35" s="5" t="str">
        <f>[1]ATIVO!C36</f>
        <v>Natureza Especial</v>
      </c>
      <c r="D35" s="5" t="str">
        <f>[1]ATIVO!D36</f>
        <v>Ativo Permanente</v>
      </c>
      <c r="E35" s="5" t="str">
        <f>[1]ATIVO!E36</f>
        <v>Requisitado Órgãos</v>
      </c>
      <c r="F35" s="5" t="str">
        <f>[1]ATIVO!F36</f>
        <v>Requisitado Empresas</v>
      </c>
      <c r="G35" s="5" t="str">
        <f>[1]ATIVO!G36</f>
        <v>Sem Vínculo</v>
      </c>
      <c r="H35" s="5" t="str">
        <f>[1]ATIVO!H36</f>
        <v>Exercício Descentralizado</v>
      </c>
      <c r="I35" s="5" t="str">
        <f>[1]ATIVO!I36</f>
        <v>Contrato Temporário</v>
      </c>
      <c r="J35" s="5" t="str">
        <f>[1]ATIVO!J36</f>
        <v>Anistiado</v>
      </c>
      <c r="K35" s="5" t="str">
        <f>[1]ATIVO!K36</f>
        <v>Total</v>
      </c>
      <c r="L35" s="5" t="str">
        <f>[1]ATIVO!L36</f>
        <v>Total Área</v>
      </c>
      <c r="M35" s="5" t="str">
        <f>[1]ATIVO!M36</f>
        <v>Sexo Feminino</v>
      </c>
      <c r="N35" s="5" t="str">
        <f>[1]ATIVO!N36</f>
        <v>Sexo Masculino</v>
      </c>
      <c r="O35" s="5" t="str">
        <f>[1]ATIVO!O36</f>
        <v>Total</v>
      </c>
      <c r="P35" s="5" t="str">
        <f>[1]ATIVO!P36</f>
        <v>Total Área</v>
      </c>
    </row>
    <row r="36" spans="1:16" x14ac:dyDescent="0.25">
      <c r="A36" s="12" t="str">
        <f>[1]ATIVO!A37</f>
        <v>MEIO</v>
      </c>
      <c r="B36" s="6" t="str">
        <f>[1]ATIVO!B37</f>
        <v xml:space="preserve">          Assessoria Especial de Controle Interno</v>
      </c>
      <c r="C36" s="20">
        <f>[1]ATIVO!C37</f>
        <v>0</v>
      </c>
      <c r="D36" s="7">
        <f>[1]ATIVO!D37</f>
        <v>1</v>
      </c>
      <c r="E36" s="7">
        <f>[1]ATIVO!E37</f>
        <v>1</v>
      </c>
      <c r="F36" s="7">
        <f>[1]ATIVO!F37</f>
        <v>0</v>
      </c>
      <c r="G36" s="7">
        <f>[1]ATIVO!G37</f>
        <v>2</v>
      </c>
      <c r="H36" s="7">
        <f>[1]ATIVO!H37</f>
        <v>0</v>
      </c>
      <c r="I36" s="7">
        <f>[1]ATIVO!I37</f>
        <v>0</v>
      </c>
      <c r="J36" s="7">
        <f>[1]ATIVO!J37</f>
        <v>0</v>
      </c>
      <c r="K36" s="8">
        <f>[1]ATIVO!K37</f>
        <v>4</v>
      </c>
      <c r="L36" s="26">
        <f>[1]ATIVO!L37</f>
        <v>4</v>
      </c>
      <c r="M36" s="16">
        <f>[1]ATIVO!M37</f>
        <v>3</v>
      </c>
      <c r="N36" s="16">
        <f>[1]ATIVO!N37</f>
        <v>1</v>
      </c>
      <c r="O36" s="22">
        <f>[1]ATIVO!O37</f>
        <v>4</v>
      </c>
      <c r="P36" s="22">
        <f>[1]ATIVO!P37</f>
        <v>4</v>
      </c>
    </row>
    <row r="37" spans="1:16" x14ac:dyDescent="0.25">
      <c r="A37" s="18"/>
      <c r="B37" s="12" t="str">
        <f>[1]ATIVO!B38</f>
        <v>TOTAL</v>
      </c>
      <c r="C37" s="8">
        <f>[1]ATIVO!C38</f>
        <v>0</v>
      </c>
      <c r="D37" s="8">
        <f>[1]ATIVO!D38</f>
        <v>1</v>
      </c>
      <c r="E37" s="8">
        <f>[1]ATIVO!E38</f>
        <v>1</v>
      </c>
      <c r="F37" s="8">
        <f>[1]ATIVO!F38</f>
        <v>0</v>
      </c>
      <c r="G37" s="8">
        <f>[1]ATIVO!G38</f>
        <v>2</v>
      </c>
      <c r="H37" s="8">
        <f>[1]ATIVO!H38</f>
        <v>0</v>
      </c>
      <c r="I37" s="8">
        <f>[1]ATIVO!I38</f>
        <v>0</v>
      </c>
      <c r="J37" s="8">
        <f>[1]ATIVO!J38</f>
        <v>0</v>
      </c>
      <c r="K37" s="8">
        <f>[1]ATIVO!K38</f>
        <v>4</v>
      </c>
      <c r="L37" s="8">
        <f>[1]ATIVO!L38</f>
        <v>4</v>
      </c>
      <c r="M37" s="8">
        <f>[1]ATIVO!M38</f>
        <v>3</v>
      </c>
      <c r="N37" s="8">
        <f>[1]ATIVO!N38</f>
        <v>1</v>
      </c>
      <c r="O37" s="8">
        <f>[1]ATIVO!O38</f>
        <v>4</v>
      </c>
      <c r="P37" s="13">
        <f>[1]ATIVO!P38</f>
        <v>4</v>
      </c>
    </row>
    <row r="38" spans="1:16" x14ac:dyDescent="0.25">
      <c r="A38" s="18"/>
      <c r="B38" s="18"/>
      <c r="C38" s="18"/>
      <c r="D38" s="18"/>
      <c r="E38" s="18"/>
      <c r="F38" s="18"/>
      <c r="G38" s="18"/>
      <c r="H38" s="18"/>
      <c r="I38" s="18"/>
      <c r="J38" s="18"/>
      <c r="K38" s="18"/>
      <c r="L38" s="18"/>
      <c r="M38" s="19"/>
      <c r="N38" s="19"/>
      <c r="O38" s="19"/>
      <c r="P38" s="19"/>
    </row>
    <row r="39" spans="1:16" ht="25.5" customHeight="1" x14ac:dyDescent="0.25">
      <c r="A39" s="41" t="str">
        <f>[1]ATIVO!A40</f>
        <v>Área</v>
      </c>
      <c r="B39" s="41" t="str">
        <f>[1]ATIVO!B40</f>
        <v>ASSESSORIA ECONÔMICA</v>
      </c>
      <c r="C39" s="5" t="str">
        <f>[1]ATIVO!C40</f>
        <v>Natureza Especial</v>
      </c>
      <c r="D39" s="5" t="str">
        <f>[1]ATIVO!D40</f>
        <v>Ativo Permanente</v>
      </c>
      <c r="E39" s="5" t="str">
        <f>[1]ATIVO!E40</f>
        <v>Requisitado Órgãos</v>
      </c>
      <c r="F39" s="5" t="str">
        <f>[1]ATIVO!F40</f>
        <v>Requisitado Empresas</v>
      </c>
      <c r="G39" s="5" t="str">
        <f>[1]ATIVO!G40</f>
        <v>Sem Vínculo</v>
      </c>
      <c r="H39" s="5" t="str">
        <f>[1]ATIVO!H40</f>
        <v>Exercício Descentralizado</v>
      </c>
      <c r="I39" s="5" t="str">
        <f>[1]ATIVO!I40</f>
        <v>Contrato Temporário</v>
      </c>
      <c r="J39" s="5" t="str">
        <f>[1]ATIVO!J40</f>
        <v>Anistiado</v>
      </c>
      <c r="K39" s="5" t="str">
        <f>[1]ATIVO!K40</f>
        <v>Total</v>
      </c>
      <c r="L39" s="5" t="str">
        <f>[1]ATIVO!L40</f>
        <v>Total Área</v>
      </c>
      <c r="M39" s="5" t="str">
        <f>[1]ATIVO!M40</f>
        <v>Sexo Feminino</v>
      </c>
      <c r="N39" s="5" t="str">
        <f>[1]ATIVO!N40</f>
        <v>Sexo Masculino</v>
      </c>
      <c r="O39" s="5" t="str">
        <f>[1]ATIVO!O40</f>
        <v>Total</v>
      </c>
      <c r="P39" s="5" t="str">
        <f>[1]ATIVO!P40</f>
        <v>Total Área</v>
      </c>
    </row>
    <row r="40" spans="1:16" x14ac:dyDescent="0.25">
      <c r="A40" s="12" t="str">
        <f>[1]ATIVO!A41</f>
        <v>MEIO</v>
      </c>
      <c r="B40" s="6" t="str">
        <f>[1]ATIVO!B41</f>
        <v xml:space="preserve">          Assessoria Econômica</v>
      </c>
      <c r="C40" s="20">
        <f>[1]ATIVO!C41</f>
        <v>0</v>
      </c>
      <c r="D40" s="7">
        <f>[1]ATIVO!D41</f>
        <v>1</v>
      </c>
      <c r="E40" s="7">
        <f>[1]ATIVO!E41</f>
        <v>6</v>
      </c>
      <c r="F40" s="7">
        <f>[1]ATIVO!F41</f>
        <v>0</v>
      </c>
      <c r="G40" s="7">
        <f>[1]ATIVO!G41</f>
        <v>1</v>
      </c>
      <c r="H40" s="7">
        <f>[1]ATIVO!H41</f>
        <v>0</v>
      </c>
      <c r="I40" s="7">
        <f>[1]ATIVO!I41</f>
        <v>0</v>
      </c>
      <c r="J40" s="7">
        <f>[1]ATIVO!J41</f>
        <v>0</v>
      </c>
      <c r="K40" s="8">
        <f>[1]ATIVO!K41</f>
        <v>8</v>
      </c>
      <c r="L40" s="26">
        <f>[1]ATIVO!L41</f>
        <v>8</v>
      </c>
      <c r="M40" s="16">
        <f>[1]ATIVO!M41</f>
        <v>5</v>
      </c>
      <c r="N40" s="16">
        <f>[1]ATIVO!N41</f>
        <v>3</v>
      </c>
      <c r="O40" s="22">
        <f>[1]ATIVO!O41</f>
        <v>8</v>
      </c>
      <c r="P40" s="22">
        <f>[1]ATIVO!P41</f>
        <v>8</v>
      </c>
    </row>
    <row r="41" spans="1:16" x14ac:dyDescent="0.25">
      <c r="A41" s="18"/>
      <c r="B41" s="12" t="str">
        <f>[1]ATIVO!B42</f>
        <v>TOTAL</v>
      </c>
      <c r="C41" s="8">
        <f>[1]ATIVO!C42</f>
        <v>0</v>
      </c>
      <c r="D41" s="8">
        <f>[1]ATIVO!D42</f>
        <v>1</v>
      </c>
      <c r="E41" s="8">
        <f>[1]ATIVO!E42</f>
        <v>6</v>
      </c>
      <c r="F41" s="8">
        <f>[1]ATIVO!F42</f>
        <v>0</v>
      </c>
      <c r="G41" s="8">
        <f>[1]ATIVO!G42</f>
        <v>1</v>
      </c>
      <c r="H41" s="8">
        <f>[1]ATIVO!H42</f>
        <v>0</v>
      </c>
      <c r="I41" s="8">
        <f>[1]ATIVO!I42</f>
        <v>0</v>
      </c>
      <c r="J41" s="8">
        <f>[1]ATIVO!J42</f>
        <v>0</v>
      </c>
      <c r="K41" s="8">
        <f>[1]ATIVO!K42</f>
        <v>8</v>
      </c>
      <c r="L41" s="8">
        <f>[1]ATIVO!L42</f>
        <v>8</v>
      </c>
      <c r="M41" s="8">
        <f>[1]ATIVO!M42</f>
        <v>5</v>
      </c>
      <c r="N41" s="8">
        <f>[1]ATIVO!N42</f>
        <v>3</v>
      </c>
      <c r="O41" s="8">
        <f>[1]ATIVO!O42</f>
        <v>8</v>
      </c>
      <c r="P41" s="13">
        <f>[1]ATIVO!P42</f>
        <v>8</v>
      </c>
    </row>
    <row r="42" spans="1:16" x14ac:dyDescent="0.25">
      <c r="A42" s="18"/>
      <c r="B42" s="18"/>
      <c r="C42" s="18"/>
      <c r="D42" s="18"/>
      <c r="E42" s="18"/>
      <c r="F42" s="18"/>
      <c r="G42" s="18"/>
      <c r="H42" s="18"/>
      <c r="I42" s="18"/>
      <c r="J42" s="18"/>
      <c r="K42" s="18"/>
      <c r="L42" s="18"/>
      <c r="M42" s="19"/>
      <c r="N42" s="19"/>
      <c r="O42" s="19"/>
      <c r="P42" s="19"/>
    </row>
    <row r="43" spans="1:16" ht="25.5" customHeight="1" x14ac:dyDescent="0.25">
      <c r="A43" s="41" t="str">
        <f>[1]ATIVO!A44</f>
        <v>Área</v>
      </c>
      <c r="B43" s="41" t="str">
        <f>[1]ATIVO!B44</f>
        <v>CONSULTORIA JURÍDICA</v>
      </c>
      <c r="C43" s="5" t="str">
        <f>[1]ATIVO!C44</f>
        <v>Natureza Especial</v>
      </c>
      <c r="D43" s="5" t="str">
        <f>[1]ATIVO!D44</f>
        <v>Ativo Permanente</v>
      </c>
      <c r="E43" s="5" t="str">
        <f>[1]ATIVO!E44</f>
        <v>Requisitado Órgãos</v>
      </c>
      <c r="F43" s="5" t="str">
        <f>[1]ATIVO!F44</f>
        <v>Requisitado Empresas</v>
      </c>
      <c r="G43" s="5" t="str">
        <f>[1]ATIVO!G44</f>
        <v>Sem Vínculo</v>
      </c>
      <c r="H43" s="5" t="str">
        <f>[1]ATIVO!H44</f>
        <v>Exercício Descentralizado</v>
      </c>
      <c r="I43" s="5" t="str">
        <f>[1]ATIVO!I44</f>
        <v>Contrato Temporário</v>
      </c>
      <c r="J43" s="5" t="str">
        <f>[1]ATIVO!J44</f>
        <v>Anistiado</v>
      </c>
      <c r="K43" s="5" t="str">
        <f>[1]ATIVO!K44</f>
        <v>Total</v>
      </c>
      <c r="L43" s="5" t="str">
        <f>[1]ATIVO!L44</f>
        <v>Total Área</v>
      </c>
      <c r="M43" s="5" t="str">
        <f>[1]ATIVO!M44</f>
        <v>Sexo Feminino</v>
      </c>
      <c r="N43" s="5" t="str">
        <f>[1]ATIVO!N44</f>
        <v>Sexo Masculino</v>
      </c>
      <c r="O43" s="5" t="str">
        <f>[1]ATIVO!O44</f>
        <v>Total</v>
      </c>
      <c r="P43" s="5" t="str">
        <f>[1]ATIVO!P44</f>
        <v>Total Área</v>
      </c>
    </row>
    <row r="44" spans="1:16" x14ac:dyDescent="0.25">
      <c r="A44" s="485" t="str">
        <f>[1]ATIVO!A45</f>
        <v>MEIO</v>
      </c>
      <c r="B44" s="6" t="str">
        <f>[1]ATIVO!B45</f>
        <v xml:space="preserve">          Gabinete da Consultoria Jurídica</v>
      </c>
      <c r="C44" s="20">
        <f>[1]ATIVO!C45</f>
        <v>0</v>
      </c>
      <c r="D44" s="7">
        <f>[1]ATIVO!D45</f>
        <v>0</v>
      </c>
      <c r="E44" s="7">
        <f>[1]ATIVO!E45</f>
        <v>0</v>
      </c>
      <c r="F44" s="7">
        <f>[1]ATIVO!F45</f>
        <v>0</v>
      </c>
      <c r="G44" s="7">
        <f>[1]ATIVO!G45</f>
        <v>3</v>
      </c>
      <c r="H44" s="7">
        <f>[1]ATIVO!H45</f>
        <v>1</v>
      </c>
      <c r="I44" s="7">
        <f>[1]ATIVO!I45</f>
        <v>0</v>
      </c>
      <c r="J44" s="7">
        <f>[1]ATIVO!J45</f>
        <v>0</v>
      </c>
      <c r="K44" s="8">
        <f>[1]ATIVO!K45</f>
        <v>4</v>
      </c>
      <c r="L44" s="478">
        <f>[1]ATIVO!L45</f>
        <v>21</v>
      </c>
      <c r="M44" s="23">
        <f>[1]ATIVO!M45</f>
        <v>3</v>
      </c>
      <c r="N44" s="23">
        <f>[1]ATIVO!N45</f>
        <v>1</v>
      </c>
      <c r="O44" s="22">
        <f>[1]ATIVO!O45</f>
        <v>4</v>
      </c>
      <c r="P44" s="480">
        <f>[1]ATIVO!P45</f>
        <v>21</v>
      </c>
    </row>
    <row r="45" spans="1:16" x14ac:dyDescent="0.25">
      <c r="A45" s="485"/>
      <c r="B45" s="6" t="str">
        <f>[1]ATIVO!B46</f>
        <v xml:space="preserve">          Coordenação-Geral de Assuntos de Petróleo e Mineração</v>
      </c>
      <c r="C45" s="20">
        <f>[1]ATIVO!C46</f>
        <v>0</v>
      </c>
      <c r="D45" s="7">
        <f>[1]ATIVO!D46</f>
        <v>0</v>
      </c>
      <c r="E45" s="7">
        <f>[1]ATIVO!E46</f>
        <v>0</v>
      </c>
      <c r="F45" s="7">
        <f>[1]ATIVO!F46</f>
        <v>0</v>
      </c>
      <c r="G45" s="7">
        <f>[1]ATIVO!G46</f>
        <v>0</v>
      </c>
      <c r="H45" s="7">
        <f>[1]ATIVO!H46</f>
        <v>3</v>
      </c>
      <c r="I45" s="7">
        <f>[1]ATIVO!I46</f>
        <v>0</v>
      </c>
      <c r="J45" s="7">
        <f>[1]ATIVO!J46</f>
        <v>0</v>
      </c>
      <c r="K45" s="8">
        <f>[1]ATIVO!K46</f>
        <v>3</v>
      </c>
      <c r="L45" s="478"/>
      <c r="M45" s="21">
        <f>[1]ATIVO!M46</f>
        <v>0</v>
      </c>
      <c r="N45" s="21">
        <f>[1]ATIVO!N46</f>
        <v>3</v>
      </c>
      <c r="O45" s="22">
        <f>[1]ATIVO!O46</f>
        <v>3</v>
      </c>
      <c r="P45" s="480"/>
    </row>
    <row r="46" spans="1:16" x14ac:dyDescent="0.25">
      <c r="A46" s="485"/>
      <c r="B46" s="6" t="str">
        <f>[1]ATIVO!B47</f>
        <v xml:space="preserve">          Coordenação-Geral de Assuntos de Energia</v>
      </c>
      <c r="C46" s="20">
        <f>[1]ATIVO!C47</f>
        <v>0</v>
      </c>
      <c r="D46" s="7">
        <f>[1]ATIVO!D47</f>
        <v>0</v>
      </c>
      <c r="E46" s="7">
        <f>[1]ATIVO!E47</f>
        <v>0</v>
      </c>
      <c r="F46" s="7">
        <f>[1]ATIVO!F47</f>
        <v>0</v>
      </c>
      <c r="G46" s="7">
        <f>[1]ATIVO!G47</f>
        <v>0</v>
      </c>
      <c r="H46" s="7">
        <f>[1]ATIVO!H47</f>
        <v>3</v>
      </c>
      <c r="I46" s="7">
        <f>[1]ATIVO!I47</f>
        <v>0</v>
      </c>
      <c r="J46" s="7">
        <f>[1]ATIVO!J47</f>
        <v>0</v>
      </c>
      <c r="K46" s="8">
        <f>[1]ATIVO!K47</f>
        <v>3</v>
      </c>
      <c r="L46" s="478"/>
      <c r="M46" s="21">
        <f>[1]ATIVO!M47</f>
        <v>1</v>
      </c>
      <c r="N46" s="21">
        <f>[1]ATIVO!N47</f>
        <v>2</v>
      </c>
      <c r="O46" s="22">
        <f>[1]ATIVO!O47</f>
        <v>3</v>
      </c>
      <c r="P46" s="480"/>
    </row>
    <row r="47" spans="1:16" x14ac:dyDescent="0.25">
      <c r="A47" s="485"/>
      <c r="B47" s="6" t="str">
        <f>[1]ATIVO!B48</f>
        <v xml:space="preserve">          Coordenação-Geral de Assuntos Administrativos</v>
      </c>
      <c r="C47" s="20">
        <f>[1]ATIVO!C48</f>
        <v>0</v>
      </c>
      <c r="D47" s="7">
        <f>[1]ATIVO!D48</f>
        <v>3</v>
      </c>
      <c r="E47" s="7">
        <f>[1]ATIVO!E48</f>
        <v>0</v>
      </c>
      <c r="F47" s="7">
        <f>[1]ATIVO!F48</f>
        <v>0</v>
      </c>
      <c r="G47" s="7">
        <f>[1]ATIVO!G48</f>
        <v>4</v>
      </c>
      <c r="H47" s="7">
        <f>[1]ATIVO!H48</f>
        <v>4</v>
      </c>
      <c r="I47" s="7">
        <f>[1]ATIVO!I48</f>
        <v>0</v>
      </c>
      <c r="J47" s="7">
        <f>[1]ATIVO!J48</f>
        <v>0</v>
      </c>
      <c r="K47" s="8">
        <f>[1]ATIVO!K48</f>
        <v>11</v>
      </c>
      <c r="L47" s="479"/>
      <c r="M47" s="23">
        <f>[1]ATIVO!M48</f>
        <v>4</v>
      </c>
      <c r="N47" s="23">
        <f>[1]ATIVO!N48</f>
        <v>7</v>
      </c>
      <c r="O47" s="22">
        <f>[1]ATIVO!O48</f>
        <v>11</v>
      </c>
      <c r="P47" s="480"/>
    </row>
    <row r="48" spans="1:16" x14ac:dyDescent="0.25">
      <c r="A48" s="18"/>
      <c r="B48" s="12" t="str">
        <f>[1]ATIVO!B49</f>
        <v>TOTAL</v>
      </c>
      <c r="C48" s="8">
        <f>[1]ATIVO!C49</f>
        <v>0</v>
      </c>
      <c r="D48" s="8">
        <f>[1]ATIVO!D49</f>
        <v>3</v>
      </c>
      <c r="E48" s="8">
        <f>[1]ATIVO!E49</f>
        <v>0</v>
      </c>
      <c r="F48" s="8">
        <f>[1]ATIVO!F49</f>
        <v>0</v>
      </c>
      <c r="G48" s="8">
        <f>[1]ATIVO!G49</f>
        <v>7</v>
      </c>
      <c r="H48" s="8">
        <f>[1]ATIVO!H49</f>
        <v>11</v>
      </c>
      <c r="I48" s="8">
        <f>[1]ATIVO!I49</f>
        <v>0</v>
      </c>
      <c r="J48" s="8">
        <f>[1]ATIVO!J49</f>
        <v>0</v>
      </c>
      <c r="K48" s="8">
        <f>[1]ATIVO!K49</f>
        <v>21</v>
      </c>
      <c r="L48" s="8">
        <f>[1]ATIVO!L49</f>
        <v>21</v>
      </c>
      <c r="M48" s="8">
        <f>[1]ATIVO!M49</f>
        <v>8</v>
      </c>
      <c r="N48" s="8">
        <f>[1]ATIVO!N49</f>
        <v>13</v>
      </c>
      <c r="O48" s="8">
        <f>[1]ATIVO!O49</f>
        <v>21</v>
      </c>
      <c r="P48" s="13">
        <f>[1]ATIVO!P49</f>
        <v>21</v>
      </c>
    </row>
    <row r="49" spans="1:16" x14ac:dyDescent="0.25">
      <c r="A49" s="18"/>
      <c r="B49" s="18"/>
      <c r="C49" s="18"/>
      <c r="D49" s="18"/>
      <c r="E49" s="18"/>
      <c r="F49" s="18"/>
      <c r="G49" s="18"/>
      <c r="H49" s="18"/>
      <c r="I49" s="18"/>
      <c r="J49" s="18"/>
      <c r="K49" s="18"/>
      <c r="L49" s="18"/>
      <c r="M49" s="19"/>
      <c r="N49" s="19"/>
      <c r="O49" s="19"/>
      <c r="P49" s="19"/>
    </row>
    <row r="50" spans="1:16" ht="25.5" customHeight="1" x14ac:dyDescent="0.25">
      <c r="A50" s="41" t="str">
        <f>[1]ATIVO!A51</f>
        <v>Área</v>
      </c>
      <c r="B50" s="41" t="str">
        <f>[1]ATIVO!B51</f>
        <v>SECRETARIA EXECUTIVA</v>
      </c>
      <c r="C50" s="5" t="str">
        <f>[1]ATIVO!C51</f>
        <v>Natureza Especial</v>
      </c>
      <c r="D50" s="5" t="str">
        <f>[1]ATIVO!D51</f>
        <v>Ativo Permanente</v>
      </c>
      <c r="E50" s="5" t="str">
        <f>[1]ATIVO!E51</f>
        <v>Requisitado Órgãos</v>
      </c>
      <c r="F50" s="5" t="str">
        <f>[1]ATIVO!F51</f>
        <v>Requisitado Empresas</v>
      </c>
      <c r="G50" s="5" t="str">
        <f>[1]ATIVO!G51</f>
        <v>Sem Vínculo</v>
      </c>
      <c r="H50" s="5" t="str">
        <f>[1]ATIVO!H51</f>
        <v>Exercício Descentralizado</v>
      </c>
      <c r="I50" s="5" t="str">
        <f>[1]ATIVO!I51</f>
        <v>Contrato Temporário</v>
      </c>
      <c r="J50" s="5" t="str">
        <f>[1]ATIVO!J51</f>
        <v>Anistiado</v>
      </c>
      <c r="K50" s="5" t="str">
        <f>[1]ATIVO!K51</f>
        <v>Total</v>
      </c>
      <c r="L50" s="5" t="str">
        <f>[1]ATIVO!L51</f>
        <v>Total Área</v>
      </c>
      <c r="M50" s="5" t="str">
        <f>[1]ATIVO!M51</f>
        <v>Sexo Feminino</v>
      </c>
      <c r="N50" s="5" t="str">
        <f>[1]ATIVO!N51</f>
        <v>Sexo Masculino</v>
      </c>
      <c r="O50" s="5" t="str">
        <f>[1]ATIVO!O51</f>
        <v>Total</v>
      </c>
      <c r="P50" s="5" t="str">
        <f>[1]ATIVO!P51</f>
        <v>Total Área</v>
      </c>
    </row>
    <row r="51" spans="1:16" x14ac:dyDescent="0.25">
      <c r="A51" s="485" t="str">
        <f>[1]ATIVO!A52</f>
        <v>MEIO</v>
      </c>
      <c r="B51" s="6" t="str">
        <f>[1]ATIVO!B52</f>
        <v xml:space="preserve">          Gabinete da Secretaria Executiva</v>
      </c>
      <c r="C51" s="20">
        <f>[1]ATIVO!C52</f>
        <v>1</v>
      </c>
      <c r="D51" s="7">
        <f>[1]ATIVO!D52</f>
        <v>0</v>
      </c>
      <c r="E51" s="7">
        <f>[1]ATIVO!E52</f>
        <v>3</v>
      </c>
      <c r="F51" s="7">
        <f>[1]ATIVO!F52</f>
        <v>1</v>
      </c>
      <c r="G51" s="7">
        <f>[1]ATIVO!G52</f>
        <v>6</v>
      </c>
      <c r="H51" s="7">
        <f>[1]ATIVO!H52</f>
        <v>0</v>
      </c>
      <c r="I51" s="7">
        <f>[1]ATIVO!I52</f>
        <v>0</v>
      </c>
      <c r="J51" s="7">
        <f>[1]ATIVO!J52</f>
        <v>0</v>
      </c>
      <c r="K51" s="8">
        <f>[1]ATIVO!K52</f>
        <v>11</v>
      </c>
      <c r="L51" s="484">
        <f>[1]ATIVO!L52</f>
        <v>221</v>
      </c>
      <c r="M51" s="21">
        <f>[1]ATIVO!M52</f>
        <v>7</v>
      </c>
      <c r="N51" s="21">
        <f>[1]ATIVO!N52</f>
        <v>4</v>
      </c>
      <c r="O51" s="22">
        <f>[1]ATIVO!O52</f>
        <v>11</v>
      </c>
      <c r="P51" s="484">
        <f>[1]ATIVO!P52</f>
        <v>221</v>
      </c>
    </row>
    <row r="52" spans="1:16" x14ac:dyDescent="0.25">
      <c r="A52" s="485"/>
      <c r="B52" s="486"/>
      <c r="C52" s="486"/>
      <c r="D52" s="486"/>
      <c r="E52" s="486"/>
      <c r="F52" s="486"/>
      <c r="G52" s="486"/>
      <c r="H52" s="486"/>
      <c r="I52" s="486"/>
      <c r="J52" s="486"/>
      <c r="K52" s="486"/>
      <c r="L52" s="478"/>
      <c r="M52" s="487"/>
      <c r="N52" s="488"/>
      <c r="O52" s="489"/>
      <c r="P52" s="478"/>
    </row>
    <row r="53" spans="1:16" x14ac:dyDescent="0.25">
      <c r="A53" s="485"/>
      <c r="B53" s="6" t="str">
        <f>[1]ATIVO!B54</f>
        <v xml:space="preserve">          Assessoria Especial de Gestão Estratégica</v>
      </c>
      <c r="C53" s="28">
        <f>[1]ATIVO!C54</f>
        <v>0</v>
      </c>
      <c r="D53" s="28">
        <f>[1]ATIVO!D54</f>
        <v>2</v>
      </c>
      <c r="E53" s="28">
        <f>[1]ATIVO!E54</f>
        <v>1</v>
      </c>
      <c r="F53" s="28">
        <f>[1]ATIVO!F54</f>
        <v>0</v>
      </c>
      <c r="G53" s="28">
        <f>[1]ATIVO!G54</f>
        <v>6</v>
      </c>
      <c r="H53" s="28">
        <f>[1]ATIVO!H54</f>
        <v>2</v>
      </c>
      <c r="I53" s="28">
        <f>[1]ATIVO!I54</f>
        <v>0</v>
      </c>
      <c r="J53" s="28">
        <f>[1]ATIVO!J54</f>
        <v>0</v>
      </c>
      <c r="K53" s="8">
        <f>[1]ATIVO!K54</f>
        <v>11</v>
      </c>
      <c r="L53" s="478"/>
      <c r="M53" s="29">
        <f>[1]ATIVO!M54</f>
        <v>1</v>
      </c>
      <c r="N53" s="29">
        <f>[1]ATIVO!N54</f>
        <v>10</v>
      </c>
      <c r="O53" s="22">
        <f>[1]ATIVO!O54</f>
        <v>11</v>
      </c>
      <c r="P53" s="478"/>
    </row>
    <row r="54" spans="1:16" x14ac:dyDescent="0.25">
      <c r="A54" s="485"/>
      <c r="B54" s="6" t="str">
        <f>[1]ATIVO!B55</f>
        <v xml:space="preserve">               Gabinete da Assessoria Especial de Gestão Estratégica</v>
      </c>
      <c r="C54" s="20">
        <f>[1]ATIVO!C55</f>
        <v>0</v>
      </c>
      <c r="D54" s="7">
        <f>[1]ATIVO!D55</f>
        <v>0</v>
      </c>
      <c r="E54" s="7">
        <f>[1]ATIVO!E55</f>
        <v>1</v>
      </c>
      <c r="F54" s="7">
        <f>[1]ATIVO!F55</f>
        <v>0</v>
      </c>
      <c r="G54" s="7">
        <f>[1]ATIVO!G55</f>
        <v>4</v>
      </c>
      <c r="H54" s="7">
        <f>[1]ATIVO!H55</f>
        <v>0</v>
      </c>
      <c r="I54" s="7">
        <f>[1]ATIVO!I55</f>
        <v>0</v>
      </c>
      <c r="J54" s="7">
        <f>[1]ATIVO!J55</f>
        <v>0</v>
      </c>
      <c r="K54" s="15">
        <f>[1]ATIVO!K55</f>
        <v>5</v>
      </c>
      <c r="L54" s="478"/>
      <c r="M54" s="21">
        <f>[1]ATIVO!M55</f>
        <v>1</v>
      </c>
      <c r="N54" s="21">
        <f>[1]ATIVO!N55</f>
        <v>4</v>
      </c>
      <c r="O54" s="30">
        <f>[1]ATIVO!O55</f>
        <v>5</v>
      </c>
      <c r="P54" s="478"/>
    </row>
    <row r="55" spans="1:16" x14ac:dyDescent="0.25">
      <c r="A55" s="485"/>
      <c r="B55" s="6" t="str">
        <f>[1]ATIVO!B56</f>
        <v xml:space="preserve">               Coordenação-Geral de Planejamento Estratégico, Supervisão e Avaliação</v>
      </c>
      <c r="C55" s="20">
        <f>[1]ATIVO!C56</f>
        <v>0</v>
      </c>
      <c r="D55" s="7">
        <f>[1]ATIVO!D56</f>
        <v>2</v>
      </c>
      <c r="E55" s="7">
        <f>[1]ATIVO!E56</f>
        <v>0</v>
      </c>
      <c r="F55" s="7">
        <f>[1]ATIVO!F56</f>
        <v>0</v>
      </c>
      <c r="G55" s="7">
        <f>[1]ATIVO!G56</f>
        <v>2</v>
      </c>
      <c r="H55" s="7">
        <f>[1]ATIVO!H56</f>
        <v>2</v>
      </c>
      <c r="I55" s="7">
        <f>[1]ATIVO!I56</f>
        <v>0</v>
      </c>
      <c r="J55" s="7">
        <f>[1]ATIVO!J56</f>
        <v>0</v>
      </c>
      <c r="K55" s="15">
        <f>[1]ATIVO!K56</f>
        <v>6</v>
      </c>
      <c r="L55" s="478"/>
      <c r="M55" s="23">
        <f>[1]ATIVO!M56</f>
        <v>0</v>
      </c>
      <c r="N55" s="23">
        <f>[1]ATIVO!N56</f>
        <v>6</v>
      </c>
      <c r="O55" s="30">
        <f>[1]ATIVO!O56</f>
        <v>6</v>
      </c>
      <c r="P55" s="478"/>
    </row>
    <row r="56" spans="1:16" x14ac:dyDescent="0.25">
      <c r="A56" s="485"/>
      <c r="B56" s="486"/>
      <c r="C56" s="486"/>
      <c r="D56" s="486"/>
      <c r="E56" s="486"/>
      <c r="F56" s="486"/>
      <c r="G56" s="486"/>
      <c r="H56" s="486"/>
      <c r="I56" s="486"/>
      <c r="J56" s="486"/>
      <c r="K56" s="486"/>
      <c r="L56" s="478"/>
      <c r="M56" s="487"/>
      <c r="N56" s="488"/>
      <c r="O56" s="489"/>
      <c r="P56" s="478"/>
    </row>
    <row r="57" spans="1:16" x14ac:dyDescent="0.25">
      <c r="A57" s="485"/>
      <c r="B57" s="6" t="str">
        <f>[1]ATIVO!B58</f>
        <v xml:space="preserve">          Assessoria Especial em Assuntos Regulatórios</v>
      </c>
      <c r="C57" s="20">
        <f>[1]ATIVO!C58</f>
        <v>0</v>
      </c>
      <c r="D57" s="7">
        <f>[1]ATIVO!D58</f>
        <v>0</v>
      </c>
      <c r="E57" s="7">
        <f>[1]ATIVO!E58</f>
        <v>0</v>
      </c>
      <c r="F57" s="7">
        <f>[1]ATIVO!F58</f>
        <v>0</v>
      </c>
      <c r="G57" s="7">
        <f>[1]ATIVO!G58</f>
        <v>0</v>
      </c>
      <c r="H57" s="7">
        <f>[1]ATIVO!H58</f>
        <v>1</v>
      </c>
      <c r="I57" s="7">
        <f>[1]ATIVO!I58</f>
        <v>0</v>
      </c>
      <c r="J57" s="7">
        <f>[1]ATIVO!J58</f>
        <v>0</v>
      </c>
      <c r="K57" s="8">
        <f>[1]ATIVO!K58</f>
        <v>1</v>
      </c>
      <c r="L57" s="478"/>
      <c r="M57" s="21">
        <f>[1]ATIVO!M58</f>
        <v>1</v>
      </c>
      <c r="N57" s="21">
        <f>[1]ATIVO!N58</f>
        <v>0</v>
      </c>
      <c r="O57" s="22">
        <f>[1]ATIVO!O58</f>
        <v>1</v>
      </c>
      <c r="P57" s="478"/>
    </row>
    <row r="58" spans="1:16" x14ac:dyDescent="0.25">
      <c r="A58" s="485"/>
      <c r="B58" s="490"/>
      <c r="C58" s="491"/>
      <c r="D58" s="491"/>
      <c r="E58" s="491"/>
      <c r="F58" s="491"/>
      <c r="G58" s="491"/>
      <c r="H58" s="491"/>
      <c r="I58" s="491"/>
      <c r="J58" s="491"/>
      <c r="K58" s="492"/>
      <c r="L58" s="478"/>
      <c r="M58" s="487"/>
      <c r="N58" s="488"/>
      <c r="O58" s="489"/>
      <c r="P58" s="478"/>
    </row>
    <row r="59" spans="1:16" x14ac:dyDescent="0.25">
      <c r="A59" s="485"/>
      <c r="B59" s="6" t="str">
        <f>[1]ATIVO!B60</f>
        <v xml:space="preserve">          Assessoria Especial de Gestão de Projetos</v>
      </c>
      <c r="C59" s="28">
        <f>[1]ATIVO!C60</f>
        <v>0</v>
      </c>
      <c r="D59" s="28">
        <f>[1]ATIVO!D60</f>
        <v>2</v>
      </c>
      <c r="E59" s="28">
        <f>[1]ATIVO!E60</f>
        <v>3</v>
      </c>
      <c r="F59" s="28">
        <f>[1]ATIVO!F60</f>
        <v>0</v>
      </c>
      <c r="G59" s="28">
        <f>[1]ATIVO!G60</f>
        <v>1</v>
      </c>
      <c r="H59" s="28">
        <f>[1]ATIVO!H60</f>
        <v>2</v>
      </c>
      <c r="I59" s="28">
        <f>[1]ATIVO!I60</f>
        <v>3</v>
      </c>
      <c r="J59" s="28">
        <f>[1]ATIVO!J60</f>
        <v>2</v>
      </c>
      <c r="K59" s="8">
        <f>[1]ATIVO!K60</f>
        <v>13</v>
      </c>
      <c r="L59" s="478"/>
      <c r="M59" s="29">
        <f>[1]ATIVO!M60</f>
        <v>3</v>
      </c>
      <c r="N59" s="29">
        <f>[1]ATIVO!N60</f>
        <v>10</v>
      </c>
      <c r="O59" s="22">
        <f>[1]ATIVO!O60</f>
        <v>13</v>
      </c>
      <c r="P59" s="478"/>
    </row>
    <row r="60" spans="1:16" x14ac:dyDescent="0.25">
      <c r="A60" s="485"/>
      <c r="B60" s="6" t="str">
        <f>[1]ATIVO!B61</f>
        <v xml:space="preserve">               Gabinete da Assessoria Especial de Gestão de Projetos</v>
      </c>
      <c r="C60" s="20">
        <f>[1]ATIVO!C61</f>
        <v>0</v>
      </c>
      <c r="D60" s="7">
        <f>[1]ATIVO!D61</f>
        <v>0</v>
      </c>
      <c r="E60" s="7">
        <f>[1]ATIVO!E61</f>
        <v>1</v>
      </c>
      <c r="F60" s="7">
        <f>[1]ATIVO!F61</f>
        <v>0</v>
      </c>
      <c r="G60" s="7">
        <f>[1]ATIVO!G61</f>
        <v>0</v>
      </c>
      <c r="H60" s="7">
        <f>[1]ATIVO!H61</f>
        <v>0</v>
      </c>
      <c r="I60" s="7">
        <f>[1]ATIVO!I61</f>
        <v>0</v>
      </c>
      <c r="J60" s="7">
        <f>[1]ATIVO!J61</f>
        <v>0</v>
      </c>
      <c r="K60" s="15">
        <f>[1]ATIVO!K61</f>
        <v>1</v>
      </c>
      <c r="L60" s="478"/>
      <c r="M60" s="21">
        <f>[1]ATIVO!M61</f>
        <v>0</v>
      </c>
      <c r="N60" s="21">
        <f>[1]ATIVO!N61</f>
        <v>1</v>
      </c>
      <c r="O60" s="30">
        <f>[1]ATIVO!O61</f>
        <v>1</v>
      </c>
      <c r="P60" s="478"/>
    </row>
    <row r="61" spans="1:16" x14ac:dyDescent="0.25">
      <c r="A61" s="485"/>
      <c r="B61" s="6" t="str">
        <f>[1]ATIVO!B62</f>
        <v xml:space="preserve">               Coordenação-Geral de Planejamento, Finanças e Controle</v>
      </c>
      <c r="C61" s="20">
        <f>[1]ATIVO!C62</f>
        <v>0</v>
      </c>
      <c r="D61" s="7">
        <f>[1]ATIVO!D62</f>
        <v>1</v>
      </c>
      <c r="E61" s="7">
        <f>[1]ATIVO!E62</f>
        <v>1</v>
      </c>
      <c r="F61" s="7">
        <f>[1]ATIVO!F62</f>
        <v>0</v>
      </c>
      <c r="G61" s="7">
        <f>[1]ATIVO!G62</f>
        <v>1</v>
      </c>
      <c r="H61" s="7">
        <f>[1]ATIVO!H62</f>
        <v>0</v>
      </c>
      <c r="I61" s="7">
        <f>[1]ATIVO!I62</f>
        <v>1</v>
      </c>
      <c r="J61" s="7">
        <f>[1]ATIVO!J62</f>
        <v>1</v>
      </c>
      <c r="K61" s="15">
        <f>[1]ATIVO!K62</f>
        <v>5</v>
      </c>
      <c r="L61" s="478"/>
      <c r="M61" s="23">
        <f>[1]ATIVO!M62</f>
        <v>2</v>
      </c>
      <c r="N61" s="23">
        <f>[1]ATIVO!N62</f>
        <v>3</v>
      </c>
      <c r="O61" s="30">
        <f>[1]ATIVO!O62</f>
        <v>5</v>
      </c>
      <c r="P61" s="478"/>
    </row>
    <row r="62" spans="1:16" x14ac:dyDescent="0.25">
      <c r="A62" s="485"/>
      <c r="B62" s="6" t="str">
        <f>[1]ATIVO!B63</f>
        <v xml:space="preserve">               Coordenação-Geral de Gestão de Projetos</v>
      </c>
      <c r="C62" s="20">
        <f>[1]ATIVO!C63</f>
        <v>0</v>
      </c>
      <c r="D62" s="7">
        <f>[1]ATIVO!D63</f>
        <v>1</v>
      </c>
      <c r="E62" s="7">
        <f>[1]ATIVO!E63</f>
        <v>1</v>
      </c>
      <c r="F62" s="7">
        <f>[1]ATIVO!F63</f>
        <v>0</v>
      </c>
      <c r="G62" s="7">
        <f>[1]ATIVO!G63</f>
        <v>0</v>
      </c>
      <c r="H62" s="7">
        <f>[1]ATIVO!H63</f>
        <v>2</v>
      </c>
      <c r="I62" s="7">
        <f>[1]ATIVO!I63</f>
        <v>2</v>
      </c>
      <c r="J62" s="7">
        <f>[1]ATIVO!J63</f>
        <v>1</v>
      </c>
      <c r="K62" s="15">
        <f>[1]ATIVO!K63</f>
        <v>7</v>
      </c>
      <c r="L62" s="478"/>
      <c r="M62" s="23">
        <f>[1]ATIVO!M63</f>
        <v>1</v>
      </c>
      <c r="N62" s="23">
        <f>[1]ATIVO!N63</f>
        <v>6</v>
      </c>
      <c r="O62" s="30">
        <f>[1]ATIVO!O63</f>
        <v>7</v>
      </c>
      <c r="P62" s="478"/>
    </row>
    <row r="63" spans="1:16" x14ac:dyDescent="0.25">
      <c r="A63" s="485"/>
      <c r="B63" s="486"/>
      <c r="C63" s="486"/>
      <c r="D63" s="486"/>
      <c r="E63" s="486"/>
      <c r="F63" s="486"/>
      <c r="G63" s="486"/>
      <c r="H63" s="486"/>
      <c r="I63" s="486"/>
      <c r="J63" s="486"/>
      <c r="K63" s="486"/>
      <c r="L63" s="478"/>
      <c r="M63" s="487"/>
      <c r="N63" s="488"/>
      <c r="O63" s="489"/>
      <c r="P63" s="478"/>
    </row>
    <row r="64" spans="1:16" x14ac:dyDescent="0.25">
      <c r="A64" s="485"/>
      <c r="B64" s="6" t="str">
        <f>[1]ATIVO!B65</f>
        <v xml:space="preserve">          Assessoria Especial de Meio Ambiente</v>
      </c>
      <c r="C64" s="28">
        <f>[1]ATIVO!C65</f>
        <v>0</v>
      </c>
      <c r="D64" s="28">
        <f>[1]ATIVO!D65</f>
        <v>0</v>
      </c>
      <c r="E64" s="28">
        <f>[1]ATIVO!E65</f>
        <v>1</v>
      </c>
      <c r="F64" s="28">
        <f>[1]ATIVO!F65</f>
        <v>0</v>
      </c>
      <c r="G64" s="28">
        <f>[1]ATIVO!G65</f>
        <v>2</v>
      </c>
      <c r="H64" s="28">
        <f>[1]ATIVO!H65</f>
        <v>3</v>
      </c>
      <c r="I64" s="28">
        <f>[1]ATIVO!I65</f>
        <v>0</v>
      </c>
      <c r="J64" s="28">
        <f>[1]ATIVO!J65</f>
        <v>1</v>
      </c>
      <c r="K64" s="8">
        <f>[1]ATIVO!K65</f>
        <v>7</v>
      </c>
      <c r="L64" s="478"/>
      <c r="M64" s="29">
        <f>[1]ATIVO!M65</f>
        <v>5</v>
      </c>
      <c r="N64" s="29">
        <f>[1]ATIVO!N65</f>
        <v>2</v>
      </c>
      <c r="O64" s="22">
        <f>[1]ATIVO!O65</f>
        <v>7</v>
      </c>
      <c r="P64" s="478"/>
    </row>
    <row r="65" spans="1:16" x14ac:dyDescent="0.25">
      <c r="A65" s="485"/>
      <c r="B65" s="6" t="str">
        <f>[1]ATIVO!B66</f>
        <v xml:space="preserve">               Gabinete da Assessoria Especial do Meio Ambiente</v>
      </c>
      <c r="C65" s="20">
        <f>[1]ATIVO!C66</f>
        <v>0</v>
      </c>
      <c r="D65" s="7">
        <f>[1]ATIVO!D66</f>
        <v>0</v>
      </c>
      <c r="E65" s="7">
        <f>[1]ATIVO!E66</f>
        <v>1</v>
      </c>
      <c r="F65" s="7">
        <f>[1]ATIVO!F66</f>
        <v>0</v>
      </c>
      <c r="G65" s="7">
        <f>[1]ATIVO!G66</f>
        <v>1</v>
      </c>
      <c r="H65" s="7">
        <f>[1]ATIVO!H66</f>
        <v>1</v>
      </c>
      <c r="I65" s="7">
        <f>[1]ATIVO!I66</f>
        <v>0</v>
      </c>
      <c r="J65" s="7">
        <f>[1]ATIVO!J66</f>
        <v>1</v>
      </c>
      <c r="K65" s="15">
        <f>[1]ATIVO!K66</f>
        <v>4</v>
      </c>
      <c r="L65" s="478"/>
      <c r="M65" s="21">
        <f>[1]ATIVO!M66</f>
        <v>2</v>
      </c>
      <c r="N65" s="21">
        <f>[1]ATIVO!N66</f>
        <v>2</v>
      </c>
      <c r="O65" s="30">
        <f>[1]ATIVO!O66</f>
        <v>4</v>
      </c>
      <c r="P65" s="478"/>
    </row>
    <row r="66" spans="1:16" x14ac:dyDescent="0.25">
      <c r="A66" s="485"/>
      <c r="B66" s="6" t="str">
        <f>[1]ATIVO!B67</f>
        <v xml:space="preserve">               Coordenação-Geral de Avaliação Ambiental e Acompanhamento de Licenciamento</v>
      </c>
      <c r="C66" s="20">
        <f>[1]ATIVO!C67</f>
        <v>0</v>
      </c>
      <c r="D66" s="7">
        <f>[1]ATIVO!D67</f>
        <v>0</v>
      </c>
      <c r="E66" s="7">
        <f>[1]ATIVO!E67</f>
        <v>0</v>
      </c>
      <c r="F66" s="7">
        <f>[1]ATIVO!F67</f>
        <v>0</v>
      </c>
      <c r="G66" s="7">
        <f>[1]ATIVO!G67</f>
        <v>1</v>
      </c>
      <c r="H66" s="7">
        <f>[1]ATIVO!H67</f>
        <v>0</v>
      </c>
      <c r="I66" s="7">
        <f>[1]ATIVO!I67</f>
        <v>0</v>
      </c>
      <c r="J66" s="7">
        <f>[1]ATIVO!J67</f>
        <v>0</v>
      </c>
      <c r="K66" s="15">
        <f>[1]ATIVO!K67</f>
        <v>1</v>
      </c>
      <c r="L66" s="478"/>
      <c r="M66" s="21">
        <f>[1]ATIVO!M67</f>
        <v>1</v>
      </c>
      <c r="N66" s="21">
        <f>[1]ATIVO!N67</f>
        <v>0</v>
      </c>
      <c r="O66" s="30">
        <f>[1]ATIVO!O67</f>
        <v>1</v>
      </c>
      <c r="P66" s="478"/>
    </row>
    <row r="67" spans="1:16" x14ac:dyDescent="0.25">
      <c r="A67" s="485"/>
      <c r="B67" s="6" t="str">
        <f>[1]ATIVO!B68</f>
        <v xml:space="preserve">               Coordenação-Geral de Articulação Institucional em Meio Ambiente</v>
      </c>
      <c r="C67" s="20">
        <f>[1]ATIVO!C68</f>
        <v>0</v>
      </c>
      <c r="D67" s="7">
        <f>[1]ATIVO!D68</f>
        <v>0</v>
      </c>
      <c r="E67" s="7">
        <f>[1]ATIVO!E68</f>
        <v>0</v>
      </c>
      <c r="F67" s="7">
        <f>[1]ATIVO!F68</f>
        <v>0</v>
      </c>
      <c r="G67" s="7">
        <f>[1]ATIVO!G68</f>
        <v>0</v>
      </c>
      <c r="H67" s="7">
        <f>[1]ATIVO!H68</f>
        <v>2</v>
      </c>
      <c r="I67" s="7">
        <f>[1]ATIVO!I68</f>
        <v>0</v>
      </c>
      <c r="J67" s="7">
        <f>[1]ATIVO!J68</f>
        <v>0</v>
      </c>
      <c r="K67" s="15">
        <f>[1]ATIVO!K68</f>
        <v>2</v>
      </c>
      <c r="L67" s="478"/>
      <c r="M67" s="21">
        <f>[1]ATIVO!M68</f>
        <v>2</v>
      </c>
      <c r="N67" s="21">
        <f>[1]ATIVO!N68</f>
        <v>0</v>
      </c>
      <c r="O67" s="30">
        <f>[1]ATIVO!O68</f>
        <v>2</v>
      </c>
      <c r="P67" s="478"/>
    </row>
    <row r="68" spans="1:16" x14ac:dyDescent="0.25">
      <c r="A68" s="485"/>
      <c r="B68" s="486"/>
      <c r="C68" s="486"/>
      <c r="D68" s="486"/>
      <c r="E68" s="486"/>
      <c r="F68" s="486"/>
      <c r="G68" s="486"/>
      <c r="H68" s="486"/>
      <c r="I68" s="486"/>
      <c r="J68" s="486"/>
      <c r="K68" s="486"/>
      <c r="L68" s="478"/>
      <c r="M68" s="487"/>
      <c r="N68" s="488"/>
      <c r="O68" s="489"/>
      <c r="P68" s="478"/>
    </row>
    <row r="69" spans="1:16" x14ac:dyDescent="0.25">
      <c r="A69" s="485"/>
      <c r="B69" s="24" t="str">
        <f>[1]ATIVO!B70</f>
        <v xml:space="preserve">          Subsecretaria de Planejamento, Orçamento e Administração</v>
      </c>
      <c r="C69" s="31">
        <f>[1]ATIVO!C70</f>
        <v>0</v>
      </c>
      <c r="D69" s="31">
        <f>[1]ATIVO!D70</f>
        <v>86</v>
      </c>
      <c r="E69" s="31">
        <f>[1]ATIVO!E70</f>
        <v>20</v>
      </c>
      <c r="F69" s="31">
        <f>[1]ATIVO!F70</f>
        <v>0</v>
      </c>
      <c r="G69" s="31">
        <f>[1]ATIVO!G70</f>
        <v>14</v>
      </c>
      <c r="H69" s="31">
        <f>[1]ATIVO!H70</f>
        <v>11</v>
      </c>
      <c r="I69" s="31">
        <f>[1]ATIVO!I70</f>
        <v>0</v>
      </c>
      <c r="J69" s="31">
        <f>[1]ATIVO!J70</f>
        <v>47</v>
      </c>
      <c r="K69" s="8">
        <f>[1]ATIVO!K70</f>
        <v>178</v>
      </c>
      <c r="L69" s="478"/>
      <c r="M69" s="29">
        <f>[1]ATIVO!M70</f>
        <v>90</v>
      </c>
      <c r="N69" s="29">
        <f>[1]ATIVO!N70</f>
        <v>88</v>
      </c>
      <c r="O69" s="22">
        <f>[1]ATIVO!O70</f>
        <v>178</v>
      </c>
      <c r="P69" s="478"/>
    </row>
    <row r="70" spans="1:16" x14ac:dyDescent="0.25">
      <c r="A70" s="485"/>
      <c r="B70" s="24" t="str">
        <f>[1]ATIVO!B71</f>
        <v xml:space="preserve">               Gabinete da Subsecretaria de Planejamento, Orçamento e Administração</v>
      </c>
      <c r="C70" s="7">
        <f>[1]ATIVO!C71</f>
        <v>0</v>
      </c>
      <c r="D70" s="7">
        <f>[1]ATIVO!D71</f>
        <v>1</v>
      </c>
      <c r="E70" s="7">
        <f>[1]ATIVO!E71</f>
        <v>0</v>
      </c>
      <c r="F70" s="7">
        <f>[1]ATIVO!F71</f>
        <v>0</v>
      </c>
      <c r="G70" s="7">
        <f>[1]ATIVO!G71</f>
        <v>2</v>
      </c>
      <c r="H70" s="7">
        <f>[1]ATIVO!H71</f>
        <v>0</v>
      </c>
      <c r="I70" s="7">
        <f>[1]ATIVO!I71</f>
        <v>0</v>
      </c>
      <c r="J70" s="7">
        <f>[1]ATIVO!J71</f>
        <v>0</v>
      </c>
      <c r="K70" s="15">
        <f>[1]ATIVO!K71</f>
        <v>3</v>
      </c>
      <c r="L70" s="478"/>
      <c r="M70" s="21">
        <f>[1]ATIVO!M71</f>
        <v>1</v>
      </c>
      <c r="N70" s="21">
        <f>[1]ATIVO!N71</f>
        <v>2</v>
      </c>
      <c r="O70" s="32">
        <f>[1]ATIVO!O71</f>
        <v>3</v>
      </c>
      <c r="P70" s="478"/>
    </row>
    <row r="71" spans="1:16" x14ac:dyDescent="0.25">
      <c r="A71" s="485"/>
      <c r="B71" s="6" t="str">
        <f>[1]ATIVO!B72</f>
        <v xml:space="preserve">               Coordenação-Geral de Recursos Logísticos</v>
      </c>
      <c r="C71" s="7">
        <f>[1]ATIVO!C72</f>
        <v>0</v>
      </c>
      <c r="D71" s="7">
        <f>[1]ATIVO!D72</f>
        <v>41</v>
      </c>
      <c r="E71" s="7">
        <f>[1]ATIVO!E72</f>
        <v>8</v>
      </c>
      <c r="F71" s="7">
        <f>[1]ATIVO!F72</f>
        <v>0</v>
      </c>
      <c r="G71" s="7">
        <f>[1]ATIVO!G72</f>
        <v>9</v>
      </c>
      <c r="H71" s="7">
        <f>[1]ATIVO!H72</f>
        <v>0</v>
      </c>
      <c r="I71" s="7">
        <f>[1]ATIVO!I72</f>
        <v>0</v>
      </c>
      <c r="J71" s="7">
        <f>[1]ATIVO!J72</f>
        <v>15</v>
      </c>
      <c r="K71" s="15">
        <f>[1]ATIVO!K72</f>
        <v>73</v>
      </c>
      <c r="L71" s="478"/>
      <c r="M71" s="23">
        <f>[1]ATIVO!M72</f>
        <v>24</v>
      </c>
      <c r="N71" s="23">
        <f>[1]ATIVO!N72</f>
        <v>49</v>
      </c>
      <c r="O71" s="32">
        <f>[1]ATIVO!O72</f>
        <v>73</v>
      </c>
      <c r="P71" s="478"/>
    </row>
    <row r="72" spans="1:16" x14ac:dyDescent="0.25">
      <c r="A72" s="485"/>
      <c r="B72" s="6" t="str">
        <f>[1]ATIVO!B73</f>
        <v xml:space="preserve">               Coordenação-Geral de Tecnologia da Informação</v>
      </c>
      <c r="C72" s="7">
        <f>[1]ATIVO!C73</f>
        <v>0</v>
      </c>
      <c r="D72" s="7">
        <f>[1]ATIVO!D73</f>
        <v>6</v>
      </c>
      <c r="E72" s="7">
        <f>[1]ATIVO!E73</f>
        <v>2</v>
      </c>
      <c r="F72" s="7">
        <f>[1]ATIVO!F73</f>
        <v>0</v>
      </c>
      <c r="G72" s="7">
        <f>[1]ATIVO!G73</f>
        <v>1</v>
      </c>
      <c r="H72" s="7">
        <f>[1]ATIVO!H73</f>
        <v>3</v>
      </c>
      <c r="I72" s="7">
        <f>[1]ATIVO!I73</f>
        <v>0</v>
      </c>
      <c r="J72" s="7">
        <f>[1]ATIVO!J73</f>
        <v>2</v>
      </c>
      <c r="K72" s="15">
        <f>[1]ATIVO!K73</f>
        <v>14</v>
      </c>
      <c r="L72" s="478"/>
      <c r="M72" s="23">
        <f>[1]ATIVO!M73</f>
        <v>3</v>
      </c>
      <c r="N72" s="23">
        <f>[1]ATIVO!N73</f>
        <v>11</v>
      </c>
      <c r="O72" s="32">
        <f>[1]ATIVO!O73</f>
        <v>14</v>
      </c>
      <c r="P72" s="478"/>
    </row>
    <row r="73" spans="1:16" x14ac:dyDescent="0.25">
      <c r="A73" s="485"/>
      <c r="B73" s="6" t="str">
        <f>[1]ATIVO!B74</f>
        <v xml:space="preserve">               Coordenação-Geral de Compras e Contratos</v>
      </c>
      <c r="C73" s="7">
        <f>[1]ATIVO!C74</f>
        <v>0</v>
      </c>
      <c r="D73" s="7">
        <f>[1]ATIVO!D74</f>
        <v>5</v>
      </c>
      <c r="E73" s="7">
        <f>[1]ATIVO!E74</f>
        <v>3</v>
      </c>
      <c r="F73" s="7">
        <f>[1]ATIVO!F74</f>
        <v>0</v>
      </c>
      <c r="G73" s="7">
        <f>[1]ATIVO!G74</f>
        <v>2</v>
      </c>
      <c r="H73" s="7">
        <f>[1]ATIVO!H74</f>
        <v>0</v>
      </c>
      <c r="I73" s="7">
        <f>[1]ATIVO!I74</f>
        <v>0</v>
      </c>
      <c r="J73" s="7">
        <f>[1]ATIVO!J74</f>
        <v>1</v>
      </c>
      <c r="K73" s="15">
        <f>[1]ATIVO!K74</f>
        <v>11</v>
      </c>
      <c r="L73" s="478"/>
      <c r="M73" s="23">
        <f>[1]ATIVO!M74</f>
        <v>11</v>
      </c>
      <c r="N73" s="23">
        <f>[1]ATIVO!N74</f>
        <v>0</v>
      </c>
      <c r="O73" s="32">
        <f>[1]ATIVO!O74</f>
        <v>11</v>
      </c>
      <c r="P73" s="478"/>
    </row>
    <row r="74" spans="1:16" x14ac:dyDescent="0.25">
      <c r="A74" s="485"/>
      <c r="B74" s="6" t="str">
        <f>[1]ATIVO!B75</f>
        <v xml:space="preserve">               Coordenação-Geral de Recursos Humanos</v>
      </c>
      <c r="C74" s="7">
        <f>[1]ATIVO!C75</f>
        <v>0</v>
      </c>
      <c r="D74" s="7">
        <f>[1]ATIVO!D75</f>
        <v>25</v>
      </c>
      <c r="E74" s="7">
        <f>[1]ATIVO!E75</f>
        <v>5</v>
      </c>
      <c r="F74" s="7">
        <f>[1]ATIVO!F75</f>
        <v>0</v>
      </c>
      <c r="G74" s="7">
        <f>[1]ATIVO!G75</f>
        <v>0</v>
      </c>
      <c r="H74" s="7">
        <f>[1]ATIVO!H75</f>
        <v>0</v>
      </c>
      <c r="I74" s="7">
        <f>[1]ATIVO!I75</f>
        <v>0</v>
      </c>
      <c r="J74" s="7">
        <f>[1]ATIVO!J75</f>
        <v>29</v>
      </c>
      <c r="K74" s="15">
        <f>[1]ATIVO!K75</f>
        <v>59</v>
      </c>
      <c r="L74" s="478"/>
      <c r="M74" s="23">
        <f>[1]ATIVO!M75</f>
        <v>44</v>
      </c>
      <c r="N74" s="23">
        <f>[1]ATIVO!N75</f>
        <v>15</v>
      </c>
      <c r="O74" s="32">
        <f>[1]ATIVO!O75</f>
        <v>59</v>
      </c>
      <c r="P74" s="478"/>
    </row>
    <row r="75" spans="1:16" x14ac:dyDescent="0.25">
      <c r="A75" s="485"/>
      <c r="B75" s="6" t="str">
        <f>[1]ATIVO!B76</f>
        <v xml:space="preserve">               Coordenação-Geral de Orçamento e Finanças</v>
      </c>
      <c r="C75" s="7">
        <f>[1]ATIVO!C76</f>
        <v>0</v>
      </c>
      <c r="D75" s="7">
        <f>[1]ATIVO!D76</f>
        <v>4</v>
      </c>
      <c r="E75" s="7">
        <f>[1]ATIVO!E76</f>
        <v>2</v>
      </c>
      <c r="F75" s="7">
        <f>[1]ATIVO!F76</f>
        <v>0</v>
      </c>
      <c r="G75" s="7">
        <f>[1]ATIVO!G76</f>
        <v>0</v>
      </c>
      <c r="H75" s="7">
        <f>[1]ATIVO!H76</f>
        <v>8</v>
      </c>
      <c r="I75" s="7">
        <f>[1]ATIVO!I76</f>
        <v>0</v>
      </c>
      <c r="J75" s="7">
        <f>[1]ATIVO!J76</f>
        <v>0</v>
      </c>
      <c r="K75" s="15">
        <f>[1]ATIVO!K76</f>
        <v>14</v>
      </c>
      <c r="L75" s="478"/>
      <c r="M75" s="23">
        <f>[1]ATIVO!M76</f>
        <v>4</v>
      </c>
      <c r="N75" s="23">
        <f>[1]ATIVO!N76</f>
        <v>10</v>
      </c>
      <c r="O75" s="32">
        <f>[1]ATIVO!O76</f>
        <v>14</v>
      </c>
      <c r="P75" s="478"/>
    </row>
    <row r="76" spans="1:16" x14ac:dyDescent="0.25">
      <c r="A76" s="485"/>
      <c r="B76" s="24" t="str">
        <f>[1]ATIVO!B77</f>
        <v xml:space="preserve">               Coordenação de Modernização Administrativa</v>
      </c>
      <c r="C76" s="7">
        <f>[1]ATIVO!C77</f>
        <v>0</v>
      </c>
      <c r="D76" s="7">
        <f>[1]ATIVO!D77</f>
        <v>4</v>
      </c>
      <c r="E76" s="7">
        <f>[1]ATIVO!E77</f>
        <v>0</v>
      </c>
      <c r="F76" s="7">
        <f>[1]ATIVO!F77</f>
        <v>0</v>
      </c>
      <c r="G76" s="7">
        <f>[1]ATIVO!G77</f>
        <v>0</v>
      </c>
      <c r="H76" s="7">
        <f>[1]ATIVO!H77</f>
        <v>0</v>
      </c>
      <c r="I76" s="7">
        <f>[1]ATIVO!I77</f>
        <v>0</v>
      </c>
      <c r="J76" s="7">
        <f>[1]ATIVO!J77</f>
        <v>0</v>
      </c>
      <c r="K76" s="15">
        <f>[1]ATIVO!K77</f>
        <v>4</v>
      </c>
      <c r="L76" s="479"/>
      <c r="M76" s="21">
        <f>[1]ATIVO!M77</f>
        <v>3</v>
      </c>
      <c r="N76" s="21">
        <f>[1]ATIVO!N77</f>
        <v>1</v>
      </c>
      <c r="O76" s="32">
        <f>[1]ATIVO!O77</f>
        <v>4</v>
      </c>
      <c r="P76" s="479"/>
    </row>
    <row r="77" spans="1:16" x14ac:dyDescent="0.25">
      <c r="A77" s="18"/>
      <c r="B77" s="12" t="str">
        <f>[1]ATIVO!B78</f>
        <v>TOTAL</v>
      </c>
      <c r="C77" s="8">
        <f>[1]ATIVO!C78</f>
        <v>1</v>
      </c>
      <c r="D77" s="8">
        <f>[1]ATIVO!D78</f>
        <v>90</v>
      </c>
      <c r="E77" s="8">
        <f>[1]ATIVO!E78</f>
        <v>28</v>
      </c>
      <c r="F77" s="8">
        <f>[1]ATIVO!F78</f>
        <v>1</v>
      </c>
      <c r="G77" s="8">
        <f>[1]ATIVO!G78</f>
        <v>29</v>
      </c>
      <c r="H77" s="8">
        <f>[1]ATIVO!H78</f>
        <v>19</v>
      </c>
      <c r="I77" s="8">
        <f>[1]ATIVO!I78</f>
        <v>3</v>
      </c>
      <c r="J77" s="8">
        <f>[1]ATIVO!J78</f>
        <v>50</v>
      </c>
      <c r="K77" s="8">
        <f>[1]ATIVO!K78</f>
        <v>221</v>
      </c>
      <c r="L77" s="8">
        <f>[1]ATIVO!L78</f>
        <v>221</v>
      </c>
      <c r="M77" s="8">
        <f>[1]ATIVO!M78</f>
        <v>107</v>
      </c>
      <c r="N77" s="8">
        <f>[1]ATIVO!N78</f>
        <v>114</v>
      </c>
      <c r="O77" s="8">
        <f>[1]ATIVO!O78</f>
        <v>221</v>
      </c>
      <c r="P77" s="13">
        <f>[1]ATIVO!P78</f>
        <v>221</v>
      </c>
    </row>
    <row r="78" spans="1:16" x14ac:dyDescent="0.25">
      <c r="A78" s="18"/>
      <c r="B78" s="18"/>
      <c r="C78" s="18"/>
      <c r="D78" s="18"/>
      <c r="E78" s="18"/>
      <c r="F78" s="18"/>
      <c r="G78" s="18"/>
      <c r="H78" s="18"/>
      <c r="I78" s="18"/>
      <c r="J78" s="18"/>
      <c r="K78" s="18"/>
      <c r="L78" s="18"/>
      <c r="M78" s="19"/>
      <c r="N78" s="19"/>
      <c r="O78" s="19"/>
      <c r="P78" s="19"/>
    </row>
    <row r="79" spans="1:16" ht="25.5" customHeight="1" x14ac:dyDescent="0.25">
      <c r="A79" s="41" t="str">
        <f>[1]ATIVO!A80</f>
        <v>Área</v>
      </c>
      <c r="B79" s="41" t="str">
        <f>[1]ATIVO!B80</f>
        <v>SECRETARIA DE GEOLOGIA, MINERAÇÃO E TRANSFORMAÇÃO MINERAL</v>
      </c>
      <c r="C79" s="5" t="str">
        <f>[1]ATIVO!C80</f>
        <v>Natureza Especial</v>
      </c>
      <c r="D79" s="5" t="str">
        <f>[1]ATIVO!D80</f>
        <v>Ativo Permanente</v>
      </c>
      <c r="E79" s="5" t="str">
        <f>[1]ATIVO!E80</f>
        <v>Requisitado Órgãos</v>
      </c>
      <c r="F79" s="5" t="str">
        <f>[1]ATIVO!F80</f>
        <v>Requisitado Empresas</v>
      </c>
      <c r="G79" s="5" t="str">
        <f>[1]ATIVO!G80</f>
        <v>Sem Vínculo</v>
      </c>
      <c r="H79" s="5" t="str">
        <f>[1]ATIVO!H80</f>
        <v>Exercício Descentralizado</v>
      </c>
      <c r="I79" s="5" t="str">
        <f>[1]ATIVO!I80</f>
        <v>Contrato Temporário</v>
      </c>
      <c r="J79" s="5" t="str">
        <f>[1]ATIVO!J80</f>
        <v>Anistiado</v>
      </c>
      <c r="K79" s="5" t="str">
        <f>[1]ATIVO!K80</f>
        <v>Total</v>
      </c>
      <c r="L79" s="5" t="str">
        <f>[1]ATIVO!L80</f>
        <v>Total Área</v>
      </c>
      <c r="M79" s="5" t="str">
        <f>[1]ATIVO!M80</f>
        <v>Sexo Feminino</v>
      </c>
      <c r="N79" s="5" t="str">
        <f>[1]ATIVO!N80</f>
        <v>Sexo Masculino</v>
      </c>
      <c r="O79" s="5" t="str">
        <f>[1]ATIVO!O80</f>
        <v>Total</v>
      </c>
      <c r="P79" s="5" t="str">
        <f>[1]ATIVO!P80</f>
        <v>Total Área</v>
      </c>
    </row>
    <row r="80" spans="1:16" x14ac:dyDescent="0.25">
      <c r="A80" s="485" t="str">
        <f>[1]ATIVO!A81</f>
        <v>FINALÍSTICA</v>
      </c>
      <c r="B80" s="6" t="str">
        <f>[1]ATIVO!B81</f>
        <v xml:space="preserve">          Gabinete da Secretaria de Geologia, Mineração e Transformação Mineral</v>
      </c>
      <c r="C80" s="20">
        <f>[1]ATIVO!C81</f>
        <v>0</v>
      </c>
      <c r="D80" s="7">
        <f>[1]ATIVO!D81</f>
        <v>2</v>
      </c>
      <c r="E80" s="7">
        <f>[1]ATIVO!E81</f>
        <v>0</v>
      </c>
      <c r="F80" s="7">
        <f>[1]ATIVO!F81</f>
        <v>0</v>
      </c>
      <c r="G80" s="7">
        <f>[1]ATIVO!G81</f>
        <v>4</v>
      </c>
      <c r="H80" s="7">
        <f>[1]ATIVO!H81</f>
        <v>0</v>
      </c>
      <c r="I80" s="7">
        <f>[1]ATIVO!I81</f>
        <v>0</v>
      </c>
      <c r="J80" s="7">
        <f>[1]ATIVO!J81</f>
        <v>0</v>
      </c>
      <c r="K80" s="8">
        <f>[1]ATIVO!K81</f>
        <v>6</v>
      </c>
      <c r="L80" s="484">
        <f>[1]ATIVO!L81</f>
        <v>39</v>
      </c>
      <c r="M80" s="23">
        <f>[1]ATIVO!M81</f>
        <v>3</v>
      </c>
      <c r="N80" s="23">
        <f>[1]ATIVO!N81</f>
        <v>3</v>
      </c>
      <c r="O80" s="22">
        <f>[1]ATIVO!O81</f>
        <v>6</v>
      </c>
      <c r="P80" s="484">
        <f>[1]ATIVO!P81</f>
        <v>39</v>
      </c>
    </row>
    <row r="81" spans="1:16" x14ac:dyDescent="0.25">
      <c r="A81" s="485"/>
      <c r="B81" s="490"/>
      <c r="C81" s="491"/>
      <c r="D81" s="491"/>
      <c r="E81" s="491"/>
      <c r="F81" s="491"/>
      <c r="G81" s="491"/>
      <c r="H81" s="491"/>
      <c r="I81" s="491"/>
      <c r="J81" s="491"/>
      <c r="K81" s="492"/>
      <c r="L81" s="478"/>
      <c r="M81" s="487"/>
      <c r="N81" s="488"/>
      <c r="O81" s="489"/>
      <c r="P81" s="478"/>
    </row>
    <row r="82" spans="1:16" x14ac:dyDescent="0.25">
      <c r="A82" s="485"/>
      <c r="B82" s="6" t="str">
        <f>[1]ATIVO!B83</f>
        <v xml:space="preserve">      Departamento de Gestão das Políticas de Geologia, Mineração e Transformação Mineral</v>
      </c>
      <c r="C82" s="28">
        <f>[1]ATIVO!C83</f>
        <v>0</v>
      </c>
      <c r="D82" s="28">
        <f>[1]ATIVO!D83</f>
        <v>0</v>
      </c>
      <c r="E82" s="28">
        <f>[1]ATIVO!E83</f>
        <v>2</v>
      </c>
      <c r="F82" s="28">
        <f>[1]ATIVO!F83</f>
        <v>0</v>
      </c>
      <c r="G82" s="28">
        <f>[1]ATIVO!G83</f>
        <v>5</v>
      </c>
      <c r="H82" s="28">
        <f>[1]ATIVO!H83</f>
        <v>1</v>
      </c>
      <c r="I82" s="28">
        <f>[1]ATIVO!I83</f>
        <v>0</v>
      </c>
      <c r="J82" s="28">
        <f>[1]ATIVO!J83</f>
        <v>2</v>
      </c>
      <c r="K82" s="8">
        <f>[1]ATIVO!K83</f>
        <v>10</v>
      </c>
      <c r="L82" s="478"/>
      <c r="M82" s="29">
        <f>[1]ATIVO!M83</f>
        <v>6</v>
      </c>
      <c r="N82" s="29">
        <f>[1]ATIVO!N83</f>
        <v>4</v>
      </c>
      <c r="O82" s="22">
        <f>[1]ATIVO!O83</f>
        <v>10</v>
      </c>
      <c r="P82" s="478"/>
    </row>
    <row r="83" spans="1:16" x14ac:dyDescent="0.25">
      <c r="A83" s="485"/>
      <c r="B83" s="6" t="str">
        <f>[1]ATIVO!B84</f>
        <v xml:space="preserve">               Gabinete do Depto de Gestão das Políticas de Geologia, Mineração e Transf. Mineral</v>
      </c>
      <c r="C83" s="20">
        <f>[1]ATIVO!C84</f>
        <v>0</v>
      </c>
      <c r="D83" s="20">
        <f>[1]ATIVO!D84</f>
        <v>0</v>
      </c>
      <c r="E83" s="20">
        <f>[1]ATIVO!E84</f>
        <v>0</v>
      </c>
      <c r="F83" s="20">
        <f>[1]ATIVO!F84</f>
        <v>0</v>
      </c>
      <c r="G83" s="20">
        <f>[1]ATIVO!G84</f>
        <v>3</v>
      </c>
      <c r="H83" s="20">
        <f>[1]ATIVO!H84</f>
        <v>1</v>
      </c>
      <c r="I83" s="20">
        <f>[1]ATIVO!I84</f>
        <v>0</v>
      </c>
      <c r="J83" s="20">
        <f>[1]ATIVO!J84</f>
        <v>1</v>
      </c>
      <c r="K83" s="15">
        <f>[1]ATIVO!K84</f>
        <v>5</v>
      </c>
      <c r="L83" s="478"/>
      <c r="M83" s="21">
        <f>[1]ATIVO!M84</f>
        <v>3</v>
      </c>
      <c r="N83" s="21">
        <f>[1]ATIVO!N84</f>
        <v>2</v>
      </c>
      <c r="O83" s="33">
        <f>[1]ATIVO!O84</f>
        <v>5</v>
      </c>
      <c r="P83" s="478"/>
    </row>
    <row r="84" spans="1:16" x14ac:dyDescent="0.25">
      <c r="A84" s="485"/>
      <c r="B84" s="6" t="str">
        <f>[1]ATIVO!B85</f>
        <v xml:space="preserve">               Coordenação-Geral de Política e Programas para Mineração</v>
      </c>
      <c r="C84" s="20">
        <f>[1]ATIVO!C85</f>
        <v>0</v>
      </c>
      <c r="D84" s="7">
        <f>[1]ATIVO!D85</f>
        <v>0</v>
      </c>
      <c r="E84" s="7">
        <f>[1]ATIVO!E85</f>
        <v>1</v>
      </c>
      <c r="F84" s="7">
        <f>[1]ATIVO!F85</f>
        <v>0</v>
      </c>
      <c r="G84" s="7">
        <f>[1]ATIVO!G85</f>
        <v>0</v>
      </c>
      <c r="H84" s="7">
        <f>[1]ATIVO!H85</f>
        <v>0</v>
      </c>
      <c r="I84" s="7">
        <f>[1]ATIVO!I85</f>
        <v>0</v>
      </c>
      <c r="J84" s="7">
        <f>[1]ATIVO!J85</f>
        <v>0</v>
      </c>
      <c r="K84" s="15">
        <f>[1]ATIVO!K85</f>
        <v>1</v>
      </c>
      <c r="L84" s="478"/>
      <c r="M84" s="21">
        <f>[1]ATIVO!M85</f>
        <v>0</v>
      </c>
      <c r="N84" s="21">
        <f>[1]ATIVO!N85</f>
        <v>1</v>
      </c>
      <c r="O84" s="33">
        <f>[1]ATIVO!O85</f>
        <v>1</v>
      </c>
      <c r="P84" s="478"/>
    </row>
    <row r="85" spans="1:16" x14ac:dyDescent="0.25">
      <c r="A85" s="485"/>
      <c r="B85" s="6" t="str">
        <f>[1]ATIVO!B86</f>
        <v xml:space="preserve">               Coordenação-Geral de Monitoramento e Controle da Gestão de Programa</v>
      </c>
      <c r="C85" s="20">
        <f>[1]ATIVO!C86</f>
        <v>0</v>
      </c>
      <c r="D85" s="7">
        <f>[1]ATIVO!D86</f>
        <v>0</v>
      </c>
      <c r="E85" s="7">
        <f>[1]ATIVO!E86</f>
        <v>0</v>
      </c>
      <c r="F85" s="7">
        <f>[1]ATIVO!F86</f>
        <v>0</v>
      </c>
      <c r="G85" s="7">
        <f>[1]ATIVO!G86</f>
        <v>2</v>
      </c>
      <c r="H85" s="7">
        <f>[1]ATIVO!H86</f>
        <v>0</v>
      </c>
      <c r="I85" s="7">
        <f>[1]ATIVO!I86</f>
        <v>0</v>
      </c>
      <c r="J85" s="7">
        <f>[1]ATIVO!J86</f>
        <v>0</v>
      </c>
      <c r="K85" s="15">
        <f>[1]ATIVO!K86</f>
        <v>2</v>
      </c>
      <c r="L85" s="478"/>
      <c r="M85" s="21">
        <f>[1]ATIVO!M86</f>
        <v>2</v>
      </c>
      <c r="N85" s="21">
        <f>[1]ATIVO!N86</f>
        <v>0</v>
      </c>
      <c r="O85" s="33">
        <f>[1]ATIVO!O86</f>
        <v>2</v>
      </c>
      <c r="P85" s="478"/>
    </row>
    <row r="86" spans="1:16" x14ac:dyDescent="0.25">
      <c r="A86" s="485"/>
      <c r="B86" s="6" t="str">
        <f>[1]ATIVO!B87</f>
        <v xml:space="preserve">               Coordenação-Geral de Economia Mineral</v>
      </c>
      <c r="C86" s="20">
        <f>[1]ATIVO!C87</f>
        <v>0</v>
      </c>
      <c r="D86" s="7">
        <f>[1]ATIVO!D87</f>
        <v>0</v>
      </c>
      <c r="E86" s="7">
        <f>[1]ATIVO!E87</f>
        <v>1</v>
      </c>
      <c r="F86" s="7">
        <f>[1]ATIVO!F87</f>
        <v>0</v>
      </c>
      <c r="G86" s="7">
        <f>[1]ATIVO!G87</f>
        <v>0</v>
      </c>
      <c r="H86" s="7">
        <f>[1]ATIVO!H87</f>
        <v>0</v>
      </c>
      <c r="I86" s="7">
        <f>[1]ATIVO!I87</f>
        <v>0</v>
      </c>
      <c r="J86" s="7">
        <f>[1]ATIVO!J87</f>
        <v>1</v>
      </c>
      <c r="K86" s="15">
        <f>[1]ATIVO!K87</f>
        <v>2</v>
      </c>
      <c r="L86" s="478"/>
      <c r="M86" s="21">
        <f>[1]ATIVO!M87</f>
        <v>1</v>
      </c>
      <c r="N86" s="21">
        <f>[1]ATIVO!N87</f>
        <v>1</v>
      </c>
      <c r="O86" s="33">
        <f>[1]ATIVO!O87</f>
        <v>2</v>
      </c>
      <c r="P86" s="478"/>
    </row>
    <row r="87" spans="1:16" x14ac:dyDescent="0.25">
      <c r="A87" s="485"/>
      <c r="B87" s="490"/>
      <c r="C87" s="491"/>
      <c r="D87" s="491"/>
      <c r="E87" s="491"/>
      <c r="F87" s="491"/>
      <c r="G87" s="491"/>
      <c r="H87" s="491"/>
      <c r="I87" s="491"/>
      <c r="J87" s="491"/>
      <c r="K87" s="492"/>
      <c r="L87" s="478"/>
      <c r="M87" s="487"/>
      <c r="N87" s="488"/>
      <c r="O87" s="489"/>
      <c r="P87" s="478"/>
    </row>
    <row r="88" spans="1:16" x14ac:dyDescent="0.25">
      <c r="A88" s="485"/>
      <c r="B88" s="6" t="str">
        <f>[1]ATIVO!B89</f>
        <v xml:space="preserve">          Departamento de Geologia e Produção Mineral</v>
      </c>
      <c r="C88" s="28">
        <f>[1]ATIVO!C89</f>
        <v>0</v>
      </c>
      <c r="D88" s="28">
        <f>[1]ATIVO!D89</f>
        <v>1</v>
      </c>
      <c r="E88" s="28">
        <f>[1]ATIVO!E89</f>
        <v>0</v>
      </c>
      <c r="F88" s="28">
        <f>[1]ATIVO!F89</f>
        <v>0</v>
      </c>
      <c r="G88" s="28">
        <f>[1]ATIVO!G89</f>
        <v>2</v>
      </c>
      <c r="H88" s="28">
        <f>[1]ATIVO!H89</f>
        <v>3</v>
      </c>
      <c r="I88" s="28">
        <f>[1]ATIVO!I89</f>
        <v>0</v>
      </c>
      <c r="J88" s="28">
        <f>[1]ATIVO!J89</f>
        <v>1</v>
      </c>
      <c r="K88" s="8">
        <f>[1]ATIVO!K89</f>
        <v>7</v>
      </c>
      <c r="L88" s="478"/>
      <c r="M88" s="29">
        <f>[1]ATIVO!M89</f>
        <v>3</v>
      </c>
      <c r="N88" s="29">
        <f>[1]ATIVO!N89</f>
        <v>4</v>
      </c>
      <c r="O88" s="22">
        <f>[1]ATIVO!O89</f>
        <v>7</v>
      </c>
      <c r="P88" s="478"/>
    </row>
    <row r="89" spans="1:16" x14ac:dyDescent="0.25">
      <c r="A89" s="485"/>
      <c r="B89" s="6" t="str">
        <f>[1]ATIVO!B90</f>
        <v xml:space="preserve">               Gabinete do Departamento de Geologia e Produção Mineral</v>
      </c>
      <c r="C89" s="20">
        <f>[1]ATIVO!C90</f>
        <v>0</v>
      </c>
      <c r="D89" s="7">
        <f>[1]ATIVO!D90</f>
        <v>1</v>
      </c>
      <c r="E89" s="7">
        <f>[1]ATIVO!E90</f>
        <v>0</v>
      </c>
      <c r="F89" s="7">
        <f>[1]ATIVO!F90</f>
        <v>0</v>
      </c>
      <c r="G89" s="7">
        <f>[1]ATIVO!G90</f>
        <v>1</v>
      </c>
      <c r="H89" s="7">
        <f>[1]ATIVO!H90</f>
        <v>2</v>
      </c>
      <c r="I89" s="7">
        <f>[1]ATIVO!I90</f>
        <v>0</v>
      </c>
      <c r="J89" s="7">
        <f>[1]ATIVO!J90</f>
        <v>1</v>
      </c>
      <c r="K89" s="15">
        <f>[1]ATIVO!K90</f>
        <v>5</v>
      </c>
      <c r="L89" s="478"/>
      <c r="M89" s="21">
        <f>[1]ATIVO!M90</f>
        <v>3</v>
      </c>
      <c r="N89" s="21">
        <f>[1]ATIVO!N90</f>
        <v>2</v>
      </c>
      <c r="O89" s="33">
        <f>[1]ATIVO!O90</f>
        <v>5</v>
      </c>
      <c r="P89" s="478"/>
    </row>
    <row r="90" spans="1:16" x14ac:dyDescent="0.25">
      <c r="A90" s="485"/>
      <c r="B90" s="6" t="str">
        <f>[1]ATIVO!B91</f>
        <v xml:space="preserve">               Coordenação-Geral de Geologia e Recursos Minerais</v>
      </c>
      <c r="C90" s="20">
        <f>[1]ATIVO!C91</f>
        <v>0</v>
      </c>
      <c r="D90" s="7">
        <f>[1]ATIVO!D91</f>
        <v>0</v>
      </c>
      <c r="E90" s="7">
        <f>[1]ATIVO!E91</f>
        <v>0</v>
      </c>
      <c r="F90" s="7">
        <f>[1]ATIVO!F91</f>
        <v>0</v>
      </c>
      <c r="G90" s="7">
        <f>[1]ATIVO!G91</f>
        <v>0</v>
      </c>
      <c r="H90" s="7">
        <f>[1]ATIVO!H91</f>
        <v>1</v>
      </c>
      <c r="I90" s="7">
        <f>[1]ATIVO!I91</f>
        <v>0</v>
      </c>
      <c r="J90" s="7">
        <f>[1]ATIVO!J91</f>
        <v>0</v>
      </c>
      <c r="K90" s="15">
        <f>[1]ATIVO!K91</f>
        <v>1</v>
      </c>
      <c r="L90" s="478"/>
      <c r="M90" s="21">
        <f>[1]ATIVO!M91</f>
        <v>0</v>
      </c>
      <c r="N90" s="21">
        <f>[1]ATIVO!N91</f>
        <v>1</v>
      </c>
      <c r="O90" s="33">
        <f>[1]ATIVO!O91</f>
        <v>1</v>
      </c>
      <c r="P90" s="478"/>
    </row>
    <row r="91" spans="1:16" x14ac:dyDescent="0.25">
      <c r="A91" s="485"/>
      <c r="B91" s="6" t="str">
        <f>[1]ATIVO!B92</f>
        <v xml:space="preserve">               Coordenação-Geral de Monitoramento e Controle de Concessões Minerais</v>
      </c>
      <c r="C91" s="20">
        <f>[1]ATIVO!C92</f>
        <v>0</v>
      </c>
      <c r="D91" s="7">
        <f>[1]ATIVO!D92</f>
        <v>0</v>
      </c>
      <c r="E91" s="7">
        <f>[1]ATIVO!E92</f>
        <v>0</v>
      </c>
      <c r="F91" s="7">
        <f>[1]ATIVO!F92</f>
        <v>0</v>
      </c>
      <c r="G91" s="7">
        <f>[1]ATIVO!G92</f>
        <v>1</v>
      </c>
      <c r="H91" s="7">
        <f>[1]ATIVO!H92</f>
        <v>0</v>
      </c>
      <c r="I91" s="7">
        <f>[1]ATIVO!I92</f>
        <v>0</v>
      </c>
      <c r="J91" s="7">
        <f>[1]ATIVO!J92</f>
        <v>0</v>
      </c>
      <c r="K91" s="15">
        <f>[1]ATIVO!K92</f>
        <v>1</v>
      </c>
      <c r="L91" s="478"/>
      <c r="M91" s="21">
        <f>[1]ATIVO!M92</f>
        <v>0</v>
      </c>
      <c r="N91" s="21">
        <f>[1]ATIVO!N92</f>
        <v>1</v>
      </c>
      <c r="O91" s="33">
        <f>[1]ATIVO!O92</f>
        <v>1</v>
      </c>
      <c r="P91" s="478"/>
    </row>
    <row r="92" spans="1:16" x14ac:dyDescent="0.25">
      <c r="A92" s="485"/>
      <c r="B92" s="490"/>
      <c r="C92" s="491"/>
      <c r="D92" s="491"/>
      <c r="E92" s="491"/>
      <c r="F92" s="491"/>
      <c r="G92" s="491"/>
      <c r="H92" s="491"/>
      <c r="I92" s="491"/>
      <c r="J92" s="491"/>
      <c r="K92" s="492"/>
      <c r="L92" s="478"/>
      <c r="M92" s="487"/>
      <c r="N92" s="488"/>
      <c r="O92" s="489"/>
      <c r="P92" s="478"/>
    </row>
    <row r="93" spans="1:16" x14ac:dyDescent="0.25">
      <c r="A93" s="485"/>
      <c r="B93" s="6" t="str">
        <f>[1]ATIVO!B94</f>
        <v xml:space="preserve">          Departamento de Transformação e Tecnologia Mineral</v>
      </c>
      <c r="C93" s="28">
        <f>[1]ATIVO!C94</f>
        <v>0</v>
      </c>
      <c r="D93" s="28">
        <f>[1]ATIVO!D94</f>
        <v>2</v>
      </c>
      <c r="E93" s="28">
        <f>[1]ATIVO!E94</f>
        <v>0</v>
      </c>
      <c r="F93" s="28">
        <f>[1]ATIVO!F94</f>
        <v>0</v>
      </c>
      <c r="G93" s="28">
        <f>[1]ATIVO!G94</f>
        <v>2</v>
      </c>
      <c r="H93" s="28">
        <f>[1]ATIVO!H94</f>
        <v>2</v>
      </c>
      <c r="I93" s="28">
        <f>[1]ATIVO!I94</f>
        <v>0</v>
      </c>
      <c r="J93" s="28">
        <f>[1]ATIVO!J94</f>
        <v>2</v>
      </c>
      <c r="K93" s="8">
        <f>[1]ATIVO!K94</f>
        <v>8</v>
      </c>
      <c r="L93" s="478"/>
      <c r="M93" s="29">
        <f>[1]ATIVO!M94</f>
        <v>3</v>
      </c>
      <c r="N93" s="29">
        <f>[1]ATIVO!N94</f>
        <v>5</v>
      </c>
      <c r="O93" s="22">
        <f>[1]ATIVO!O94</f>
        <v>8</v>
      </c>
      <c r="P93" s="478"/>
    </row>
    <row r="94" spans="1:16" x14ac:dyDescent="0.25">
      <c r="A94" s="485"/>
      <c r="B94" s="6" t="str">
        <f>[1]ATIVO!B95</f>
        <v xml:space="preserve">               Gabinete do Departamento de Transformação e Tecnologia Mineral</v>
      </c>
      <c r="C94" s="20">
        <f>[1]ATIVO!C95</f>
        <v>0</v>
      </c>
      <c r="D94" s="7">
        <f>[1]ATIVO!D95</f>
        <v>1</v>
      </c>
      <c r="E94" s="7">
        <f>[1]ATIVO!E95</f>
        <v>0</v>
      </c>
      <c r="F94" s="7">
        <f>[1]ATIVO!F95</f>
        <v>0</v>
      </c>
      <c r="G94" s="7">
        <f>[1]ATIVO!G95</f>
        <v>1</v>
      </c>
      <c r="H94" s="7">
        <f>[1]ATIVO!H95</f>
        <v>2</v>
      </c>
      <c r="I94" s="7">
        <f>[1]ATIVO!I95</f>
        <v>0</v>
      </c>
      <c r="J94" s="7">
        <f>[1]ATIVO!J95</f>
        <v>2</v>
      </c>
      <c r="K94" s="15">
        <f>[1]ATIVO!K95</f>
        <v>6</v>
      </c>
      <c r="L94" s="478"/>
      <c r="M94" s="21">
        <f>[1]ATIVO!M95</f>
        <v>3</v>
      </c>
      <c r="N94" s="21">
        <f>[1]ATIVO!N95</f>
        <v>3</v>
      </c>
      <c r="O94" s="33">
        <f>[1]ATIVO!O95</f>
        <v>6</v>
      </c>
      <c r="P94" s="478"/>
    </row>
    <row r="95" spans="1:16" x14ac:dyDescent="0.25">
      <c r="A95" s="485"/>
      <c r="B95" s="6" t="str">
        <f>[1]ATIVO!B96</f>
        <v xml:space="preserve">               Coordenação-Geral de Capacitação e Desenvolvimento Tecnológico</v>
      </c>
      <c r="C95" s="20">
        <f>[1]ATIVO!C96</f>
        <v>0</v>
      </c>
      <c r="D95" s="7">
        <f>[1]ATIVO!D96</f>
        <v>1</v>
      </c>
      <c r="E95" s="7">
        <f>[1]ATIVO!E96</f>
        <v>0</v>
      </c>
      <c r="F95" s="7">
        <f>[1]ATIVO!F96</f>
        <v>0</v>
      </c>
      <c r="G95" s="7">
        <f>[1]ATIVO!G96</f>
        <v>1</v>
      </c>
      <c r="H95" s="7">
        <f>[1]ATIVO!H96</f>
        <v>0</v>
      </c>
      <c r="I95" s="7">
        <f>[1]ATIVO!I96</f>
        <v>0</v>
      </c>
      <c r="J95" s="7">
        <f>[1]ATIVO!J96</f>
        <v>0</v>
      </c>
      <c r="K95" s="15">
        <f>[1]ATIVO!K96</f>
        <v>2</v>
      </c>
      <c r="L95" s="478"/>
      <c r="M95" s="21">
        <f>[1]ATIVO!M96</f>
        <v>0</v>
      </c>
      <c r="N95" s="21">
        <f>[1]ATIVO!N96</f>
        <v>2</v>
      </c>
      <c r="O95" s="33">
        <f>[1]ATIVO!O96</f>
        <v>2</v>
      </c>
      <c r="P95" s="478"/>
    </row>
    <row r="96" spans="1:16" x14ac:dyDescent="0.25">
      <c r="A96" s="485"/>
      <c r="B96" s="490"/>
      <c r="C96" s="491"/>
      <c r="D96" s="491"/>
      <c r="E96" s="491"/>
      <c r="F96" s="491"/>
      <c r="G96" s="491"/>
      <c r="H96" s="491"/>
      <c r="I96" s="491"/>
      <c r="J96" s="491"/>
      <c r="K96" s="492"/>
      <c r="L96" s="478"/>
      <c r="M96" s="487"/>
      <c r="N96" s="488"/>
      <c r="O96" s="489"/>
      <c r="P96" s="478"/>
    </row>
    <row r="97" spans="1:16" x14ac:dyDescent="0.25">
      <c r="A97" s="485"/>
      <c r="B97" s="6" t="str">
        <f>[1]ATIVO!B98</f>
        <v xml:space="preserve">          Departamento de Desenvolvimento Sustentável na Mineração</v>
      </c>
      <c r="C97" s="28">
        <f>[1]ATIVO!C98</f>
        <v>0</v>
      </c>
      <c r="D97" s="28">
        <f>[1]ATIVO!D98</f>
        <v>0</v>
      </c>
      <c r="E97" s="28">
        <f>[1]ATIVO!E98</f>
        <v>1</v>
      </c>
      <c r="F97" s="28">
        <f>[1]ATIVO!F98</f>
        <v>0</v>
      </c>
      <c r="G97" s="28">
        <f>[1]ATIVO!G98</f>
        <v>5</v>
      </c>
      <c r="H97" s="28">
        <f>[1]ATIVO!H98</f>
        <v>2</v>
      </c>
      <c r="I97" s="28">
        <f>[1]ATIVO!I98</f>
        <v>0</v>
      </c>
      <c r="J97" s="28">
        <f>[1]ATIVO!J98</f>
        <v>0</v>
      </c>
      <c r="K97" s="8">
        <f>[1]ATIVO!K98</f>
        <v>8</v>
      </c>
      <c r="L97" s="478"/>
      <c r="M97" s="29">
        <f>[1]ATIVO!M98</f>
        <v>4</v>
      </c>
      <c r="N97" s="29">
        <f>[1]ATIVO!N98</f>
        <v>4</v>
      </c>
      <c r="O97" s="22">
        <f>[1]ATIVO!O98</f>
        <v>8</v>
      </c>
      <c r="P97" s="478"/>
    </row>
    <row r="98" spans="1:16" x14ac:dyDescent="0.25">
      <c r="A98" s="485"/>
      <c r="B98" s="6" t="str">
        <f>[1]ATIVO!B99</f>
        <v xml:space="preserve">               Gabinete do Departamento de Desenvolvimento Sustentável na Mineração</v>
      </c>
      <c r="C98" s="20">
        <f>[1]ATIVO!C99</f>
        <v>0</v>
      </c>
      <c r="D98" s="7">
        <f>[1]ATIVO!D99</f>
        <v>0</v>
      </c>
      <c r="E98" s="7">
        <f>[1]ATIVO!E99</f>
        <v>0</v>
      </c>
      <c r="F98" s="7">
        <f>[1]ATIVO!F99</f>
        <v>0</v>
      </c>
      <c r="G98" s="7">
        <f>[1]ATIVO!G99</f>
        <v>2</v>
      </c>
      <c r="H98" s="7">
        <f>[1]ATIVO!H99</f>
        <v>1</v>
      </c>
      <c r="I98" s="7">
        <f>[1]ATIVO!I99</f>
        <v>0</v>
      </c>
      <c r="J98" s="7">
        <f>[1]ATIVO!J99</f>
        <v>0</v>
      </c>
      <c r="K98" s="15">
        <f>[1]ATIVO!K99</f>
        <v>3</v>
      </c>
      <c r="L98" s="478"/>
      <c r="M98" s="21">
        <f>[1]ATIVO!M99</f>
        <v>0</v>
      </c>
      <c r="N98" s="21">
        <f>[1]ATIVO!N99</f>
        <v>3</v>
      </c>
      <c r="O98" s="33">
        <f>[1]ATIVO!O99</f>
        <v>3</v>
      </c>
      <c r="P98" s="478"/>
    </row>
    <row r="99" spans="1:16" x14ac:dyDescent="0.25">
      <c r="A99" s="485"/>
      <c r="B99" s="6" t="str">
        <f>[1]ATIVO!B100</f>
        <v xml:space="preserve">               Coordenação-Geral de Desenvolvimento Socioambiental na Mineração</v>
      </c>
      <c r="C99" s="20">
        <f>[1]ATIVO!C100</f>
        <v>0</v>
      </c>
      <c r="D99" s="7">
        <f>[1]ATIVO!D100</f>
        <v>0</v>
      </c>
      <c r="E99" s="7">
        <f>[1]ATIVO!E100</f>
        <v>0</v>
      </c>
      <c r="F99" s="7">
        <f>[1]ATIVO!F100</f>
        <v>0</v>
      </c>
      <c r="G99" s="7">
        <f>[1]ATIVO!G100</f>
        <v>3</v>
      </c>
      <c r="H99" s="7">
        <f>[1]ATIVO!H100</f>
        <v>0</v>
      </c>
      <c r="I99" s="7">
        <f>[1]ATIVO!I100</f>
        <v>0</v>
      </c>
      <c r="J99" s="7">
        <f>[1]ATIVO!J100</f>
        <v>0</v>
      </c>
      <c r="K99" s="15">
        <f>[1]ATIVO!K100</f>
        <v>3</v>
      </c>
      <c r="L99" s="478"/>
      <c r="M99" s="21">
        <f>[1]ATIVO!M100</f>
        <v>2</v>
      </c>
      <c r="N99" s="21">
        <f>[1]ATIVO!N100</f>
        <v>1</v>
      </c>
      <c r="O99" s="33">
        <f>[1]ATIVO!O100</f>
        <v>3</v>
      </c>
      <c r="P99" s="478"/>
    </row>
    <row r="100" spans="1:16" x14ac:dyDescent="0.25">
      <c r="A100" s="485"/>
      <c r="B100" s="6" t="str">
        <f>[1]ATIVO!B101</f>
        <v xml:space="preserve">               Coordenação-Geral de Mineração em Áreas de Conservação e Conflito</v>
      </c>
      <c r="C100" s="20">
        <f>[1]ATIVO!C101</f>
        <v>0</v>
      </c>
      <c r="D100" s="7">
        <f>[1]ATIVO!D101</f>
        <v>0</v>
      </c>
      <c r="E100" s="7">
        <f>[1]ATIVO!E101</f>
        <v>1</v>
      </c>
      <c r="F100" s="7">
        <f>[1]ATIVO!F101</f>
        <v>0</v>
      </c>
      <c r="G100" s="7">
        <f>[1]ATIVO!G101</f>
        <v>0</v>
      </c>
      <c r="H100" s="7">
        <f>[1]ATIVO!H101</f>
        <v>1</v>
      </c>
      <c r="I100" s="7">
        <f>[1]ATIVO!I101</f>
        <v>0</v>
      </c>
      <c r="J100" s="7">
        <f>[1]ATIVO!J101</f>
        <v>0</v>
      </c>
      <c r="K100" s="15">
        <f>[1]ATIVO!K101</f>
        <v>2</v>
      </c>
      <c r="L100" s="479"/>
      <c r="M100" s="21">
        <f>[1]ATIVO!M101</f>
        <v>2</v>
      </c>
      <c r="N100" s="21">
        <f>[1]ATIVO!N101</f>
        <v>0</v>
      </c>
      <c r="O100" s="33">
        <f>[1]ATIVO!O101</f>
        <v>2</v>
      </c>
      <c r="P100" s="479"/>
    </row>
    <row r="101" spans="1:16" x14ac:dyDescent="0.25">
      <c r="A101" s="18"/>
      <c r="B101" s="12" t="str">
        <f>[1]ATIVO!B102</f>
        <v>TOTAL</v>
      </c>
      <c r="C101" s="8">
        <f>[1]ATIVO!C102</f>
        <v>0</v>
      </c>
      <c r="D101" s="8">
        <f>[1]ATIVO!D102</f>
        <v>5</v>
      </c>
      <c r="E101" s="8">
        <f>[1]ATIVO!E102</f>
        <v>3</v>
      </c>
      <c r="F101" s="8">
        <f>[1]ATIVO!F102</f>
        <v>0</v>
      </c>
      <c r="G101" s="8">
        <f>[1]ATIVO!G102</f>
        <v>18</v>
      </c>
      <c r="H101" s="8">
        <f>[1]ATIVO!H102</f>
        <v>8</v>
      </c>
      <c r="I101" s="8">
        <f>[1]ATIVO!I102</f>
        <v>0</v>
      </c>
      <c r="J101" s="8">
        <f>[1]ATIVO!J102</f>
        <v>5</v>
      </c>
      <c r="K101" s="8">
        <f>[1]ATIVO!K102</f>
        <v>39</v>
      </c>
      <c r="L101" s="8">
        <f>[1]ATIVO!L102</f>
        <v>39</v>
      </c>
      <c r="M101" s="8">
        <f>[1]ATIVO!M102</f>
        <v>19</v>
      </c>
      <c r="N101" s="8">
        <f>[1]ATIVO!N102</f>
        <v>20</v>
      </c>
      <c r="O101" s="8">
        <f>[1]ATIVO!O102</f>
        <v>39</v>
      </c>
      <c r="P101" s="13">
        <f>[1]ATIVO!P102</f>
        <v>39</v>
      </c>
    </row>
    <row r="102" spans="1:16" x14ac:dyDescent="0.25">
      <c r="A102" s="18"/>
      <c r="B102" s="18"/>
      <c r="C102" s="18"/>
      <c r="D102" s="18"/>
      <c r="E102" s="18"/>
      <c r="F102" s="18"/>
      <c r="G102" s="18"/>
      <c r="H102" s="18"/>
      <c r="I102" s="18"/>
      <c r="J102" s="18"/>
      <c r="K102" s="18"/>
      <c r="L102" s="18"/>
      <c r="M102" s="34"/>
      <c r="N102" s="34"/>
      <c r="O102" s="34"/>
      <c r="P102" s="19"/>
    </row>
    <row r="103" spans="1:16" ht="25.5" customHeight="1" x14ac:dyDescent="0.25">
      <c r="A103" s="41" t="str">
        <f>[1]ATIVO!A104</f>
        <v>Área</v>
      </c>
      <c r="B103" s="41" t="str">
        <f>[1]ATIVO!B104</f>
        <v>SECRETARIA DE ENERGIA ELÉTRICA</v>
      </c>
      <c r="C103" s="5" t="str">
        <f>[1]ATIVO!C104</f>
        <v>Natureza Especial</v>
      </c>
      <c r="D103" s="5" t="str">
        <f>[1]ATIVO!D104</f>
        <v>Ativo Permanente</v>
      </c>
      <c r="E103" s="5" t="str">
        <f>[1]ATIVO!E104</f>
        <v>Requisitado Órgãos</v>
      </c>
      <c r="F103" s="5" t="str">
        <f>[1]ATIVO!F104</f>
        <v>Requisitado Empresas</v>
      </c>
      <c r="G103" s="5" t="str">
        <f>[1]ATIVO!G104</f>
        <v>Sem Vínculo</v>
      </c>
      <c r="H103" s="5" t="str">
        <f>[1]ATIVO!H104</f>
        <v>Exercício Descentralizado</v>
      </c>
      <c r="I103" s="5" t="str">
        <f>[1]ATIVO!I104</f>
        <v>Contrato Temporário</v>
      </c>
      <c r="J103" s="5" t="str">
        <f>[1]ATIVO!J104</f>
        <v>Anistiado</v>
      </c>
      <c r="K103" s="5" t="str">
        <f>[1]ATIVO!K104</f>
        <v>Total</v>
      </c>
      <c r="L103" s="5" t="str">
        <f>[1]ATIVO!L104</f>
        <v>Total Área</v>
      </c>
      <c r="M103" s="5" t="str">
        <f>[1]ATIVO!M104</f>
        <v>Sexo Feminino</v>
      </c>
      <c r="N103" s="5" t="str">
        <f>[1]ATIVO!N104</f>
        <v>Sexo Masculino</v>
      </c>
      <c r="O103" s="5" t="str">
        <f>[1]ATIVO!O104</f>
        <v>Total</v>
      </c>
      <c r="P103" s="5" t="str">
        <f>[1]ATIVO!P104</f>
        <v>Total Área</v>
      </c>
    </row>
    <row r="104" spans="1:16" x14ac:dyDescent="0.25">
      <c r="A104" s="485" t="str">
        <f>[1]ATIVO!A105</f>
        <v>FINALÍSTICA</v>
      </c>
      <c r="B104" s="6" t="str">
        <f>[1]ATIVO!B105</f>
        <v xml:space="preserve">          Gabinete da Secretaria de Energia Elétrica</v>
      </c>
      <c r="C104" s="20">
        <f>[1]ATIVO!C105</f>
        <v>0</v>
      </c>
      <c r="D104" s="7">
        <f>[1]ATIVO!D105</f>
        <v>0</v>
      </c>
      <c r="E104" s="7">
        <f>[1]ATIVO!E105</f>
        <v>1</v>
      </c>
      <c r="F104" s="7">
        <f>[1]ATIVO!F105</f>
        <v>3</v>
      </c>
      <c r="G104" s="7">
        <f>[1]ATIVO!G105</f>
        <v>6</v>
      </c>
      <c r="H104" s="7">
        <f>[1]ATIVO!H105</f>
        <v>1</v>
      </c>
      <c r="I104" s="7">
        <f>[1]ATIVO!I105</f>
        <v>0</v>
      </c>
      <c r="J104" s="7">
        <f>[1]ATIVO!J105</f>
        <v>3</v>
      </c>
      <c r="K104" s="8">
        <f>[1]ATIVO!K105</f>
        <v>14</v>
      </c>
      <c r="L104" s="484">
        <f>[1]ATIVO!L105</f>
        <v>52</v>
      </c>
      <c r="M104" s="23">
        <f>[1]ATIVO!M105</f>
        <v>6</v>
      </c>
      <c r="N104" s="23">
        <f>[1]ATIVO!N105</f>
        <v>8</v>
      </c>
      <c r="O104" s="22">
        <f>[1]ATIVO!O105</f>
        <v>14</v>
      </c>
      <c r="P104" s="484">
        <f>[1]ATIVO!P105</f>
        <v>52</v>
      </c>
    </row>
    <row r="105" spans="1:16" x14ac:dyDescent="0.25">
      <c r="A105" s="485"/>
      <c r="B105" s="490"/>
      <c r="C105" s="491"/>
      <c r="D105" s="491"/>
      <c r="E105" s="491"/>
      <c r="F105" s="491"/>
      <c r="G105" s="491"/>
      <c r="H105" s="491"/>
      <c r="I105" s="491"/>
      <c r="J105" s="491"/>
      <c r="K105" s="492"/>
      <c r="L105" s="478"/>
      <c r="M105" s="487"/>
      <c r="N105" s="488"/>
      <c r="O105" s="489"/>
      <c r="P105" s="478"/>
    </row>
    <row r="106" spans="1:16" x14ac:dyDescent="0.25">
      <c r="A106" s="485"/>
      <c r="B106" s="6" t="str">
        <f>[1]ATIVO!B107</f>
        <v xml:space="preserve">          Departamento de Gestão do Setor Elétrico</v>
      </c>
      <c r="C106" s="28">
        <f>[1]ATIVO!C107</f>
        <v>0</v>
      </c>
      <c r="D106" s="28">
        <f>[1]ATIVO!D107</f>
        <v>0</v>
      </c>
      <c r="E106" s="28">
        <f>[1]ATIVO!E107</f>
        <v>0</v>
      </c>
      <c r="F106" s="28">
        <f>[1]ATIVO!F107</f>
        <v>0</v>
      </c>
      <c r="G106" s="28">
        <f>[1]ATIVO!G107</f>
        <v>0</v>
      </c>
      <c r="H106" s="28">
        <f>[1]ATIVO!H107</f>
        <v>5</v>
      </c>
      <c r="I106" s="28">
        <f>[1]ATIVO!I107</f>
        <v>0</v>
      </c>
      <c r="J106" s="28">
        <f>[1]ATIVO!J107</f>
        <v>2</v>
      </c>
      <c r="K106" s="8">
        <f>[1]ATIVO!K107</f>
        <v>7</v>
      </c>
      <c r="L106" s="478"/>
      <c r="M106" s="29">
        <f>[1]ATIVO!M107</f>
        <v>3</v>
      </c>
      <c r="N106" s="29">
        <f>[1]ATIVO!N107</f>
        <v>4</v>
      </c>
      <c r="O106" s="22">
        <f>[1]ATIVO!O107</f>
        <v>7</v>
      </c>
      <c r="P106" s="478"/>
    </row>
    <row r="107" spans="1:16" x14ac:dyDescent="0.25">
      <c r="A107" s="485"/>
      <c r="B107" s="6" t="str">
        <f>[1]ATIVO!B108</f>
        <v xml:space="preserve">               Gabinete do Departamento de Gestão do Setor Elétrico</v>
      </c>
      <c r="C107" s="20">
        <f>[1]ATIVO!C108</f>
        <v>0</v>
      </c>
      <c r="D107" s="20">
        <f>[1]ATIVO!D108</f>
        <v>0</v>
      </c>
      <c r="E107" s="20">
        <f>[1]ATIVO!E108</f>
        <v>0</v>
      </c>
      <c r="F107" s="20">
        <f>[1]ATIVO!F108</f>
        <v>0</v>
      </c>
      <c r="G107" s="20">
        <f>[1]ATIVO!G108</f>
        <v>0</v>
      </c>
      <c r="H107" s="20">
        <f>[1]ATIVO!H108</f>
        <v>1</v>
      </c>
      <c r="I107" s="20">
        <f>[1]ATIVO!I108</f>
        <v>0</v>
      </c>
      <c r="J107" s="20">
        <f>[1]ATIVO!J108</f>
        <v>0</v>
      </c>
      <c r="K107" s="15">
        <f>[1]ATIVO!K108</f>
        <v>1</v>
      </c>
      <c r="L107" s="478"/>
      <c r="M107" s="23">
        <f>[1]ATIVO!M108</f>
        <v>1</v>
      </c>
      <c r="N107" s="23">
        <f>[1]ATIVO!N108</f>
        <v>0</v>
      </c>
      <c r="O107" s="33">
        <f>[1]ATIVO!O108</f>
        <v>1</v>
      </c>
      <c r="P107" s="478"/>
    </row>
    <row r="108" spans="1:16" x14ac:dyDescent="0.25">
      <c r="A108" s="485"/>
      <c r="B108" s="6" t="str">
        <f>[1]ATIVO!B109</f>
        <v xml:space="preserve">               Coordenação-Geral de Gestão da Comercialização de Energia</v>
      </c>
      <c r="C108" s="20">
        <f>[1]ATIVO!C109</f>
        <v>0</v>
      </c>
      <c r="D108" s="7">
        <f>[1]ATIVO!D109</f>
        <v>0</v>
      </c>
      <c r="E108" s="7">
        <f>[1]ATIVO!E109</f>
        <v>0</v>
      </c>
      <c r="F108" s="7">
        <f>[1]ATIVO!F109</f>
        <v>0</v>
      </c>
      <c r="G108" s="7">
        <f>[1]ATIVO!G109</f>
        <v>0</v>
      </c>
      <c r="H108" s="7">
        <f>[1]ATIVO!H109</f>
        <v>2</v>
      </c>
      <c r="I108" s="7">
        <f>[1]ATIVO!I109</f>
        <v>0</v>
      </c>
      <c r="J108" s="7">
        <f>[1]ATIVO!J109</f>
        <v>1</v>
      </c>
      <c r="K108" s="15">
        <f>[1]ATIVO!K109</f>
        <v>3</v>
      </c>
      <c r="L108" s="478"/>
      <c r="M108" s="21">
        <f>[1]ATIVO!M109</f>
        <v>1</v>
      </c>
      <c r="N108" s="21">
        <f>[1]ATIVO!N109</f>
        <v>2</v>
      </c>
      <c r="O108" s="33">
        <f>[1]ATIVO!O109</f>
        <v>3</v>
      </c>
      <c r="P108" s="478"/>
    </row>
    <row r="109" spans="1:16" x14ac:dyDescent="0.25">
      <c r="A109" s="485"/>
      <c r="B109" s="6" t="str">
        <f>[1]ATIVO!B110</f>
        <v xml:space="preserve">               Coordenação-Geral de Gestão da Política Tarifária</v>
      </c>
      <c r="C109" s="35">
        <f>[1]ATIVO!C110</f>
        <v>0</v>
      </c>
      <c r="D109" s="36">
        <f>[1]ATIVO!D110</f>
        <v>0</v>
      </c>
      <c r="E109" s="36">
        <f>[1]ATIVO!E110</f>
        <v>0</v>
      </c>
      <c r="F109" s="36">
        <f>[1]ATIVO!F110</f>
        <v>0</v>
      </c>
      <c r="G109" s="36">
        <f>[1]ATIVO!G110</f>
        <v>0</v>
      </c>
      <c r="H109" s="36">
        <f>[1]ATIVO!H110</f>
        <v>0</v>
      </c>
      <c r="I109" s="36">
        <f>[1]ATIVO!I110</f>
        <v>0</v>
      </c>
      <c r="J109" s="36">
        <f>[1]ATIVO!J110</f>
        <v>0</v>
      </c>
      <c r="K109" s="37">
        <f>[1]ATIVO!K110</f>
        <v>0</v>
      </c>
      <c r="L109" s="478"/>
      <c r="M109" s="38">
        <f>[1]ATIVO!M110</f>
        <v>0</v>
      </c>
      <c r="N109" s="38">
        <f>[1]ATIVO!N110</f>
        <v>0</v>
      </c>
      <c r="O109" s="39">
        <f>[1]ATIVO!O110</f>
        <v>0</v>
      </c>
      <c r="P109" s="478"/>
    </row>
    <row r="110" spans="1:16" x14ac:dyDescent="0.25">
      <c r="A110" s="485"/>
      <c r="B110" s="6" t="str">
        <f>[1]ATIVO!B111</f>
        <v xml:space="preserve">               Coordenação-Geral de Gestão de Programas e Regulamentação</v>
      </c>
      <c r="C110" s="20">
        <f>[1]ATIVO!C111</f>
        <v>0</v>
      </c>
      <c r="D110" s="7">
        <f>[1]ATIVO!D111</f>
        <v>0</v>
      </c>
      <c r="E110" s="7">
        <f>[1]ATIVO!E111</f>
        <v>0</v>
      </c>
      <c r="F110" s="7">
        <f>[1]ATIVO!F111</f>
        <v>0</v>
      </c>
      <c r="G110" s="7">
        <f>[1]ATIVO!G111</f>
        <v>0</v>
      </c>
      <c r="H110" s="7">
        <f>[1]ATIVO!H111</f>
        <v>2</v>
      </c>
      <c r="I110" s="7">
        <f>[1]ATIVO!I111</f>
        <v>0</v>
      </c>
      <c r="J110" s="7">
        <f>[1]ATIVO!J111</f>
        <v>1</v>
      </c>
      <c r="K110" s="15">
        <f>[1]ATIVO!K111</f>
        <v>3</v>
      </c>
      <c r="L110" s="478"/>
      <c r="M110" s="21">
        <f>[1]ATIVO!M111</f>
        <v>1</v>
      </c>
      <c r="N110" s="21">
        <f>[1]ATIVO!N111</f>
        <v>2</v>
      </c>
      <c r="O110" s="33">
        <f>[1]ATIVO!O111</f>
        <v>3</v>
      </c>
      <c r="P110" s="478"/>
    </row>
    <row r="111" spans="1:16" x14ac:dyDescent="0.25">
      <c r="A111" s="485"/>
      <c r="B111" s="490"/>
      <c r="C111" s="491"/>
      <c r="D111" s="491"/>
      <c r="E111" s="491"/>
      <c r="F111" s="491"/>
      <c r="G111" s="491"/>
      <c r="H111" s="491"/>
      <c r="I111" s="491"/>
      <c r="J111" s="491"/>
      <c r="K111" s="492"/>
      <c r="L111" s="478"/>
      <c r="M111" s="487"/>
      <c r="N111" s="488"/>
      <c r="O111" s="489"/>
      <c r="P111" s="478"/>
    </row>
    <row r="112" spans="1:16" x14ac:dyDescent="0.25">
      <c r="A112" s="485"/>
      <c r="B112" s="6" t="str">
        <f>[1]ATIVO!B113</f>
        <v xml:space="preserve">          Departamento de Monitoramento do Sistema Elétrico</v>
      </c>
      <c r="C112" s="28">
        <f>[1]ATIVO!C113</f>
        <v>0</v>
      </c>
      <c r="D112" s="28">
        <f>[1]ATIVO!D113</f>
        <v>1</v>
      </c>
      <c r="E112" s="28">
        <f>[1]ATIVO!E113</f>
        <v>1</v>
      </c>
      <c r="F112" s="28">
        <f>[1]ATIVO!F113</f>
        <v>0</v>
      </c>
      <c r="G112" s="28">
        <f>[1]ATIVO!G113</f>
        <v>5</v>
      </c>
      <c r="H112" s="28">
        <f>[1]ATIVO!H113</f>
        <v>12</v>
      </c>
      <c r="I112" s="28">
        <f>[1]ATIVO!I113</f>
        <v>0</v>
      </c>
      <c r="J112" s="28">
        <f>[1]ATIVO!J113</f>
        <v>0</v>
      </c>
      <c r="K112" s="8">
        <f>[1]ATIVO!K113</f>
        <v>19</v>
      </c>
      <c r="L112" s="478"/>
      <c r="M112" s="29">
        <f>[1]ATIVO!M113</f>
        <v>7</v>
      </c>
      <c r="N112" s="29">
        <f>[1]ATIVO!N113</f>
        <v>12</v>
      </c>
      <c r="O112" s="22">
        <f>[1]ATIVO!O113</f>
        <v>19</v>
      </c>
      <c r="P112" s="478"/>
    </row>
    <row r="113" spans="1:16" x14ac:dyDescent="0.25">
      <c r="A113" s="485"/>
      <c r="B113" s="6" t="str">
        <f>[1]ATIVO!B114</f>
        <v xml:space="preserve">               Gabinete do Departamento de Monitoramento do Sistema Elétrico</v>
      </c>
      <c r="C113" s="20">
        <f>[1]ATIVO!C114</f>
        <v>0</v>
      </c>
      <c r="D113" s="20">
        <f>[1]ATIVO!D114</f>
        <v>0</v>
      </c>
      <c r="E113" s="20">
        <f>[1]ATIVO!E114</f>
        <v>0</v>
      </c>
      <c r="F113" s="20">
        <f>[1]ATIVO!F114</f>
        <v>0</v>
      </c>
      <c r="G113" s="20">
        <f>[1]ATIVO!G114</f>
        <v>2</v>
      </c>
      <c r="H113" s="20">
        <f>[1]ATIVO!H114</f>
        <v>1</v>
      </c>
      <c r="I113" s="20">
        <f>[1]ATIVO!I114</f>
        <v>0</v>
      </c>
      <c r="J113" s="20">
        <f>[1]ATIVO!J114</f>
        <v>0</v>
      </c>
      <c r="K113" s="15">
        <f>[1]ATIVO!K114</f>
        <v>3</v>
      </c>
      <c r="L113" s="478"/>
      <c r="M113" s="21">
        <f>[1]ATIVO!M114</f>
        <v>2</v>
      </c>
      <c r="N113" s="21">
        <f>[1]ATIVO!N114</f>
        <v>1</v>
      </c>
      <c r="O113" s="33">
        <f>[1]ATIVO!O114</f>
        <v>3</v>
      </c>
      <c r="P113" s="478"/>
    </row>
    <row r="114" spans="1:16" x14ac:dyDescent="0.25">
      <c r="A114" s="485"/>
      <c r="B114" s="6" t="str">
        <f>[1]ATIVO!B115</f>
        <v xml:space="preserve">               Coordenação-Geral de Monitoramento da Expansão da Geração</v>
      </c>
      <c r="C114" s="20">
        <f>[1]ATIVO!C115</f>
        <v>0</v>
      </c>
      <c r="D114" s="7">
        <f>[1]ATIVO!D115</f>
        <v>0</v>
      </c>
      <c r="E114" s="7">
        <f>[1]ATIVO!E115</f>
        <v>0</v>
      </c>
      <c r="F114" s="7">
        <f>[1]ATIVO!F115</f>
        <v>0</v>
      </c>
      <c r="G114" s="7">
        <f>[1]ATIVO!G115</f>
        <v>2</v>
      </c>
      <c r="H114" s="7">
        <f>[1]ATIVO!H115</f>
        <v>1</v>
      </c>
      <c r="I114" s="7">
        <f>[1]ATIVO!I115</f>
        <v>0</v>
      </c>
      <c r="J114" s="7">
        <f>[1]ATIVO!J115</f>
        <v>0</v>
      </c>
      <c r="K114" s="15">
        <f>[1]ATIVO!K115</f>
        <v>3</v>
      </c>
      <c r="L114" s="478"/>
      <c r="M114" s="21">
        <f>[1]ATIVO!M115</f>
        <v>0</v>
      </c>
      <c r="N114" s="21">
        <f>[1]ATIVO!N115</f>
        <v>3</v>
      </c>
      <c r="O114" s="33">
        <f>[1]ATIVO!O115</f>
        <v>3</v>
      </c>
      <c r="P114" s="478"/>
    </row>
    <row r="115" spans="1:16" x14ac:dyDescent="0.25">
      <c r="A115" s="485"/>
      <c r="B115" s="6" t="str">
        <f>[1]ATIVO!B116</f>
        <v xml:space="preserve">               Coordenação-Geral de Monitoramento da Expansão da Transmissão</v>
      </c>
      <c r="C115" s="20">
        <f>[1]ATIVO!C116</f>
        <v>0</v>
      </c>
      <c r="D115" s="7">
        <f>[1]ATIVO!D116</f>
        <v>0</v>
      </c>
      <c r="E115" s="7">
        <f>[1]ATIVO!E116</f>
        <v>0</v>
      </c>
      <c r="F115" s="7">
        <f>[1]ATIVO!F116</f>
        <v>0</v>
      </c>
      <c r="G115" s="7">
        <f>[1]ATIVO!G116</f>
        <v>1</v>
      </c>
      <c r="H115" s="7">
        <f>[1]ATIVO!H116</f>
        <v>2</v>
      </c>
      <c r="I115" s="7">
        <f>[1]ATIVO!I116</f>
        <v>0</v>
      </c>
      <c r="J115" s="7">
        <f>[1]ATIVO!J116</f>
        <v>0</v>
      </c>
      <c r="K115" s="15">
        <f>[1]ATIVO!K116</f>
        <v>3</v>
      </c>
      <c r="L115" s="478"/>
      <c r="M115" s="21">
        <f>[1]ATIVO!M116</f>
        <v>1</v>
      </c>
      <c r="N115" s="21">
        <f>[1]ATIVO!N116</f>
        <v>2</v>
      </c>
      <c r="O115" s="33">
        <f>[1]ATIVO!O116</f>
        <v>3</v>
      </c>
      <c r="P115" s="478"/>
    </row>
    <row r="116" spans="1:16" x14ac:dyDescent="0.25">
      <c r="A116" s="485"/>
      <c r="B116" s="6" t="str">
        <f>[1]ATIVO!B117</f>
        <v xml:space="preserve">               Coordenação-Geral de Monitoramento da Distribuição</v>
      </c>
      <c r="C116" s="20">
        <f>[1]ATIVO!C117</f>
        <v>0</v>
      </c>
      <c r="D116" s="7">
        <f>[1]ATIVO!D117</f>
        <v>1</v>
      </c>
      <c r="E116" s="7">
        <f>[1]ATIVO!E117</f>
        <v>0</v>
      </c>
      <c r="F116" s="7">
        <f>[1]ATIVO!F117</f>
        <v>0</v>
      </c>
      <c r="G116" s="7">
        <f>[1]ATIVO!G117</f>
        <v>0</v>
      </c>
      <c r="H116" s="7">
        <f>[1]ATIVO!H117</f>
        <v>2</v>
      </c>
      <c r="I116" s="7">
        <f>[1]ATIVO!I117</f>
        <v>0</v>
      </c>
      <c r="J116" s="7">
        <f>[1]ATIVO!J117</f>
        <v>0</v>
      </c>
      <c r="K116" s="15">
        <f>[1]ATIVO!K117</f>
        <v>3</v>
      </c>
      <c r="L116" s="478"/>
      <c r="M116" s="21">
        <f>[1]ATIVO!M117</f>
        <v>1</v>
      </c>
      <c r="N116" s="21">
        <f>[1]ATIVO!N117</f>
        <v>2</v>
      </c>
      <c r="O116" s="33">
        <f>[1]ATIVO!O117</f>
        <v>3</v>
      </c>
      <c r="P116" s="478"/>
    </row>
    <row r="117" spans="1:16" x14ac:dyDescent="0.25">
      <c r="A117" s="485"/>
      <c r="B117" s="6" t="str">
        <f>[1]ATIVO!B118</f>
        <v xml:space="preserve">               Coordenação-Geral de Monitoramento do Desempenho do Sistema Elétrico</v>
      </c>
      <c r="C117" s="20">
        <f>[1]ATIVO!C118</f>
        <v>0</v>
      </c>
      <c r="D117" s="7">
        <f>[1]ATIVO!D118</f>
        <v>0</v>
      </c>
      <c r="E117" s="7">
        <f>[1]ATIVO!E118</f>
        <v>1</v>
      </c>
      <c r="F117" s="7">
        <f>[1]ATIVO!F118</f>
        <v>0</v>
      </c>
      <c r="G117" s="7">
        <f>[1]ATIVO!G118</f>
        <v>0</v>
      </c>
      <c r="H117" s="7">
        <f>[1]ATIVO!H118</f>
        <v>6</v>
      </c>
      <c r="I117" s="7">
        <f>[1]ATIVO!I118</f>
        <v>0</v>
      </c>
      <c r="J117" s="7">
        <f>[1]ATIVO!J118</f>
        <v>0</v>
      </c>
      <c r="K117" s="15">
        <f>[1]ATIVO!K118</f>
        <v>7</v>
      </c>
      <c r="L117" s="478"/>
      <c r="M117" s="21">
        <f>[1]ATIVO!M118</f>
        <v>3</v>
      </c>
      <c r="N117" s="21">
        <f>[1]ATIVO!N118</f>
        <v>4</v>
      </c>
      <c r="O117" s="33">
        <f>[1]ATIVO!O118</f>
        <v>7</v>
      </c>
      <c r="P117" s="478"/>
    </row>
    <row r="118" spans="1:16" x14ac:dyDescent="0.25">
      <c r="A118" s="485"/>
      <c r="B118" s="490"/>
      <c r="C118" s="491"/>
      <c r="D118" s="491"/>
      <c r="E118" s="491"/>
      <c r="F118" s="491"/>
      <c r="G118" s="491"/>
      <c r="H118" s="491"/>
      <c r="I118" s="491"/>
      <c r="J118" s="491"/>
      <c r="K118" s="492"/>
      <c r="L118" s="478"/>
      <c r="M118" s="487"/>
      <c r="N118" s="488"/>
      <c r="O118" s="489"/>
      <c r="P118" s="478"/>
    </row>
    <row r="119" spans="1:16" x14ac:dyDescent="0.25">
      <c r="A119" s="485"/>
      <c r="B119" s="6" t="str">
        <f>[1]ATIVO!B120</f>
        <v xml:space="preserve">          Departamento de Políticas Sociais e Universalização do Acesso à Energia Elétrica</v>
      </c>
      <c r="C119" s="28">
        <f>[1]ATIVO!C120</f>
        <v>0</v>
      </c>
      <c r="D119" s="28">
        <f>[1]ATIVO!D120</f>
        <v>1</v>
      </c>
      <c r="E119" s="28">
        <f>[1]ATIVO!E120</f>
        <v>1</v>
      </c>
      <c r="F119" s="28">
        <f>[1]ATIVO!F120</f>
        <v>1</v>
      </c>
      <c r="G119" s="28">
        <f>[1]ATIVO!G120</f>
        <v>4</v>
      </c>
      <c r="H119" s="28">
        <f>[1]ATIVO!H120</f>
        <v>1</v>
      </c>
      <c r="I119" s="28">
        <f>[1]ATIVO!I120</f>
        <v>0</v>
      </c>
      <c r="J119" s="28">
        <f>[1]ATIVO!J120</f>
        <v>4</v>
      </c>
      <c r="K119" s="8">
        <f>[1]ATIVO!K120</f>
        <v>12</v>
      </c>
      <c r="L119" s="478"/>
      <c r="M119" s="29">
        <f>[1]ATIVO!M120</f>
        <v>2</v>
      </c>
      <c r="N119" s="29">
        <f>[1]ATIVO!N120</f>
        <v>10</v>
      </c>
      <c r="O119" s="22">
        <f>[1]ATIVO!O120</f>
        <v>12</v>
      </c>
      <c r="P119" s="478"/>
    </row>
    <row r="120" spans="1:16" x14ac:dyDescent="0.25">
      <c r="A120" s="485"/>
      <c r="B120" s="6" t="str">
        <f>[1]ATIVO!B121</f>
        <v xml:space="preserve">               Gabinete do Depto de Políticas Sociais e Universalização do Acesso à Energia Elétrica</v>
      </c>
      <c r="C120" s="20">
        <f>[1]ATIVO!C121</f>
        <v>0</v>
      </c>
      <c r="D120" s="7">
        <f>[1]ATIVO!D121</f>
        <v>0</v>
      </c>
      <c r="E120" s="7">
        <f>[1]ATIVO!E121</f>
        <v>1</v>
      </c>
      <c r="F120" s="7">
        <f>[1]ATIVO!F121</f>
        <v>0</v>
      </c>
      <c r="G120" s="7">
        <f>[1]ATIVO!G121</f>
        <v>2</v>
      </c>
      <c r="H120" s="7">
        <f>[1]ATIVO!H121</f>
        <v>0</v>
      </c>
      <c r="I120" s="7">
        <f>[1]ATIVO!I121</f>
        <v>0</v>
      </c>
      <c r="J120" s="7">
        <f>[1]ATIVO!J121</f>
        <v>0</v>
      </c>
      <c r="K120" s="15">
        <f>[1]ATIVO!K121</f>
        <v>3</v>
      </c>
      <c r="L120" s="478"/>
      <c r="M120" s="21">
        <f>[1]ATIVO!M121</f>
        <v>1</v>
      </c>
      <c r="N120" s="21">
        <f>[1]ATIVO!N121</f>
        <v>2</v>
      </c>
      <c r="O120" s="33">
        <f>[1]ATIVO!O121</f>
        <v>3</v>
      </c>
      <c r="P120" s="478"/>
    </row>
    <row r="121" spans="1:16" x14ac:dyDescent="0.25">
      <c r="A121" s="485"/>
      <c r="B121" s="6" t="str">
        <f>[1]ATIVO!B122</f>
        <v xml:space="preserve">               Coordenação-Geral de Desenvolvimento de Políticas Sociais</v>
      </c>
      <c r="C121" s="20">
        <f>[1]ATIVO!C122</f>
        <v>0</v>
      </c>
      <c r="D121" s="7">
        <f>[1]ATIVO!D122</f>
        <v>0</v>
      </c>
      <c r="E121" s="7">
        <f>[1]ATIVO!E122</f>
        <v>0</v>
      </c>
      <c r="F121" s="7">
        <f>[1]ATIVO!F122</f>
        <v>1</v>
      </c>
      <c r="G121" s="7">
        <f>[1]ATIVO!G122</f>
        <v>1</v>
      </c>
      <c r="H121" s="7">
        <f>[1]ATIVO!H122</f>
        <v>1</v>
      </c>
      <c r="I121" s="7">
        <f>[1]ATIVO!I122</f>
        <v>0</v>
      </c>
      <c r="J121" s="7">
        <f>[1]ATIVO!J122</f>
        <v>4</v>
      </c>
      <c r="K121" s="15">
        <f>[1]ATIVO!K122</f>
        <v>7</v>
      </c>
      <c r="L121" s="478"/>
      <c r="M121" s="21">
        <f>[1]ATIVO!M122</f>
        <v>0</v>
      </c>
      <c r="N121" s="21">
        <f>[1]ATIVO!N122</f>
        <v>7</v>
      </c>
      <c r="O121" s="33">
        <f>[1]ATIVO!O122</f>
        <v>7</v>
      </c>
      <c r="P121" s="478"/>
    </row>
    <row r="122" spans="1:16" x14ac:dyDescent="0.25">
      <c r="A122" s="485"/>
      <c r="B122" s="6" t="str">
        <f>[1]ATIVO!B123</f>
        <v xml:space="preserve">               Coordenação-Geral de Universalização do Acesso à Energia</v>
      </c>
      <c r="C122" s="20">
        <f>[1]ATIVO!C123</f>
        <v>0</v>
      </c>
      <c r="D122" s="7">
        <f>[1]ATIVO!D123</f>
        <v>1</v>
      </c>
      <c r="E122" s="7">
        <f>[1]ATIVO!E123</f>
        <v>0</v>
      </c>
      <c r="F122" s="7">
        <f>[1]ATIVO!F123</f>
        <v>0</v>
      </c>
      <c r="G122" s="7">
        <f>[1]ATIVO!G123</f>
        <v>1</v>
      </c>
      <c r="H122" s="7">
        <f>[1]ATIVO!H123</f>
        <v>0</v>
      </c>
      <c r="I122" s="7">
        <f>[1]ATIVO!I123</f>
        <v>0</v>
      </c>
      <c r="J122" s="7">
        <f>[1]ATIVO!J123</f>
        <v>0</v>
      </c>
      <c r="K122" s="15">
        <f>[1]ATIVO!K123</f>
        <v>2</v>
      </c>
      <c r="L122" s="479"/>
      <c r="M122" s="21">
        <f>[1]ATIVO!M123</f>
        <v>1</v>
      </c>
      <c r="N122" s="21">
        <f>[1]ATIVO!N123</f>
        <v>1</v>
      </c>
      <c r="O122" s="33">
        <f>[1]ATIVO!O123</f>
        <v>2</v>
      </c>
      <c r="P122" s="479"/>
    </row>
    <row r="123" spans="1:16" x14ac:dyDescent="0.25">
      <c r="A123" s="18"/>
      <c r="B123" s="12" t="str">
        <f>[1]ATIVO!B124</f>
        <v>TOTAL</v>
      </c>
      <c r="C123" s="8">
        <f>[1]ATIVO!C124</f>
        <v>0</v>
      </c>
      <c r="D123" s="8">
        <f>[1]ATIVO!D124</f>
        <v>2</v>
      </c>
      <c r="E123" s="8">
        <f>[1]ATIVO!E124</f>
        <v>3</v>
      </c>
      <c r="F123" s="8">
        <f>[1]ATIVO!F124</f>
        <v>4</v>
      </c>
      <c r="G123" s="8">
        <f>[1]ATIVO!G124</f>
        <v>15</v>
      </c>
      <c r="H123" s="8">
        <f>[1]ATIVO!H124</f>
        <v>19</v>
      </c>
      <c r="I123" s="8">
        <f>[1]ATIVO!I124</f>
        <v>0</v>
      </c>
      <c r="J123" s="8">
        <f>[1]ATIVO!J124</f>
        <v>9</v>
      </c>
      <c r="K123" s="8">
        <f>[1]ATIVO!K124</f>
        <v>52</v>
      </c>
      <c r="L123" s="8">
        <f>[1]ATIVO!L124</f>
        <v>52</v>
      </c>
      <c r="M123" s="8">
        <f>[1]ATIVO!M124</f>
        <v>18</v>
      </c>
      <c r="N123" s="8">
        <f>[1]ATIVO!N124</f>
        <v>34</v>
      </c>
      <c r="O123" s="8">
        <f>[1]ATIVO!O124</f>
        <v>52</v>
      </c>
      <c r="P123" s="13">
        <f>[1]ATIVO!P124</f>
        <v>52</v>
      </c>
    </row>
    <row r="124" spans="1:16" x14ac:dyDescent="0.25">
      <c r="A124" s="18"/>
      <c r="B124" s="18"/>
      <c r="C124" s="18"/>
      <c r="D124" s="18"/>
      <c r="E124" s="18"/>
      <c r="F124" s="18"/>
      <c r="G124" s="18"/>
      <c r="H124" s="18"/>
      <c r="I124" s="18"/>
      <c r="J124" s="18"/>
      <c r="K124" s="18"/>
      <c r="L124" s="18"/>
      <c r="M124" s="34"/>
      <c r="N124" s="34"/>
      <c r="O124" s="34"/>
      <c r="P124" s="19"/>
    </row>
    <row r="125" spans="1:16" ht="25.5" customHeight="1" x14ac:dyDescent="0.25">
      <c r="A125" s="41" t="str">
        <f>[1]ATIVO!A126</f>
        <v>Área</v>
      </c>
      <c r="B125" s="41" t="str">
        <f>[1]ATIVO!B126</f>
        <v>SECRETARIA DE PLANEJAMENTO E DESENVOLVIMENTO ENERGÉTICO</v>
      </c>
      <c r="C125" s="5" t="str">
        <f>[1]ATIVO!C126</f>
        <v>Natureza Especial</v>
      </c>
      <c r="D125" s="5" t="str">
        <f>[1]ATIVO!D126</f>
        <v>Ativo Permanente</v>
      </c>
      <c r="E125" s="5" t="str">
        <f>[1]ATIVO!E126</f>
        <v>Requisitado Órgãos</v>
      </c>
      <c r="F125" s="5" t="str">
        <f>[1]ATIVO!F126</f>
        <v>Requisitado Empresas</v>
      </c>
      <c r="G125" s="5" t="str">
        <f>[1]ATIVO!G126</f>
        <v>Sem Vínculo</v>
      </c>
      <c r="H125" s="5" t="str">
        <f>[1]ATIVO!H126</f>
        <v>Exercício Descentralizado</v>
      </c>
      <c r="I125" s="5" t="str">
        <f>[1]ATIVO!I126</f>
        <v>Contrato Temporário</v>
      </c>
      <c r="J125" s="5" t="str">
        <f>[1]ATIVO!J126</f>
        <v>Anistiado</v>
      </c>
      <c r="K125" s="5" t="str">
        <f>[1]ATIVO!K126</f>
        <v>Total</v>
      </c>
      <c r="L125" s="5" t="str">
        <f>[1]ATIVO!L126</f>
        <v>Total Área</v>
      </c>
      <c r="M125" s="5" t="str">
        <f>[1]ATIVO!M126</f>
        <v>Sexo Feminino</v>
      </c>
      <c r="N125" s="5" t="str">
        <f>[1]ATIVO!N126</f>
        <v>Sexo Masculino</v>
      </c>
      <c r="O125" s="5" t="str">
        <f>[1]ATIVO!O126</f>
        <v>Total</v>
      </c>
      <c r="P125" s="5" t="str">
        <f>[1]ATIVO!P126</f>
        <v>Total Área</v>
      </c>
    </row>
    <row r="126" spans="1:16" x14ac:dyDescent="0.25">
      <c r="A126" s="485" t="str">
        <f>[1]ATIVO!A127</f>
        <v>FINALÍSTICA</v>
      </c>
      <c r="B126" s="6" t="str">
        <f>[1]ATIVO!B127</f>
        <v xml:space="preserve">          Gabinete da Secretaria de Planejamento e Desenvolvimento Energético</v>
      </c>
      <c r="C126" s="20">
        <f>[1]ATIVO!C127</f>
        <v>0</v>
      </c>
      <c r="D126" s="7">
        <f>[1]ATIVO!D127</f>
        <v>6</v>
      </c>
      <c r="E126" s="7">
        <f>[1]ATIVO!E127</f>
        <v>1</v>
      </c>
      <c r="F126" s="7">
        <f>[1]ATIVO!F127</f>
        <v>0</v>
      </c>
      <c r="G126" s="7">
        <f>[1]ATIVO!G127</f>
        <v>5</v>
      </c>
      <c r="H126" s="7">
        <f>[1]ATIVO!H127</f>
        <v>0</v>
      </c>
      <c r="I126" s="7">
        <f>[1]ATIVO!I127</f>
        <v>0</v>
      </c>
      <c r="J126" s="7">
        <f>[1]ATIVO!J127</f>
        <v>1</v>
      </c>
      <c r="K126" s="8">
        <f>[1]ATIVO!K127</f>
        <v>13</v>
      </c>
      <c r="L126" s="484">
        <f>[1]ATIVO!L127</f>
        <v>45</v>
      </c>
      <c r="M126" s="23">
        <f>[1]ATIVO!M127</f>
        <v>8</v>
      </c>
      <c r="N126" s="23">
        <f>[1]ATIVO!N127</f>
        <v>5</v>
      </c>
      <c r="O126" s="22">
        <f>[1]ATIVO!O127</f>
        <v>13</v>
      </c>
      <c r="P126" s="484">
        <f>[1]ATIVO!P127</f>
        <v>45</v>
      </c>
    </row>
    <row r="127" spans="1:16" x14ac:dyDescent="0.25">
      <c r="A127" s="485"/>
      <c r="B127" s="490"/>
      <c r="C127" s="491"/>
      <c r="D127" s="491"/>
      <c r="E127" s="491"/>
      <c r="F127" s="491"/>
      <c r="G127" s="491"/>
      <c r="H127" s="491"/>
      <c r="I127" s="491"/>
      <c r="J127" s="491"/>
      <c r="K127" s="492"/>
      <c r="L127" s="478"/>
      <c r="M127" s="487"/>
      <c r="N127" s="488"/>
      <c r="O127" s="489"/>
      <c r="P127" s="478"/>
    </row>
    <row r="128" spans="1:16" x14ac:dyDescent="0.25">
      <c r="A128" s="485"/>
      <c r="B128" s="6" t="str">
        <f>[1]ATIVO!B129</f>
        <v xml:space="preserve">          Departamento de Planejamento Energético</v>
      </c>
      <c r="C128" s="28">
        <f>[1]ATIVO!C129</f>
        <v>0</v>
      </c>
      <c r="D128" s="28">
        <f>[1]ATIVO!D129</f>
        <v>1</v>
      </c>
      <c r="E128" s="28">
        <f>[1]ATIVO!E129</f>
        <v>3</v>
      </c>
      <c r="F128" s="28">
        <f>[1]ATIVO!F129</f>
        <v>0</v>
      </c>
      <c r="G128" s="28">
        <f>[1]ATIVO!G129</f>
        <v>1</v>
      </c>
      <c r="H128" s="28">
        <f>[1]ATIVO!H129</f>
        <v>5</v>
      </c>
      <c r="I128" s="28">
        <f>[1]ATIVO!I129</f>
        <v>0</v>
      </c>
      <c r="J128" s="28">
        <f>[1]ATIVO!J129</f>
        <v>2</v>
      </c>
      <c r="K128" s="8">
        <f>[1]ATIVO!K129</f>
        <v>12</v>
      </c>
      <c r="L128" s="478"/>
      <c r="M128" s="29">
        <f>[1]ATIVO!M129</f>
        <v>4</v>
      </c>
      <c r="N128" s="29">
        <f>[1]ATIVO!N129</f>
        <v>8</v>
      </c>
      <c r="O128" s="22">
        <f>[1]ATIVO!O129</f>
        <v>12</v>
      </c>
      <c r="P128" s="478"/>
    </row>
    <row r="129" spans="1:16" x14ac:dyDescent="0.25">
      <c r="A129" s="485"/>
      <c r="B129" s="6" t="str">
        <f>[1]ATIVO!B130</f>
        <v xml:space="preserve">               Gabinete Departamento de Planejamento Energético</v>
      </c>
      <c r="C129" s="20">
        <f>[1]ATIVO!C130</f>
        <v>0</v>
      </c>
      <c r="D129" s="7">
        <f>[1]ATIVO!D130</f>
        <v>1</v>
      </c>
      <c r="E129" s="7">
        <f>[1]ATIVO!E130</f>
        <v>2</v>
      </c>
      <c r="F129" s="7">
        <f>[1]ATIVO!F130</f>
        <v>0</v>
      </c>
      <c r="G129" s="7">
        <f>[1]ATIVO!G130</f>
        <v>0</v>
      </c>
      <c r="H129" s="7">
        <f>[1]ATIVO!H130</f>
        <v>1</v>
      </c>
      <c r="I129" s="7">
        <f>[1]ATIVO!I130</f>
        <v>0</v>
      </c>
      <c r="J129" s="7">
        <f>[1]ATIVO!J130</f>
        <v>2</v>
      </c>
      <c r="K129" s="15">
        <f>[1]ATIVO!K130</f>
        <v>6</v>
      </c>
      <c r="L129" s="478"/>
      <c r="M129" s="21">
        <f>[1]ATIVO!M130</f>
        <v>3</v>
      </c>
      <c r="N129" s="21">
        <f>[1]ATIVO!N130</f>
        <v>3</v>
      </c>
      <c r="O129" s="33">
        <f>[1]ATIVO!O130</f>
        <v>6</v>
      </c>
      <c r="P129" s="478"/>
    </row>
    <row r="130" spans="1:16" x14ac:dyDescent="0.25">
      <c r="A130" s="485"/>
      <c r="B130" s="6" t="str">
        <f>[1]ATIVO!B131</f>
        <v xml:space="preserve">               Coordenação-Geral de Planejamento da Transmissão</v>
      </c>
      <c r="C130" s="20">
        <f>[1]ATIVO!C131</f>
        <v>0</v>
      </c>
      <c r="D130" s="7">
        <f>[1]ATIVO!D131</f>
        <v>0</v>
      </c>
      <c r="E130" s="7">
        <f>[1]ATIVO!E131</f>
        <v>0</v>
      </c>
      <c r="F130" s="7">
        <f>[1]ATIVO!F131</f>
        <v>0</v>
      </c>
      <c r="G130" s="7">
        <f>[1]ATIVO!G131</f>
        <v>1</v>
      </c>
      <c r="H130" s="7">
        <f>[1]ATIVO!H131</f>
        <v>3</v>
      </c>
      <c r="I130" s="7">
        <f>[1]ATIVO!I131</f>
        <v>0</v>
      </c>
      <c r="J130" s="7">
        <f>[1]ATIVO!J131</f>
        <v>0</v>
      </c>
      <c r="K130" s="15">
        <f>[1]ATIVO!K131</f>
        <v>4</v>
      </c>
      <c r="L130" s="478"/>
      <c r="M130" s="21">
        <f>[1]ATIVO!M131</f>
        <v>0</v>
      </c>
      <c r="N130" s="21">
        <f>[1]ATIVO!N131</f>
        <v>4</v>
      </c>
      <c r="O130" s="33">
        <f>[1]ATIVO!O131</f>
        <v>4</v>
      </c>
      <c r="P130" s="478"/>
    </row>
    <row r="131" spans="1:16" x14ac:dyDescent="0.25">
      <c r="A131" s="485"/>
      <c r="B131" s="6" t="str">
        <f>[1]ATIVO!B132</f>
        <v xml:space="preserve">               Coordenação-Geral de Planejamento da Geração</v>
      </c>
      <c r="C131" s="20">
        <f>[1]ATIVO!C132</f>
        <v>0</v>
      </c>
      <c r="D131" s="7">
        <f>[1]ATIVO!D132</f>
        <v>0</v>
      </c>
      <c r="E131" s="7">
        <f>[1]ATIVO!E132</f>
        <v>0</v>
      </c>
      <c r="F131" s="7">
        <f>[1]ATIVO!F132</f>
        <v>0</v>
      </c>
      <c r="G131" s="7">
        <f>[1]ATIVO!G132</f>
        <v>0</v>
      </c>
      <c r="H131" s="7">
        <f>[1]ATIVO!H132</f>
        <v>1</v>
      </c>
      <c r="I131" s="7">
        <f>[1]ATIVO!I132</f>
        <v>0</v>
      </c>
      <c r="J131" s="7">
        <f>[1]ATIVO!J132</f>
        <v>0</v>
      </c>
      <c r="K131" s="15">
        <f>[1]ATIVO!K132</f>
        <v>1</v>
      </c>
      <c r="L131" s="478"/>
      <c r="M131" s="21">
        <f>[1]ATIVO!M132</f>
        <v>1</v>
      </c>
      <c r="N131" s="21">
        <f>[1]ATIVO!N132</f>
        <v>0</v>
      </c>
      <c r="O131" s="33">
        <f>[1]ATIVO!O132</f>
        <v>1</v>
      </c>
      <c r="P131" s="478"/>
    </row>
    <row r="132" spans="1:16" x14ac:dyDescent="0.25">
      <c r="A132" s="485"/>
      <c r="B132" s="6" t="str">
        <f>[1]ATIVO!B133</f>
        <v xml:space="preserve">               Coordenação-Geral de Planejamento da Expansão Energética</v>
      </c>
      <c r="C132" s="20">
        <f>[1]ATIVO!C133</f>
        <v>0</v>
      </c>
      <c r="D132" s="7">
        <f>[1]ATIVO!D133</f>
        <v>0</v>
      </c>
      <c r="E132" s="7">
        <f>[1]ATIVO!E133</f>
        <v>1</v>
      </c>
      <c r="F132" s="7">
        <f>[1]ATIVO!F133</f>
        <v>0</v>
      </c>
      <c r="G132" s="7">
        <f>[1]ATIVO!G133</f>
        <v>0</v>
      </c>
      <c r="H132" s="7">
        <f>[1]ATIVO!H133</f>
        <v>0</v>
      </c>
      <c r="I132" s="7">
        <f>[1]ATIVO!I133</f>
        <v>0</v>
      </c>
      <c r="J132" s="7">
        <f>[1]ATIVO!J133</f>
        <v>0</v>
      </c>
      <c r="K132" s="15">
        <f>[1]ATIVO!K133</f>
        <v>1</v>
      </c>
      <c r="L132" s="478"/>
      <c r="M132" s="21">
        <f>[1]ATIVO!M133</f>
        <v>0</v>
      </c>
      <c r="N132" s="21">
        <f>[1]ATIVO!N133</f>
        <v>1</v>
      </c>
      <c r="O132" s="33">
        <f>[1]ATIVO!O133</f>
        <v>1</v>
      </c>
      <c r="P132" s="478"/>
    </row>
    <row r="133" spans="1:16" x14ac:dyDescent="0.25">
      <c r="A133" s="485"/>
      <c r="B133" s="490"/>
      <c r="C133" s="491"/>
      <c r="D133" s="491"/>
      <c r="E133" s="491"/>
      <c r="F133" s="491"/>
      <c r="G133" s="491"/>
      <c r="H133" s="491"/>
      <c r="I133" s="491"/>
      <c r="J133" s="491"/>
      <c r="K133" s="492"/>
      <c r="L133" s="478"/>
      <c r="M133" s="487"/>
      <c r="N133" s="488"/>
      <c r="O133" s="489"/>
      <c r="P133" s="478"/>
    </row>
    <row r="134" spans="1:16" x14ac:dyDescent="0.25">
      <c r="A134" s="485"/>
      <c r="B134" s="6" t="str">
        <f>[1]ATIVO!B135</f>
        <v xml:space="preserve">          Departamento de Desenvolvimento Energético</v>
      </c>
      <c r="C134" s="28">
        <f>[1]ATIVO!C135</f>
        <v>0</v>
      </c>
      <c r="D134" s="28">
        <f>[1]ATIVO!D135</f>
        <v>0</v>
      </c>
      <c r="E134" s="28">
        <f>[1]ATIVO!E135</f>
        <v>2</v>
      </c>
      <c r="F134" s="28">
        <f>[1]ATIVO!F135</f>
        <v>0</v>
      </c>
      <c r="G134" s="28">
        <f>[1]ATIVO!G135</f>
        <v>2</v>
      </c>
      <c r="H134" s="28">
        <f>[1]ATIVO!H135</f>
        <v>4</v>
      </c>
      <c r="I134" s="28">
        <f>[1]ATIVO!I135</f>
        <v>0</v>
      </c>
      <c r="J134" s="28">
        <f>[1]ATIVO!J135</f>
        <v>0</v>
      </c>
      <c r="K134" s="8">
        <f>[1]ATIVO!K135</f>
        <v>8</v>
      </c>
      <c r="L134" s="478"/>
      <c r="M134" s="29">
        <f>[1]ATIVO!M135</f>
        <v>4</v>
      </c>
      <c r="N134" s="29">
        <f>[1]ATIVO!N135</f>
        <v>4</v>
      </c>
      <c r="O134" s="22">
        <f>[1]ATIVO!O135</f>
        <v>8</v>
      </c>
      <c r="P134" s="478"/>
    </row>
    <row r="135" spans="1:16" x14ac:dyDescent="0.25">
      <c r="A135" s="485"/>
      <c r="B135" s="6" t="str">
        <f>[1]ATIVO!B136</f>
        <v xml:space="preserve">               Gabinete Departamento de Desenvolvimento Energético</v>
      </c>
      <c r="C135" s="20">
        <f>[1]ATIVO!C136</f>
        <v>0</v>
      </c>
      <c r="D135" s="7">
        <f>[1]ATIVO!D136</f>
        <v>0</v>
      </c>
      <c r="E135" s="7">
        <f>[1]ATIVO!E136</f>
        <v>1</v>
      </c>
      <c r="F135" s="7">
        <f>[1]ATIVO!F136</f>
        <v>0</v>
      </c>
      <c r="G135" s="7">
        <f>[1]ATIVO!G136</f>
        <v>2</v>
      </c>
      <c r="H135" s="7">
        <f>[1]ATIVO!H136</f>
        <v>1</v>
      </c>
      <c r="I135" s="7">
        <f>[1]ATIVO!I136</f>
        <v>0</v>
      </c>
      <c r="J135" s="7">
        <f>[1]ATIVO!J136</f>
        <v>0</v>
      </c>
      <c r="K135" s="15">
        <f>[1]ATIVO!K136</f>
        <v>4</v>
      </c>
      <c r="L135" s="478"/>
      <c r="M135" s="21">
        <f>[1]ATIVO!M136</f>
        <v>3</v>
      </c>
      <c r="N135" s="21">
        <f>[1]ATIVO!N136</f>
        <v>1</v>
      </c>
      <c r="O135" s="33">
        <f>[1]ATIVO!O136</f>
        <v>4</v>
      </c>
      <c r="P135" s="478"/>
    </row>
    <row r="136" spans="1:16" x14ac:dyDescent="0.25">
      <c r="A136" s="485"/>
      <c r="B136" s="6" t="str">
        <f>[1]ATIVO!B137</f>
        <v xml:space="preserve">               Coordenação-Geral de Eficiência Energética</v>
      </c>
      <c r="C136" s="20">
        <f>[1]ATIVO!C137</f>
        <v>0</v>
      </c>
      <c r="D136" s="7">
        <f>[1]ATIVO!D137</f>
        <v>0</v>
      </c>
      <c r="E136" s="7">
        <f>[1]ATIVO!E137</f>
        <v>1</v>
      </c>
      <c r="F136" s="7">
        <f>[1]ATIVO!F137</f>
        <v>0</v>
      </c>
      <c r="G136" s="7">
        <f>[1]ATIVO!G137</f>
        <v>0</v>
      </c>
      <c r="H136" s="7">
        <f>[1]ATIVO!H137</f>
        <v>0</v>
      </c>
      <c r="I136" s="7">
        <f>[1]ATIVO!I137</f>
        <v>0</v>
      </c>
      <c r="J136" s="7">
        <f>[1]ATIVO!J137</f>
        <v>0</v>
      </c>
      <c r="K136" s="15">
        <f>[1]ATIVO!K137</f>
        <v>1</v>
      </c>
      <c r="L136" s="478"/>
      <c r="M136" s="21">
        <f>[1]ATIVO!M137</f>
        <v>1</v>
      </c>
      <c r="N136" s="21">
        <f>[1]ATIVO!N137</f>
        <v>0</v>
      </c>
      <c r="O136" s="33">
        <f>[1]ATIVO!O137</f>
        <v>1</v>
      </c>
      <c r="P136" s="478"/>
    </row>
    <row r="137" spans="1:16" x14ac:dyDescent="0.25">
      <c r="A137" s="485"/>
      <c r="B137" s="6" t="str">
        <f>[1]ATIVO!B138</f>
        <v xml:space="preserve">               Coordenação-Geral de Sustentabilidade Ambiental do Setor Energético</v>
      </c>
      <c r="C137" s="20">
        <f>[1]ATIVO!C138</f>
        <v>0</v>
      </c>
      <c r="D137" s="7">
        <f>[1]ATIVO!D138</f>
        <v>0</v>
      </c>
      <c r="E137" s="7">
        <f>[1]ATIVO!E138</f>
        <v>0</v>
      </c>
      <c r="F137" s="7">
        <f>[1]ATIVO!F138</f>
        <v>0</v>
      </c>
      <c r="G137" s="7">
        <f>[1]ATIVO!G138</f>
        <v>0</v>
      </c>
      <c r="H137" s="7">
        <f>[1]ATIVO!H138</f>
        <v>2</v>
      </c>
      <c r="I137" s="7">
        <f>[1]ATIVO!I138</f>
        <v>0</v>
      </c>
      <c r="J137" s="7">
        <f>[1]ATIVO!J138</f>
        <v>0</v>
      </c>
      <c r="K137" s="15">
        <f>[1]ATIVO!K138</f>
        <v>2</v>
      </c>
      <c r="L137" s="478"/>
      <c r="M137" s="21">
        <f>[1]ATIVO!M138</f>
        <v>0</v>
      </c>
      <c r="N137" s="21">
        <f>[1]ATIVO!N138</f>
        <v>2</v>
      </c>
      <c r="O137" s="33">
        <f>[1]ATIVO!O138</f>
        <v>2</v>
      </c>
      <c r="P137" s="478"/>
    </row>
    <row r="138" spans="1:16" x14ac:dyDescent="0.25">
      <c r="A138" s="485"/>
      <c r="B138" s="6" t="str">
        <f>[1]ATIVO!B139</f>
        <v xml:space="preserve">               Coordenação-Geral de Fontes Alternativas</v>
      </c>
      <c r="C138" s="20">
        <f>[1]ATIVO!C139</f>
        <v>0</v>
      </c>
      <c r="D138" s="7">
        <f>[1]ATIVO!D139</f>
        <v>0</v>
      </c>
      <c r="E138" s="7">
        <f>[1]ATIVO!E139</f>
        <v>0</v>
      </c>
      <c r="F138" s="7">
        <f>[1]ATIVO!F139</f>
        <v>0</v>
      </c>
      <c r="G138" s="7">
        <f>[1]ATIVO!G139</f>
        <v>0</v>
      </c>
      <c r="H138" s="7">
        <f>[1]ATIVO!H139</f>
        <v>1</v>
      </c>
      <c r="I138" s="7">
        <f>[1]ATIVO!I139</f>
        <v>0</v>
      </c>
      <c r="J138" s="7">
        <f>[1]ATIVO!J139</f>
        <v>0</v>
      </c>
      <c r="K138" s="15">
        <f>[1]ATIVO!K139</f>
        <v>1</v>
      </c>
      <c r="L138" s="478"/>
      <c r="M138" s="21">
        <f>[1]ATIVO!M139</f>
        <v>0</v>
      </c>
      <c r="N138" s="21">
        <f>[1]ATIVO!N139</f>
        <v>1</v>
      </c>
      <c r="O138" s="33">
        <f>[1]ATIVO!O139</f>
        <v>1</v>
      </c>
      <c r="P138" s="478"/>
    </row>
    <row r="139" spans="1:16" x14ac:dyDescent="0.25">
      <c r="A139" s="485"/>
      <c r="B139" s="490"/>
      <c r="C139" s="491"/>
      <c r="D139" s="491"/>
      <c r="E139" s="491"/>
      <c r="F139" s="491"/>
      <c r="G139" s="491"/>
      <c r="H139" s="491"/>
      <c r="I139" s="491"/>
      <c r="J139" s="491"/>
      <c r="K139" s="492"/>
      <c r="L139" s="478"/>
      <c r="M139" s="487"/>
      <c r="N139" s="488"/>
      <c r="O139" s="489"/>
      <c r="P139" s="478"/>
    </row>
    <row r="140" spans="1:16" x14ac:dyDescent="0.25">
      <c r="A140" s="485"/>
      <c r="B140" s="6" t="str">
        <f>[1]ATIVO!B141</f>
        <v xml:space="preserve">          Departamento e Outorgas de Concessões, Permissões e Autorizações</v>
      </c>
      <c r="C140" s="28">
        <f>[1]ATIVO!C141</f>
        <v>0</v>
      </c>
      <c r="D140" s="28">
        <f>[1]ATIVO!D141</f>
        <v>0</v>
      </c>
      <c r="E140" s="28">
        <f>[1]ATIVO!E141</f>
        <v>0</v>
      </c>
      <c r="F140" s="28">
        <f>[1]ATIVO!F141</f>
        <v>0</v>
      </c>
      <c r="G140" s="28">
        <f>[1]ATIVO!G141</f>
        <v>1</v>
      </c>
      <c r="H140" s="28">
        <f>[1]ATIVO!H141</f>
        <v>5</v>
      </c>
      <c r="I140" s="28">
        <f>[1]ATIVO!I141</f>
        <v>0</v>
      </c>
      <c r="J140" s="28">
        <f>[1]ATIVO!J141</f>
        <v>1</v>
      </c>
      <c r="K140" s="8">
        <f>[1]ATIVO!K141</f>
        <v>7</v>
      </c>
      <c r="L140" s="478"/>
      <c r="M140" s="29">
        <f>[1]ATIVO!M141</f>
        <v>1</v>
      </c>
      <c r="N140" s="29">
        <f>[1]ATIVO!N141</f>
        <v>6</v>
      </c>
      <c r="O140" s="22">
        <f>[1]ATIVO!O141</f>
        <v>7</v>
      </c>
      <c r="P140" s="478"/>
    </row>
    <row r="141" spans="1:16" x14ac:dyDescent="0.25">
      <c r="A141" s="485"/>
      <c r="B141" s="6" t="str">
        <f>[1]ATIVO!B142</f>
        <v xml:space="preserve">               Gabinete Departamento e Outorgas de Concessões, Permissões e Autorizações</v>
      </c>
      <c r="C141" s="20">
        <f>[1]ATIVO!C142</f>
        <v>0</v>
      </c>
      <c r="D141" s="7">
        <f>[1]ATIVO!D142</f>
        <v>0</v>
      </c>
      <c r="E141" s="7">
        <f>[1]ATIVO!E142</f>
        <v>0</v>
      </c>
      <c r="F141" s="7">
        <f>[1]ATIVO!F142</f>
        <v>0</v>
      </c>
      <c r="G141" s="7">
        <f>[1]ATIVO!G142</f>
        <v>1</v>
      </c>
      <c r="H141" s="7">
        <f>[1]ATIVO!H142</f>
        <v>1</v>
      </c>
      <c r="I141" s="7">
        <f>[1]ATIVO!I142</f>
        <v>0</v>
      </c>
      <c r="J141" s="7">
        <f>[1]ATIVO!J142</f>
        <v>1</v>
      </c>
      <c r="K141" s="15">
        <f>[1]ATIVO!K142</f>
        <v>3</v>
      </c>
      <c r="L141" s="478"/>
      <c r="M141" s="21">
        <f>[1]ATIVO!M142</f>
        <v>1</v>
      </c>
      <c r="N141" s="21">
        <f>[1]ATIVO!N142</f>
        <v>2</v>
      </c>
      <c r="O141" s="33">
        <f>[1]ATIVO!O142</f>
        <v>3</v>
      </c>
      <c r="P141" s="478"/>
    </row>
    <row r="142" spans="1:16" x14ac:dyDescent="0.25">
      <c r="A142" s="485"/>
      <c r="B142" s="6" t="str">
        <f>[1]ATIVO!B143</f>
        <v xml:space="preserve">               Coordenação-Geral de Outorgas de Geração de Energia Elétrica</v>
      </c>
      <c r="C142" s="20">
        <f>[1]ATIVO!C143</f>
        <v>0</v>
      </c>
      <c r="D142" s="7">
        <f>[1]ATIVO!D143</f>
        <v>0</v>
      </c>
      <c r="E142" s="7">
        <f>[1]ATIVO!E143</f>
        <v>0</v>
      </c>
      <c r="F142" s="7">
        <f>[1]ATIVO!F143</f>
        <v>0</v>
      </c>
      <c r="G142" s="7">
        <f>[1]ATIVO!G143</f>
        <v>0</v>
      </c>
      <c r="H142" s="7">
        <f>[1]ATIVO!H143</f>
        <v>2</v>
      </c>
      <c r="I142" s="7">
        <f>[1]ATIVO!I143</f>
        <v>0</v>
      </c>
      <c r="J142" s="7">
        <f>[1]ATIVO!J143</f>
        <v>0</v>
      </c>
      <c r="K142" s="15">
        <f>[1]ATIVO!K143</f>
        <v>2</v>
      </c>
      <c r="L142" s="478"/>
      <c r="M142" s="21">
        <f>[1]ATIVO!M143</f>
        <v>0</v>
      </c>
      <c r="N142" s="21">
        <f>[1]ATIVO!N143</f>
        <v>2</v>
      </c>
      <c r="O142" s="33">
        <f>[1]ATIVO!O143</f>
        <v>2</v>
      </c>
      <c r="P142" s="478"/>
    </row>
    <row r="143" spans="1:16" x14ac:dyDescent="0.25">
      <c r="A143" s="485"/>
      <c r="B143" s="6" t="str">
        <f>[1]ATIVO!B144</f>
        <v xml:space="preserve">               Coordenação-Geral de Outorgas de Serviços de Transmissão e Distribuição de Energia</v>
      </c>
      <c r="C143" s="20">
        <f>[1]ATIVO!C144</f>
        <v>0</v>
      </c>
      <c r="D143" s="7">
        <f>[1]ATIVO!D144</f>
        <v>0</v>
      </c>
      <c r="E143" s="7">
        <f>[1]ATIVO!E144</f>
        <v>0</v>
      </c>
      <c r="F143" s="7">
        <f>[1]ATIVO!F144</f>
        <v>0</v>
      </c>
      <c r="G143" s="7">
        <f>[1]ATIVO!G144</f>
        <v>0</v>
      </c>
      <c r="H143" s="7">
        <f>[1]ATIVO!H144</f>
        <v>2</v>
      </c>
      <c r="I143" s="7">
        <f>[1]ATIVO!I144</f>
        <v>0</v>
      </c>
      <c r="J143" s="7">
        <f>[1]ATIVO!J144</f>
        <v>0</v>
      </c>
      <c r="K143" s="15">
        <f>[1]ATIVO!K144</f>
        <v>2</v>
      </c>
      <c r="L143" s="478"/>
      <c r="M143" s="21">
        <f>[1]ATIVO!M144</f>
        <v>0</v>
      </c>
      <c r="N143" s="21">
        <f>[1]ATIVO!N144</f>
        <v>2</v>
      </c>
      <c r="O143" s="33">
        <f>[1]ATIVO!O144</f>
        <v>2</v>
      </c>
      <c r="P143" s="478"/>
    </row>
    <row r="144" spans="1:16" x14ac:dyDescent="0.25">
      <c r="A144" s="485"/>
      <c r="B144" s="490"/>
      <c r="C144" s="491"/>
      <c r="D144" s="491"/>
      <c r="E144" s="491"/>
      <c r="F144" s="491"/>
      <c r="G144" s="491"/>
      <c r="H144" s="491"/>
      <c r="I144" s="491"/>
      <c r="J144" s="491"/>
      <c r="K144" s="492"/>
      <c r="L144" s="478"/>
      <c r="M144" s="487"/>
      <c r="N144" s="488"/>
      <c r="O144" s="489"/>
      <c r="P144" s="478"/>
    </row>
    <row r="145" spans="1:16" x14ac:dyDescent="0.25">
      <c r="A145" s="485"/>
      <c r="B145" s="6" t="str">
        <f>[1]ATIVO!B146</f>
        <v xml:space="preserve">          Departamento de Informações e Estudos Energéticos</v>
      </c>
      <c r="C145" s="28">
        <f>[1]ATIVO!C146</f>
        <v>0</v>
      </c>
      <c r="D145" s="28">
        <f>[1]ATIVO!D146</f>
        <v>0</v>
      </c>
      <c r="E145" s="28">
        <f>[1]ATIVO!E146</f>
        <v>1</v>
      </c>
      <c r="F145" s="28">
        <f>[1]ATIVO!F146</f>
        <v>0</v>
      </c>
      <c r="G145" s="28">
        <f>[1]ATIVO!G146</f>
        <v>3</v>
      </c>
      <c r="H145" s="28">
        <f>[1]ATIVO!H146</f>
        <v>1</v>
      </c>
      <c r="I145" s="28">
        <f>[1]ATIVO!I146</f>
        <v>0</v>
      </c>
      <c r="J145" s="28">
        <f>[1]ATIVO!J146</f>
        <v>0</v>
      </c>
      <c r="K145" s="8">
        <f>[1]ATIVO!K146</f>
        <v>5</v>
      </c>
      <c r="L145" s="478"/>
      <c r="M145" s="29">
        <f>[1]ATIVO!M146</f>
        <v>2</v>
      </c>
      <c r="N145" s="29">
        <f>[1]ATIVO!N146</f>
        <v>3</v>
      </c>
      <c r="O145" s="22">
        <f>[1]ATIVO!O146</f>
        <v>5</v>
      </c>
      <c r="P145" s="478"/>
    </row>
    <row r="146" spans="1:16" x14ac:dyDescent="0.25">
      <c r="A146" s="485"/>
      <c r="B146" s="6" t="str">
        <f>[1]ATIVO!B147</f>
        <v xml:space="preserve">               Gabinete Departamento de Informações e Estudos Energéticos</v>
      </c>
      <c r="C146" s="20">
        <f>[1]ATIVO!C147</f>
        <v>0</v>
      </c>
      <c r="D146" s="7">
        <f>[1]ATIVO!D147</f>
        <v>0</v>
      </c>
      <c r="E146" s="7">
        <f>[1]ATIVO!E147</f>
        <v>1</v>
      </c>
      <c r="F146" s="7">
        <f>[1]ATIVO!F147</f>
        <v>0</v>
      </c>
      <c r="G146" s="7">
        <f>[1]ATIVO!G147</f>
        <v>1</v>
      </c>
      <c r="H146" s="7">
        <f>[1]ATIVO!H147</f>
        <v>0</v>
      </c>
      <c r="I146" s="7">
        <f>[1]ATIVO!I147</f>
        <v>0</v>
      </c>
      <c r="J146" s="7">
        <f>[1]ATIVO!J147</f>
        <v>0</v>
      </c>
      <c r="K146" s="15">
        <f>[1]ATIVO!K147</f>
        <v>2</v>
      </c>
      <c r="L146" s="478"/>
      <c r="M146" s="21">
        <f>[1]ATIVO!M147</f>
        <v>1</v>
      </c>
      <c r="N146" s="21">
        <f>[1]ATIVO!N147</f>
        <v>1</v>
      </c>
      <c r="O146" s="33">
        <f>[1]ATIVO!O147</f>
        <v>2</v>
      </c>
      <c r="P146" s="478"/>
    </row>
    <row r="147" spans="1:16" x14ac:dyDescent="0.25">
      <c r="A147" s="485"/>
      <c r="B147" s="6" t="str">
        <f>[1]ATIVO!B148</f>
        <v xml:space="preserve">               Coordenação-Geral de Informações Energéticas</v>
      </c>
      <c r="C147" s="20">
        <f>[1]ATIVO!C148</f>
        <v>0</v>
      </c>
      <c r="D147" s="7">
        <f>[1]ATIVO!D148</f>
        <v>0</v>
      </c>
      <c r="E147" s="7">
        <f>[1]ATIVO!E148</f>
        <v>0</v>
      </c>
      <c r="F147" s="7">
        <f>[1]ATIVO!F148</f>
        <v>0</v>
      </c>
      <c r="G147" s="7">
        <f>[1]ATIVO!G148</f>
        <v>2</v>
      </c>
      <c r="H147" s="7">
        <f>[1]ATIVO!H148</f>
        <v>1</v>
      </c>
      <c r="I147" s="7">
        <f>[1]ATIVO!I148</f>
        <v>0</v>
      </c>
      <c r="J147" s="7">
        <f>[1]ATIVO!J148</f>
        <v>0</v>
      </c>
      <c r="K147" s="15">
        <f>[1]ATIVO!K148</f>
        <v>3</v>
      </c>
      <c r="L147" s="478"/>
      <c r="M147" s="21">
        <f>[1]ATIVO!M148</f>
        <v>1</v>
      </c>
      <c r="N147" s="21">
        <f>[1]ATIVO!N148</f>
        <v>2</v>
      </c>
      <c r="O147" s="33">
        <f>[1]ATIVO!O148</f>
        <v>3</v>
      </c>
      <c r="P147" s="478"/>
    </row>
    <row r="148" spans="1:16" x14ac:dyDescent="0.25">
      <c r="A148" s="18"/>
      <c r="B148" s="12" t="str">
        <f>[1]ATIVO!B149</f>
        <v>TOTAL</v>
      </c>
      <c r="C148" s="8">
        <f>[1]ATIVO!C149</f>
        <v>0</v>
      </c>
      <c r="D148" s="8">
        <f>[1]ATIVO!D149</f>
        <v>7</v>
      </c>
      <c r="E148" s="8">
        <f>[1]ATIVO!E149</f>
        <v>7</v>
      </c>
      <c r="F148" s="8">
        <f>[1]ATIVO!F149</f>
        <v>0</v>
      </c>
      <c r="G148" s="8">
        <f>[1]ATIVO!G149</f>
        <v>12</v>
      </c>
      <c r="H148" s="8">
        <f>[1]ATIVO!H149</f>
        <v>15</v>
      </c>
      <c r="I148" s="8">
        <f>[1]ATIVO!I149</f>
        <v>0</v>
      </c>
      <c r="J148" s="8">
        <f>[1]ATIVO!J149</f>
        <v>4</v>
      </c>
      <c r="K148" s="8">
        <f>[1]ATIVO!K149</f>
        <v>45</v>
      </c>
      <c r="L148" s="8">
        <f>[1]ATIVO!L149</f>
        <v>45</v>
      </c>
      <c r="M148" s="8">
        <f>[1]ATIVO!M149</f>
        <v>19</v>
      </c>
      <c r="N148" s="8">
        <f>[1]ATIVO!N149</f>
        <v>26</v>
      </c>
      <c r="O148" s="8">
        <f>[1]ATIVO!O149</f>
        <v>45</v>
      </c>
      <c r="P148" s="13">
        <f>[1]ATIVO!P149</f>
        <v>45</v>
      </c>
    </row>
    <row r="149" spans="1:16" x14ac:dyDescent="0.25">
      <c r="A149" s="18"/>
      <c r="B149" s="18"/>
      <c r="C149" s="18"/>
      <c r="D149" s="18"/>
      <c r="E149" s="18"/>
      <c r="F149" s="18"/>
      <c r="G149" s="18"/>
      <c r="H149" s="18"/>
      <c r="I149" s="18"/>
      <c r="J149" s="18"/>
      <c r="K149" s="18"/>
      <c r="L149" s="18"/>
      <c r="M149" s="34"/>
      <c r="N149" s="34"/>
      <c r="O149" s="34"/>
      <c r="P149" s="19"/>
    </row>
    <row r="150" spans="1:16" ht="25.5" customHeight="1" x14ac:dyDescent="0.25">
      <c r="A150" s="41" t="str">
        <f>[1]ATIVO!A151</f>
        <v>Área</v>
      </c>
      <c r="B150" s="41" t="str">
        <f>[1]ATIVO!B151</f>
        <v>SECRETARIA DE PETRÓLEO, GÁS NATURAL E BIOCOMBUSTÍVEIS</v>
      </c>
      <c r="C150" s="5" t="str">
        <f>[1]ATIVO!C151</f>
        <v>Natureza Especial</v>
      </c>
      <c r="D150" s="5" t="str">
        <f>[1]ATIVO!D151</f>
        <v>Ativo Permanente</v>
      </c>
      <c r="E150" s="5" t="str">
        <f>[1]ATIVO!E151</f>
        <v>Requisitado Órgãos</v>
      </c>
      <c r="F150" s="5" t="str">
        <f>[1]ATIVO!F151</f>
        <v>Requisitado Empresas</v>
      </c>
      <c r="G150" s="5" t="str">
        <f>[1]ATIVO!G151</f>
        <v>Sem Vínculo</v>
      </c>
      <c r="H150" s="5" t="str">
        <f>[1]ATIVO!H151</f>
        <v>Exercício Descentralizado</v>
      </c>
      <c r="I150" s="5" t="str">
        <f>[1]ATIVO!I151</f>
        <v>Contrato Temporário</v>
      </c>
      <c r="J150" s="5" t="str">
        <f>[1]ATIVO!J151</f>
        <v>Anistiado</v>
      </c>
      <c r="K150" s="5" t="str">
        <f>[1]ATIVO!K151</f>
        <v>Total</v>
      </c>
      <c r="L150" s="5" t="str">
        <f>[1]ATIVO!L151</f>
        <v>Total Área</v>
      </c>
      <c r="M150" s="5" t="str">
        <f>[1]ATIVO!M151</f>
        <v>Sexo Feminino</v>
      </c>
      <c r="N150" s="5" t="str">
        <f>[1]ATIVO!N151</f>
        <v>Sexo Masculino</v>
      </c>
      <c r="O150" s="5" t="str">
        <f>[1]ATIVO!O151</f>
        <v>Total</v>
      </c>
      <c r="P150" s="5" t="str">
        <f>[1]ATIVO!P151</f>
        <v>Total Área</v>
      </c>
    </row>
    <row r="151" spans="1:16" x14ac:dyDescent="0.25">
      <c r="A151" s="485" t="str">
        <f>[1]ATIVO!A152</f>
        <v>FINALÍSTICA</v>
      </c>
      <c r="B151" s="6" t="str">
        <f>[1]ATIVO!B152</f>
        <v xml:space="preserve">          Gabinete da Secretaria de Petróleo, Gás Natural e Biocombustíveis</v>
      </c>
      <c r="C151" s="20">
        <f>[1]ATIVO!C152</f>
        <v>0</v>
      </c>
      <c r="D151" s="7">
        <f>[1]ATIVO!D152</f>
        <v>2</v>
      </c>
      <c r="E151" s="7">
        <f>[1]ATIVO!E152</f>
        <v>3</v>
      </c>
      <c r="F151" s="7">
        <f>[1]ATIVO!F152</f>
        <v>0</v>
      </c>
      <c r="G151" s="7">
        <f>[1]ATIVO!G152</f>
        <v>4</v>
      </c>
      <c r="H151" s="7">
        <f>[1]ATIVO!H152</f>
        <v>1</v>
      </c>
      <c r="I151" s="7">
        <f>[1]ATIVO!I152</f>
        <v>0</v>
      </c>
      <c r="J151" s="7">
        <f>[1]ATIVO!J152</f>
        <v>0</v>
      </c>
      <c r="K151" s="8">
        <f>[1]ATIVO!K152</f>
        <v>10</v>
      </c>
      <c r="L151" s="484">
        <f>[1]ATIVO!L152</f>
        <v>32</v>
      </c>
      <c r="M151" s="23">
        <f>[1]ATIVO!M152</f>
        <v>5</v>
      </c>
      <c r="N151" s="23">
        <f>[1]ATIVO!N152</f>
        <v>5</v>
      </c>
      <c r="O151" s="22">
        <f>[1]ATIVO!O152</f>
        <v>10</v>
      </c>
      <c r="P151" s="484">
        <f>[1]ATIVO!P152</f>
        <v>32</v>
      </c>
    </row>
    <row r="152" spans="1:16" x14ac:dyDescent="0.25">
      <c r="A152" s="485"/>
      <c r="B152" s="490"/>
      <c r="C152" s="491"/>
      <c r="D152" s="491"/>
      <c r="E152" s="491"/>
      <c r="F152" s="491"/>
      <c r="G152" s="491"/>
      <c r="H152" s="491"/>
      <c r="I152" s="491"/>
      <c r="J152" s="491"/>
      <c r="K152" s="492"/>
      <c r="L152" s="478"/>
      <c r="M152" s="487">
        <f>[1]ATIVO!M153</f>
        <v>0</v>
      </c>
      <c r="N152" s="488"/>
      <c r="O152" s="489"/>
      <c r="P152" s="478"/>
    </row>
    <row r="153" spans="1:16" x14ac:dyDescent="0.25">
      <c r="A153" s="485"/>
      <c r="B153" s="6" t="str">
        <f>[1]ATIVO!B154</f>
        <v xml:space="preserve">          Departamento de Política de Exploração e Produção de Petróleo e Gás Natural</v>
      </c>
      <c r="C153" s="28">
        <f>[1]ATIVO!C154</f>
        <v>0</v>
      </c>
      <c r="D153" s="28">
        <f>[1]ATIVO!D154</f>
        <v>0</v>
      </c>
      <c r="E153" s="28">
        <f>[1]ATIVO!E154</f>
        <v>3</v>
      </c>
      <c r="F153" s="28">
        <f>[1]ATIVO!F154</f>
        <v>0</v>
      </c>
      <c r="G153" s="28">
        <f>[1]ATIVO!G154</f>
        <v>1</v>
      </c>
      <c r="H153" s="28">
        <f>[1]ATIVO!H154</f>
        <v>2</v>
      </c>
      <c r="I153" s="28">
        <f>[1]ATIVO!I154</f>
        <v>0</v>
      </c>
      <c r="J153" s="28">
        <f>[1]ATIVO!J154</f>
        <v>0</v>
      </c>
      <c r="K153" s="8">
        <f>[1]ATIVO!K154</f>
        <v>6</v>
      </c>
      <c r="L153" s="478"/>
      <c r="M153" s="29">
        <f>[1]ATIVO!M154</f>
        <v>0</v>
      </c>
      <c r="N153" s="29">
        <f>[1]ATIVO!N154</f>
        <v>6</v>
      </c>
      <c r="O153" s="22">
        <f>[1]ATIVO!O154</f>
        <v>6</v>
      </c>
      <c r="P153" s="478"/>
    </row>
    <row r="154" spans="1:16" x14ac:dyDescent="0.25">
      <c r="A154" s="485"/>
      <c r="B154" s="6" t="str">
        <f>[1]ATIVO!B155</f>
        <v xml:space="preserve">               Gabinete Departamento de Política de Exploração e Produção de Petróleo e Gás Natural</v>
      </c>
      <c r="C154" s="20">
        <f>[1]ATIVO!C155</f>
        <v>0</v>
      </c>
      <c r="D154" s="7">
        <f>[1]ATIVO!D155</f>
        <v>0</v>
      </c>
      <c r="E154" s="7">
        <f>[1]ATIVO!E155</f>
        <v>2</v>
      </c>
      <c r="F154" s="7">
        <f>[1]ATIVO!F155</f>
        <v>0</v>
      </c>
      <c r="G154" s="7">
        <f>[1]ATIVO!G155</f>
        <v>0</v>
      </c>
      <c r="H154" s="7">
        <f>[1]ATIVO!H155</f>
        <v>2</v>
      </c>
      <c r="I154" s="7">
        <f>[1]ATIVO!I155</f>
        <v>0</v>
      </c>
      <c r="J154" s="7">
        <f>[1]ATIVO!J155</f>
        <v>0</v>
      </c>
      <c r="K154" s="15">
        <f>[1]ATIVO!K155</f>
        <v>4</v>
      </c>
      <c r="L154" s="478"/>
      <c r="M154" s="21">
        <f>[1]ATIVO!M155</f>
        <v>0</v>
      </c>
      <c r="N154" s="21">
        <f>[1]ATIVO!N155</f>
        <v>4</v>
      </c>
      <c r="O154" s="33">
        <f>[1]ATIVO!O155</f>
        <v>4</v>
      </c>
      <c r="P154" s="478"/>
    </row>
    <row r="155" spans="1:16" x14ac:dyDescent="0.25">
      <c r="A155" s="485"/>
      <c r="B155" s="6" t="str">
        <f>[1]ATIVO!B156</f>
        <v xml:space="preserve">               Coordenação-Geral de Reserva, Exploração e Produção de Petróleo e Gás Natural</v>
      </c>
      <c r="C155" s="20">
        <f>[1]ATIVO!C156</f>
        <v>0</v>
      </c>
      <c r="D155" s="7">
        <f>[1]ATIVO!D156</f>
        <v>0</v>
      </c>
      <c r="E155" s="7">
        <f>[1]ATIVO!E156</f>
        <v>1</v>
      </c>
      <c r="F155" s="7">
        <f>[1]ATIVO!F156</f>
        <v>0</v>
      </c>
      <c r="G155" s="7">
        <f>[1]ATIVO!G156</f>
        <v>0</v>
      </c>
      <c r="H155" s="7">
        <f>[1]ATIVO!H156</f>
        <v>0</v>
      </c>
      <c r="I155" s="7">
        <f>[1]ATIVO!I156</f>
        <v>0</v>
      </c>
      <c r="J155" s="7">
        <f>[1]ATIVO!J156</f>
        <v>0</v>
      </c>
      <c r="K155" s="15">
        <f>[1]ATIVO!K156</f>
        <v>1</v>
      </c>
      <c r="L155" s="478"/>
      <c r="M155" s="21">
        <f>[1]ATIVO!M156</f>
        <v>0</v>
      </c>
      <c r="N155" s="21">
        <f>[1]ATIVO!N156</f>
        <v>1</v>
      </c>
      <c r="O155" s="33">
        <f>[1]ATIVO!O156</f>
        <v>1</v>
      </c>
      <c r="P155" s="478"/>
    </row>
    <row r="156" spans="1:16" x14ac:dyDescent="0.25">
      <c r="A156" s="485"/>
      <c r="B156" s="6" t="str">
        <f>[1]ATIVO!B157</f>
        <v xml:space="preserve">               Coordenação-Geral de Política de Concessão de Blocos Exploratórios</v>
      </c>
      <c r="C156" s="20">
        <f>[1]ATIVO!C157</f>
        <v>0</v>
      </c>
      <c r="D156" s="7">
        <f>[1]ATIVO!D157</f>
        <v>0</v>
      </c>
      <c r="E156" s="7">
        <f>[1]ATIVO!E157</f>
        <v>0</v>
      </c>
      <c r="F156" s="7">
        <f>[1]ATIVO!F157</f>
        <v>0</v>
      </c>
      <c r="G156" s="7">
        <f>[1]ATIVO!G157</f>
        <v>1</v>
      </c>
      <c r="H156" s="7">
        <f>[1]ATIVO!H157</f>
        <v>0</v>
      </c>
      <c r="I156" s="7">
        <f>[1]ATIVO!I157</f>
        <v>0</v>
      </c>
      <c r="J156" s="7">
        <f>[1]ATIVO!J157</f>
        <v>0</v>
      </c>
      <c r="K156" s="15">
        <f>[1]ATIVO!K157</f>
        <v>1</v>
      </c>
      <c r="L156" s="478"/>
      <c r="M156" s="21">
        <f>[1]ATIVO!M157</f>
        <v>0</v>
      </c>
      <c r="N156" s="21">
        <f>[1]ATIVO!N157</f>
        <v>1</v>
      </c>
      <c r="O156" s="33">
        <f>[1]ATIVO!O157</f>
        <v>1</v>
      </c>
      <c r="P156" s="478"/>
    </row>
    <row r="157" spans="1:16" x14ac:dyDescent="0.25">
      <c r="A157" s="485"/>
      <c r="B157" s="490"/>
      <c r="C157" s="491"/>
      <c r="D157" s="491"/>
      <c r="E157" s="491"/>
      <c r="F157" s="491"/>
      <c r="G157" s="491"/>
      <c r="H157" s="491"/>
      <c r="I157" s="491"/>
      <c r="J157" s="491"/>
      <c r="K157" s="492"/>
      <c r="L157" s="478"/>
      <c r="M157" s="487"/>
      <c r="N157" s="488"/>
      <c r="O157" s="489"/>
      <c r="P157" s="478"/>
    </row>
    <row r="158" spans="1:16" x14ac:dyDescent="0.25">
      <c r="A158" s="485"/>
      <c r="B158" s="6" t="str">
        <f>[1]ATIVO!B159</f>
        <v xml:space="preserve">          Departamento de Gás Natural</v>
      </c>
      <c r="C158" s="28">
        <f>[1]ATIVO!C159</f>
        <v>0</v>
      </c>
      <c r="D158" s="28">
        <f>[1]ATIVO!D159</f>
        <v>0</v>
      </c>
      <c r="E158" s="28">
        <f>[1]ATIVO!E159</f>
        <v>1</v>
      </c>
      <c r="F158" s="28">
        <f>[1]ATIVO!F159</f>
        <v>0</v>
      </c>
      <c r="G158" s="28">
        <f>[1]ATIVO!G159</f>
        <v>0</v>
      </c>
      <c r="H158" s="28">
        <f>[1]ATIVO!H159</f>
        <v>5</v>
      </c>
      <c r="I158" s="28">
        <f>[1]ATIVO!I159</f>
        <v>0</v>
      </c>
      <c r="J158" s="28">
        <f>[1]ATIVO!J159</f>
        <v>0</v>
      </c>
      <c r="K158" s="8">
        <f>[1]ATIVO!K159</f>
        <v>6</v>
      </c>
      <c r="L158" s="478"/>
      <c r="M158" s="29">
        <f>[1]ATIVO!M159</f>
        <v>2</v>
      </c>
      <c r="N158" s="29">
        <f>[1]ATIVO!N159</f>
        <v>4</v>
      </c>
      <c r="O158" s="22">
        <f>[1]ATIVO!O159</f>
        <v>6</v>
      </c>
      <c r="P158" s="478"/>
    </row>
    <row r="159" spans="1:16" x14ac:dyDescent="0.25">
      <c r="A159" s="485"/>
      <c r="B159" s="6" t="str">
        <f>[1]ATIVO!B160</f>
        <v xml:space="preserve">               Gabinete Departamento de Gás Natural</v>
      </c>
      <c r="C159" s="20">
        <f>[1]ATIVO!C160</f>
        <v>0</v>
      </c>
      <c r="D159" s="7">
        <f>[1]ATIVO!D160</f>
        <v>0</v>
      </c>
      <c r="E159" s="7">
        <f>[1]ATIVO!E160</f>
        <v>1</v>
      </c>
      <c r="F159" s="7">
        <f>[1]ATIVO!F160</f>
        <v>0</v>
      </c>
      <c r="G159" s="7">
        <f>[1]ATIVO!G160</f>
        <v>0</v>
      </c>
      <c r="H159" s="7">
        <f>[1]ATIVO!H160</f>
        <v>3</v>
      </c>
      <c r="I159" s="7">
        <f>[1]ATIVO!I160</f>
        <v>0</v>
      </c>
      <c r="J159" s="7">
        <f>[1]ATIVO!J160</f>
        <v>0</v>
      </c>
      <c r="K159" s="15">
        <f>[1]ATIVO!K160</f>
        <v>4</v>
      </c>
      <c r="L159" s="478"/>
      <c r="M159" s="21">
        <f>[1]ATIVO!M160</f>
        <v>1</v>
      </c>
      <c r="N159" s="21">
        <f>[1]ATIVO!N160</f>
        <v>3</v>
      </c>
      <c r="O159" s="33">
        <f>[1]ATIVO!O160</f>
        <v>4</v>
      </c>
      <c r="P159" s="478"/>
    </row>
    <row r="160" spans="1:16" x14ac:dyDescent="0.25">
      <c r="A160" s="485"/>
      <c r="B160" s="6" t="str">
        <f>[1]ATIVO!B161</f>
        <v xml:space="preserve">               Coordenação-Geral de Acompanhamento, Desenvolvimento de Mercado e Produção</v>
      </c>
      <c r="C160" s="20">
        <f>[1]ATIVO!C161</f>
        <v>0</v>
      </c>
      <c r="D160" s="7">
        <f>[1]ATIVO!D161</f>
        <v>0</v>
      </c>
      <c r="E160" s="7">
        <f>[1]ATIVO!E161</f>
        <v>0</v>
      </c>
      <c r="F160" s="7">
        <f>[1]ATIVO!F161</f>
        <v>0</v>
      </c>
      <c r="G160" s="7">
        <f>[1]ATIVO!G161</f>
        <v>0</v>
      </c>
      <c r="H160" s="7">
        <f>[1]ATIVO!H161</f>
        <v>1</v>
      </c>
      <c r="I160" s="7">
        <f>[1]ATIVO!I161</f>
        <v>0</v>
      </c>
      <c r="J160" s="7">
        <f>[1]ATIVO!J161</f>
        <v>0</v>
      </c>
      <c r="K160" s="15">
        <f>[1]ATIVO!K161</f>
        <v>1</v>
      </c>
      <c r="L160" s="478"/>
      <c r="M160" s="21">
        <f>[1]ATIVO!M161</f>
        <v>1</v>
      </c>
      <c r="N160" s="21">
        <f>[1]ATIVO!N161</f>
        <v>0</v>
      </c>
      <c r="O160" s="33">
        <f>[1]ATIVO!O161</f>
        <v>1</v>
      </c>
      <c r="P160" s="478"/>
    </row>
    <row r="161" spans="1:16" x14ac:dyDescent="0.25">
      <c r="A161" s="485"/>
      <c r="B161" s="6" t="str">
        <f>[1]ATIVO!B162</f>
        <v xml:space="preserve">               Coordenação-Geral de Processamento de Infraestrutura e Logística</v>
      </c>
      <c r="C161" s="20">
        <f>[1]ATIVO!C162</f>
        <v>0</v>
      </c>
      <c r="D161" s="7">
        <f>[1]ATIVO!D162</f>
        <v>0</v>
      </c>
      <c r="E161" s="7">
        <f>[1]ATIVO!E162</f>
        <v>0</v>
      </c>
      <c r="F161" s="7">
        <f>[1]ATIVO!F162</f>
        <v>0</v>
      </c>
      <c r="G161" s="7">
        <f>[1]ATIVO!G162</f>
        <v>0</v>
      </c>
      <c r="H161" s="7">
        <f>[1]ATIVO!H162</f>
        <v>1</v>
      </c>
      <c r="I161" s="7">
        <f>[1]ATIVO!I162</f>
        <v>0</v>
      </c>
      <c r="J161" s="7">
        <f>[1]ATIVO!J162</f>
        <v>0</v>
      </c>
      <c r="K161" s="15">
        <f>[1]ATIVO!K162</f>
        <v>1</v>
      </c>
      <c r="L161" s="478"/>
      <c r="M161" s="21">
        <f>[1]ATIVO!M162</f>
        <v>0</v>
      </c>
      <c r="N161" s="21">
        <f>[1]ATIVO!N162</f>
        <v>1</v>
      </c>
      <c r="O161" s="33">
        <f>[1]ATIVO!O162</f>
        <v>1</v>
      </c>
      <c r="P161" s="478"/>
    </row>
    <row r="162" spans="1:16" x14ac:dyDescent="0.25">
      <c r="A162" s="485"/>
      <c r="B162" s="490"/>
      <c r="C162" s="491"/>
      <c r="D162" s="491"/>
      <c r="E162" s="491"/>
      <c r="F162" s="491"/>
      <c r="G162" s="491"/>
      <c r="H162" s="491"/>
      <c r="I162" s="491"/>
      <c r="J162" s="491"/>
      <c r="K162" s="492"/>
      <c r="L162" s="478"/>
      <c r="M162" s="487"/>
      <c r="N162" s="488"/>
      <c r="O162" s="489"/>
      <c r="P162" s="478"/>
    </row>
    <row r="163" spans="1:16" x14ac:dyDescent="0.25">
      <c r="A163" s="485"/>
      <c r="B163" s="6" t="str">
        <f>[1]ATIVO!B164</f>
        <v xml:space="preserve">          Departamento de Combustíveis Derivados de Petróleo</v>
      </c>
      <c r="C163" s="28">
        <f>[1]ATIVO!C164</f>
        <v>0</v>
      </c>
      <c r="D163" s="28">
        <f>[1]ATIVO!D164</f>
        <v>0</v>
      </c>
      <c r="E163" s="28">
        <f>[1]ATIVO!E164</f>
        <v>2</v>
      </c>
      <c r="F163" s="28">
        <f>[1]ATIVO!F164</f>
        <v>0</v>
      </c>
      <c r="G163" s="28">
        <f>[1]ATIVO!G164</f>
        <v>0</v>
      </c>
      <c r="H163" s="28">
        <f>[1]ATIVO!H164</f>
        <v>3</v>
      </c>
      <c r="I163" s="28">
        <f>[1]ATIVO!I164</f>
        <v>0</v>
      </c>
      <c r="J163" s="28">
        <f>[1]ATIVO!J164</f>
        <v>0</v>
      </c>
      <c r="K163" s="8">
        <f>[1]ATIVO!K164</f>
        <v>5</v>
      </c>
      <c r="L163" s="478"/>
      <c r="M163" s="29">
        <f>[1]ATIVO!M164</f>
        <v>2</v>
      </c>
      <c r="N163" s="29">
        <f>[1]ATIVO!N164</f>
        <v>3</v>
      </c>
      <c r="O163" s="22">
        <f>[1]ATIVO!O164</f>
        <v>5</v>
      </c>
      <c r="P163" s="478"/>
    </row>
    <row r="164" spans="1:16" x14ac:dyDescent="0.25">
      <c r="A164" s="485"/>
      <c r="B164" s="6" t="str">
        <f>[1]ATIVO!B165</f>
        <v xml:space="preserve">               Gabinete Departamento de Combustíveis Derivados de Petróleo</v>
      </c>
      <c r="C164" s="20">
        <f>[1]ATIVO!C165</f>
        <v>0</v>
      </c>
      <c r="D164" s="7">
        <f>[1]ATIVO!D165</f>
        <v>0</v>
      </c>
      <c r="E164" s="7">
        <f>[1]ATIVO!E165</f>
        <v>1</v>
      </c>
      <c r="F164" s="7">
        <f>[1]ATIVO!F165</f>
        <v>0</v>
      </c>
      <c r="G164" s="7">
        <f>[1]ATIVO!G165</f>
        <v>0</v>
      </c>
      <c r="H164" s="7">
        <f>[1]ATIVO!H165</f>
        <v>2</v>
      </c>
      <c r="I164" s="7">
        <f>[1]ATIVO!I165</f>
        <v>0</v>
      </c>
      <c r="J164" s="7">
        <f>[1]ATIVO!J165</f>
        <v>0</v>
      </c>
      <c r="K164" s="15">
        <f>[1]ATIVO!K165</f>
        <v>3</v>
      </c>
      <c r="L164" s="478"/>
      <c r="M164" s="21">
        <f>[1]ATIVO!M165</f>
        <v>1</v>
      </c>
      <c r="N164" s="21">
        <f>[1]ATIVO!N165</f>
        <v>2</v>
      </c>
      <c r="O164" s="33">
        <f>[1]ATIVO!O165</f>
        <v>3</v>
      </c>
      <c r="P164" s="478"/>
    </row>
    <row r="165" spans="1:16" x14ac:dyDescent="0.25">
      <c r="A165" s="485"/>
      <c r="B165" s="6" t="str">
        <f>[1]ATIVO!B166</f>
        <v xml:space="preserve">               Coordenação-Geral de Acompanhamento do Mercado</v>
      </c>
      <c r="C165" s="20">
        <f>[1]ATIVO!C166</f>
        <v>0</v>
      </c>
      <c r="D165" s="7">
        <f>[1]ATIVO!D166</f>
        <v>0</v>
      </c>
      <c r="E165" s="7">
        <f>[1]ATIVO!E166</f>
        <v>0</v>
      </c>
      <c r="F165" s="7">
        <f>[1]ATIVO!F166</f>
        <v>0</v>
      </c>
      <c r="G165" s="7">
        <f>[1]ATIVO!G166</f>
        <v>0</v>
      </c>
      <c r="H165" s="7">
        <f>[1]ATIVO!H166</f>
        <v>1</v>
      </c>
      <c r="I165" s="7">
        <f>[1]ATIVO!I166</f>
        <v>0</v>
      </c>
      <c r="J165" s="7">
        <f>[1]ATIVO!J166</f>
        <v>0</v>
      </c>
      <c r="K165" s="15">
        <f>[1]ATIVO!K166</f>
        <v>1</v>
      </c>
      <c r="L165" s="478"/>
      <c r="M165" s="21">
        <f>[1]ATIVO!M166</f>
        <v>0</v>
      </c>
      <c r="N165" s="21">
        <f>[1]ATIVO!N166</f>
        <v>1</v>
      </c>
      <c r="O165" s="33">
        <f>[1]ATIVO!O166</f>
        <v>1</v>
      </c>
      <c r="P165" s="478"/>
    </row>
    <row r="166" spans="1:16" x14ac:dyDescent="0.25">
      <c r="A166" s="485"/>
      <c r="B166" s="6" t="str">
        <f>[1]ATIVO!B167</f>
        <v xml:space="preserve">               Coordenação-Geral de Refino, Abastecimento e Infraestrutura</v>
      </c>
      <c r="C166" s="20">
        <f>[1]ATIVO!C167</f>
        <v>0</v>
      </c>
      <c r="D166" s="7">
        <f>[1]ATIVO!D167</f>
        <v>0</v>
      </c>
      <c r="E166" s="7">
        <f>[1]ATIVO!E167</f>
        <v>1</v>
      </c>
      <c r="F166" s="7">
        <f>[1]ATIVO!F167</f>
        <v>0</v>
      </c>
      <c r="G166" s="7">
        <f>[1]ATIVO!G167</f>
        <v>0</v>
      </c>
      <c r="H166" s="7">
        <f>[1]ATIVO!H167</f>
        <v>0</v>
      </c>
      <c r="I166" s="7">
        <f>[1]ATIVO!I167</f>
        <v>0</v>
      </c>
      <c r="J166" s="7">
        <f>[1]ATIVO!J167</f>
        <v>0</v>
      </c>
      <c r="K166" s="15">
        <f>[1]ATIVO!K167</f>
        <v>1</v>
      </c>
      <c r="L166" s="478"/>
      <c r="M166" s="21">
        <f>[1]ATIVO!M167</f>
        <v>1</v>
      </c>
      <c r="N166" s="21">
        <f>[1]ATIVO!N167</f>
        <v>0</v>
      </c>
      <c r="O166" s="33">
        <f>[1]ATIVO!O167</f>
        <v>1</v>
      </c>
      <c r="P166" s="478"/>
    </row>
    <row r="167" spans="1:16" x14ac:dyDescent="0.25">
      <c r="A167" s="485"/>
      <c r="B167" s="490"/>
      <c r="C167" s="491"/>
      <c r="D167" s="491"/>
      <c r="E167" s="491"/>
      <c r="F167" s="491"/>
      <c r="G167" s="491"/>
      <c r="H167" s="491"/>
      <c r="I167" s="491"/>
      <c r="J167" s="491"/>
      <c r="K167" s="492"/>
      <c r="L167" s="478"/>
      <c r="M167" s="487"/>
      <c r="N167" s="488"/>
      <c r="O167" s="489"/>
      <c r="P167" s="478"/>
    </row>
    <row r="168" spans="1:16" x14ac:dyDescent="0.25">
      <c r="A168" s="485"/>
      <c r="B168" s="6" t="str">
        <f>[1]ATIVO!B169</f>
        <v xml:space="preserve">          Departamento de Biocombustíveis</v>
      </c>
      <c r="C168" s="28">
        <f>[1]ATIVO!C169</f>
        <v>0</v>
      </c>
      <c r="D168" s="28">
        <f>[1]ATIVO!D169</f>
        <v>0</v>
      </c>
      <c r="E168" s="28">
        <f>[1]ATIVO!E169</f>
        <v>0</v>
      </c>
      <c r="F168" s="28">
        <f>[1]ATIVO!F169</f>
        <v>0</v>
      </c>
      <c r="G168" s="28">
        <f>[1]ATIVO!G169</f>
        <v>0</v>
      </c>
      <c r="H168" s="28">
        <f>[1]ATIVO!H169</f>
        <v>5</v>
      </c>
      <c r="I168" s="28">
        <f>[1]ATIVO!I169</f>
        <v>0</v>
      </c>
      <c r="J168" s="28">
        <f>[1]ATIVO!J169</f>
        <v>0</v>
      </c>
      <c r="K168" s="8">
        <f>[1]ATIVO!K169</f>
        <v>5</v>
      </c>
      <c r="L168" s="478"/>
      <c r="M168" s="29">
        <f>[1]ATIVO!M169</f>
        <v>0</v>
      </c>
      <c r="N168" s="29">
        <f>[1]ATIVO!N169</f>
        <v>5</v>
      </c>
      <c r="O168" s="22">
        <f>[1]ATIVO!O169</f>
        <v>5</v>
      </c>
      <c r="P168" s="478"/>
    </row>
    <row r="169" spans="1:16" x14ac:dyDescent="0.25">
      <c r="A169" s="485"/>
      <c r="B169" s="6" t="str">
        <f>[1]ATIVO!B170</f>
        <v xml:space="preserve">               Gabinete Departamento de Biocombustíveis</v>
      </c>
      <c r="C169" s="20">
        <f>[1]ATIVO!C170</f>
        <v>0</v>
      </c>
      <c r="D169" s="7">
        <f>[1]ATIVO!D170</f>
        <v>0</v>
      </c>
      <c r="E169" s="7">
        <f>[1]ATIVO!E170</f>
        <v>0</v>
      </c>
      <c r="F169" s="7">
        <f>[1]ATIVO!F170</f>
        <v>0</v>
      </c>
      <c r="G169" s="7">
        <f>[1]ATIVO!G170</f>
        <v>0</v>
      </c>
      <c r="H169" s="7">
        <f>[1]ATIVO!H170</f>
        <v>2</v>
      </c>
      <c r="I169" s="7">
        <f>[1]ATIVO!I170</f>
        <v>0</v>
      </c>
      <c r="J169" s="7">
        <f>[1]ATIVO!J170</f>
        <v>0</v>
      </c>
      <c r="K169" s="15">
        <f>[1]ATIVO!K170</f>
        <v>2</v>
      </c>
      <c r="L169" s="478"/>
      <c r="M169" s="21">
        <f>[1]ATIVO!M170</f>
        <v>0</v>
      </c>
      <c r="N169" s="21">
        <f>[1]ATIVO!N170</f>
        <v>2</v>
      </c>
      <c r="O169" s="33">
        <f>[1]ATIVO!O170</f>
        <v>2</v>
      </c>
      <c r="P169" s="478"/>
    </row>
    <row r="170" spans="1:16" x14ac:dyDescent="0.25">
      <c r="A170" s="485"/>
      <c r="B170" s="6" t="str">
        <f>[1]ATIVO!B171</f>
        <v xml:space="preserve">               Coordenação-Geral de Biodiesel e Outros Biocombustíveis</v>
      </c>
      <c r="C170" s="20">
        <f>[1]ATIVO!C171</f>
        <v>0</v>
      </c>
      <c r="D170" s="7">
        <f>[1]ATIVO!D171</f>
        <v>0</v>
      </c>
      <c r="E170" s="7">
        <f>[1]ATIVO!E171</f>
        <v>0</v>
      </c>
      <c r="F170" s="7">
        <f>[1]ATIVO!F171</f>
        <v>0</v>
      </c>
      <c r="G170" s="7">
        <f>[1]ATIVO!G171</f>
        <v>0</v>
      </c>
      <c r="H170" s="7">
        <f>[1]ATIVO!H171</f>
        <v>2</v>
      </c>
      <c r="I170" s="7">
        <f>[1]ATIVO!I171</f>
        <v>0</v>
      </c>
      <c r="J170" s="7">
        <f>[1]ATIVO!J171</f>
        <v>0</v>
      </c>
      <c r="K170" s="15">
        <f>[1]ATIVO!K171</f>
        <v>2</v>
      </c>
      <c r="L170" s="478"/>
      <c r="M170" s="21">
        <f>[1]ATIVO!M171</f>
        <v>0</v>
      </c>
      <c r="N170" s="21">
        <f>[1]ATIVO!N171</f>
        <v>2</v>
      </c>
      <c r="O170" s="33">
        <f>[1]ATIVO!O171</f>
        <v>2</v>
      </c>
      <c r="P170" s="478"/>
    </row>
    <row r="171" spans="1:16" x14ac:dyDescent="0.25">
      <c r="A171" s="485"/>
      <c r="B171" s="6" t="str">
        <f>[1]ATIVO!B172</f>
        <v xml:space="preserve">               Coordenação-Geral de Etanol</v>
      </c>
      <c r="C171" s="20">
        <f>[1]ATIVO!C172</f>
        <v>0</v>
      </c>
      <c r="D171" s="7">
        <f>[1]ATIVO!D172</f>
        <v>0</v>
      </c>
      <c r="E171" s="7">
        <f>[1]ATIVO!E172</f>
        <v>0</v>
      </c>
      <c r="F171" s="7">
        <f>[1]ATIVO!F172</f>
        <v>0</v>
      </c>
      <c r="G171" s="7">
        <f>[1]ATIVO!G172</f>
        <v>0</v>
      </c>
      <c r="H171" s="7">
        <f>[1]ATIVO!H172</f>
        <v>1</v>
      </c>
      <c r="I171" s="7">
        <f>[1]ATIVO!I172</f>
        <v>0</v>
      </c>
      <c r="J171" s="7">
        <f>[1]ATIVO!J172</f>
        <v>0</v>
      </c>
      <c r="K171" s="15">
        <f>[1]ATIVO!K172</f>
        <v>1</v>
      </c>
      <c r="L171" s="479"/>
      <c r="M171" s="21">
        <f>[1]ATIVO!M172</f>
        <v>0</v>
      </c>
      <c r="N171" s="21">
        <f>[1]ATIVO!N172</f>
        <v>1</v>
      </c>
      <c r="O171" s="33">
        <f>[1]ATIVO!O172</f>
        <v>1</v>
      </c>
      <c r="P171" s="479"/>
    </row>
    <row r="172" spans="1:16" x14ac:dyDescent="0.25">
      <c r="A172" s="18"/>
      <c r="B172" s="12" t="str">
        <f>[1]ATIVO!B173</f>
        <v>TOTAL</v>
      </c>
      <c r="C172" s="8">
        <f>[1]ATIVO!C173</f>
        <v>0</v>
      </c>
      <c r="D172" s="8">
        <f>[1]ATIVO!D173</f>
        <v>2</v>
      </c>
      <c r="E172" s="8">
        <f>[1]ATIVO!E173</f>
        <v>9</v>
      </c>
      <c r="F172" s="8">
        <f>[1]ATIVO!F173</f>
        <v>0</v>
      </c>
      <c r="G172" s="8">
        <f>[1]ATIVO!G173</f>
        <v>5</v>
      </c>
      <c r="H172" s="8">
        <f>[1]ATIVO!H173</f>
        <v>16</v>
      </c>
      <c r="I172" s="8">
        <f>[1]ATIVO!I173</f>
        <v>0</v>
      </c>
      <c r="J172" s="8">
        <f>[1]ATIVO!J173</f>
        <v>0</v>
      </c>
      <c r="K172" s="8">
        <f>[1]ATIVO!K173</f>
        <v>32</v>
      </c>
      <c r="L172" s="8">
        <f>[1]ATIVO!L173</f>
        <v>32</v>
      </c>
      <c r="M172" s="8">
        <f>[1]ATIVO!M173</f>
        <v>9</v>
      </c>
      <c r="N172" s="8">
        <f>[1]ATIVO!N173</f>
        <v>23</v>
      </c>
      <c r="O172" s="8">
        <f>[1]ATIVO!O173</f>
        <v>32</v>
      </c>
      <c r="P172" s="13">
        <f>[1]ATIVO!P173</f>
        <v>32</v>
      </c>
    </row>
    <row r="173" spans="1:16" x14ac:dyDescent="0.25">
      <c r="A173" s="18"/>
      <c r="B173" s="18"/>
      <c r="C173" s="18"/>
      <c r="D173" s="18"/>
      <c r="E173" s="18"/>
      <c r="F173" s="18"/>
      <c r="G173" s="18"/>
      <c r="H173" s="18"/>
      <c r="I173" s="18"/>
      <c r="J173" s="18"/>
      <c r="K173" s="18"/>
      <c r="L173" s="18"/>
      <c r="M173" s="19"/>
      <c r="N173" s="19"/>
      <c r="O173" s="19"/>
      <c r="P173" s="19"/>
    </row>
    <row r="174" spans="1:16" ht="25.5" customHeight="1" x14ac:dyDescent="0.25">
      <c r="A174" s="41" t="str">
        <f>[1]ATIVO!A177</f>
        <v>Área</v>
      </c>
      <c r="B174" s="42" t="str">
        <f>[1]ATIVO!B177</f>
        <v>ESCRITÓRIO RIO DE JANEIRO/RJ</v>
      </c>
      <c r="C174" s="5" t="str">
        <f>[1]ATIVO!C177</f>
        <v>Natureza Especial</v>
      </c>
      <c r="D174" s="5" t="str">
        <f>[1]ATIVO!D177</f>
        <v>Ativo Permanente</v>
      </c>
      <c r="E174" s="5" t="str">
        <f>[1]ATIVO!E177</f>
        <v>Requisitado Órgãos</v>
      </c>
      <c r="F174" s="5" t="str">
        <f>[1]ATIVO!F177</f>
        <v>Requisitado Empresas</v>
      </c>
      <c r="G174" s="5" t="str">
        <f>[1]ATIVO!G177</f>
        <v>Sem Vínculo</v>
      </c>
      <c r="H174" s="5" t="str">
        <f>[1]ATIVO!H177</f>
        <v>Exercício Descentralizado</v>
      </c>
      <c r="I174" s="5" t="str">
        <f>[1]ATIVO!I177</f>
        <v>Contrato Temporário</v>
      </c>
      <c r="J174" s="5" t="str">
        <f>[1]ATIVO!J177</f>
        <v>Anistiado</v>
      </c>
      <c r="K174" s="5" t="str">
        <f>[1]ATIVO!K177</f>
        <v>Total</v>
      </c>
      <c r="L174" s="5" t="str">
        <f>[1]ATIVO!L177</f>
        <v>Total Área</v>
      </c>
      <c r="M174" s="5" t="str">
        <f>[1]ATIVO!M177</f>
        <v>Sexo Feminino</v>
      </c>
      <c r="N174" s="5" t="str">
        <f>[1]ATIVO!N177</f>
        <v>Sexo Masculino</v>
      </c>
      <c r="O174" s="5" t="str">
        <f>[1]ATIVO!O177</f>
        <v>Total</v>
      </c>
      <c r="P174" s="5" t="str">
        <f>[1]ATIVO!P177</f>
        <v>Total Área</v>
      </c>
    </row>
    <row r="175" spans="1:16" x14ac:dyDescent="0.25">
      <c r="A175" s="12" t="str">
        <f>[1]ATIVO!A178</f>
        <v>MEIO</v>
      </c>
      <c r="B175" s="27" t="str">
        <f>[1]ATIVO!B178</f>
        <v>ESCRITÓRIO RIO DE JANEIRO/RJ</v>
      </c>
      <c r="C175" s="20">
        <f>[1]ATIVO!C178</f>
        <v>0</v>
      </c>
      <c r="D175" s="7">
        <f>[1]ATIVO!D178</f>
        <v>0</v>
      </c>
      <c r="E175" s="7">
        <f>[1]ATIVO!E178</f>
        <v>11</v>
      </c>
      <c r="F175" s="7">
        <f>[1]ATIVO!F178</f>
        <v>4</v>
      </c>
      <c r="G175" s="7">
        <f>[1]ATIVO!G178</f>
        <v>0</v>
      </c>
      <c r="H175" s="7">
        <f>[1]ATIVO!H178</f>
        <v>0</v>
      </c>
      <c r="I175" s="7">
        <f>[1]ATIVO!I178</f>
        <v>0</v>
      </c>
      <c r="J175" s="7">
        <f>[1]ATIVO!J178</f>
        <v>4</v>
      </c>
      <c r="K175" s="8">
        <f>[1]ATIVO!K178</f>
        <v>19</v>
      </c>
      <c r="L175" s="26">
        <f>[1]ATIVO!L178</f>
        <v>19</v>
      </c>
      <c r="M175" s="16">
        <f>[1]ATIVO!M178</f>
        <v>1</v>
      </c>
      <c r="N175" s="16">
        <f>[1]ATIVO!N178</f>
        <v>3</v>
      </c>
      <c r="O175" s="22">
        <f>[1]ATIVO!O178</f>
        <v>4</v>
      </c>
      <c r="P175" s="22">
        <f>[1]ATIVO!P178</f>
        <v>4</v>
      </c>
    </row>
    <row r="176" spans="1:16" x14ac:dyDescent="0.25">
      <c r="A176" s="18"/>
      <c r="B176" s="12" t="str">
        <f>[1]ATIVO!B179</f>
        <v>TOTAL</v>
      </c>
      <c r="C176" s="8">
        <f>[1]ATIVO!C179</f>
        <v>0</v>
      </c>
      <c r="D176" s="8">
        <f>[1]ATIVO!D179</f>
        <v>0</v>
      </c>
      <c r="E176" s="8">
        <f>[1]ATIVO!E179</f>
        <v>11</v>
      </c>
      <c r="F176" s="8">
        <f>[1]ATIVO!F179</f>
        <v>4</v>
      </c>
      <c r="G176" s="8">
        <f>[1]ATIVO!G179</f>
        <v>0</v>
      </c>
      <c r="H176" s="8">
        <f>[1]ATIVO!H179</f>
        <v>0</v>
      </c>
      <c r="I176" s="8">
        <f>[1]ATIVO!I179</f>
        <v>0</v>
      </c>
      <c r="J176" s="8">
        <f>[1]ATIVO!J179</f>
        <v>4</v>
      </c>
      <c r="K176" s="8">
        <f>[1]ATIVO!K179</f>
        <v>19</v>
      </c>
      <c r="L176" s="8">
        <f>[1]ATIVO!L179</f>
        <v>19</v>
      </c>
      <c r="M176" s="8">
        <f>[1]ATIVO!M179</f>
        <v>1</v>
      </c>
      <c r="N176" s="8">
        <f>[1]ATIVO!N179</f>
        <v>3</v>
      </c>
      <c r="O176" s="8">
        <f>[1]ATIVO!O179</f>
        <v>4</v>
      </c>
      <c r="P176" s="13">
        <f>[1]ATIVO!P179</f>
        <v>4</v>
      </c>
    </row>
    <row r="177" x14ac:dyDescent="0.25"/>
  </sheetData>
  <sheetProtection sheet="1" objects="1" scenarios="1"/>
  <mergeCells count="68">
    <mergeCell ref="B167:K167"/>
    <mergeCell ref="M167:O167"/>
    <mergeCell ref="A19:A24"/>
    <mergeCell ref="A1:P1"/>
    <mergeCell ref="M144:O144"/>
    <mergeCell ref="A151:A171"/>
    <mergeCell ref="L151:L171"/>
    <mergeCell ref="P151:P171"/>
    <mergeCell ref="B152:K152"/>
    <mergeCell ref="M152:O152"/>
    <mergeCell ref="B157:K157"/>
    <mergeCell ref="M157:O157"/>
    <mergeCell ref="B162:K162"/>
    <mergeCell ref="M162:O162"/>
    <mergeCell ref="A126:A147"/>
    <mergeCell ref="L126:L147"/>
    <mergeCell ref="P126:P147"/>
    <mergeCell ref="B127:K127"/>
    <mergeCell ref="M127:O127"/>
    <mergeCell ref="B133:K133"/>
    <mergeCell ref="M133:O133"/>
    <mergeCell ref="B139:K139"/>
    <mergeCell ref="M139:O139"/>
    <mergeCell ref="B144:K144"/>
    <mergeCell ref="A80:A100"/>
    <mergeCell ref="L80:L100"/>
    <mergeCell ref="P80:P100"/>
    <mergeCell ref="B81:K81"/>
    <mergeCell ref="M81:O81"/>
    <mergeCell ref="B87:K87"/>
    <mergeCell ref="M87:O87"/>
    <mergeCell ref="B92:K92"/>
    <mergeCell ref="M92:O92"/>
    <mergeCell ref="B96:K96"/>
    <mergeCell ref="M96:O96"/>
    <mergeCell ref="A104:A122"/>
    <mergeCell ref="L104:L122"/>
    <mergeCell ref="P104:P122"/>
    <mergeCell ref="B105:K105"/>
    <mergeCell ref="M105:O105"/>
    <mergeCell ref="B111:K111"/>
    <mergeCell ref="M111:O111"/>
    <mergeCell ref="B118:K118"/>
    <mergeCell ref="M118:O118"/>
    <mergeCell ref="A44:A47"/>
    <mergeCell ref="L44:L47"/>
    <mergeCell ref="P44:P47"/>
    <mergeCell ref="A51:A76"/>
    <mergeCell ref="L51:L76"/>
    <mergeCell ref="P51:P76"/>
    <mergeCell ref="B52:K52"/>
    <mergeCell ref="M52:O52"/>
    <mergeCell ref="B56:K56"/>
    <mergeCell ref="M56:O56"/>
    <mergeCell ref="B58:K58"/>
    <mergeCell ref="M58:O58"/>
    <mergeCell ref="B63:K63"/>
    <mergeCell ref="M63:O63"/>
    <mergeCell ref="B68:K68"/>
    <mergeCell ref="M68:O68"/>
    <mergeCell ref="L19:L24"/>
    <mergeCell ref="P19:P24"/>
    <mergeCell ref="A4:A10"/>
    <mergeCell ref="L4:L10"/>
    <mergeCell ref="P4:P10"/>
    <mergeCell ref="A11:A14"/>
    <mergeCell ref="L11:L14"/>
    <mergeCell ref="P11:P14"/>
  </mergeCells>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Y207"/>
  <sheetViews>
    <sheetView showGridLines="0" workbookViewId="0">
      <selection sqref="A1:X1"/>
    </sheetView>
  </sheetViews>
  <sheetFormatPr defaultColWidth="0" defaultRowHeight="15" zeroHeight="1" x14ac:dyDescent="0.25"/>
  <cols>
    <col min="1" max="1" width="0.85546875" style="19" customWidth="1"/>
    <col min="2" max="24" width="9.140625" style="19" customWidth="1"/>
    <col min="25" max="25" width="4.42578125" customWidth="1"/>
    <col min="26" max="16384" width="9.140625" hidden="1"/>
  </cols>
  <sheetData>
    <row r="1" spans="1:24" ht="40.5" customHeight="1" x14ac:dyDescent="0.25">
      <c r="A1" s="493" t="s">
        <v>166</v>
      </c>
      <c r="B1" s="493"/>
      <c r="C1" s="493"/>
      <c r="D1" s="493"/>
      <c r="E1" s="493"/>
      <c r="F1" s="493"/>
      <c r="G1" s="493"/>
      <c r="H1" s="493"/>
      <c r="I1" s="493"/>
      <c r="J1" s="493"/>
      <c r="K1" s="493"/>
      <c r="L1" s="493"/>
      <c r="M1" s="493"/>
      <c r="N1" s="493"/>
      <c r="O1" s="493"/>
      <c r="P1" s="493"/>
      <c r="Q1" s="493"/>
      <c r="R1" s="493"/>
      <c r="S1" s="493"/>
      <c r="T1" s="493"/>
      <c r="U1" s="493"/>
      <c r="V1" s="493"/>
      <c r="W1" s="493"/>
      <c r="X1" s="493"/>
    </row>
    <row r="2" spans="1:24" x14ac:dyDescent="0.25"/>
    <row r="3" spans="1:24" x14ac:dyDescent="0.25"/>
    <row r="4" spans="1:24" x14ac:dyDescent="0.25"/>
    <row r="5" spans="1:24" x14ac:dyDescent="0.25"/>
    <row r="6" spans="1:24" x14ac:dyDescent="0.25"/>
    <row r="7" spans="1:24" x14ac:dyDescent="0.25"/>
    <row r="8" spans="1:24" x14ac:dyDescent="0.25"/>
    <row r="9" spans="1:24" x14ac:dyDescent="0.25"/>
    <row r="10" spans="1:24" x14ac:dyDescent="0.25"/>
    <row r="11" spans="1:24" x14ac:dyDescent="0.25"/>
    <row r="12" spans="1:24" x14ac:dyDescent="0.25"/>
    <row r="13" spans="1:24" x14ac:dyDescent="0.25"/>
    <row r="14" spans="1:24" x14ac:dyDescent="0.25"/>
    <row r="15" spans="1:24" x14ac:dyDescent="0.25"/>
    <row r="16" spans="1:24" x14ac:dyDescent="0.25"/>
    <row r="17" spans="1:24" x14ac:dyDescent="0.25"/>
    <row r="18" spans="1:24" x14ac:dyDescent="0.25"/>
    <row r="19" spans="1:24" x14ac:dyDescent="0.25"/>
    <row r="20" spans="1:24" x14ac:dyDescent="0.25"/>
    <row r="21" spans="1:24" x14ac:dyDescent="0.25"/>
    <row r="22" spans="1:24" x14ac:dyDescent="0.25"/>
    <row r="23" spans="1:24" x14ac:dyDescent="0.25"/>
    <row r="24" spans="1:24" x14ac:dyDescent="0.25"/>
    <row r="25" spans="1:24" x14ac:dyDescent="0.25"/>
    <row r="26" spans="1:24" x14ac:dyDescent="0.25"/>
    <row r="27" spans="1:24" x14ac:dyDescent="0.25"/>
    <row r="28" spans="1:24" x14ac:dyDescent="0.25"/>
    <row r="29" spans="1:24" x14ac:dyDescent="0.25"/>
    <row r="30" spans="1:24" x14ac:dyDescent="0.25"/>
    <row r="31" spans="1:24" x14ac:dyDescent="0.25"/>
    <row r="32" spans="1:24" x14ac:dyDescent="0.25">
      <c r="A32" s="43"/>
      <c r="B32" s="43"/>
      <c r="C32" s="43"/>
      <c r="D32" s="43"/>
      <c r="E32" s="43"/>
      <c r="F32" s="43"/>
      <c r="G32" s="43"/>
      <c r="H32" s="43"/>
      <c r="I32" s="43"/>
      <c r="J32" s="43"/>
      <c r="K32" s="43"/>
      <c r="L32" s="43"/>
      <c r="M32" s="43"/>
      <c r="N32" s="43"/>
      <c r="O32" s="43"/>
      <c r="P32" s="43"/>
      <c r="Q32" s="43"/>
      <c r="R32" s="43"/>
      <c r="S32" s="43"/>
      <c r="T32" s="43"/>
      <c r="U32" s="43"/>
      <c r="V32" s="43"/>
      <c r="W32" s="43"/>
      <c r="X32" s="43"/>
    </row>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hidden="1" x14ac:dyDescent="0.25"/>
    <row r="205" hidden="1" x14ac:dyDescent="0.25"/>
    <row r="206" hidden="1" x14ac:dyDescent="0.25"/>
    <row r="207" hidden="1" x14ac:dyDescent="0.25"/>
  </sheetData>
  <sheetProtection sheet="1" objects="1" scenarios="1"/>
  <mergeCells count="1">
    <mergeCell ref="A1:X1"/>
  </mergeCells>
  <pageMargins left="0.511811024" right="0.511811024" top="0.78740157499999996" bottom="0.78740157499999996" header="0.31496062000000002" footer="0.3149606200000000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dimension ref="A1:T46"/>
  <sheetViews>
    <sheetView showGridLines="0" workbookViewId="0">
      <selection activeCell="E11" sqref="E11"/>
    </sheetView>
  </sheetViews>
  <sheetFormatPr defaultColWidth="0" defaultRowHeight="15" zeroHeight="1" x14ac:dyDescent="0.25"/>
  <cols>
    <col min="1" max="1" width="32.7109375" bestFit="1" customWidth="1"/>
    <col min="2" max="2" width="13.28515625" customWidth="1"/>
    <col min="3" max="3" width="4.42578125" customWidth="1"/>
    <col min="4" max="4" width="20.85546875" customWidth="1"/>
    <col min="5" max="5" width="14.140625" customWidth="1"/>
    <col min="6" max="11" width="9.140625" customWidth="1"/>
    <col min="12" max="12" width="4.85546875" customWidth="1"/>
    <col min="13" max="13" width="33.42578125" customWidth="1"/>
    <col min="14" max="15" width="11.5703125" bestFit="1" customWidth="1"/>
    <col min="16" max="19" width="9.140625" customWidth="1"/>
    <col min="20" max="20" width="2.7109375" customWidth="1"/>
    <col min="21" max="16384" width="9.140625" hidden="1"/>
  </cols>
  <sheetData>
    <row r="1" spans="1:16" x14ac:dyDescent="0.25"/>
    <row r="2" spans="1:16" x14ac:dyDescent="0.25"/>
    <row r="3" spans="1:16" ht="6" customHeight="1" x14ac:dyDescent="0.25"/>
    <row r="4" spans="1:16" x14ac:dyDescent="0.25">
      <c r="A4" s="494" t="str">
        <f>[1]CONTROLEVAGASEST!B15</f>
        <v>VAGAS VÁLIDAS</v>
      </c>
      <c r="B4" s="494"/>
      <c r="D4" s="494" t="str">
        <f>[1]CONTROLEVAGASEST!E15</f>
        <v>DEFINIÇÃO DE VAGAS POR UNIDADE</v>
      </c>
      <c r="E4" s="494"/>
      <c r="F4" s="494"/>
      <c r="G4" s="494"/>
      <c r="H4" s="494"/>
      <c r="I4" s="494"/>
      <c r="J4" s="494"/>
      <c r="K4" s="494"/>
      <c r="M4" s="494" t="str">
        <f>[1]CONTROLEVAGASEST!N15</f>
        <v>QUANTITATIVO E OCUPAÇÃO DE VAGAS ATUAL</v>
      </c>
      <c r="N4" s="494"/>
      <c r="O4" s="494"/>
      <c r="P4" s="494"/>
    </row>
    <row r="5" spans="1:16" x14ac:dyDescent="0.25">
      <c r="A5" s="181" t="str">
        <f>[1]CONTROLEVAGASEST!B17</f>
        <v>Descricao</v>
      </c>
      <c r="B5" s="181" t="str">
        <f>[1]CONTROLEVAGASEST!C17</f>
        <v>Quantidade</v>
      </c>
      <c r="D5" s="500" t="str">
        <f>[1]CONTROLEVAGASEST!E17</f>
        <v>Unidade</v>
      </c>
      <c r="E5" s="497" t="str">
        <f>[1]CONTROLEVAGASEST!F17</f>
        <v>Quantidade Definida</v>
      </c>
      <c r="F5" s="498" t="str">
        <f>[1]CONTROLEVAGASEST!G17</f>
        <v>Nível Médo</v>
      </c>
      <c r="G5" s="499"/>
      <c r="H5" s="498" t="str">
        <f>[1]CONTROLEVAGASEST!I17</f>
        <v>Nível Superior</v>
      </c>
      <c r="I5" s="499"/>
      <c r="J5" s="498" t="str">
        <f>[1]CONTROLEVAGASEST!K17</f>
        <v>Pós-Graduação</v>
      </c>
      <c r="K5" s="499"/>
      <c r="M5" s="502" t="str">
        <f>[1]CONTROLEVAGASEST!N17</f>
        <v>Nível</v>
      </c>
      <c r="N5" s="502" t="str">
        <f>[1]CONTROLEVAGASEST!O17</f>
        <v>Quantitativo Vagas Válidas</v>
      </c>
      <c r="O5" s="502"/>
      <c r="P5" s="502"/>
    </row>
    <row r="6" spans="1:16" x14ac:dyDescent="0.25">
      <c r="A6" s="229" t="str">
        <f>[1]CONTROLEVAGASEST!B18</f>
        <v>ATIVO PERMANENTE</v>
      </c>
      <c r="B6" s="230">
        <f>[1]CONTROLEVAGASEST!C18</f>
        <v>137</v>
      </c>
      <c r="D6" s="501"/>
      <c r="E6" s="497"/>
      <c r="F6" s="182" t="str">
        <f>[1]CONTROLEVAGASEST!G18</f>
        <v>Definição</v>
      </c>
      <c r="G6" s="182" t="str">
        <f>[1]CONTROLEVAGASEST!H18</f>
        <v>Ocupação</v>
      </c>
      <c r="H6" s="182" t="str">
        <f>[1]CONTROLEVAGASEST!I18</f>
        <v>Definição</v>
      </c>
      <c r="I6" s="182" t="str">
        <f>[1]CONTROLEVAGASEST!J18</f>
        <v>Ocupação</v>
      </c>
      <c r="J6" s="182" t="str">
        <f>[1]CONTROLEVAGASEST!K18</f>
        <v>Definição</v>
      </c>
      <c r="K6" s="182" t="str">
        <f>[1]CONTROLEVAGASEST!L18</f>
        <v>Ocupação</v>
      </c>
      <c r="M6" s="502"/>
      <c r="N6" s="239" t="str">
        <f>[1]CONTROLEVAGASEST!O18</f>
        <v>Previsto</v>
      </c>
      <c r="O6" s="239" t="str">
        <f>[1]CONTROLEVAGASEST!P18</f>
        <v>Preenchido</v>
      </c>
      <c r="P6" s="239" t="str">
        <f>[1]CONTROLEVAGASEST!Q18</f>
        <v>Vago</v>
      </c>
    </row>
    <row r="7" spans="1:16" x14ac:dyDescent="0.25">
      <c r="A7" s="229" t="str">
        <f>[1]CONTROLEVAGASEST!B19</f>
        <v>REQUISITADO EMPRESAS</v>
      </c>
      <c r="B7" s="230">
        <f>[1]CONTROLEVAGASEST!C19</f>
        <v>5</v>
      </c>
      <c r="D7" s="232" t="str">
        <f>[1]CONTROLEVAGASEST!E19</f>
        <v>GM/GABINETE</v>
      </c>
      <c r="E7" s="233">
        <f>[1]CONTROLEVAGASEST!F19</f>
        <v>3</v>
      </c>
      <c r="F7" s="234">
        <f>[1]CONTROLEVAGASEST!G19</f>
        <v>1</v>
      </c>
      <c r="G7" s="230">
        <f>[1]CONTROLEVAGASEST!H19</f>
        <v>0</v>
      </c>
      <c r="H7" s="234">
        <f>[1]CONTROLEVAGASEST!I19</f>
        <v>2</v>
      </c>
      <c r="I7" s="230">
        <f>[1]CONTROLEVAGASEST!J19</f>
        <v>3</v>
      </c>
      <c r="J7" s="234">
        <f>[1]CONTROLEVAGASEST!K19</f>
        <v>0</v>
      </c>
      <c r="K7" s="230">
        <f>[1]CONTROLEVAGASEST!L19</f>
        <v>0</v>
      </c>
      <c r="M7" s="240" t="str">
        <f>[1]CONTROLEVAGASEST!N19</f>
        <v>Médio</v>
      </c>
      <c r="N7" s="241">
        <f>[1]CONTROLEVAGASEST!O19</f>
        <v>8</v>
      </c>
      <c r="O7" s="241">
        <f>[1]CONTROLEVAGASEST!P19</f>
        <v>6</v>
      </c>
      <c r="P7" s="241">
        <f>[1]CONTROLEVAGASEST!Q19</f>
        <v>2</v>
      </c>
    </row>
    <row r="8" spans="1:16" x14ac:dyDescent="0.25">
      <c r="A8" s="229" t="str">
        <f>[1]CONTROLEVAGASEST!B20</f>
        <v>NOMEADO CARGO COMISÃO</v>
      </c>
      <c r="B8" s="230">
        <f>[1]CONTROLEVAGASEST!C20</f>
        <v>119</v>
      </c>
      <c r="D8" s="232" t="str">
        <f>[1]CONTROLEVAGASEST!E20</f>
        <v>GM/ASCOM</v>
      </c>
      <c r="E8" s="233">
        <f>[1]CONTROLEVAGASEST!F20</f>
        <v>4</v>
      </c>
      <c r="F8" s="234">
        <f>[1]CONTROLEVAGASEST!G20</f>
        <v>0</v>
      </c>
      <c r="G8" s="230">
        <f>[1]CONTROLEVAGASEST!H20</f>
        <v>0</v>
      </c>
      <c r="H8" s="234">
        <f>[1]CONTROLEVAGASEST!I20</f>
        <v>4</v>
      </c>
      <c r="I8" s="230">
        <f>[1]CONTROLEVAGASEST!J20</f>
        <v>4</v>
      </c>
      <c r="J8" s="234">
        <f>[1]CONTROLEVAGASEST!K20</f>
        <v>0</v>
      </c>
      <c r="K8" s="230">
        <f>[1]CONTROLEVAGASEST!L20</f>
        <v>0</v>
      </c>
      <c r="M8" s="240" t="str">
        <f>[1]CONTROLEVAGASEST!N20</f>
        <v>Superior Graduação</v>
      </c>
      <c r="N8" s="241">
        <f>[1]CONTROLEVAGASEST!O20</f>
        <v>60</v>
      </c>
      <c r="O8" s="241">
        <f>[1]CONTROLEVAGASEST!P20</f>
        <v>34</v>
      </c>
      <c r="P8" s="241">
        <f>[1]CONTROLEVAGASEST!Q20</f>
        <v>26</v>
      </c>
    </row>
    <row r="9" spans="1:16" x14ac:dyDescent="0.25">
      <c r="A9" s="229" t="str">
        <f>[1]CONTROLEVAGASEST!B21</f>
        <v>NATUREZA ESPECIAL</v>
      </c>
      <c r="B9" s="230">
        <f>[1]CONTROLEVAGASEST!C21</f>
        <v>1</v>
      </c>
      <c r="D9" s="232" t="str">
        <f>[1]CONTROLEVAGASEST!E21</f>
        <v>GM/ASPAR</v>
      </c>
      <c r="E9" s="233">
        <f>[1]CONTROLEVAGASEST!F21</f>
        <v>3</v>
      </c>
      <c r="F9" s="234">
        <f>[1]CONTROLEVAGASEST!G21</f>
        <v>1</v>
      </c>
      <c r="G9" s="230">
        <f>[1]CONTROLEVAGASEST!H21</f>
        <v>1</v>
      </c>
      <c r="H9" s="234">
        <f>[1]CONTROLEVAGASEST!I21</f>
        <v>2</v>
      </c>
      <c r="I9" s="230">
        <f>[1]CONTROLEVAGASEST!J21</f>
        <v>2</v>
      </c>
      <c r="J9" s="234">
        <f>[1]CONTROLEVAGASEST!K21</f>
        <v>0</v>
      </c>
      <c r="K9" s="230">
        <f>[1]CONTROLEVAGASEST!L21</f>
        <v>0</v>
      </c>
      <c r="M9" s="240" t="str">
        <f>[1]CONTROLEVAGASEST!N21</f>
        <v>Superior Pós-Graduação</v>
      </c>
      <c r="N9" s="241">
        <f>[1]CONTROLEVAGASEST!O21</f>
        <v>12</v>
      </c>
      <c r="O9" s="241">
        <f>[1]CONTROLEVAGASEST!P21</f>
        <v>2</v>
      </c>
      <c r="P9" s="241">
        <f>[1]CONTROLEVAGASEST!Q21</f>
        <v>10</v>
      </c>
    </row>
    <row r="10" spans="1:16" x14ac:dyDescent="0.25">
      <c r="A10" s="229" t="str">
        <f>[1]CONTROLEVAGASEST!B22</f>
        <v>CEDIDO</v>
      </c>
      <c r="B10" s="230">
        <f>[1]CONTROLEVAGASEST!C22</f>
        <v>32</v>
      </c>
      <c r="D10" s="235" t="str">
        <f>[1]CONTROLEVAGASEST!E22</f>
        <v>CONJUR</v>
      </c>
      <c r="E10" s="233">
        <f>[1]CONTROLEVAGASEST!F22</f>
        <v>3</v>
      </c>
      <c r="F10" s="234">
        <f>[1]CONTROLEVAGASEST!G22</f>
        <v>0</v>
      </c>
      <c r="G10" s="230">
        <f>[1]CONTROLEVAGASEST!H22</f>
        <v>0</v>
      </c>
      <c r="H10" s="234">
        <f>[1]CONTROLEVAGASEST!I22</f>
        <v>3</v>
      </c>
      <c r="I10" s="230">
        <f>[1]CONTROLEVAGASEST!J22</f>
        <v>2</v>
      </c>
      <c r="J10" s="234">
        <f>[1]CONTROLEVAGASEST!K22</f>
        <v>0</v>
      </c>
      <c r="K10" s="230">
        <f>[1]CONTROLEVAGASEST!L22</f>
        <v>0</v>
      </c>
      <c r="M10" s="503" t="str">
        <f>[1]CONTROLEVAGASEST!N22</f>
        <v>Total</v>
      </c>
      <c r="N10" s="504">
        <f>[1]CONTROLEVAGASEST!O22</f>
        <v>80</v>
      </c>
      <c r="O10" s="503">
        <f>[1]CONTROLEVAGASEST!P22</f>
        <v>42</v>
      </c>
      <c r="P10" s="503">
        <f>[1]CONTROLEVAGASEST!Q22</f>
        <v>38</v>
      </c>
    </row>
    <row r="11" spans="1:16" x14ac:dyDescent="0.25">
      <c r="A11" s="229" t="str">
        <f>[1]CONTROLEVAGASEST!B23</f>
        <v>REQUISITADO DE OUTROS ORGAOS</v>
      </c>
      <c r="B11" s="230">
        <f>[1]CONTROLEVAGASEST!C23</f>
        <v>71</v>
      </c>
      <c r="D11" s="232" t="str">
        <f>[1]CONTROLEVAGASEST!E23</f>
        <v>ASSINT</v>
      </c>
      <c r="E11" s="233">
        <f>[1]CONTROLEVAGASEST!F23</f>
        <v>1</v>
      </c>
      <c r="F11" s="234">
        <f>[1]CONTROLEVAGASEST!G23</f>
        <v>0</v>
      </c>
      <c r="G11" s="230">
        <f>[1]CONTROLEVAGASEST!H23</f>
        <v>0</v>
      </c>
      <c r="H11" s="234">
        <f>[1]CONTROLEVAGASEST!I23</f>
        <v>1</v>
      </c>
      <c r="I11" s="230">
        <f>[1]CONTROLEVAGASEST!J23</f>
        <v>0</v>
      </c>
      <c r="J11" s="234">
        <f>[1]CONTROLEVAGASEST!K23</f>
        <v>0</v>
      </c>
      <c r="K11" s="230">
        <f>[1]CONTROLEVAGASEST!L23</f>
        <v>0</v>
      </c>
      <c r="M11" s="503"/>
      <c r="N11" s="504"/>
      <c r="O11" s="503"/>
      <c r="P11" s="503"/>
    </row>
    <row r="12" spans="1:16" x14ac:dyDescent="0.25">
      <c r="A12" s="229" t="str">
        <f>[1]CONTROLEVAGASEST!B24</f>
        <v>EXERCÍCIO DESCENTRALIZADO CARREIRA</v>
      </c>
      <c r="B12" s="230">
        <f>[1]CONTROLEVAGASEST!C24</f>
        <v>88</v>
      </c>
      <c r="D12" s="232" t="str">
        <f>[1]CONTROLEVAGASEST!E24</f>
        <v>ASSEC</v>
      </c>
      <c r="E12" s="233">
        <f>[1]CONTROLEVAGASEST!F24</f>
        <v>1</v>
      </c>
      <c r="F12" s="234">
        <f>[1]CONTROLEVAGASEST!G24</f>
        <v>0</v>
      </c>
      <c r="G12" s="230">
        <f>[1]CONTROLEVAGASEST!H24</f>
        <v>0</v>
      </c>
      <c r="H12" s="234">
        <f>[1]CONTROLEVAGASEST!I24</f>
        <v>1</v>
      </c>
      <c r="I12" s="230">
        <f>[1]CONTROLEVAGASEST!J24</f>
        <v>0</v>
      </c>
      <c r="J12" s="234">
        <f>[1]CONTROLEVAGASEST!K24</f>
        <v>0</v>
      </c>
      <c r="K12" s="230">
        <f>[1]CONTROLEVAGASEST!L24</f>
        <v>0</v>
      </c>
      <c r="M12" s="503"/>
      <c r="N12" s="243">
        <f>[1]CONTROLEVAGASEST!O24</f>
        <v>1</v>
      </c>
      <c r="O12" s="243">
        <f>[1]CONTROLEVAGASEST!P24</f>
        <v>0.52500000000000002</v>
      </c>
      <c r="P12" s="243">
        <f>[1]CONTROLEVAGASEST!Q24</f>
        <v>0.47499999999999998</v>
      </c>
    </row>
    <row r="13" spans="1:16" x14ac:dyDescent="0.25">
      <c r="A13" s="229" t="str">
        <f>[1]CONTROLEVAGASEST!B25</f>
        <v>ANISTIADO</v>
      </c>
      <c r="B13" s="230">
        <f>[1]CONTROLEVAGASEST!C25</f>
        <v>499</v>
      </c>
      <c r="D13" s="232" t="str">
        <f>[1]CONTROLEVAGASEST!E25</f>
        <v>AEPED</v>
      </c>
      <c r="E13" s="233">
        <f>[1]CONTROLEVAGASEST!F25</f>
        <v>1</v>
      </c>
      <c r="F13" s="234">
        <f>[1]CONTROLEVAGASEST!G25</f>
        <v>0</v>
      </c>
      <c r="G13" s="230">
        <f>[1]CONTROLEVAGASEST!H25</f>
        <v>0</v>
      </c>
      <c r="H13" s="234">
        <f>[1]CONTROLEVAGASEST!I25</f>
        <v>1</v>
      </c>
      <c r="I13" s="230">
        <f>[1]CONTROLEVAGASEST!J25</f>
        <v>0</v>
      </c>
      <c r="J13" s="234">
        <f>[1]CONTROLEVAGASEST!K25</f>
        <v>0</v>
      </c>
      <c r="K13" s="230">
        <f>[1]CONTROLEVAGASEST!L25</f>
        <v>0</v>
      </c>
      <c r="M13" s="228"/>
      <c r="N13" s="228"/>
      <c r="O13" s="228"/>
      <c r="P13" s="228"/>
    </row>
    <row r="14" spans="1:16" x14ac:dyDescent="0.25">
      <c r="A14" s="231" t="str">
        <f>[1]CONTROLEVAGASEST!B26</f>
        <v>TOTAL</v>
      </c>
      <c r="B14" s="83">
        <f>[1]CONTROLEVAGASEST!C26</f>
        <v>952</v>
      </c>
      <c r="D14" s="232" t="str">
        <f>[1]CONTROLEVAGASEST!E26</f>
        <v>AECI</v>
      </c>
      <c r="E14" s="233">
        <f>[1]CONTROLEVAGASEST!F26</f>
        <v>1</v>
      </c>
      <c r="F14" s="234">
        <f>[1]CONTROLEVAGASEST!G26</f>
        <v>0</v>
      </c>
      <c r="G14" s="230">
        <f>[1]CONTROLEVAGASEST!H26</f>
        <v>0</v>
      </c>
      <c r="H14" s="234">
        <f>[1]CONTROLEVAGASEST!I26</f>
        <v>1</v>
      </c>
      <c r="I14" s="230">
        <f>[1]CONTROLEVAGASEST!J26</f>
        <v>0</v>
      </c>
      <c r="J14" s="234">
        <f>[1]CONTROLEVAGASEST!K26</f>
        <v>0</v>
      </c>
      <c r="K14" s="230">
        <f>[1]CONTROLEVAGASEST!L26</f>
        <v>0</v>
      </c>
      <c r="M14" s="502" t="str">
        <f>[1]CONTROLEVAGASEST!N26</f>
        <v>Nível</v>
      </c>
      <c r="N14" s="514" t="str">
        <f>[1]CONTROLEVAGASEST!O26</f>
        <v>Preenchido</v>
      </c>
      <c r="O14" s="228"/>
      <c r="P14" s="228"/>
    </row>
    <row r="15" spans="1:16" x14ac:dyDescent="0.25">
      <c r="A15" s="495" t="str">
        <f>[1]CONTROLEVAGASEST!B27</f>
        <v>Limite de 8%  (nº de vagas válidas)</v>
      </c>
      <c r="B15" s="496">
        <f>ROUNDUP(B14*8%,0)</f>
        <v>77</v>
      </c>
      <c r="D15" s="236" t="str">
        <f>[1]CONTROLEVAGASEST!E27</f>
        <v>SE</v>
      </c>
      <c r="E15" s="233">
        <f>[1]CONTROLEVAGASEST!F27</f>
        <v>4</v>
      </c>
      <c r="F15" s="234">
        <f>[1]CONTROLEVAGASEST!G27</f>
        <v>1</v>
      </c>
      <c r="G15" s="230">
        <f>[1]CONTROLEVAGASEST!H27</f>
        <v>1</v>
      </c>
      <c r="H15" s="234">
        <f>[1]CONTROLEVAGASEST!I27</f>
        <v>3</v>
      </c>
      <c r="I15" s="230">
        <f>[1]CONTROLEVAGASEST!J27</f>
        <v>0</v>
      </c>
      <c r="J15" s="234">
        <f>[1]CONTROLEVAGASEST!K27</f>
        <v>0</v>
      </c>
      <c r="K15" s="230">
        <f>[1]CONTROLEVAGASEST!L27</f>
        <v>0</v>
      </c>
      <c r="M15" s="502"/>
      <c r="N15" s="514"/>
      <c r="O15" s="228"/>
      <c r="P15" s="228"/>
    </row>
    <row r="16" spans="1:16" x14ac:dyDescent="0.25">
      <c r="A16" s="495"/>
      <c r="B16" s="496"/>
      <c r="D16" s="237" t="str">
        <f>[1]CONTROLEVAGASEST!E28</f>
        <v>AEGE</v>
      </c>
      <c r="E16" s="233">
        <f>[1]CONTROLEVAGASEST!F28</f>
        <v>3</v>
      </c>
      <c r="F16" s="234">
        <f>[1]CONTROLEVAGASEST!G28</f>
        <v>0</v>
      </c>
      <c r="G16" s="230">
        <f>[1]CONTROLEVAGASEST!H28</f>
        <v>0</v>
      </c>
      <c r="H16" s="234">
        <f>[1]CONTROLEVAGASEST!I28</f>
        <v>3</v>
      </c>
      <c r="I16" s="230">
        <f>[1]CONTROLEVAGASEST!J28</f>
        <v>3</v>
      </c>
      <c r="J16" s="234">
        <f>[1]CONTROLEVAGASEST!K28</f>
        <v>0</v>
      </c>
      <c r="K16" s="230">
        <f>[1]CONTROLEVAGASEST!L28</f>
        <v>0</v>
      </c>
      <c r="M16" s="240" t="str">
        <f>[1]CONTROLEVAGASEST!N28</f>
        <v>Médio</v>
      </c>
      <c r="N16" s="241">
        <f>[1]CONTROLEVAGASEST!O28</f>
        <v>6</v>
      </c>
      <c r="O16" s="228"/>
      <c r="P16" s="228"/>
    </row>
    <row r="17" spans="2:16" x14ac:dyDescent="0.25">
      <c r="D17" s="237" t="str">
        <f>[1]CONTROLEVAGASEST!E29</f>
        <v>AESA</v>
      </c>
      <c r="E17" s="233">
        <f>[1]CONTROLEVAGASEST!F29</f>
        <v>2</v>
      </c>
      <c r="F17" s="234">
        <f>[1]CONTROLEVAGASEST!G29</f>
        <v>0</v>
      </c>
      <c r="G17" s="230">
        <f>[1]CONTROLEVAGASEST!H29</f>
        <v>0</v>
      </c>
      <c r="H17" s="234">
        <f>[1]CONTROLEVAGASEST!I29</f>
        <v>2</v>
      </c>
      <c r="I17" s="230">
        <f>[1]CONTROLEVAGASEST!J29</f>
        <v>2</v>
      </c>
      <c r="J17" s="234">
        <f>[1]CONTROLEVAGASEST!K29</f>
        <v>0</v>
      </c>
      <c r="K17" s="230">
        <f>[1]CONTROLEVAGASEST!L29</f>
        <v>0</v>
      </c>
      <c r="M17" s="240" t="str">
        <f>[1]CONTROLEVAGASEST!N29</f>
        <v>Superior Graduação</v>
      </c>
      <c r="N17" s="241">
        <f>[1]CONTROLEVAGASEST!O29</f>
        <v>34</v>
      </c>
      <c r="O17" s="228"/>
      <c r="P17" s="228"/>
    </row>
    <row r="18" spans="2:16" x14ac:dyDescent="0.25">
      <c r="D18" s="237" t="str">
        <f>[1]CONTROLEVAGASEST!E30</f>
        <v>AEGP</v>
      </c>
      <c r="E18" s="233">
        <f>[1]CONTROLEVAGASEST!F30</f>
        <v>2</v>
      </c>
      <c r="F18" s="234">
        <f>[1]CONTROLEVAGASEST!G30</f>
        <v>0</v>
      </c>
      <c r="G18" s="230">
        <f>[1]CONTROLEVAGASEST!H30</f>
        <v>0</v>
      </c>
      <c r="H18" s="234">
        <f>[1]CONTROLEVAGASEST!I30</f>
        <v>2</v>
      </c>
      <c r="I18" s="230">
        <f>[1]CONTROLEVAGASEST!J30</f>
        <v>1</v>
      </c>
      <c r="J18" s="234">
        <f>[1]CONTROLEVAGASEST!K30</f>
        <v>0</v>
      </c>
      <c r="K18" s="230">
        <f>[1]CONTROLEVAGASEST!L30</f>
        <v>0</v>
      </c>
      <c r="M18" s="240" t="str">
        <f>[1]CONTROLEVAGASEST!N30</f>
        <v>Superior Pós-Graduação</v>
      </c>
      <c r="N18" s="241">
        <f>[1]CONTROLEVAGASEST!O30</f>
        <v>2</v>
      </c>
      <c r="O18" s="228"/>
      <c r="P18" s="228"/>
    </row>
    <row r="19" spans="2:16" x14ac:dyDescent="0.25">
      <c r="D19" s="237" t="str">
        <f>[1]CONTROLEVAGASEST!E31</f>
        <v>CGRH</v>
      </c>
      <c r="E19" s="233">
        <f>[1]CONTROLEVAGASEST!F31</f>
        <v>1</v>
      </c>
      <c r="F19" s="234">
        <f>[1]CONTROLEVAGASEST!G31</f>
        <v>0</v>
      </c>
      <c r="G19" s="230">
        <f>[1]CONTROLEVAGASEST!H31</f>
        <v>0</v>
      </c>
      <c r="H19" s="234">
        <f>[1]CONTROLEVAGASEST!I31</f>
        <v>0</v>
      </c>
      <c r="I19" s="230">
        <f>[1]CONTROLEVAGASEST!J31</f>
        <v>0</v>
      </c>
      <c r="J19" s="234">
        <f>[1]CONTROLEVAGASEST!K31</f>
        <v>1</v>
      </c>
      <c r="K19" s="230">
        <f>[1]CONTROLEVAGASEST!L31</f>
        <v>1</v>
      </c>
      <c r="M19" s="240" t="str">
        <f>[1]CONTROLEVAGASEST!N31</f>
        <v>Total</v>
      </c>
      <c r="N19" s="244">
        <f>[1]CONTROLEVAGASEST!O31</f>
        <v>42</v>
      </c>
      <c r="O19" s="228"/>
      <c r="P19" s="228"/>
    </row>
    <row r="20" spans="2:16" x14ac:dyDescent="0.25">
      <c r="D20" s="237" t="str">
        <f>[1]CONTROLEVAGASEST!E32</f>
        <v>CGRL</v>
      </c>
      <c r="E20" s="233">
        <f>[1]CONTROLEVAGASEST!F32</f>
        <v>3</v>
      </c>
      <c r="F20" s="234">
        <f>[1]CONTROLEVAGASEST!G32</f>
        <v>2</v>
      </c>
      <c r="G20" s="230">
        <f>[1]CONTROLEVAGASEST!H32</f>
        <v>2</v>
      </c>
      <c r="H20" s="234">
        <f>[1]CONTROLEVAGASEST!I32</f>
        <v>1</v>
      </c>
      <c r="I20" s="230">
        <f>[1]CONTROLEVAGASEST!J32</f>
        <v>0</v>
      </c>
      <c r="J20" s="234">
        <f>[1]CONTROLEVAGASEST!K32</f>
        <v>0</v>
      </c>
      <c r="K20" s="230">
        <f>[1]CONTROLEVAGASEST!L32</f>
        <v>0</v>
      </c>
      <c r="M20" s="515" t="str">
        <f>[1]CONTROLEVAGASEST!N32&amp;"  ("&amp;ROUNDUP(B15,0)&amp;" vagas)"</f>
        <v>% de ocupação considerando o limite de 8%   (77 vagas)</v>
      </c>
      <c r="N20" s="516">
        <f>[1]CONTROLEVAGASEST!O32</f>
        <v>0.55147058823529416</v>
      </c>
      <c r="O20" s="228"/>
      <c r="P20" s="228"/>
    </row>
    <row r="21" spans="2:16" x14ac:dyDescent="0.25">
      <c r="D21" s="237" t="str">
        <f>[1]CONTROLEVAGASEST!E33</f>
        <v>CGTI</v>
      </c>
      <c r="E21" s="233">
        <f>[1]CONTROLEVAGASEST!F33</f>
        <v>1</v>
      </c>
      <c r="F21" s="234">
        <f>[1]CONTROLEVAGASEST!G33</f>
        <v>0</v>
      </c>
      <c r="G21" s="230">
        <f>[1]CONTROLEVAGASEST!H33</f>
        <v>0</v>
      </c>
      <c r="H21" s="234">
        <f>[1]CONTROLEVAGASEST!I33</f>
        <v>1</v>
      </c>
      <c r="I21" s="230">
        <f>[1]CONTROLEVAGASEST!J33</f>
        <v>1</v>
      </c>
      <c r="J21" s="234">
        <f>[1]CONTROLEVAGASEST!K33</f>
        <v>0</v>
      </c>
      <c r="K21" s="230">
        <f>[1]CONTROLEVAGASEST!L33</f>
        <v>0</v>
      </c>
      <c r="M21" s="515"/>
      <c r="N21" s="516"/>
      <c r="O21" s="228"/>
      <c r="P21" s="228"/>
    </row>
    <row r="22" spans="2:16" x14ac:dyDescent="0.25">
      <c r="D22" s="237" t="str">
        <f>[1]CONTROLEVAGASEST!E34</f>
        <v>CGCC</v>
      </c>
      <c r="E22" s="233">
        <f>[1]CONTROLEVAGASEST!F34</f>
        <v>1</v>
      </c>
      <c r="F22" s="234">
        <f>[1]CONTROLEVAGASEST!G34</f>
        <v>0</v>
      </c>
      <c r="G22" s="230">
        <f>[1]CONTROLEVAGASEST!H34</f>
        <v>0</v>
      </c>
      <c r="H22" s="234">
        <f>[1]CONTROLEVAGASEST!I34</f>
        <v>1</v>
      </c>
      <c r="I22" s="230">
        <f>[1]CONTROLEVAGASEST!J34</f>
        <v>0</v>
      </c>
      <c r="J22" s="234">
        <f>[1]CONTROLEVAGASEST!K34</f>
        <v>0</v>
      </c>
      <c r="K22" s="230">
        <f>[1]CONTROLEVAGASEST!L34</f>
        <v>0</v>
      </c>
    </row>
    <row r="23" spans="2:16" x14ac:dyDescent="0.25">
      <c r="D23" s="237" t="str">
        <f>[1]CONTROLEVAGASEST!E35</f>
        <v>SEE</v>
      </c>
      <c r="E23" s="233">
        <f>[1]CONTROLEVAGASEST!F35</f>
        <v>12</v>
      </c>
      <c r="F23" s="234">
        <f>[1]CONTROLEVAGASEST!G35</f>
        <v>0</v>
      </c>
      <c r="G23" s="230">
        <f>[1]CONTROLEVAGASEST!H35</f>
        <v>0</v>
      </c>
      <c r="H23" s="234">
        <f>[1]CONTROLEVAGASEST!I35</f>
        <v>8</v>
      </c>
      <c r="I23" s="230">
        <f>[1]CONTROLEVAGASEST!J35</f>
        <v>5</v>
      </c>
      <c r="J23" s="234">
        <f>[1]CONTROLEVAGASEST!K35</f>
        <v>4</v>
      </c>
      <c r="K23" s="230">
        <f>[1]CONTROLEVAGASEST!L35</f>
        <v>1</v>
      </c>
    </row>
    <row r="24" spans="2:16" x14ac:dyDescent="0.25">
      <c r="D24" s="237" t="str">
        <f>[1]CONTROLEVAGASEST!E36</f>
        <v>SGM</v>
      </c>
      <c r="E24" s="233">
        <f>[1]CONTROLEVAGASEST!F36</f>
        <v>10</v>
      </c>
      <c r="F24" s="234">
        <f>[1]CONTROLEVAGASEST!G36</f>
        <v>0</v>
      </c>
      <c r="G24" s="230">
        <f>[1]CONTROLEVAGASEST!H36</f>
        <v>0</v>
      </c>
      <c r="H24" s="234">
        <f>[1]CONTROLEVAGASEST!I36</f>
        <v>6</v>
      </c>
      <c r="I24" s="230">
        <f>[1]CONTROLEVAGASEST!J36</f>
        <v>2</v>
      </c>
      <c r="J24" s="234">
        <f>[1]CONTROLEVAGASEST!K36</f>
        <v>4</v>
      </c>
      <c r="K24" s="230">
        <f>[1]CONTROLEVAGASEST!L36</f>
        <v>0</v>
      </c>
    </row>
    <row r="25" spans="2:16" x14ac:dyDescent="0.25">
      <c r="D25" s="237" t="str">
        <f>[1]CONTROLEVAGASEST!E37</f>
        <v>SPE</v>
      </c>
      <c r="E25" s="233">
        <f>[1]CONTROLEVAGASEST!F37</f>
        <v>12</v>
      </c>
      <c r="F25" s="234">
        <f>[1]CONTROLEVAGASEST!G37</f>
        <v>2</v>
      </c>
      <c r="G25" s="230">
        <f>[1]CONTROLEVAGASEST!H37</f>
        <v>2</v>
      </c>
      <c r="H25" s="234">
        <f>[1]CONTROLEVAGASEST!I37</f>
        <v>8</v>
      </c>
      <c r="I25" s="230">
        <f>[1]CONTROLEVAGASEST!J37</f>
        <v>7</v>
      </c>
      <c r="J25" s="234">
        <f>[1]CONTROLEVAGASEST!K37</f>
        <v>2</v>
      </c>
      <c r="K25" s="230">
        <f>[1]CONTROLEVAGASEST!L37</f>
        <v>0</v>
      </c>
    </row>
    <row r="26" spans="2:16" x14ac:dyDescent="0.25">
      <c r="D26" s="237" t="str">
        <f>[1]CONTROLEVAGASEST!E38</f>
        <v>SPG</v>
      </c>
      <c r="E26" s="233">
        <f>[1]CONTROLEVAGASEST!F38</f>
        <v>12</v>
      </c>
      <c r="F26" s="234">
        <f>[1]CONTROLEVAGASEST!G38</f>
        <v>1</v>
      </c>
      <c r="G26" s="230">
        <f>[1]CONTROLEVAGASEST!H38</f>
        <v>0</v>
      </c>
      <c r="H26" s="234">
        <f>[1]CONTROLEVAGASEST!I38</f>
        <v>10</v>
      </c>
      <c r="I26" s="230">
        <f>[1]CONTROLEVAGASEST!J38</f>
        <v>2</v>
      </c>
      <c r="J26" s="234">
        <f>[1]CONTROLEVAGASEST!K38</f>
        <v>1</v>
      </c>
      <c r="K26" s="230">
        <f>[1]CONTROLEVAGASEST!L38</f>
        <v>0</v>
      </c>
    </row>
    <row r="27" spans="2:16" x14ac:dyDescent="0.25">
      <c r="D27" s="238" t="str">
        <f>[1]CONTROLEVAGASEST!E39</f>
        <v>Total</v>
      </c>
      <c r="E27" s="242">
        <f>[1]CONTROLEVAGASEST!F39</f>
        <v>80</v>
      </c>
      <c r="F27" s="242">
        <f>[1]CONTROLEVAGASEST!G39</f>
        <v>8</v>
      </c>
      <c r="G27" s="242">
        <f>[1]CONTROLEVAGASEST!H39</f>
        <v>6</v>
      </c>
      <c r="H27" s="242">
        <f>[1]CONTROLEVAGASEST!I39</f>
        <v>60</v>
      </c>
      <c r="I27" s="242">
        <f>[1]CONTROLEVAGASEST!J39</f>
        <v>34</v>
      </c>
      <c r="J27" s="242">
        <f>[1]CONTROLEVAGASEST!K39</f>
        <v>12</v>
      </c>
      <c r="K27" s="242">
        <f>[1]CONTROLEVAGASEST!L39</f>
        <v>2</v>
      </c>
    </row>
    <row r="28" spans="2:16" ht="2.25" customHeight="1" x14ac:dyDescent="0.25"/>
    <row r="29" spans="2:16" x14ac:dyDescent="0.25">
      <c r="D29" s="266" t="s">
        <v>169</v>
      </c>
      <c r="E29" s="267" t="s">
        <v>167</v>
      </c>
      <c r="F29" s="265"/>
      <c r="G29" s="265"/>
      <c r="I29" s="270" t="str">
        <f>80-ROUNDUP(B15,0)&amp;" vagas devem ser suspensas"</f>
        <v>3 vagas devem ser suspensas</v>
      </c>
      <c r="J29" s="269"/>
      <c r="K29" s="269"/>
    </row>
    <row r="30" spans="2:16" x14ac:dyDescent="0.25">
      <c r="E30" s="268" t="s">
        <v>168</v>
      </c>
      <c r="F30" s="264"/>
      <c r="G30" s="264"/>
      <c r="I30" s="270" t="str">
        <f>"por ultrapassar o limite de 8%"</f>
        <v>por ultrapassar o limite de 8%</v>
      </c>
      <c r="J30" s="269"/>
      <c r="K30" s="269"/>
    </row>
    <row r="31" spans="2:16" x14ac:dyDescent="0.25">
      <c r="B31" s="104"/>
    </row>
    <row r="32" spans="2:16" ht="15.75" x14ac:dyDescent="0.25">
      <c r="D32" s="517" t="str">
        <f>'[1]CONTROLE%NEGROS'!B8</f>
        <v>Planilha de Acompanhamento do Decreto nº 9.427, de 28/06/2019</v>
      </c>
      <c r="E32" s="517"/>
      <c r="F32" s="517"/>
      <c r="G32" s="517"/>
      <c r="H32" s="517"/>
      <c r="I32" s="517"/>
      <c r="J32" s="517"/>
    </row>
    <row r="33" spans="2:10" ht="8.25" customHeight="1" x14ac:dyDescent="0.25"/>
    <row r="34" spans="2:10" ht="15.75" x14ac:dyDescent="0.25">
      <c r="D34" s="518" t="str">
        <f>'[1]CONTROLE%NEGROS'!B11</f>
        <v>Nível x Cor/Raça</v>
      </c>
      <c r="E34" s="518"/>
      <c r="F34" s="518"/>
      <c r="G34" s="518"/>
      <c r="H34" s="518"/>
      <c r="I34" s="518"/>
      <c r="J34" s="518"/>
    </row>
    <row r="35" spans="2:10" ht="29.25" customHeight="1" x14ac:dyDescent="0.25">
      <c r="D35" s="245" t="str">
        <f>'[1]CONTROLE%NEGROS'!B12</f>
        <v>NÍVEL</v>
      </c>
      <c r="E35" s="246" t="str">
        <f>'[1]CONTROLE%NEGROS'!C12</f>
        <v>PRETA</v>
      </c>
      <c r="F35" s="256" t="str">
        <f>'[1]CONTROLE%NEGROS'!D12</f>
        <v>PARDA</v>
      </c>
      <c r="G35" s="247" t="str">
        <f>'[1]CONTROLE%NEGROS'!E12</f>
        <v>BRANCA</v>
      </c>
      <c r="H35" s="248" t="str">
        <f>'[1]CONTROLE%NEGROS'!F12</f>
        <v>AMARELA</v>
      </c>
      <c r="I35" s="249" t="str">
        <f>'[1]CONTROLE%NEGROS'!G12</f>
        <v>INDÍGENA</v>
      </c>
      <c r="J35" s="245" t="str">
        <f>'[1]CONTROLE%NEGROS'!H12</f>
        <v>TOTAL</v>
      </c>
    </row>
    <row r="36" spans="2:10" x14ac:dyDescent="0.25">
      <c r="D36" s="250" t="str">
        <f>'[1]CONTROLE%NEGROS'!B14</f>
        <v>Médio</v>
      </c>
      <c r="E36" s="251">
        <f>'[1]CONTROLE%NEGROS'!C14</f>
        <v>0</v>
      </c>
      <c r="F36" s="251">
        <f>'[1]CONTROLE%NEGROS'!D14</f>
        <v>4</v>
      </c>
      <c r="G36" s="251">
        <f>'[1]CONTROLE%NEGROS'!E14</f>
        <v>2</v>
      </c>
      <c r="H36" s="251">
        <f>'[1]CONTROLE%NEGROS'!F14</f>
        <v>0</v>
      </c>
      <c r="I36" s="251">
        <f>'[1]CONTROLE%NEGROS'!G14</f>
        <v>0</v>
      </c>
      <c r="J36" s="252">
        <f>'[1]CONTROLE%NEGROS'!H14</f>
        <v>6</v>
      </c>
    </row>
    <row r="37" spans="2:10" x14ac:dyDescent="0.25">
      <c r="D37" s="250" t="str">
        <f>'[1]CONTROLE%NEGROS'!B15</f>
        <v>Superior Graduação</v>
      </c>
      <c r="E37" s="251">
        <f>'[1]CONTROLE%NEGROS'!C15</f>
        <v>3</v>
      </c>
      <c r="F37" s="251">
        <f>'[1]CONTROLE%NEGROS'!D15</f>
        <v>16</v>
      </c>
      <c r="G37" s="251">
        <f>'[1]CONTROLE%NEGROS'!E15</f>
        <v>15</v>
      </c>
      <c r="H37" s="251">
        <f>'[1]CONTROLE%NEGROS'!F15</f>
        <v>0</v>
      </c>
      <c r="I37" s="251">
        <f>'[1]CONTROLE%NEGROS'!G15</f>
        <v>0</v>
      </c>
      <c r="J37" s="252">
        <f>'[1]CONTROLE%NEGROS'!H15</f>
        <v>34</v>
      </c>
    </row>
    <row r="38" spans="2:10" x14ac:dyDescent="0.25">
      <c r="D38" s="250" t="str">
        <f>'[1]CONTROLE%NEGROS'!B16</f>
        <v>Superior Pós-Graduação</v>
      </c>
      <c r="E38" s="251">
        <f>'[1]CONTROLE%NEGROS'!C16</f>
        <v>0</v>
      </c>
      <c r="F38" s="251">
        <f>'[1]CONTROLE%NEGROS'!D16</f>
        <v>1</v>
      </c>
      <c r="G38" s="251">
        <f>'[1]CONTROLE%NEGROS'!E16</f>
        <v>1</v>
      </c>
      <c r="H38" s="251">
        <f>'[1]CONTROLE%NEGROS'!F16</f>
        <v>0</v>
      </c>
      <c r="I38" s="251">
        <f>'[1]CONTROLE%NEGROS'!G16</f>
        <v>0</v>
      </c>
      <c r="J38" s="252">
        <f>'[1]CONTROLE%NEGROS'!H16</f>
        <v>2</v>
      </c>
    </row>
    <row r="39" spans="2:10" x14ac:dyDescent="0.25">
      <c r="D39" s="245" t="str">
        <f>'[1]CONTROLE%NEGROS'!B17</f>
        <v>Total</v>
      </c>
      <c r="E39" s="253">
        <f>'[1]CONTROLE%NEGROS'!C17</f>
        <v>3</v>
      </c>
      <c r="F39" s="253">
        <f>'[1]CONTROLE%NEGROS'!D17</f>
        <v>21</v>
      </c>
      <c r="G39" s="253">
        <f>'[1]CONTROLE%NEGROS'!E17</f>
        <v>18</v>
      </c>
      <c r="H39" s="253">
        <f>'[1]CONTROLE%NEGROS'!F17</f>
        <v>0</v>
      </c>
      <c r="I39" s="253">
        <f>'[1]CONTROLE%NEGROS'!G17</f>
        <v>0</v>
      </c>
      <c r="J39" s="253">
        <f>'[1]CONTROLE%NEGROS'!H17</f>
        <v>42</v>
      </c>
    </row>
    <row r="40" spans="2:10" x14ac:dyDescent="0.25">
      <c r="D40" s="245" t="str">
        <f>'[1]CONTROLE%NEGROS'!B18</f>
        <v>Total em %</v>
      </c>
      <c r="E40" s="254">
        <f>'[1]CONTROLE%NEGROS'!C18</f>
        <v>7.1428571428571425E-2</v>
      </c>
      <c r="F40" s="254">
        <f>'[1]CONTROLE%NEGROS'!D18</f>
        <v>0.5</v>
      </c>
      <c r="G40" s="254">
        <f>'[1]CONTROLE%NEGROS'!E18</f>
        <v>0.42857142857142855</v>
      </c>
      <c r="H40" s="254" t="str">
        <f>'[1]CONTROLE%NEGROS'!F18</f>
        <v>***</v>
      </c>
      <c r="I40" s="254" t="str">
        <f>'[1]CONTROLE%NEGROS'!G18</f>
        <v>***</v>
      </c>
      <c r="J40" s="254">
        <f>'[1]CONTROLE%NEGROS'!H18</f>
        <v>1</v>
      </c>
    </row>
    <row r="41" spans="2:10" ht="6" customHeight="1" x14ac:dyDescent="0.25">
      <c r="B41" s="104"/>
      <c r="J41" s="255">
        <f>E40+F40</f>
        <v>0.5714285714285714</v>
      </c>
    </row>
    <row r="42" spans="2:10" ht="15" customHeight="1" x14ac:dyDescent="0.25">
      <c r="B42" s="104"/>
      <c r="D42" s="505" t="s">
        <v>163</v>
      </c>
      <c r="E42" s="506"/>
      <c r="F42" s="506"/>
      <c r="G42" s="506"/>
      <c r="H42" s="506"/>
      <c r="I42" s="506"/>
      <c r="J42" s="507"/>
    </row>
    <row r="43" spans="2:10" x14ac:dyDescent="0.25">
      <c r="B43" s="104"/>
      <c r="D43" s="508"/>
      <c r="E43" s="509"/>
      <c r="F43" s="509"/>
      <c r="G43" s="509"/>
      <c r="H43" s="509"/>
      <c r="I43" s="509"/>
      <c r="J43" s="510"/>
    </row>
    <row r="44" spans="2:10" x14ac:dyDescent="0.25">
      <c r="D44" s="511"/>
      <c r="E44" s="512"/>
      <c r="F44" s="512"/>
      <c r="G44" s="512"/>
      <c r="H44" s="512"/>
      <c r="I44" s="512"/>
      <c r="J44" s="513"/>
    </row>
    <row r="45" spans="2:10" x14ac:dyDescent="0.25"/>
    <row r="46" spans="2:10" x14ac:dyDescent="0.25"/>
  </sheetData>
  <mergeCells count="23">
    <mergeCell ref="D42:J44"/>
    <mergeCell ref="M14:M15"/>
    <mergeCell ref="N14:N15"/>
    <mergeCell ref="M20:M21"/>
    <mergeCell ref="N20:N21"/>
    <mergeCell ref="D32:J32"/>
    <mergeCell ref="D34:J34"/>
    <mergeCell ref="M4:P4"/>
    <mergeCell ref="M5:M6"/>
    <mergeCell ref="N5:P5"/>
    <mergeCell ref="M10:M12"/>
    <mergeCell ref="N10:N11"/>
    <mergeCell ref="O10:O11"/>
    <mergeCell ref="P10:P11"/>
    <mergeCell ref="A4:B4"/>
    <mergeCell ref="A15:A16"/>
    <mergeCell ref="B15:B16"/>
    <mergeCell ref="D4:K4"/>
    <mergeCell ref="E5:E6"/>
    <mergeCell ref="F5:G5"/>
    <mergeCell ref="H5:I5"/>
    <mergeCell ref="J5:K5"/>
    <mergeCell ref="D5:D6"/>
  </mergeCells>
  <conditionalFormatting sqref="G7">
    <cfRule type="cellIs" dxfId="909" priority="163" operator="equal">
      <formula>$F7</formula>
    </cfRule>
    <cfRule type="cellIs" dxfId="908" priority="165" operator="greaterThan">
      <formula>$F7</formula>
    </cfRule>
  </conditionalFormatting>
  <conditionalFormatting sqref="G8">
    <cfRule type="cellIs" dxfId="907" priority="161" operator="equal">
      <formula>$F8</formula>
    </cfRule>
    <cfRule type="cellIs" dxfId="906" priority="162" operator="greaterThan">
      <formula>$F8</formula>
    </cfRule>
  </conditionalFormatting>
  <conditionalFormatting sqref="G9">
    <cfRule type="cellIs" dxfId="905" priority="159" operator="equal">
      <formula>$F9</formula>
    </cfRule>
    <cfRule type="cellIs" dxfId="904" priority="160" operator="greaterThan">
      <formula>$F9</formula>
    </cfRule>
  </conditionalFormatting>
  <conditionalFormatting sqref="G10">
    <cfRule type="cellIs" dxfId="903" priority="157" operator="equal">
      <formula>$F10</formula>
    </cfRule>
    <cfRule type="cellIs" dxfId="902" priority="158" operator="greaterThan">
      <formula>$F10</formula>
    </cfRule>
  </conditionalFormatting>
  <conditionalFormatting sqref="G11">
    <cfRule type="cellIs" dxfId="901" priority="155" operator="equal">
      <formula>$F11</formula>
    </cfRule>
    <cfRule type="cellIs" dxfId="900" priority="156" operator="greaterThan">
      <formula>$F11</formula>
    </cfRule>
  </conditionalFormatting>
  <conditionalFormatting sqref="G12">
    <cfRule type="cellIs" dxfId="899" priority="153" operator="equal">
      <formula>$F12</formula>
    </cfRule>
    <cfRule type="cellIs" dxfId="898" priority="154" operator="greaterThan">
      <formula>$F12</formula>
    </cfRule>
  </conditionalFormatting>
  <conditionalFormatting sqref="G13">
    <cfRule type="cellIs" dxfId="897" priority="151" operator="equal">
      <formula>$F13</formula>
    </cfRule>
    <cfRule type="cellIs" dxfId="896" priority="152" operator="greaterThan">
      <formula>$F13</formula>
    </cfRule>
  </conditionalFormatting>
  <conditionalFormatting sqref="G14">
    <cfRule type="cellIs" dxfId="895" priority="149" operator="equal">
      <formula>$F14</formula>
    </cfRule>
    <cfRule type="cellIs" dxfId="894" priority="150" operator="greaterThan">
      <formula>$F14</formula>
    </cfRule>
  </conditionalFormatting>
  <conditionalFormatting sqref="G15">
    <cfRule type="cellIs" dxfId="893" priority="147" operator="equal">
      <formula>$F15</formula>
    </cfRule>
    <cfRule type="cellIs" dxfId="892" priority="148" operator="greaterThan">
      <formula>$F15</formula>
    </cfRule>
  </conditionalFormatting>
  <conditionalFormatting sqref="G16">
    <cfRule type="cellIs" dxfId="891" priority="145" operator="equal">
      <formula>$F16</formula>
    </cfRule>
    <cfRule type="cellIs" dxfId="890" priority="146" operator="greaterThan">
      <formula>$F16</formula>
    </cfRule>
  </conditionalFormatting>
  <conditionalFormatting sqref="G17">
    <cfRule type="cellIs" dxfId="889" priority="143" operator="equal">
      <formula>$F17</formula>
    </cfRule>
    <cfRule type="cellIs" dxfId="888" priority="144" operator="greaterThan">
      <formula>$F17</formula>
    </cfRule>
  </conditionalFormatting>
  <conditionalFormatting sqref="G18">
    <cfRule type="cellIs" dxfId="887" priority="141" operator="equal">
      <formula>$F18</formula>
    </cfRule>
    <cfRule type="cellIs" dxfId="886" priority="142" operator="greaterThan">
      <formula>$F18</formula>
    </cfRule>
  </conditionalFormatting>
  <conditionalFormatting sqref="G19">
    <cfRule type="cellIs" dxfId="885" priority="139" operator="equal">
      <formula>$F19</formula>
    </cfRule>
    <cfRule type="cellIs" dxfId="884" priority="140" operator="greaterThan">
      <formula>$F19</formula>
    </cfRule>
  </conditionalFormatting>
  <conditionalFormatting sqref="G20">
    <cfRule type="cellIs" dxfId="883" priority="137" operator="equal">
      <formula>$F20</formula>
    </cfRule>
    <cfRule type="cellIs" dxfId="882" priority="138" operator="greaterThan">
      <formula>$F20</formula>
    </cfRule>
  </conditionalFormatting>
  <conditionalFormatting sqref="G21">
    <cfRule type="cellIs" dxfId="881" priority="135" operator="equal">
      <formula>$F21</formula>
    </cfRule>
    <cfRule type="cellIs" dxfId="880" priority="136" operator="greaterThan">
      <formula>$F21</formula>
    </cfRule>
  </conditionalFormatting>
  <conditionalFormatting sqref="G22">
    <cfRule type="cellIs" dxfId="879" priority="133" operator="equal">
      <formula>$F22</formula>
    </cfRule>
    <cfRule type="cellIs" dxfId="878" priority="134" operator="greaterThan">
      <formula>$F22</formula>
    </cfRule>
  </conditionalFormatting>
  <conditionalFormatting sqref="G23">
    <cfRule type="cellIs" dxfId="877" priority="131" operator="equal">
      <formula>$F23</formula>
    </cfRule>
    <cfRule type="cellIs" dxfId="876" priority="132" operator="greaterThan">
      <formula>$F23</formula>
    </cfRule>
  </conditionalFormatting>
  <conditionalFormatting sqref="G24">
    <cfRule type="cellIs" dxfId="875" priority="129" operator="equal">
      <formula>$F24</formula>
    </cfRule>
    <cfRule type="cellIs" dxfId="874" priority="130" operator="greaterThan">
      <formula>$F24</formula>
    </cfRule>
  </conditionalFormatting>
  <conditionalFormatting sqref="G25">
    <cfRule type="cellIs" dxfId="873" priority="127" operator="equal">
      <formula>$F25</formula>
    </cfRule>
    <cfRule type="cellIs" dxfId="872" priority="128" operator="greaterThan">
      <formula>$F25</formula>
    </cfRule>
  </conditionalFormatting>
  <conditionalFormatting sqref="G26">
    <cfRule type="cellIs" dxfId="871" priority="125" operator="equal">
      <formula>$F26</formula>
    </cfRule>
    <cfRule type="cellIs" dxfId="870" priority="126" operator="greaterThan">
      <formula>$F26</formula>
    </cfRule>
  </conditionalFormatting>
  <conditionalFormatting sqref="I7">
    <cfRule type="cellIs" dxfId="869" priority="123" operator="equal">
      <formula>$H7</formula>
    </cfRule>
    <cfRule type="cellIs" dxfId="868" priority="124" operator="greaterThan">
      <formula>$H7</formula>
    </cfRule>
  </conditionalFormatting>
  <conditionalFormatting sqref="I8">
    <cfRule type="cellIs" dxfId="867" priority="121" operator="equal">
      <formula>$H8</formula>
    </cfRule>
    <cfRule type="cellIs" dxfId="866" priority="122" operator="greaterThan">
      <formula>$H8</formula>
    </cfRule>
  </conditionalFormatting>
  <conditionalFormatting sqref="I9">
    <cfRule type="cellIs" dxfId="865" priority="119" operator="equal">
      <formula>$H9</formula>
    </cfRule>
    <cfRule type="cellIs" dxfId="864" priority="120" operator="greaterThan">
      <formula>$H9</formula>
    </cfRule>
  </conditionalFormatting>
  <conditionalFormatting sqref="I10">
    <cfRule type="cellIs" dxfId="863" priority="117" operator="equal">
      <formula>$H10</formula>
    </cfRule>
    <cfRule type="cellIs" dxfId="862" priority="118" operator="greaterThan">
      <formula>$H10</formula>
    </cfRule>
  </conditionalFormatting>
  <conditionalFormatting sqref="I11">
    <cfRule type="cellIs" dxfId="861" priority="115" operator="equal">
      <formula>$H11</formula>
    </cfRule>
    <cfRule type="cellIs" dxfId="860" priority="116" operator="greaterThan">
      <formula>$H11</formula>
    </cfRule>
  </conditionalFormatting>
  <conditionalFormatting sqref="I12">
    <cfRule type="cellIs" dxfId="859" priority="113" operator="equal">
      <formula>$H12</formula>
    </cfRule>
    <cfRule type="cellIs" dxfId="858" priority="114" operator="greaterThan">
      <formula>$H12</formula>
    </cfRule>
  </conditionalFormatting>
  <conditionalFormatting sqref="I13">
    <cfRule type="cellIs" dxfId="857" priority="111" operator="equal">
      <formula>$H13</formula>
    </cfRule>
    <cfRule type="cellIs" dxfId="856" priority="112" operator="greaterThan">
      <formula>$H13</formula>
    </cfRule>
  </conditionalFormatting>
  <conditionalFormatting sqref="I14">
    <cfRule type="cellIs" dxfId="855" priority="109" operator="equal">
      <formula>$H14</formula>
    </cfRule>
    <cfRule type="cellIs" dxfId="854" priority="110" operator="greaterThan">
      <formula>$H14</formula>
    </cfRule>
  </conditionalFormatting>
  <conditionalFormatting sqref="I15">
    <cfRule type="cellIs" dxfId="853" priority="107" operator="equal">
      <formula>$H15</formula>
    </cfRule>
    <cfRule type="cellIs" dxfId="852" priority="108" operator="greaterThan">
      <formula>$H15</formula>
    </cfRule>
  </conditionalFormatting>
  <conditionalFormatting sqref="I16">
    <cfRule type="cellIs" dxfId="851" priority="105" operator="equal">
      <formula>$H16</formula>
    </cfRule>
    <cfRule type="cellIs" dxfId="850" priority="106" operator="greaterThan">
      <formula>$H16</formula>
    </cfRule>
  </conditionalFormatting>
  <conditionalFormatting sqref="I17">
    <cfRule type="cellIs" dxfId="849" priority="103" operator="equal">
      <formula>$H17</formula>
    </cfRule>
    <cfRule type="cellIs" dxfId="848" priority="104" operator="greaterThan">
      <formula>$H17</formula>
    </cfRule>
  </conditionalFormatting>
  <conditionalFormatting sqref="I18">
    <cfRule type="cellIs" dxfId="847" priority="101" operator="equal">
      <formula>$H18</formula>
    </cfRule>
    <cfRule type="cellIs" dxfId="846" priority="102" operator="greaterThan">
      <formula>$H18</formula>
    </cfRule>
  </conditionalFormatting>
  <conditionalFormatting sqref="I19">
    <cfRule type="cellIs" dxfId="845" priority="99" operator="equal">
      <formula>$H19</formula>
    </cfRule>
    <cfRule type="cellIs" dxfId="844" priority="100" operator="greaterThan">
      <formula>$H19</formula>
    </cfRule>
  </conditionalFormatting>
  <conditionalFormatting sqref="I20">
    <cfRule type="cellIs" dxfId="843" priority="97" operator="equal">
      <formula>$H20</formula>
    </cfRule>
    <cfRule type="cellIs" dxfId="842" priority="98" operator="greaterThan">
      <formula>$H20</formula>
    </cfRule>
  </conditionalFormatting>
  <conditionalFormatting sqref="I21">
    <cfRule type="cellIs" dxfId="841" priority="95" operator="equal">
      <formula>$H21</formula>
    </cfRule>
    <cfRule type="cellIs" dxfId="840" priority="96" operator="greaterThan">
      <formula>$H21</formula>
    </cfRule>
  </conditionalFormatting>
  <conditionalFormatting sqref="I22">
    <cfRule type="cellIs" dxfId="839" priority="93" operator="equal">
      <formula>$H22</formula>
    </cfRule>
    <cfRule type="cellIs" dxfId="838" priority="94" operator="greaterThan">
      <formula>$H22</formula>
    </cfRule>
  </conditionalFormatting>
  <conditionalFormatting sqref="I23">
    <cfRule type="cellIs" dxfId="837" priority="91" operator="equal">
      <formula>$H23</formula>
    </cfRule>
    <cfRule type="cellIs" dxfId="836" priority="92" operator="greaterThan">
      <formula>$H23</formula>
    </cfRule>
  </conditionalFormatting>
  <conditionalFormatting sqref="I24">
    <cfRule type="cellIs" dxfId="835" priority="89" operator="equal">
      <formula>$H24</formula>
    </cfRule>
    <cfRule type="cellIs" dxfId="834" priority="90" operator="greaterThan">
      <formula>$H24</formula>
    </cfRule>
  </conditionalFormatting>
  <conditionalFormatting sqref="I25">
    <cfRule type="cellIs" dxfId="833" priority="87" operator="equal">
      <formula>$H25</formula>
    </cfRule>
    <cfRule type="cellIs" dxfId="832" priority="88" operator="greaterThan">
      <formula>$H25</formula>
    </cfRule>
  </conditionalFormatting>
  <conditionalFormatting sqref="I26">
    <cfRule type="cellIs" dxfId="831" priority="85" operator="equal">
      <formula>$H26</formula>
    </cfRule>
    <cfRule type="cellIs" dxfId="830" priority="86" operator="greaterThan">
      <formula>$H26</formula>
    </cfRule>
  </conditionalFormatting>
  <conditionalFormatting sqref="K7">
    <cfRule type="cellIs" dxfId="829" priority="43" operator="equal">
      <formula>$J7</formula>
    </cfRule>
    <cfRule type="cellIs" dxfId="828" priority="44" operator="greaterThan">
      <formula>$J7</formula>
    </cfRule>
  </conditionalFormatting>
  <conditionalFormatting sqref="K8">
    <cfRule type="cellIs" dxfId="827" priority="41" operator="equal">
      <formula>$J8</formula>
    </cfRule>
    <cfRule type="cellIs" dxfId="826" priority="42" operator="greaterThan">
      <formula>$J8</formula>
    </cfRule>
  </conditionalFormatting>
  <conditionalFormatting sqref="K9">
    <cfRule type="cellIs" dxfId="825" priority="39" operator="equal">
      <formula>$J9</formula>
    </cfRule>
    <cfRule type="cellIs" dxfId="824" priority="40" operator="greaterThan">
      <formula>$J9</formula>
    </cfRule>
  </conditionalFormatting>
  <conditionalFormatting sqref="K10">
    <cfRule type="cellIs" dxfId="823" priority="37" operator="equal">
      <formula>$J10</formula>
    </cfRule>
    <cfRule type="cellIs" dxfId="822" priority="38" operator="greaterThan">
      <formula>$J10</formula>
    </cfRule>
  </conditionalFormatting>
  <conditionalFormatting sqref="K11">
    <cfRule type="cellIs" dxfId="821" priority="35" operator="equal">
      <formula>$J11</formula>
    </cfRule>
    <cfRule type="cellIs" dxfId="820" priority="36" operator="greaterThan">
      <formula>$J11</formula>
    </cfRule>
  </conditionalFormatting>
  <conditionalFormatting sqref="K12">
    <cfRule type="cellIs" dxfId="819" priority="33" operator="equal">
      <formula>$J12</formula>
    </cfRule>
    <cfRule type="cellIs" dxfId="818" priority="34" operator="greaterThan">
      <formula>$J12</formula>
    </cfRule>
  </conditionalFormatting>
  <conditionalFormatting sqref="K13">
    <cfRule type="cellIs" dxfId="817" priority="31" operator="equal">
      <formula>$J13</formula>
    </cfRule>
    <cfRule type="cellIs" dxfId="816" priority="32" operator="greaterThan">
      <formula>$J13</formula>
    </cfRule>
  </conditionalFormatting>
  <conditionalFormatting sqref="K14">
    <cfRule type="cellIs" dxfId="815" priority="29" operator="equal">
      <formula>$J14</formula>
    </cfRule>
    <cfRule type="cellIs" dxfId="814" priority="30" operator="greaterThan">
      <formula>$J14</formula>
    </cfRule>
  </conditionalFormatting>
  <conditionalFormatting sqref="K15">
    <cfRule type="cellIs" dxfId="813" priority="27" operator="equal">
      <formula>$J15</formula>
    </cfRule>
    <cfRule type="cellIs" dxfId="812" priority="28" operator="greaterThan">
      <formula>$J15</formula>
    </cfRule>
  </conditionalFormatting>
  <conditionalFormatting sqref="K16">
    <cfRule type="cellIs" dxfId="811" priority="25" operator="equal">
      <formula>$J16</formula>
    </cfRule>
    <cfRule type="cellIs" dxfId="810" priority="26" operator="greaterThan">
      <formula>$J16</formula>
    </cfRule>
  </conditionalFormatting>
  <conditionalFormatting sqref="K17">
    <cfRule type="cellIs" dxfId="809" priority="23" operator="equal">
      <formula>$J17</formula>
    </cfRule>
    <cfRule type="cellIs" dxfId="808" priority="24" operator="greaterThan">
      <formula>$J17</formula>
    </cfRule>
  </conditionalFormatting>
  <conditionalFormatting sqref="K18">
    <cfRule type="cellIs" dxfId="807" priority="21" operator="equal">
      <formula>$J18</formula>
    </cfRule>
    <cfRule type="cellIs" dxfId="806" priority="22" operator="greaterThan">
      <formula>$J18</formula>
    </cfRule>
  </conditionalFormatting>
  <conditionalFormatting sqref="K19">
    <cfRule type="cellIs" dxfId="805" priority="19" operator="equal">
      <formula>$J19</formula>
    </cfRule>
    <cfRule type="cellIs" dxfId="804" priority="20" operator="greaterThan">
      <formula>$J19</formula>
    </cfRule>
  </conditionalFormatting>
  <conditionalFormatting sqref="K20">
    <cfRule type="cellIs" dxfId="803" priority="17" operator="equal">
      <formula>$J20</formula>
    </cfRule>
    <cfRule type="cellIs" dxfId="802" priority="18" operator="greaterThan">
      <formula>$J20</formula>
    </cfRule>
  </conditionalFormatting>
  <conditionalFormatting sqref="K21">
    <cfRule type="cellIs" dxfId="801" priority="15" operator="equal">
      <formula>$J21</formula>
    </cfRule>
    <cfRule type="cellIs" dxfId="800" priority="16" operator="greaterThan">
      <formula>$J21</formula>
    </cfRule>
  </conditionalFormatting>
  <conditionalFormatting sqref="K22">
    <cfRule type="cellIs" dxfId="799" priority="13" operator="equal">
      <formula>$J22</formula>
    </cfRule>
    <cfRule type="cellIs" dxfId="798" priority="14" operator="greaterThan">
      <formula>$J22</formula>
    </cfRule>
  </conditionalFormatting>
  <conditionalFormatting sqref="K25">
    <cfRule type="cellIs" dxfId="797" priority="3" operator="equal">
      <formula>$J25</formula>
    </cfRule>
    <cfRule type="cellIs" dxfId="796" priority="4" operator="greaterThan">
      <formula>$J25</formula>
    </cfRule>
  </conditionalFormatting>
  <conditionalFormatting sqref="K23">
    <cfRule type="cellIs" dxfId="795" priority="7" operator="equal">
      <formula>$J23</formula>
    </cfRule>
    <cfRule type="cellIs" dxfId="794" priority="8" operator="greaterThan">
      <formula>$J23</formula>
    </cfRule>
  </conditionalFormatting>
  <conditionalFormatting sqref="K24">
    <cfRule type="cellIs" dxfId="793" priority="5" operator="equal">
      <formula>$J24</formula>
    </cfRule>
    <cfRule type="cellIs" dxfId="792" priority="6" operator="greaterThan">
      <formula>$J24</formula>
    </cfRule>
  </conditionalFormatting>
  <conditionalFormatting sqref="K26">
    <cfRule type="cellIs" dxfId="791" priority="1" operator="equal">
      <formula>$J26</formula>
    </cfRule>
    <cfRule type="cellIs" dxfId="790" priority="2" operator="greaterThan">
      <formula>$J26</formula>
    </cfRule>
  </conditionalFormatting>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AC48"/>
  <sheetViews>
    <sheetView showGridLines="0" zoomScaleNormal="100" workbookViewId="0">
      <selection activeCell="K2" sqref="K2"/>
    </sheetView>
  </sheetViews>
  <sheetFormatPr defaultColWidth="0" defaultRowHeight="15" x14ac:dyDescent="0.25"/>
  <cols>
    <col min="1" max="29" width="9.140625" customWidth="1"/>
    <col min="30" max="16384" width="9.140625" hidden="1"/>
  </cols>
  <sheetData>
    <row r="1" spans="13:14" s="1" customFormat="1" x14ac:dyDescent="0.25"/>
    <row r="2" spans="13:14" s="1" customFormat="1" x14ac:dyDescent="0.25"/>
    <row r="3" spans="13:14" s="1" customFormat="1" x14ac:dyDescent="0.25"/>
    <row r="4" spans="13:14" s="1" customFormat="1" x14ac:dyDescent="0.25"/>
    <row r="5" spans="13:14" s="1" customFormat="1" x14ac:dyDescent="0.25"/>
    <row r="6" spans="13:14" s="1" customFormat="1" x14ac:dyDescent="0.25"/>
    <row r="7" spans="13:14" s="1" customFormat="1" x14ac:dyDescent="0.25"/>
    <row r="8" spans="13:14" s="1" customFormat="1" x14ac:dyDescent="0.25"/>
    <row r="9" spans="13:14" s="1" customFormat="1" x14ac:dyDescent="0.25"/>
    <row r="10" spans="13:14" s="1" customFormat="1" x14ac:dyDescent="0.25"/>
    <row r="11" spans="13:14" s="1" customFormat="1" x14ac:dyDescent="0.25"/>
    <row r="12" spans="13:14" s="1" customFormat="1" x14ac:dyDescent="0.25">
      <c r="M12" s="455" t="s">
        <v>5</v>
      </c>
      <c r="N12" s="455"/>
    </row>
    <row r="13" spans="13:14" s="1" customFormat="1" x14ac:dyDescent="0.25">
      <c r="M13" s="455"/>
      <c r="N13" s="455"/>
    </row>
    <row r="14" spans="13:14" s="1" customFormat="1" x14ac:dyDescent="0.25">
      <c r="M14" s="455"/>
      <c r="N14" s="455"/>
    </row>
    <row r="15" spans="13:14" s="1" customFormat="1" x14ac:dyDescent="0.25">
      <c r="M15" s="455"/>
      <c r="N15" s="455"/>
    </row>
    <row r="16" spans="13:14" s="1" customFormat="1" x14ac:dyDescent="0.25">
      <c r="M16" s="455"/>
      <c r="N16" s="455"/>
    </row>
    <row r="17" spans="10:18" s="1" customFormat="1" x14ac:dyDescent="0.25"/>
    <row r="18" spans="10:18" s="1" customFormat="1" x14ac:dyDescent="0.25"/>
    <row r="19" spans="10:18" s="1" customFormat="1" x14ac:dyDescent="0.25"/>
    <row r="20" spans="10:18" s="1" customFormat="1" x14ac:dyDescent="0.25"/>
    <row r="21" spans="10:18" s="1" customFormat="1" x14ac:dyDescent="0.25"/>
    <row r="22" spans="10:18" s="1" customFormat="1" x14ac:dyDescent="0.25"/>
    <row r="23" spans="10:18" s="1" customFormat="1" x14ac:dyDescent="0.25"/>
    <row r="24" spans="10:18" s="1" customFormat="1" x14ac:dyDescent="0.25"/>
    <row r="25" spans="10:18" s="1" customFormat="1" x14ac:dyDescent="0.25"/>
    <row r="26" spans="10:18" s="1" customFormat="1" x14ac:dyDescent="0.25"/>
    <row r="27" spans="10:18" s="1" customFormat="1" x14ac:dyDescent="0.25"/>
    <row r="28" spans="10:18" s="1" customFormat="1" x14ac:dyDescent="0.25"/>
    <row r="29" spans="10:18" s="1" customFormat="1" ht="3" customHeight="1" x14ac:dyDescent="0.25"/>
    <row r="30" spans="10:18" s="1" customFormat="1" x14ac:dyDescent="0.25">
      <c r="J30" s="453"/>
      <c r="K30" s="453"/>
      <c r="L30" s="453"/>
      <c r="M30" s="453"/>
      <c r="N30" s="453"/>
      <c r="O30" s="454"/>
      <c r="P30" s="454"/>
      <c r="Q30" s="454"/>
      <c r="R30" s="3"/>
    </row>
    <row r="31" spans="10:18" s="1" customFormat="1" x14ac:dyDescent="0.25">
      <c r="J31" s="453"/>
      <c r="K31" s="453"/>
      <c r="L31" s="453"/>
      <c r="M31" s="453"/>
      <c r="N31" s="453"/>
      <c r="O31" s="454"/>
      <c r="P31" s="454"/>
      <c r="Q31" s="454"/>
      <c r="R31" s="3"/>
    </row>
    <row r="32" spans="10:18" s="1" customFormat="1" ht="4.5" customHeight="1" x14ac:dyDescent="0.25">
      <c r="J32" s="3"/>
      <c r="K32" s="3"/>
      <c r="L32" s="3"/>
      <c r="M32" s="3"/>
      <c r="N32" s="3"/>
      <c r="O32" s="3"/>
      <c r="P32" s="3"/>
      <c r="Q32" s="3"/>
      <c r="R32" s="3"/>
    </row>
    <row r="33" spans="10:18" s="1" customFormat="1" x14ac:dyDescent="0.25">
      <c r="J33" s="3"/>
      <c r="K33" s="3"/>
      <c r="L33" s="4"/>
      <c r="M33" s="3"/>
      <c r="N33" s="3"/>
      <c r="O33" s="3"/>
      <c r="P33" s="3"/>
      <c r="Q33" s="3"/>
      <c r="R33" s="3"/>
    </row>
    <row r="34" spans="10:18" s="1" customFormat="1" ht="5.25" customHeight="1" x14ac:dyDescent="0.25">
      <c r="J34" s="3"/>
      <c r="K34" s="3"/>
      <c r="L34" s="3"/>
      <c r="M34" s="3"/>
      <c r="N34" s="3"/>
      <c r="O34" s="3"/>
      <c r="P34" s="3"/>
      <c r="Q34" s="3"/>
      <c r="R34" s="3"/>
    </row>
    <row r="35" spans="10:18" s="1" customFormat="1" x14ac:dyDescent="0.25">
      <c r="J35" s="453"/>
      <c r="K35" s="453"/>
      <c r="L35" s="453"/>
      <c r="M35" s="453"/>
      <c r="N35" s="453"/>
      <c r="O35" s="454"/>
      <c r="P35" s="454"/>
      <c r="Q35" s="454"/>
      <c r="R35" s="3"/>
    </row>
    <row r="36" spans="10:18" s="1" customFormat="1" x14ac:dyDescent="0.25">
      <c r="J36" s="453"/>
      <c r="K36" s="453"/>
      <c r="L36" s="453"/>
      <c r="M36" s="453"/>
      <c r="N36" s="453"/>
      <c r="O36" s="454"/>
      <c r="P36" s="454"/>
      <c r="Q36" s="454"/>
      <c r="R36" s="3"/>
    </row>
    <row r="37" spans="10:18" s="1" customFormat="1" ht="5.25" customHeight="1" x14ac:dyDescent="0.25">
      <c r="J37" s="3"/>
      <c r="K37" s="3"/>
      <c r="L37" s="3"/>
      <c r="M37" s="3"/>
      <c r="N37" s="3"/>
      <c r="O37" s="3"/>
      <c r="P37" s="3"/>
      <c r="Q37" s="3"/>
      <c r="R37" s="3"/>
    </row>
    <row r="38" spans="10:18" s="1" customFormat="1" ht="15.75" customHeight="1" x14ac:dyDescent="0.25">
      <c r="J38" s="3"/>
      <c r="K38" s="3"/>
      <c r="L38" s="4"/>
      <c r="M38" s="3"/>
      <c r="N38" s="3"/>
      <c r="O38" s="3"/>
      <c r="P38" s="3"/>
      <c r="Q38" s="3"/>
      <c r="R38" s="3"/>
    </row>
    <row r="39" spans="10:18" s="1" customFormat="1" ht="5.25" customHeight="1" x14ac:dyDescent="0.25">
      <c r="J39" s="3"/>
      <c r="K39" s="3"/>
      <c r="L39" s="3"/>
      <c r="M39" s="3"/>
      <c r="N39" s="3"/>
      <c r="O39" s="3"/>
      <c r="P39" s="3"/>
      <c r="Q39" s="3"/>
      <c r="R39" s="3"/>
    </row>
    <row r="40" spans="10:18" s="1" customFormat="1" ht="15" customHeight="1" x14ac:dyDescent="0.25">
      <c r="J40" s="456"/>
      <c r="K40" s="456"/>
      <c r="L40" s="456"/>
      <c r="M40" s="456"/>
      <c r="N40" s="456"/>
      <c r="O40" s="456"/>
      <c r="P40" s="456"/>
      <c r="Q40" s="456"/>
      <c r="R40" s="3"/>
    </row>
    <row r="41" spans="10:18" s="1" customFormat="1" x14ac:dyDescent="0.25">
      <c r="J41" s="456"/>
      <c r="K41" s="456"/>
      <c r="L41" s="456"/>
      <c r="M41" s="456"/>
      <c r="N41" s="456"/>
      <c r="O41" s="456"/>
      <c r="P41" s="456"/>
      <c r="Q41" s="456"/>
      <c r="R41" s="3"/>
    </row>
    <row r="42" spans="10:18" s="1" customFormat="1" x14ac:dyDescent="0.25">
      <c r="J42" s="3"/>
      <c r="K42" s="3"/>
      <c r="L42" s="3"/>
      <c r="M42" s="3"/>
      <c r="N42" s="3"/>
      <c r="O42" s="3"/>
      <c r="P42" s="3"/>
      <c r="Q42" s="3"/>
      <c r="R42" s="3"/>
    </row>
    <row r="43" spans="10:18" s="1" customFormat="1" x14ac:dyDescent="0.25">
      <c r="J43" s="3"/>
      <c r="K43" s="3"/>
      <c r="L43" s="3"/>
      <c r="M43" s="3"/>
      <c r="N43" s="3"/>
      <c r="O43" s="3"/>
      <c r="P43" s="3"/>
      <c r="Q43" s="3"/>
      <c r="R43" s="3"/>
    </row>
    <row r="44" spans="10:18" s="1" customFormat="1" x14ac:dyDescent="0.25">
      <c r="J44" s="453"/>
      <c r="K44" s="453"/>
      <c r="L44" s="453"/>
      <c r="M44" s="453"/>
      <c r="N44" s="453"/>
      <c r="O44" s="454"/>
      <c r="P44" s="454"/>
      <c r="Q44" s="454"/>
      <c r="R44" s="3"/>
    </row>
    <row r="45" spans="10:18" s="1" customFormat="1" x14ac:dyDescent="0.25">
      <c r="J45" s="453"/>
      <c r="K45" s="453"/>
      <c r="L45" s="453"/>
      <c r="M45" s="453"/>
      <c r="N45" s="453"/>
      <c r="O45" s="454"/>
      <c r="P45" s="454"/>
      <c r="Q45" s="454"/>
      <c r="R45" s="3"/>
    </row>
    <row r="46" spans="10:18" s="1" customFormat="1" x14ac:dyDescent="0.25"/>
    <row r="47" spans="10:18" s="1" customFormat="1" x14ac:dyDescent="0.25"/>
    <row r="48" spans="10:18" s="1" customFormat="1" x14ac:dyDescent="0.25"/>
  </sheetData>
  <mergeCells count="8">
    <mergeCell ref="J44:N45"/>
    <mergeCell ref="O44:Q45"/>
    <mergeCell ref="M12:N16"/>
    <mergeCell ref="J30:N31"/>
    <mergeCell ref="O30:Q31"/>
    <mergeCell ref="J35:N36"/>
    <mergeCell ref="O35:Q36"/>
    <mergeCell ref="J40:Q41"/>
  </mergeCells>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42</vt:i4>
      </vt:variant>
    </vt:vector>
  </HeadingPairs>
  <TitlesOfParts>
    <vt:vector size="42" baseType="lpstr">
      <vt:lpstr>PGERAL (2)</vt:lpstr>
      <vt:lpstr>PGERAL (3)</vt:lpstr>
      <vt:lpstr>PQPEXMME</vt:lpstr>
      <vt:lpstr>PQPSERVIDORES</vt:lpstr>
      <vt:lpstr>DETALHEIDADE</vt:lpstr>
      <vt:lpstr>PQPEXMMEDET</vt:lpstr>
      <vt:lpstr>PQDEXMMEGRAF</vt:lpstr>
      <vt:lpstr>PQESTAGIO</vt:lpstr>
      <vt:lpstr>PEVOLUÇÃO</vt:lpstr>
      <vt:lpstr>PEVGLOBAL</vt:lpstr>
      <vt:lpstr>PEVSIT</vt:lpstr>
      <vt:lpstr>PCOMISSÃO</vt:lpstr>
      <vt:lpstr>NOMEADOSFUNÇÃO</vt:lpstr>
      <vt:lpstr>PCOMID</vt:lpstr>
      <vt:lpstr>PCOMUNIDADES</vt:lpstr>
      <vt:lpstr>PCOMVUNITARIO</vt:lpstr>
      <vt:lpstr>PCOMCUSTOS</vt:lpstr>
      <vt:lpstr>PINDICADOR</vt:lpstr>
      <vt:lpstr>PINDESCRI</vt:lpstr>
      <vt:lpstr>PCO</vt:lpstr>
      <vt:lpstr>PCOICO</vt:lpstr>
      <vt:lpstr>PCOVD</vt:lpstr>
      <vt:lpstr>PCOVCO</vt:lpstr>
      <vt:lpstr>VDCATEGORIAFUNCIONAL</vt:lpstr>
      <vt:lpstr>VDTEMPOSERVIÇO</vt:lpstr>
      <vt:lpstr>VDGENERO</vt:lpstr>
      <vt:lpstr>VDIDADE</vt:lpstr>
      <vt:lpstr>VDESCOLARIDADE</vt:lpstr>
      <vt:lpstr>VDNIVELCARGO</vt:lpstr>
      <vt:lpstr>VDLOTAÇÃO</vt:lpstr>
      <vt:lpstr>VDDESLIGAMENTO</vt:lpstr>
      <vt:lpstr>VCOPLANEJAMENTOESTRATEGICO</vt:lpstr>
      <vt:lpstr>VCOMOTIVAÇÃO</vt:lpstr>
      <vt:lpstr>VCOLIDERANÇA</vt:lpstr>
      <vt:lpstr>VCOEQUIPE</vt:lpstr>
      <vt:lpstr>VCOSALARIO</vt:lpstr>
      <vt:lpstr>VCORELACIONAMENTO</vt:lpstr>
      <vt:lpstr>VCOQUALIDADEVIDA</vt:lpstr>
      <vt:lpstr>VCOSOCIOAMBIENTAL</vt:lpstr>
      <vt:lpstr>VCOCOMINICAÇÃO</vt:lpstr>
      <vt:lpstr>VCOESTRUTURAFISICA</vt:lpstr>
      <vt:lpstr>VCOPANDEMIA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Eduardo Mendes Galvao</dc:creator>
  <cp:lastModifiedBy>Carlos Eduardo Mendes Galvao</cp:lastModifiedBy>
  <dcterms:created xsi:type="dcterms:W3CDTF">2020-07-08T19:18:11Z</dcterms:created>
  <dcterms:modified xsi:type="dcterms:W3CDTF">2020-11-05T20:54:44Z</dcterms:modified>
</cp:coreProperties>
</file>