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CGCC\CAC\DOCUMENTOS DO SETOR DE CONTRATOS\A - DOCS ESCANEADOS\G4F SOLUCOES CORPORATIVAS LTDA - CONTRATO Nº 33-2016\"/>
    </mc:Choice>
  </mc:AlternateContent>
  <bookViews>
    <workbookView xWindow="0" yWindow="0" windowWidth="28800" windowHeight="13590"/>
  </bookViews>
  <sheets>
    <sheet name="Arquivista" sheetId="1" r:id="rId1"/>
    <sheet name="Assistente" sheetId="2" r:id="rId2"/>
    <sheet name="Resumo" sheetId="3" r:id="rId3"/>
  </sheets>
  <definedNames>
    <definedName name="_xlnm.Print_Area" localSheetId="0">Arquivista!$C$2:$H$138</definedName>
    <definedName name="_xlnm.Print_Area" localSheetId="1">Assistente!$C$2:$H$138</definedName>
    <definedName name="_xlnm.Print_Area" localSheetId="2">Resumo!$C$2:$I$19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3" l="1"/>
  <c r="E8" i="3"/>
  <c r="G8" i="3" s="1"/>
  <c r="I8" i="3" s="1"/>
  <c r="H20" i="1"/>
  <c r="H20" i="2"/>
  <c r="H26" i="2" s="1"/>
  <c r="H38" i="2" s="1"/>
  <c r="H32" i="3" l="1"/>
  <c r="H40" i="2"/>
  <c r="H39" i="2"/>
  <c r="F39" i="2"/>
  <c r="H53" i="2"/>
  <c r="H134" i="2" s="1"/>
  <c r="G26" i="2"/>
  <c r="H45" i="2" l="1"/>
  <c r="H133" i="2" s="1"/>
  <c r="H34" i="2"/>
  <c r="H59" i="2" s="1"/>
  <c r="H100" i="2" l="1"/>
  <c r="H75" i="2"/>
  <c r="H64" i="2"/>
  <c r="H60" i="2"/>
  <c r="H114" i="2"/>
  <c r="H101" i="2"/>
  <c r="H99" i="2"/>
  <c r="H81" i="2"/>
  <c r="H65" i="2"/>
  <c r="H63" i="2"/>
  <c r="H61" i="2"/>
  <c r="H132" i="2"/>
  <c r="H102" i="2"/>
  <c r="H98" i="2"/>
  <c r="H66" i="2"/>
  <c r="H62" i="2"/>
  <c r="H67" i="2" l="1"/>
  <c r="H109" i="2" s="1"/>
  <c r="H40" i="1" l="1"/>
  <c r="H39" i="1"/>
  <c r="G26" i="1"/>
  <c r="H26" i="1"/>
  <c r="H38" i="1" s="1"/>
  <c r="F39" i="1"/>
  <c r="F38" i="1"/>
  <c r="F26" i="1"/>
  <c r="H53" i="1"/>
  <c r="H134" i="1" s="1"/>
  <c r="F34" i="1"/>
  <c r="E125" i="2"/>
  <c r="E120" i="2"/>
  <c r="E97" i="2"/>
  <c r="E90" i="2"/>
  <c r="E87" i="2"/>
  <c r="E73" i="2"/>
  <c r="E74" i="2" s="1"/>
  <c r="F53" i="2"/>
  <c r="F40" i="2"/>
  <c r="F40" i="1"/>
  <c r="E120" i="1"/>
  <c r="E97" i="1"/>
  <c r="E103" i="1" s="1"/>
  <c r="E90" i="1"/>
  <c r="E92" i="1" s="1"/>
  <c r="E89" i="1"/>
  <c r="E87" i="1"/>
  <c r="E73" i="1"/>
  <c r="E74" i="1" s="1"/>
  <c r="F64" i="1" l="1"/>
  <c r="F74" i="1"/>
  <c r="F103" i="1"/>
  <c r="F132" i="1"/>
  <c r="F59" i="1"/>
  <c r="F73" i="1"/>
  <c r="F100" i="1"/>
  <c r="F66" i="1"/>
  <c r="F62" i="1"/>
  <c r="F90" i="1"/>
  <c r="F99" i="1"/>
  <c r="F114" i="1"/>
  <c r="F60" i="1"/>
  <c r="F92" i="1"/>
  <c r="F101" i="1"/>
  <c r="F63" i="1"/>
  <c r="F81" i="1"/>
  <c r="F97" i="1"/>
  <c r="F65" i="1"/>
  <c r="F61" i="1"/>
  <c r="F75" i="1"/>
  <c r="F87" i="1"/>
  <c r="F89" i="1"/>
  <c r="F102" i="1"/>
  <c r="F98" i="1"/>
  <c r="H97" i="2"/>
  <c r="H73" i="2"/>
  <c r="E103" i="2"/>
  <c r="H87" i="2"/>
  <c r="H74" i="2"/>
  <c r="H90" i="2"/>
  <c r="H34" i="1"/>
  <c r="H87" i="1" s="1"/>
  <c r="E92" i="2"/>
  <c r="E89" i="2"/>
  <c r="H90" i="1" l="1"/>
  <c r="H97" i="1"/>
  <c r="H103" i="1"/>
  <c r="H73" i="1"/>
  <c r="H66" i="1"/>
  <c r="H75" i="1"/>
  <c r="H92" i="1"/>
  <c r="H98" i="1"/>
  <c r="H64" i="1"/>
  <c r="H61" i="1"/>
  <c r="H81" i="1"/>
  <c r="H92" i="2"/>
  <c r="H103" i="2"/>
  <c r="H89" i="2"/>
  <c r="H114" i="1"/>
  <c r="H100" i="1"/>
  <c r="H62" i="1"/>
  <c r="H99" i="1"/>
  <c r="H89" i="1"/>
  <c r="H60" i="1"/>
  <c r="H63" i="1"/>
  <c r="H132" i="1"/>
  <c r="H65" i="1"/>
  <c r="H102" i="1"/>
  <c r="H74" i="1"/>
  <c r="H101" i="1"/>
  <c r="H59" i="1"/>
  <c r="F53" i="1" l="1"/>
  <c r="F26" i="2" l="1"/>
  <c r="F38" i="2" s="1"/>
  <c r="F45" i="2" s="1"/>
  <c r="E134" i="2"/>
  <c r="E67" i="2"/>
  <c r="E88" i="2" l="1"/>
  <c r="E76" i="2"/>
  <c r="E109" i="2"/>
  <c r="E82" i="2"/>
  <c r="E91" i="2"/>
  <c r="E104" i="2"/>
  <c r="E34" i="2"/>
  <c r="E133" i="2"/>
  <c r="H104" i="2" l="1"/>
  <c r="H105" i="2" s="1"/>
  <c r="H113" i="2" s="1"/>
  <c r="H76" i="2"/>
  <c r="H77" i="2" s="1"/>
  <c r="H110" i="2" s="1"/>
  <c r="F82" i="2"/>
  <c r="H82" i="2"/>
  <c r="H83" i="2" s="1"/>
  <c r="H111" i="2" s="1"/>
  <c r="F104" i="2"/>
  <c r="F99" i="2"/>
  <c r="F81" i="2"/>
  <c r="F83" i="2" s="1"/>
  <c r="F111" i="2" s="1"/>
  <c r="F65" i="2"/>
  <c r="F63" i="2"/>
  <c r="F98" i="2"/>
  <c r="F76" i="2"/>
  <c r="F64" i="2"/>
  <c r="F59" i="2"/>
  <c r="F114" i="2"/>
  <c r="F97" i="2"/>
  <c r="F62" i="2"/>
  <c r="F100" i="2"/>
  <c r="F75" i="2"/>
  <c r="F66" i="2"/>
  <c r="F60" i="2"/>
  <c r="F101" i="2"/>
  <c r="F61" i="2"/>
  <c r="F73" i="2"/>
  <c r="F74" i="2"/>
  <c r="F87" i="2"/>
  <c r="F90" i="2"/>
  <c r="F92" i="2"/>
  <c r="F89" i="2"/>
  <c r="F91" i="2"/>
  <c r="H91" i="2"/>
  <c r="F88" i="2"/>
  <c r="H88" i="2"/>
  <c r="H93" i="2" s="1"/>
  <c r="H112" i="2" s="1"/>
  <c r="E132" i="2"/>
  <c r="E93" i="2"/>
  <c r="E112" i="2" s="1"/>
  <c r="E105" i="2"/>
  <c r="E113" i="2" s="1"/>
  <c r="E83" i="2"/>
  <c r="E111" i="2" s="1"/>
  <c r="E77" i="2"/>
  <c r="E110" i="2" s="1"/>
  <c r="F77" i="2"/>
  <c r="F110" i="2" s="1"/>
  <c r="F93" i="2" l="1"/>
  <c r="F112" i="2" s="1"/>
  <c r="H115" i="2"/>
  <c r="F103" i="2"/>
  <c r="F105" i="2" s="1"/>
  <c r="F113" i="2" s="1"/>
  <c r="E115" i="2"/>
  <c r="F67" i="2"/>
  <c r="F109" i="2" s="1"/>
  <c r="F78" i="2"/>
  <c r="H135" i="2" l="1"/>
  <c r="H136" i="2" s="1"/>
  <c r="H119" i="2"/>
  <c r="H125" i="2" s="1"/>
  <c r="F115" i="2"/>
  <c r="E135" i="2" s="1"/>
  <c r="E136" i="2" s="1"/>
  <c r="H123" i="2" l="1"/>
  <c r="H122" i="2"/>
  <c r="H121" i="2"/>
  <c r="H124" i="2"/>
  <c r="F119" i="2"/>
  <c r="F125" i="2" s="1"/>
  <c r="F123" i="2" s="1"/>
  <c r="H126" i="2" l="1"/>
  <c r="H137" i="2" s="1"/>
  <c r="H138" i="2" s="1"/>
  <c r="H27" i="3" s="1"/>
  <c r="H34" i="3" s="1"/>
  <c r="F122" i="2"/>
  <c r="F121" i="2"/>
  <c r="F124" i="2"/>
  <c r="F126" i="2" l="1"/>
  <c r="E137" i="2" s="1"/>
  <c r="E138" i="2" s="1"/>
  <c r="G27" i="3"/>
  <c r="G34" i="3" s="1"/>
  <c r="F134" i="1"/>
  <c r="I16" i="3" l="1"/>
  <c r="E67" i="1"/>
  <c r="F45" i="1"/>
  <c r="E104" i="1" l="1"/>
  <c r="E88" i="1"/>
  <c r="E91" i="1"/>
  <c r="E82" i="1"/>
  <c r="E109" i="1"/>
  <c r="E76" i="1"/>
  <c r="F67" i="1"/>
  <c r="F109" i="1" s="1"/>
  <c r="F133" i="1"/>
  <c r="E77" i="1"/>
  <c r="E110" i="1" s="1"/>
  <c r="F91" i="1" l="1"/>
  <c r="H91" i="1"/>
  <c r="F82" i="1"/>
  <c r="H82" i="1"/>
  <c r="F76" i="1"/>
  <c r="F77" i="1" s="1"/>
  <c r="F110" i="1" s="1"/>
  <c r="H76" i="1"/>
  <c r="E93" i="1"/>
  <c r="E112" i="1" s="1"/>
  <c r="F88" i="1"/>
  <c r="H88" i="1"/>
  <c r="F104" i="1"/>
  <c r="H104" i="1"/>
  <c r="F93" i="1"/>
  <c r="F112" i="1" s="1"/>
  <c r="F105" i="1"/>
  <c r="F113" i="1" s="1"/>
  <c r="E105" i="1"/>
  <c r="E113" i="1" s="1"/>
  <c r="F83" i="1"/>
  <c r="F111" i="1" s="1"/>
  <c r="E83" i="1"/>
  <c r="E111" i="1" s="1"/>
  <c r="E115" i="1" s="1"/>
  <c r="F115" i="1" l="1"/>
  <c r="F135" i="1" l="1"/>
  <c r="F136" i="1" s="1"/>
  <c r="F119" i="1"/>
  <c r="F125" i="1" s="1"/>
  <c r="H45" i="1"/>
  <c r="F122" i="1" l="1"/>
  <c r="F124" i="1"/>
  <c r="F123" i="1"/>
  <c r="H133" i="1"/>
  <c r="F121" i="1"/>
  <c r="H83" i="1"/>
  <c r="H111" i="1" s="1"/>
  <c r="H93" i="1" l="1"/>
  <c r="H112" i="1" s="1"/>
  <c r="F126" i="1"/>
  <c r="F137" i="1" s="1"/>
  <c r="F138" i="1" s="1"/>
  <c r="H67" i="1"/>
  <c r="H109" i="1" s="1"/>
  <c r="H105" i="1"/>
  <c r="H113" i="1" s="1"/>
  <c r="H77" i="1"/>
  <c r="H110" i="1" s="1"/>
  <c r="G7" i="3" l="1"/>
  <c r="I7" i="3" s="1"/>
  <c r="I9" i="3" s="1"/>
  <c r="G26" i="3"/>
  <c r="G33" i="3" s="1"/>
  <c r="G35" i="3" s="1"/>
  <c r="G36" i="3" s="1"/>
  <c r="H115" i="1"/>
  <c r="I15" i="3" l="1"/>
  <c r="I17" i="3" s="1"/>
  <c r="I18" i="3" s="1"/>
  <c r="H135" i="1"/>
  <c r="H136" i="1" s="1"/>
  <c r="H119" i="1"/>
  <c r="H125" i="1" s="1"/>
  <c r="H123" i="1" l="1"/>
  <c r="H124" i="1"/>
  <c r="H122" i="1"/>
  <c r="H121" i="1"/>
  <c r="H126" i="1" l="1"/>
  <c r="H137" i="1" s="1"/>
  <c r="H138" i="1" s="1"/>
  <c r="H26" i="3" s="1"/>
  <c r="H33" i="3" s="1"/>
  <c r="H35" i="3" s="1"/>
  <c r="H36" i="3" s="1"/>
</calcChain>
</file>

<file path=xl/sharedStrings.xml><?xml version="1.0" encoding="utf-8"?>
<sst xmlns="http://schemas.openxmlformats.org/spreadsheetml/2006/main" count="518" uniqueCount="184">
  <si>
    <r>
      <t> </t>
    </r>
    <r>
      <rPr>
        <b/>
        <sz val="10"/>
        <color rgb="FF000000"/>
        <rFont val="Times New Roman"/>
        <family val="1"/>
      </rPr>
      <t>MÓDULO 1 :   COMPOSIÇÃO DA REMUNERAÇÃO</t>
    </r>
    <r>
      <rPr>
        <sz val="10"/>
        <color rgb="FF000000"/>
        <rFont val="Times New Roman"/>
        <family val="1"/>
      </rPr>
      <t> </t>
    </r>
  </si>
  <si>
    <t>Composição da Remuneração</t>
  </si>
  <si>
    <t>%</t>
  </si>
  <si>
    <t>Valor (R$)</t>
  </si>
  <si>
    <t>A</t>
  </si>
  <si>
    <t>Salário Base</t>
  </si>
  <si>
    <t>B</t>
  </si>
  <si>
    <t xml:space="preserve">Adicional  de periculosidade </t>
  </si>
  <si>
    <t>C</t>
  </si>
  <si>
    <t xml:space="preserve">Adicional  de insalubridade </t>
  </si>
  <si>
    <t>D</t>
  </si>
  <si>
    <t>Adicional noturno</t>
  </si>
  <si>
    <t>E</t>
  </si>
  <si>
    <t>Hora noturna adicional</t>
  </si>
  <si>
    <t>F</t>
  </si>
  <si>
    <t>Adicional de Hora Extra</t>
  </si>
  <si>
    <t>G</t>
  </si>
  <si>
    <t>Intervalo Intrajornada</t>
  </si>
  <si>
    <t>H</t>
  </si>
  <si>
    <t>Outros (especificar)</t>
  </si>
  <si>
    <t>Total da Remuneração</t>
  </si>
  <si>
    <t>MÓDULO 2:   BENEFÍCIOS MENSAIS E DIÁRIOS </t>
  </si>
  <si>
    <t> Benefícios Mensais e Diários</t>
  </si>
  <si>
    <t xml:space="preserve">Auxílio alimentação (21 dias x R$ 20,00) - CLÁUSULA DÉCIMA SEGUNDA - VALE REFEIÇÃO/ALIMENTAÇÃO </t>
  </si>
  <si>
    <t>Auxílio creche</t>
  </si>
  <si>
    <t xml:space="preserve"> Salário Família </t>
  </si>
  <si>
    <t>Total de Benefícios mensais e diários</t>
  </si>
  <si>
    <r>
      <t>Nota: o valor informado deverá ser o custo real do insumo (descontado o valor eventualmente pago pelo empregado).</t>
    </r>
    <r>
      <rPr>
        <sz val="10"/>
        <color rgb="FF000000"/>
        <rFont val="Times New Roman"/>
        <family val="1"/>
      </rPr>
      <t> </t>
    </r>
  </si>
  <si>
    <t>MÓDULO 3:   INSUMOS DIVERSOS </t>
  </si>
  <si>
    <t>Insumos Diversos</t>
  </si>
  <si>
    <t>Uniformes</t>
  </si>
  <si>
    <t>Ferramentas/Equipamentos</t>
  </si>
  <si>
    <t>Treinamento específico na área de atuação, conforme disposto no Item 11.8 do Termo de Referência - DAS OBRIGAÇÕES DA CONTRATADA (valor estimado com base em informações da CODES/CGRH para treinamento similares realizado pelo SENAI)</t>
  </si>
  <si>
    <t>Total de Insumos diversos</t>
  </si>
  <si>
    <t>Nota: Valores mensais por empregado. </t>
  </si>
  <si>
    <t>MÓDULO 4:   ENCARGOS SOCIAIS E TRABALHISTAS </t>
  </si>
  <si>
    <t>Submódulo 4.1 – Encargos previdenciários e FGTS: </t>
  </si>
  <si>
    <t>4.1</t>
  </si>
  <si>
    <t>Encargos previdenciários e FGTS</t>
  </si>
  <si>
    <t>INSS</t>
  </si>
  <si>
    <t>SESI ou SESC</t>
  </si>
  <si>
    <t>SENAI ou SENAC</t>
  </si>
  <si>
    <t>INCRA</t>
  </si>
  <si>
    <t>Salário Educação</t>
  </si>
  <si>
    <t>FGTS</t>
  </si>
  <si>
    <t>Seguro acidente do trabalho</t>
  </si>
  <si>
    <t>SEBRAE</t>
  </si>
  <si>
    <t>TOTAL</t>
  </si>
  <si>
    <t>Nota (1) - Os percentuais dos encargos previdenciários e FGTS são aqueles estabelecidos pela legislação vigente. </t>
  </si>
  <si>
    <t>Nota (2) - Percentuais incidentes sobre a remuneração. </t>
  </si>
  <si>
    <t>Submódulo 4.2 – 13º Salário e Adicional de Férias</t>
  </si>
  <si>
    <t>4.2</t>
  </si>
  <si>
    <t>13º Salário e Adicional de Férias</t>
  </si>
  <si>
    <t>13 º Salário  (8,33%)</t>
  </si>
  <si>
    <t>Adicional de Férias (2,78%)</t>
  </si>
  <si>
    <t>Subtotal</t>
  </si>
  <si>
    <t>Incidência do Submódulo 4.1 sobre 13º Salário e Adicional de Férias</t>
  </si>
  <si>
    <t>Submódulo 4.3 - Afastamento Maternidade</t>
  </si>
  <si>
    <t>4.3</t>
  </si>
  <si>
    <t>Afastamento Maternidade:</t>
  </si>
  <si>
    <t>Afastamento maternidade (0,074%)</t>
  </si>
  <si>
    <t>Incidência do submódulo 4.1 sobre afastamento maternidade</t>
  </si>
  <si>
    <t>Submódulo 4.4 -  Provisão para Rescisão </t>
  </si>
  <si>
    <t>4.4</t>
  </si>
  <si>
    <t>Provisão para Rescisão</t>
  </si>
  <si>
    <r>
      <t>Aviso prévio indenizado</t>
    </r>
    <r>
      <rPr>
        <sz val="10"/>
        <color rgb="FF000000"/>
        <rFont val="Times New Roman"/>
        <family val="1"/>
      </rPr>
      <t xml:space="preserve"> (Estimativa: 5% dos empregados serão substituídos durante um ano)  </t>
    </r>
    <r>
      <rPr>
        <b/>
        <sz val="10"/>
        <color rgb="FF000000"/>
        <rFont val="Times New Roman"/>
        <family val="1"/>
      </rPr>
      <t xml:space="preserve">{[0,05x(1/12)]x100} = 0,4117 = 0,42% </t>
    </r>
    <r>
      <rPr>
        <sz val="10"/>
        <color rgb="FF000000"/>
        <rFont val="Times New Roman"/>
        <family val="1"/>
      </rPr>
      <t xml:space="preserve"> art.487 CLT - Sumula 305/TST, Ac.2.271/2010-TCU,  Lei nº 12506/2011.</t>
    </r>
  </si>
  <si>
    <t>Incidência do submódulo 4.1 sobre aviso prévio indenizado</t>
  </si>
  <si>
    <r>
      <t>Multa do FGTS no Aviso Prévio Indenizado</t>
    </r>
    <r>
      <rPr>
        <sz val="10"/>
        <color rgb="FF000000"/>
        <rFont val="Times New Roman"/>
        <family val="1"/>
      </rPr>
      <t xml:space="preserve"> (multa de 40% FGTS + 10% contribuição) x o aviso o prévio indenizado (0,42)            </t>
    </r>
    <r>
      <rPr>
        <b/>
        <sz val="10"/>
        <color rgb="FF000000"/>
        <rFont val="Times New Roman"/>
        <family val="1"/>
      </rPr>
      <t>(0,42%)*0,50  =  0,21</t>
    </r>
    <r>
      <rPr>
        <sz val="10"/>
        <color rgb="FF000000"/>
        <rFont val="Times New Roman"/>
        <family val="1"/>
      </rPr>
      <t xml:space="preserve">  (Art. 18, § 1º da Lei nº 8.036/90,Art. 1º da Lei Complementar nº 110/2001)</t>
    </r>
  </si>
  <si>
    <r>
      <t>Aviso prévio trabalhado</t>
    </r>
    <r>
      <rPr>
        <sz val="10"/>
        <color rgb="FF000000"/>
        <rFont val="Times New Roman"/>
        <family val="1"/>
      </rPr>
      <t xml:space="preserve"> - (redução de 7 dias ou de 2 horas por dia, percentual relativo a contrato de 12 meses)     </t>
    </r>
    <r>
      <rPr>
        <b/>
        <sz val="10"/>
        <color rgb="FF000000"/>
        <rFont val="Times New Roman"/>
        <family val="1"/>
      </rPr>
      <t xml:space="preserve"> [(100%/30) x 7]/12=1,94% </t>
    </r>
    <r>
      <rPr>
        <sz val="10"/>
        <color rgb="FF000000"/>
        <rFont val="Times New Roman"/>
        <family val="1"/>
      </rPr>
      <t xml:space="preserve"> (Ac.3006/2010-TCU; art.7º, XXI, CF/88, 477, 487 e 491 CLT)</t>
    </r>
  </si>
  <si>
    <r>
      <t xml:space="preserve">Incidência </t>
    </r>
    <r>
      <rPr>
        <sz val="10"/>
        <color rgb="FF000000"/>
        <rFont val="Times New Roman"/>
        <family val="1"/>
      </rPr>
      <t>do submódulo 4.1 sobre aviso prévio trabalhado</t>
    </r>
  </si>
  <si>
    <r>
      <t>Multa do FGTS no Aviso Prévio Trabalhado</t>
    </r>
    <r>
      <rPr>
        <sz val="10"/>
        <color rgb="FF000000"/>
        <rFont val="Times New Roman"/>
        <family val="1"/>
      </rPr>
      <t xml:space="preserve">  (multa de 40% FGTS + 10% contribuição) x o aviso o prévio trabalhado) = (1,94)             </t>
    </r>
    <r>
      <rPr>
        <b/>
        <sz val="10"/>
        <color rgb="FF000000"/>
        <rFont val="Times New Roman"/>
        <family val="1"/>
      </rPr>
      <t xml:space="preserve"> (1,94%)*0,50  =  0,97 </t>
    </r>
    <r>
      <rPr>
        <sz val="10"/>
        <color rgb="FF000000"/>
        <rFont val="Times New Roman"/>
        <family val="1"/>
      </rPr>
      <t>(art. 18, § 1º da Lei nº 8.036/90 com redação dada pela Lei nº 9.491/97)</t>
    </r>
  </si>
  <si>
    <t>Submódulo  4.5  – Custo de Reposição do Profissional Ausente </t>
  </si>
  <si>
    <t>4.5</t>
  </si>
  <si>
    <t>Composição do Custo de Reposição do Profissional Ausente</t>
  </si>
  <si>
    <t xml:space="preserve">Férias </t>
  </si>
  <si>
    <t>Ausência por doença (Estatística - 5 faltas por/ano)</t>
  </si>
  <si>
    <t>Licença paternidade (Estatística 1,5 % trabalhadores/ano)</t>
  </si>
  <si>
    <t>Ausências legais (Estatística - 1/ano)</t>
  </si>
  <si>
    <t>Ausência por Acidente de trabalho (Estatística IBGE - 8% por ano - 15 dias pagos pela empresa)</t>
  </si>
  <si>
    <t xml:space="preserve">Incidência do submódulo 4.1 sobre o Custo de reposição </t>
  </si>
  <si>
    <t>Quadro - resumo – Módulo 4 - Encargos sociais e trabalhistas </t>
  </si>
  <si>
    <t>Módulo 4 - Encargos sociais e trabalhistas</t>
  </si>
  <si>
    <t xml:space="preserve">13 º salário + Adicional de férias </t>
  </si>
  <si>
    <t>Afastamento maternidade</t>
  </si>
  <si>
    <t>Custo de rescisão</t>
  </si>
  <si>
    <t>Custo de reposição do profissional ausente</t>
  </si>
  <si>
    <t>4.6</t>
  </si>
  <si>
    <r>
      <t> </t>
    </r>
    <r>
      <rPr>
        <b/>
        <sz val="10"/>
        <color rgb="FF000000"/>
        <rFont val="Times New Roman"/>
        <family val="1"/>
      </rPr>
      <t>MÓDULO 5 - CUSTOS INDIRETOS, TRIBUTOS E LUCRO</t>
    </r>
    <r>
      <rPr>
        <sz val="10"/>
        <color rgb="FF000000"/>
        <rFont val="Times New Roman"/>
        <family val="1"/>
      </rPr>
      <t> </t>
    </r>
  </si>
  <si>
    <t> 5</t>
  </si>
  <si>
    <t>Custos Indiretos, Tributos e Lucro</t>
  </si>
  <si>
    <t>Custos Indiretos</t>
  </si>
  <si>
    <t>Tributos</t>
  </si>
  <si>
    <t>B1. Tributos Federais - PIS (0,65% ) + COFINS (3,00) = 3,65%</t>
  </si>
  <si>
    <t>B.2  Tributos Estaduais  - ISS (5%) (Distrito Federal)</t>
  </si>
  <si>
    <t>B.3   Tributos Municipais (especificar)</t>
  </si>
  <si>
    <t xml:space="preserve">Lucro (8,65%) - Estudo TCU - TC 025.990/2008-2 </t>
  </si>
  <si>
    <t>Total</t>
  </si>
  <si>
    <t>Nota (1): Custos Indiretos, Tributos e Lucro por empregado.</t>
  </si>
  <si>
    <t>Nota (2): O valor referente a tributos é obtido aplicando-se o percentual sobre o valor do faturamento.</t>
  </si>
  <si>
    <r>
      <t>Anexo III – B - Quadro-resumo do Custo por Empregado</t>
    </r>
    <r>
      <rPr>
        <sz val="10"/>
        <color theme="1"/>
        <rFont val="Times New Roman"/>
        <family val="1"/>
      </rPr>
      <t> </t>
    </r>
  </si>
  <si>
    <t>Mão-de-obra vinculada à execução contratual (valor por empregado)</t>
  </si>
  <si>
    <t>(R$)</t>
  </si>
  <si>
    <t>Módulo 1 – Composição da Remuneração</t>
  </si>
  <si>
    <t>Módulo 2 – Benefícios Mensais e Diários</t>
  </si>
  <si>
    <t>Módulo 3 – Insumos Diversos (uniformes, materiais, equipamentos e outros)</t>
  </si>
  <si>
    <t>Módulo 4 – Encargos Sociais e Trabalhistas</t>
  </si>
  <si>
    <t>Subtotal (A + B +C+ D)</t>
  </si>
  <si>
    <t>Módulo 5 – Custos indiretos, tributos e lucro</t>
  </si>
  <si>
    <t>Valor total por empregado</t>
  </si>
  <si>
    <t>Assistência médica e familiar - CCT-CLÁUSULA DÉCIMA QUINTA - ASSISTÊNCIA MÉDICO-HOSPITALAR - Participação Patronal 50%</t>
  </si>
  <si>
    <t>B.4   Outros tributos (CPRB - Lei 13.161/2015 (4,5%))</t>
  </si>
  <si>
    <t>Discriminação dos Serviços (dados referentes à contratação)</t>
  </si>
  <si>
    <t xml:space="preserve">Data de apresentação da proposta (dia/mês/ano) </t>
  </si>
  <si>
    <t xml:space="preserve">Município/UF </t>
  </si>
  <si>
    <t>Brasília/DF</t>
  </si>
  <si>
    <r>
      <t>N</t>
    </r>
    <r>
      <rPr>
        <strike/>
        <sz val="10"/>
        <color rgb="FF000000"/>
        <rFont val="Times New Roman"/>
        <family val="1"/>
      </rPr>
      <t>º</t>
    </r>
    <r>
      <rPr>
        <sz val="10"/>
        <color rgb="FF000000"/>
        <rFont val="Times New Roman"/>
        <family val="1"/>
      </rPr>
      <t xml:space="preserve"> de meses de execução contratual</t>
    </r>
  </si>
  <si>
    <t>Identificação do Serviço </t>
  </si>
  <si>
    <t>Tipo de Serviço</t>
  </si>
  <si>
    <t>Unidade de Medida</t>
  </si>
  <si>
    <t> Quantidade total a contratar (em função da unidade de medida)</t>
  </si>
  <si>
    <t xml:space="preserve">Prestador de Serviço na Operacionalização de GED/ECM (Arquivista Pleno - NS) </t>
  </si>
  <si>
    <t>Posto</t>
  </si>
  <si>
    <t>1(um)</t>
  </si>
  <si>
    <t>Mão-de-obra vinculada à execução contratual</t>
  </si>
  <si>
    <t>Dados complementares para composição dos custos referente à mão-de-obra</t>
  </si>
  <si>
    <t>Tipo de serviço (mesmo serviço com características distintas)</t>
  </si>
  <si>
    <t>Categoria profissional (40 hs/semanais)</t>
  </si>
  <si>
    <t>Data base da categoria (dia/mês/ano)</t>
  </si>
  <si>
    <r>
      <t>Processo nº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48000.001216/2016-94</t>
    </r>
  </si>
  <si>
    <r>
      <t>Pregão Eletrônico nº</t>
    </r>
    <r>
      <rPr>
        <sz val="12"/>
        <color theme="1"/>
        <rFont val="Times New Roman"/>
        <family val="1"/>
      </rPr>
      <t xml:space="preserve"> 20/2016</t>
    </r>
  </si>
  <si>
    <r>
      <t>Data</t>
    </r>
    <r>
      <rPr>
        <sz val="12"/>
        <color theme="1"/>
        <rFont val="Times New Roman"/>
        <family val="1"/>
      </rPr>
      <t>: 11/11/2016 às 10:00h</t>
    </r>
  </si>
  <si>
    <t>SEGURO DE VIDA -  CCT - CLÁUSULA DÉCIMA SEXTA -  INCLUI O AUXÍLIO FUNERAL</t>
  </si>
  <si>
    <t>ASSISTÊNCIA ODONTOLÓGICA - CCT - CLÁUSULA QUADRAGÉSIMA OITAVA - CUSTEADO PELO EMPREGADO</t>
  </si>
  <si>
    <t>Prestador de Serviço Especialista em GED/ECM (Assistente de Arquivo Pleno - NM)</t>
  </si>
  <si>
    <t>Assistência médica e familiar - CCT-CLÁUSULA DÉCIMA QUINTA - ASSISTÊNCIA MÉDICO-HOSPITALAR - Participação Patronal 60%</t>
  </si>
  <si>
    <t xml:space="preserve"> Quadro-Resumo – VALOR MENSAL E ANUAL DOS SERVIÇOS</t>
  </si>
  <si>
    <t>Tipo de serviço</t>
  </si>
  <si>
    <t>Valor proposto por empregado (R$)</t>
  </si>
  <si>
    <t>Qtd de empregados por posto</t>
  </si>
  <si>
    <t>Valor proposto por posto (R$)</t>
  </si>
  <si>
    <t>Qtd de postos</t>
  </si>
  <si>
    <t>Valor total do serviço (R$)</t>
  </si>
  <si>
    <t>(A)</t>
  </si>
  <si>
    <t>(B)</t>
  </si>
  <si>
    <t>(C)</t>
  </si>
  <si>
    <t>(D) = (B x C)</t>
  </si>
  <si>
    <t>(E)</t>
  </si>
  <si>
    <t>(F) = (D x E)</t>
  </si>
  <si>
    <t>I</t>
  </si>
  <si>
    <t>II</t>
  </si>
  <si>
    <t>Prestador de Serviço Especialista em GED/ECM (Assistente de Arquivista Pleno- NM)</t>
  </si>
  <si>
    <t>VALOR MENSAL DOS SERVIÇOS (I + II )</t>
  </si>
  <si>
    <t>Quadro - Demonstrativo - VALOR GLOBAL DA PROPOSTA</t>
  </si>
  <si>
    <t>Valor Global da Proposta</t>
  </si>
  <si>
    <t>Descrição</t>
  </si>
  <si>
    <t>Valor proposto por unidade de medida *</t>
  </si>
  <si>
    <t>A1</t>
  </si>
  <si>
    <t>A2</t>
  </si>
  <si>
    <t>Valor mensal do serviço</t>
  </si>
  <si>
    <t>Valor global anual da proposta (valor mensal do serviço X 12 meses do contrato).</t>
  </si>
  <si>
    <t>Nota (1): Informar o valor da unidade de medida por tipo de serviço.</t>
  </si>
  <si>
    <t>Transporte = [22 dias x 2(R$ 4,00 + R$ 2,25) - participação servidor 6% do salário base]  Itinerário: Cidade Satélite/Rodoviária PP/Esplanada - Esplanada/Rodoviária PP/Cidade Satélite - CCT-CLÁUSULA DÉCIMA TERCEIRA - TRANSPORTE</t>
  </si>
  <si>
    <t xml:space="preserve">Salário Normativo da Categoria Profissional </t>
  </si>
  <si>
    <t>1º de maio de 2017.</t>
  </si>
  <si>
    <t>2016/2018</t>
  </si>
  <si>
    <t>CONVENÇÃO COLETIVA DE TRABALHO 2015/2016 - SINDPD-DF/SIDESEI-DF    Data base: 1º de maio</t>
  </si>
  <si>
    <t>2015/2016</t>
  </si>
  <si>
    <t>1º de maio de 2016.</t>
  </si>
  <si>
    <t>Conforme CCt 2016/2018 homologada</t>
  </si>
  <si>
    <t>A partir de 01/05/2017 até 30/12/2017</t>
  </si>
  <si>
    <t xml:space="preserve">Transporte = [22 dias x 2(R$ 4,00 + R$ 2,25) - participação servidor 6% do salário base] </t>
  </si>
  <si>
    <t>Participação de 50% salários acima de R$3.167,10</t>
  </si>
  <si>
    <t>Reajuste de 4,08%</t>
  </si>
  <si>
    <t>Auxílio alimentação (21 dias x R$ 24,00)</t>
  </si>
  <si>
    <t>Participação de 60% salários entre R$1900,08 e R$3.167,69</t>
  </si>
  <si>
    <t>PROPOSTA VENCEDORA - PLANILJHA DO CONTRATO 33/2016-MME</t>
  </si>
  <si>
    <t>1º TERMO DE APOSTILAMENTO - CONTRATO 33/2016-MME</t>
  </si>
  <si>
    <t>PLANILHA DE CUSTOS E FORMAÇÃO DE PREÇOS PRESTAÇÃO DE SERVIÇOS DE GESTÃO DOCUMENTAL</t>
  </si>
  <si>
    <t>Valor proposto por empregado - 1º APOSTILAMENTO (R$)</t>
  </si>
  <si>
    <t>01/05/2017 a 30/12/2017</t>
  </si>
  <si>
    <t>Valor proposto por empregado - (R$)</t>
  </si>
  <si>
    <t>CONFORME CONTRATO 33/2016-MME</t>
  </si>
  <si>
    <t>CONTRATO</t>
  </si>
  <si>
    <t xml:space="preserve"> Quadro-Resumo – Quantidade de Empregados e Postoas e VALOR POR EMPREGADO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</si>
</sst>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R$&quot;\ #,##0.00;[Red]\-&quot;R$&quot;\ #,##0.0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FFFFFF"/>
      <name val="Times New Roman"/>
      <family val="1"/>
    </font>
    <font>
      <sz val="9"/>
      <color rgb="FF000000"/>
      <name val="Times New Roman"/>
      <family val="1"/>
    </font>
    <font>
      <b/>
      <sz val="10"/>
      <color theme="1"/>
      <name val="Times New Roman"/>
      <family val="1"/>
    </font>
    <font>
      <strike/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0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/>
    <xf numFmtId="0" fontId="3" fillId="2" borderId="1" xfId="0" applyFont="1" applyFill="1" applyBorder="1" applyAlignment="1">
      <alignment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6" fillId="7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0" fontId="0" fillId="0" borderId="0" xfId="0" applyNumberFormat="1" applyFill="1"/>
    <xf numFmtId="2" fontId="0" fillId="0" borderId="0" xfId="0" applyNumberFormat="1"/>
    <xf numFmtId="0" fontId="3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10" fontId="2" fillId="10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2" fillId="10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5" fontId="0" fillId="0" borderId="0" xfId="2" applyNumberFormat="1" applyFont="1"/>
    <xf numFmtId="0" fontId="0" fillId="11" borderId="0" xfId="0" applyFill="1"/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9" fontId="2" fillId="11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3" fillId="11" borderId="2" xfId="0" applyNumberFormat="1" applyFont="1" applyFill="1" applyBorder="1" applyAlignment="1">
      <alignment horizontal="center" vertical="center" wrapText="1"/>
    </xf>
    <xf numFmtId="4" fontId="3" fillId="11" borderId="2" xfId="0" applyNumberFormat="1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vertical="center" wrapText="1"/>
    </xf>
    <xf numFmtId="2" fontId="2" fillId="8" borderId="2" xfId="0" applyNumberFormat="1" applyFont="1" applyFill="1" applyBorder="1" applyAlignment="1">
      <alignment horizontal="center" vertical="center" wrapText="1"/>
    </xf>
    <xf numFmtId="2" fontId="2" fillId="11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vertical="center" wrapText="1"/>
    </xf>
    <xf numFmtId="4" fontId="3" fillId="2" borderId="12" xfId="0" applyNumberFormat="1" applyFont="1" applyFill="1" applyBorder="1" applyAlignment="1">
      <alignment vertical="center" wrapText="1"/>
    </xf>
    <xf numFmtId="0" fontId="0" fillId="0" borderId="13" xfId="0" applyBorder="1"/>
    <xf numFmtId="0" fontId="0" fillId="0" borderId="14" xfId="0" applyBorder="1"/>
    <xf numFmtId="2" fontId="2" fillId="8" borderId="11" xfId="0" applyNumberFormat="1" applyFont="1" applyFill="1" applyBorder="1" applyAlignment="1">
      <alignment horizontal="center" vertical="center" wrapText="1"/>
    </xf>
    <xf numFmtId="2" fontId="2" fillId="8" borderId="12" xfId="0" applyNumberFormat="1" applyFont="1" applyFill="1" applyBorder="1" applyAlignment="1">
      <alignment horizontal="center" vertical="center" wrapText="1"/>
    </xf>
    <xf numFmtId="2" fontId="2" fillId="11" borderId="11" xfId="0" applyNumberFormat="1" applyFont="1" applyFill="1" applyBorder="1" applyAlignment="1">
      <alignment horizontal="center" vertical="center" wrapText="1"/>
    </xf>
    <xf numFmtId="2" fontId="2" fillId="11" borderId="12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 wrapText="1"/>
    </xf>
    <xf numFmtId="2" fontId="2" fillId="0" borderId="11" xfId="0" applyNumberFormat="1" applyFont="1" applyBorder="1" applyAlignment="1">
      <alignment vertical="center" wrapText="1"/>
    </xf>
    <xf numFmtId="2" fontId="2" fillId="0" borderId="12" xfId="0" applyNumberFormat="1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2" borderId="15" xfId="0" applyNumberFormat="1" applyFont="1" applyFill="1" applyBorder="1" applyAlignment="1">
      <alignment vertical="center" wrapText="1"/>
    </xf>
    <xf numFmtId="4" fontId="3" fillId="2" borderId="16" xfId="0" applyNumberFormat="1" applyFont="1" applyFill="1" applyBorder="1" applyAlignment="1">
      <alignment vertical="center" wrapText="1"/>
    </xf>
    <xf numFmtId="10" fontId="3" fillId="8" borderId="11" xfId="2" applyNumberFormat="1" applyFont="1" applyFill="1" applyBorder="1" applyAlignment="1">
      <alignment horizontal="center" vertical="center" wrapText="1"/>
    </xf>
    <xf numFmtId="164" fontId="3" fillId="8" borderId="12" xfId="0" applyNumberFormat="1" applyFont="1" applyFill="1" applyBorder="1" applyAlignment="1">
      <alignment horizontal="center" vertical="center" wrapText="1"/>
    </xf>
    <xf numFmtId="4" fontId="3" fillId="8" borderId="12" xfId="0" applyNumberFormat="1" applyFont="1" applyFill="1" applyBorder="1" applyAlignment="1">
      <alignment horizontal="center" vertical="center" wrapText="1"/>
    </xf>
    <xf numFmtId="43" fontId="0" fillId="0" borderId="0" xfId="1" applyFont="1"/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12" borderId="2" xfId="0" applyFont="1" applyFill="1" applyBorder="1" applyAlignment="1">
      <alignment horizontal="center" vertical="center"/>
    </xf>
    <xf numFmtId="0" fontId="13" fillId="12" borderId="4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8"/>
  <sheetViews>
    <sheetView showGridLines="0" tabSelected="1" view="pageBreakPreview" zoomScale="120" zoomScaleNormal="93" zoomScaleSheetLayoutView="120" workbookViewId="0">
      <selection activeCell="H144" sqref="H144"/>
    </sheetView>
  </sheetViews>
  <sheetFormatPr defaultRowHeight="15" x14ac:dyDescent="0.25"/>
  <cols>
    <col min="3" max="3" width="30.85546875" customWidth="1"/>
    <col min="4" max="4" width="45.7109375" customWidth="1"/>
    <col min="5" max="5" width="13.7109375" customWidth="1"/>
    <col min="6" max="6" width="31.28515625" customWidth="1"/>
    <col min="7" max="7" width="20.7109375" customWidth="1"/>
    <col min="8" max="8" width="31.28515625" customWidth="1"/>
  </cols>
  <sheetData>
    <row r="2" spans="3:8" ht="15.75" x14ac:dyDescent="0.25">
      <c r="C2" s="141" t="s">
        <v>128</v>
      </c>
      <c r="D2" s="141"/>
    </row>
    <row r="3" spans="3:8" ht="16.5" thickBot="1" x14ac:dyDescent="0.3">
      <c r="C3" s="141" t="s">
        <v>129</v>
      </c>
      <c r="D3" s="141"/>
    </row>
    <row r="4" spans="3:8" ht="45" customHeight="1" x14ac:dyDescent="0.25">
      <c r="C4" s="141" t="s">
        <v>130</v>
      </c>
      <c r="D4" s="141"/>
      <c r="G4" s="134" t="s">
        <v>169</v>
      </c>
      <c r="H4" s="135"/>
    </row>
    <row r="5" spans="3:8" ht="15" customHeight="1" x14ac:dyDescent="0.25">
      <c r="G5" s="136" t="s">
        <v>168</v>
      </c>
      <c r="H5" s="137"/>
    </row>
    <row r="6" spans="3:8" x14ac:dyDescent="0.25">
      <c r="C6" s="149" t="s">
        <v>111</v>
      </c>
      <c r="D6" s="149"/>
      <c r="E6" s="149"/>
      <c r="F6" s="150"/>
      <c r="G6" s="138"/>
      <c r="H6" s="139"/>
    </row>
    <row r="7" spans="3:8" x14ac:dyDescent="0.25">
      <c r="C7" s="142"/>
      <c r="D7" s="143"/>
      <c r="E7" s="144"/>
      <c r="F7" s="43"/>
      <c r="G7" s="82"/>
      <c r="H7" s="83"/>
    </row>
    <row r="8" spans="3:8" x14ac:dyDescent="0.25">
      <c r="C8" s="3" t="s">
        <v>4</v>
      </c>
      <c r="D8" s="140" t="s">
        <v>112</v>
      </c>
      <c r="E8" s="140"/>
      <c r="F8" s="60">
        <v>42685</v>
      </c>
      <c r="G8" s="84"/>
      <c r="H8" s="85">
        <v>42965</v>
      </c>
    </row>
    <row r="9" spans="3:8" x14ac:dyDescent="0.25">
      <c r="C9" s="3" t="s">
        <v>6</v>
      </c>
      <c r="D9" s="140" t="s">
        <v>113</v>
      </c>
      <c r="E9" s="140"/>
      <c r="F9" s="61" t="s">
        <v>114</v>
      </c>
      <c r="G9" s="86"/>
      <c r="H9" s="87" t="s">
        <v>114</v>
      </c>
    </row>
    <row r="10" spans="3:8" ht="31.5" customHeight="1" x14ac:dyDescent="0.25">
      <c r="C10" s="3" t="s">
        <v>8</v>
      </c>
      <c r="D10" s="140" t="s">
        <v>165</v>
      </c>
      <c r="E10" s="140"/>
      <c r="F10" s="61" t="s">
        <v>166</v>
      </c>
      <c r="G10" s="86"/>
      <c r="H10" s="87" t="s">
        <v>164</v>
      </c>
    </row>
    <row r="11" spans="3:8" x14ac:dyDescent="0.25">
      <c r="C11" s="3" t="s">
        <v>10</v>
      </c>
      <c r="D11" s="140" t="s">
        <v>115</v>
      </c>
      <c r="E11" s="140"/>
      <c r="F11" s="61">
        <v>12</v>
      </c>
      <c r="G11" s="86"/>
      <c r="H11" s="87">
        <v>12</v>
      </c>
    </row>
    <row r="12" spans="3:8" ht="9" customHeight="1" x14ac:dyDescent="0.25">
      <c r="G12" s="88"/>
      <c r="H12" s="89"/>
    </row>
    <row r="13" spans="3:8" x14ac:dyDescent="0.25">
      <c r="C13" s="147" t="s">
        <v>116</v>
      </c>
      <c r="D13" s="147"/>
      <c r="E13" s="147"/>
      <c r="F13" s="142"/>
      <c r="G13" s="88"/>
      <c r="H13" s="89"/>
    </row>
    <row r="14" spans="3:8" ht="25.5" x14ac:dyDescent="0.25">
      <c r="C14" s="1" t="s">
        <v>117</v>
      </c>
      <c r="D14" s="145" t="s">
        <v>118</v>
      </c>
      <c r="E14" s="145"/>
      <c r="F14" s="46" t="s">
        <v>119</v>
      </c>
      <c r="G14" s="90"/>
      <c r="H14" s="91"/>
    </row>
    <row r="15" spans="3:8" ht="38.25" x14ac:dyDescent="0.25">
      <c r="C15" s="26" t="s">
        <v>120</v>
      </c>
      <c r="D15" s="146" t="s">
        <v>121</v>
      </c>
      <c r="E15" s="146"/>
      <c r="F15" s="62" t="s">
        <v>122</v>
      </c>
      <c r="G15" s="92"/>
      <c r="H15" s="93"/>
    </row>
    <row r="16" spans="3:8" ht="9" customHeight="1" x14ac:dyDescent="0.25">
      <c r="G16" s="88"/>
      <c r="H16" s="89"/>
    </row>
    <row r="17" spans="1:8" x14ac:dyDescent="0.25">
      <c r="C17" s="147" t="s">
        <v>123</v>
      </c>
      <c r="D17" s="147"/>
      <c r="E17" s="147"/>
      <c r="F17" s="142"/>
      <c r="G17" s="88"/>
      <c r="H17" s="89"/>
    </row>
    <row r="18" spans="1:8" ht="15.75" customHeight="1" x14ac:dyDescent="0.25">
      <c r="C18" s="145" t="s">
        <v>124</v>
      </c>
      <c r="D18" s="145"/>
      <c r="E18" s="145"/>
      <c r="F18" s="148"/>
      <c r="G18" s="88"/>
      <c r="H18" s="89"/>
    </row>
    <row r="19" spans="1:8" ht="38.25" x14ac:dyDescent="0.25">
      <c r="C19" s="3">
        <v>1</v>
      </c>
      <c r="D19" s="140" t="s">
        <v>125</v>
      </c>
      <c r="E19" s="140"/>
      <c r="F19" s="63" t="s">
        <v>120</v>
      </c>
      <c r="G19" s="94"/>
      <c r="H19" s="95"/>
    </row>
    <row r="20" spans="1:8" ht="26.25" customHeight="1" x14ac:dyDescent="0.25">
      <c r="C20" s="3">
        <v>2</v>
      </c>
      <c r="D20" s="140" t="s">
        <v>162</v>
      </c>
      <c r="E20" s="140"/>
      <c r="F20" s="64">
        <v>3420.33</v>
      </c>
      <c r="G20" s="130" t="s">
        <v>172</v>
      </c>
      <c r="H20" s="131">
        <f>(1+4.08/100)*F20</f>
        <v>3559.8794639999996</v>
      </c>
    </row>
    <row r="21" spans="1:8" ht="38.25" x14ac:dyDescent="0.25">
      <c r="C21" s="3">
        <v>3</v>
      </c>
      <c r="D21" s="140" t="s">
        <v>126</v>
      </c>
      <c r="E21" s="140"/>
      <c r="F21" s="63" t="s">
        <v>120</v>
      </c>
      <c r="G21" s="94"/>
      <c r="H21" s="95"/>
    </row>
    <row r="22" spans="1:8" x14ac:dyDescent="0.25">
      <c r="C22" s="3">
        <v>4</v>
      </c>
      <c r="D22" s="140" t="s">
        <v>127</v>
      </c>
      <c r="E22" s="140"/>
      <c r="F22" s="61" t="s">
        <v>167</v>
      </c>
      <c r="G22" s="86"/>
      <c r="H22" s="87"/>
    </row>
    <row r="23" spans="1:8" ht="9" customHeight="1" x14ac:dyDescent="0.25">
      <c r="G23" s="88"/>
      <c r="H23" s="89"/>
    </row>
    <row r="24" spans="1:8" x14ac:dyDescent="0.25">
      <c r="C24" s="146" t="s">
        <v>0</v>
      </c>
      <c r="D24" s="146"/>
      <c r="E24" s="146"/>
      <c r="F24" s="151"/>
      <c r="G24" s="88"/>
      <c r="H24" s="89"/>
    </row>
    <row r="25" spans="1:8" x14ac:dyDescent="0.25">
      <c r="C25" s="1">
        <v>1</v>
      </c>
      <c r="D25" s="7" t="s">
        <v>1</v>
      </c>
      <c r="E25" s="5" t="s">
        <v>2</v>
      </c>
      <c r="F25" s="46" t="s">
        <v>3</v>
      </c>
      <c r="G25" s="90"/>
      <c r="H25" s="91"/>
    </row>
    <row r="26" spans="1:8" x14ac:dyDescent="0.25">
      <c r="A26" s="56"/>
      <c r="B26" s="56"/>
      <c r="C26" s="57" t="s">
        <v>4</v>
      </c>
      <c r="D26" s="58" t="s">
        <v>5</v>
      </c>
      <c r="E26" s="59">
        <v>1</v>
      </c>
      <c r="F26" s="65">
        <f>F20</f>
        <v>3420.33</v>
      </c>
      <c r="G26" s="130" t="str">
        <f>G20</f>
        <v>Reajuste de 4,08%</v>
      </c>
      <c r="H26" s="132">
        <f t="shared" ref="H26" si="0">H20</f>
        <v>3559.8794639999996</v>
      </c>
    </row>
    <row r="27" spans="1:8" x14ac:dyDescent="0.25">
      <c r="A27" s="56"/>
      <c r="B27" s="56"/>
      <c r="C27" s="57" t="s">
        <v>6</v>
      </c>
      <c r="D27" s="58" t="s">
        <v>7</v>
      </c>
      <c r="E27" s="59">
        <v>0</v>
      </c>
      <c r="F27" s="66"/>
      <c r="G27" s="96"/>
      <c r="H27" s="97"/>
    </row>
    <row r="28" spans="1:8" x14ac:dyDescent="0.25">
      <c r="C28" s="3" t="s">
        <v>8</v>
      </c>
      <c r="D28" s="8" t="s">
        <v>9</v>
      </c>
      <c r="E28" s="9">
        <v>0</v>
      </c>
      <c r="F28" s="67"/>
      <c r="G28" s="96"/>
      <c r="H28" s="97"/>
    </row>
    <row r="29" spans="1:8" x14ac:dyDescent="0.25">
      <c r="C29" s="3" t="s">
        <v>10</v>
      </c>
      <c r="D29" s="8" t="s">
        <v>11</v>
      </c>
      <c r="E29" s="9">
        <v>0</v>
      </c>
      <c r="F29" s="61"/>
      <c r="G29" s="86"/>
      <c r="H29" s="87"/>
    </row>
    <row r="30" spans="1:8" x14ac:dyDescent="0.25">
      <c r="C30" s="3" t="s">
        <v>12</v>
      </c>
      <c r="D30" s="8" t="s">
        <v>13</v>
      </c>
      <c r="E30" s="9">
        <v>0</v>
      </c>
      <c r="F30" s="61"/>
      <c r="G30" s="86"/>
      <c r="H30" s="87"/>
    </row>
    <row r="31" spans="1:8" x14ac:dyDescent="0.25">
      <c r="C31" s="3" t="s">
        <v>14</v>
      </c>
      <c r="D31" s="8" t="s">
        <v>15</v>
      </c>
      <c r="E31" s="9">
        <v>0</v>
      </c>
      <c r="F31" s="61"/>
      <c r="G31" s="86"/>
      <c r="H31" s="87"/>
    </row>
    <row r="32" spans="1:8" x14ac:dyDescent="0.25">
      <c r="C32" s="3" t="s">
        <v>16</v>
      </c>
      <c r="D32" s="8" t="s">
        <v>17</v>
      </c>
      <c r="E32" s="9">
        <v>0</v>
      </c>
      <c r="F32" s="61"/>
      <c r="G32" s="86"/>
      <c r="H32" s="87"/>
    </row>
    <row r="33" spans="3:10" x14ac:dyDescent="0.25">
      <c r="C33" s="3" t="s">
        <v>18</v>
      </c>
      <c r="D33" s="8" t="s">
        <v>19</v>
      </c>
      <c r="E33" s="9">
        <v>0</v>
      </c>
      <c r="F33" s="61"/>
      <c r="G33" s="86"/>
      <c r="H33" s="87"/>
    </row>
    <row r="34" spans="3:10" x14ac:dyDescent="0.25">
      <c r="C34" s="5"/>
      <c r="D34" s="1" t="s">
        <v>20</v>
      </c>
      <c r="F34" s="68">
        <f>SUM(F26:F33)</f>
        <v>3420.33</v>
      </c>
      <c r="G34" s="98"/>
      <c r="H34" s="99">
        <f t="shared" ref="H34" si="1">SUM(H26:H33)</f>
        <v>3559.8794639999996</v>
      </c>
    </row>
    <row r="35" spans="3:10" ht="9" customHeight="1" x14ac:dyDescent="0.25">
      <c r="C35" s="11"/>
      <c r="D35" s="11"/>
      <c r="E35" s="11"/>
      <c r="F35" s="11"/>
      <c r="G35" s="100"/>
      <c r="H35" s="101"/>
    </row>
    <row r="36" spans="3:10" x14ac:dyDescent="0.25">
      <c r="C36" s="147" t="s">
        <v>21</v>
      </c>
      <c r="D36" s="147"/>
      <c r="E36" s="147"/>
      <c r="F36" s="142"/>
      <c r="G36" s="88"/>
      <c r="H36" s="89"/>
    </row>
    <row r="37" spans="3:10" ht="26.25" customHeight="1" x14ac:dyDescent="0.25">
      <c r="C37" s="1">
        <v>2</v>
      </c>
      <c r="D37" s="145" t="s">
        <v>22</v>
      </c>
      <c r="E37" s="145"/>
      <c r="F37" s="46" t="s">
        <v>3</v>
      </c>
      <c r="G37" s="90"/>
      <c r="H37" s="91"/>
    </row>
    <row r="38" spans="3:10" ht="51" x14ac:dyDescent="0.25">
      <c r="C38" s="3" t="s">
        <v>4</v>
      </c>
      <c r="D38" s="165" t="s">
        <v>161</v>
      </c>
      <c r="E38" s="165"/>
      <c r="F38" s="69">
        <f>((4+2.25)*44)-F26*6%</f>
        <v>69.780200000000008</v>
      </c>
      <c r="G38" s="102" t="s">
        <v>170</v>
      </c>
      <c r="H38" s="103">
        <f>((5+2.5)*44)-H26*6%</f>
        <v>116.40723216000004</v>
      </c>
    </row>
    <row r="39" spans="3:10" ht="25.5" x14ac:dyDescent="0.25">
      <c r="C39" s="3" t="s">
        <v>6</v>
      </c>
      <c r="D39" s="164" t="s">
        <v>23</v>
      </c>
      <c r="E39" s="164"/>
      <c r="F39" s="70">
        <f>(21*20)-(21*20*7.5%)</f>
        <v>388.5</v>
      </c>
      <c r="G39" s="102" t="s">
        <v>173</v>
      </c>
      <c r="H39" s="103">
        <f>(21*24)-(21*24*7.5%)</f>
        <v>466.2</v>
      </c>
    </row>
    <row r="40" spans="3:10" ht="38.25" x14ac:dyDescent="0.25">
      <c r="C40" s="3" t="s">
        <v>8</v>
      </c>
      <c r="D40" s="140" t="s">
        <v>109</v>
      </c>
      <c r="E40" s="140"/>
      <c r="F40" s="71">
        <f>400*50%</f>
        <v>200</v>
      </c>
      <c r="G40" s="102" t="s">
        <v>171</v>
      </c>
      <c r="H40" s="103">
        <f>400*50%</f>
        <v>200</v>
      </c>
    </row>
    <row r="41" spans="3:10" x14ac:dyDescent="0.25">
      <c r="C41" s="3" t="s">
        <v>10</v>
      </c>
      <c r="D41" s="140" t="s">
        <v>24</v>
      </c>
      <c r="E41" s="140"/>
      <c r="F41" s="71">
        <v>0</v>
      </c>
      <c r="G41" s="106"/>
      <c r="H41" s="107">
        <v>0</v>
      </c>
      <c r="J41" s="55"/>
    </row>
    <row r="42" spans="3:10" ht="33.75" customHeight="1" x14ac:dyDescent="0.25">
      <c r="C42" s="3" t="s">
        <v>12</v>
      </c>
      <c r="D42" s="140" t="s">
        <v>131</v>
      </c>
      <c r="E42" s="140"/>
      <c r="F42" s="72">
        <v>6</v>
      </c>
      <c r="G42" s="108"/>
      <c r="H42" s="109">
        <v>6</v>
      </c>
    </row>
    <row r="43" spans="3:10" x14ac:dyDescent="0.25">
      <c r="C43" s="3" t="s">
        <v>14</v>
      </c>
      <c r="D43" s="140" t="s">
        <v>25</v>
      </c>
      <c r="E43" s="140"/>
      <c r="F43" s="71">
        <v>0</v>
      </c>
      <c r="G43" s="106"/>
      <c r="H43" s="107">
        <v>0</v>
      </c>
    </row>
    <row r="44" spans="3:10" ht="29.25" customHeight="1" x14ac:dyDescent="0.25">
      <c r="C44" s="3" t="s">
        <v>16</v>
      </c>
      <c r="D44" s="140" t="s">
        <v>132</v>
      </c>
      <c r="E44" s="140"/>
      <c r="F44" s="72">
        <v>0</v>
      </c>
      <c r="G44" s="108"/>
      <c r="H44" s="109">
        <v>0</v>
      </c>
    </row>
    <row r="45" spans="3:10" ht="18" customHeight="1" x14ac:dyDescent="0.25">
      <c r="C45" s="5"/>
      <c r="D45" s="148" t="s">
        <v>26</v>
      </c>
      <c r="E45" s="162"/>
      <c r="F45" s="73">
        <f>SUM(F38:F44)</f>
        <v>664.28020000000004</v>
      </c>
      <c r="G45" s="110"/>
      <c r="H45" s="111">
        <f>SUM(H38:H44)</f>
        <v>788.60723215999997</v>
      </c>
    </row>
    <row r="46" spans="3:10" x14ac:dyDescent="0.25">
      <c r="C46" s="161" t="s">
        <v>27</v>
      </c>
      <c r="D46" s="163"/>
      <c r="E46" s="163"/>
      <c r="F46" s="163"/>
      <c r="G46" s="88"/>
      <c r="H46" s="89"/>
    </row>
    <row r="47" spans="3:10" ht="9" customHeight="1" x14ac:dyDescent="0.25">
      <c r="G47" s="88"/>
      <c r="H47" s="89"/>
    </row>
    <row r="48" spans="3:10" x14ac:dyDescent="0.25">
      <c r="C48" s="147" t="s">
        <v>28</v>
      </c>
      <c r="D48" s="147"/>
      <c r="E48" s="147"/>
      <c r="F48" s="142"/>
      <c r="G48" s="88"/>
      <c r="H48" s="89"/>
    </row>
    <row r="49" spans="3:8" x14ac:dyDescent="0.25">
      <c r="C49" s="1">
        <v>3</v>
      </c>
      <c r="D49" s="145" t="s">
        <v>29</v>
      </c>
      <c r="E49" s="145"/>
      <c r="F49" s="46" t="s">
        <v>3</v>
      </c>
      <c r="G49" s="90"/>
      <c r="H49" s="91"/>
    </row>
    <row r="50" spans="3:8" x14ac:dyDescent="0.25">
      <c r="C50" s="3" t="s">
        <v>4</v>
      </c>
      <c r="D50" s="140" t="s">
        <v>30</v>
      </c>
      <c r="E50" s="140"/>
      <c r="F50" s="72">
        <v>0</v>
      </c>
      <c r="G50" s="108"/>
      <c r="H50" s="109">
        <v>0</v>
      </c>
    </row>
    <row r="51" spans="3:8" x14ac:dyDescent="0.25">
      <c r="C51" s="3" t="s">
        <v>6</v>
      </c>
      <c r="D51" s="140" t="s">
        <v>31</v>
      </c>
      <c r="E51" s="140"/>
      <c r="F51" s="72">
        <v>0</v>
      </c>
      <c r="G51" s="108"/>
      <c r="H51" s="109">
        <v>0</v>
      </c>
    </row>
    <row r="52" spans="3:8" s="56" customFormat="1" ht="50.25" customHeight="1" x14ac:dyDescent="0.25">
      <c r="C52" s="57" t="s">
        <v>8</v>
      </c>
      <c r="D52" s="164" t="s">
        <v>32</v>
      </c>
      <c r="E52" s="164"/>
      <c r="F52" s="70">
        <v>42</v>
      </c>
      <c r="G52" s="104"/>
      <c r="H52" s="105">
        <v>42</v>
      </c>
    </row>
    <row r="53" spans="3:8" ht="26.25" customHeight="1" x14ac:dyDescent="0.25">
      <c r="C53" s="5"/>
      <c r="D53" s="145" t="s">
        <v>33</v>
      </c>
      <c r="E53" s="145"/>
      <c r="F53" s="73">
        <f>F52</f>
        <v>42</v>
      </c>
      <c r="G53" s="110"/>
      <c r="H53" s="111">
        <f>H52</f>
        <v>42</v>
      </c>
    </row>
    <row r="54" spans="3:8" ht="15.75" customHeight="1" x14ac:dyDescent="0.25">
      <c r="C54" s="160" t="s">
        <v>34</v>
      </c>
      <c r="D54" s="160"/>
      <c r="E54" s="160"/>
      <c r="F54" s="161"/>
      <c r="G54" s="88"/>
      <c r="H54" s="89"/>
    </row>
    <row r="55" spans="3:8" ht="9" customHeight="1" x14ac:dyDescent="0.25">
      <c r="G55" s="88"/>
      <c r="H55" s="89"/>
    </row>
    <row r="56" spans="3:8" x14ac:dyDescent="0.25">
      <c r="C56" s="147" t="s">
        <v>35</v>
      </c>
      <c r="D56" s="147"/>
      <c r="E56" s="147"/>
      <c r="F56" s="142"/>
      <c r="G56" s="88"/>
      <c r="H56" s="89"/>
    </row>
    <row r="57" spans="3:8" x14ac:dyDescent="0.25">
      <c r="C57" s="156" t="s">
        <v>36</v>
      </c>
      <c r="D57" s="156"/>
      <c r="E57" s="156"/>
      <c r="F57" s="157"/>
      <c r="G57" s="88"/>
      <c r="H57" s="89"/>
    </row>
    <row r="58" spans="3:8" x14ac:dyDescent="0.25">
      <c r="C58" s="1" t="s">
        <v>37</v>
      </c>
      <c r="D58" s="12" t="s">
        <v>38</v>
      </c>
      <c r="E58" s="1" t="s">
        <v>2</v>
      </c>
      <c r="F58" s="46" t="s">
        <v>3</v>
      </c>
      <c r="G58" s="90"/>
      <c r="H58" s="91"/>
    </row>
    <row r="59" spans="3:8" x14ac:dyDescent="0.25">
      <c r="C59" s="3" t="s">
        <v>4</v>
      </c>
      <c r="D59" s="8" t="s">
        <v>39</v>
      </c>
      <c r="E59" s="13">
        <v>0</v>
      </c>
      <c r="F59" s="74">
        <f>ROUNDDOWN(F$34*$E59,2)</f>
        <v>0</v>
      </c>
      <c r="G59" s="112"/>
      <c r="H59" s="113">
        <f t="shared" ref="H59" si="2">ROUNDDOWN(H$34*$E59,2)</f>
        <v>0</v>
      </c>
    </row>
    <row r="60" spans="3:8" x14ac:dyDescent="0.25">
      <c r="C60" s="3" t="s">
        <v>6</v>
      </c>
      <c r="D60" s="8" t="s">
        <v>40</v>
      </c>
      <c r="E60" s="13">
        <v>1.4999999999999999E-2</v>
      </c>
      <c r="F60" s="74">
        <f t="shared" ref="F60:H66" si="3">ROUNDDOWN(F$34*$E60,2)</f>
        <v>51.3</v>
      </c>
      <c r="G60" s="112"/>
      <c r="H60" s="113">
        <f t="shared" si="3"/>
        <v>53.39</v>
      </c>
    </row>
    <row r="61" spans="3:8" x14ac:dyDescent="0.25">
      <c r="C61" s="3" t="s">
        <v>8</v>
      </c>
      <c r="D61" s="8" t="s">
        <v>41</v>
      </c>
      <c r="E61" s="13">
        <v>0.01</v>
      </c>
      <c r="F61" s="74">
        <f t="shared" si="3"/>
        <v>34.200000000000003</v>
      </c>
      <c r="G61" s="112"/>
      <c r="H61" s="113">
        <f t="shared" si="3"/>
        <v>35.590000000000003</v>
      </c>
    </row>
    <row r="62" spans="3:8" x14ac:dyDescent="0.25">
      <c r="C62" s="3" t="s">
        <v>10</v>
      </c>
      <c r="D62" s="8" t="s">
        <v>42</v>
      </c>
      <c r="E62" s="13">
        <v>2E-3</v>
      </c>
      <c r="F62" s="74">
        <f t="shared" si="3"/>
        <v>6.84</v>
      </c>
      <c r="G62" s="112"/>
      <c r="H62" s="113">
        <f t="shared" si="3"/>
        <v>7.11</v>
      </c>
    </row>
    <row r="63" spans="3:8" x14ac:dyDescent="0.25">
      <c r="C63" s="3" t="s">
        <v>12</v>
      </c>
      <c r="D63" s="8" t="s">
        <v>43</v>
      </c>
      <c r="E63" s="13">
        <v>2.5000000000000001E-2</v>
      </c>
      <c r="F63" s="74">
        <f t="shared" si="3"/>
        <v>85.5</v>
      </c>
      <c r="G63" s="112"/>
      <c r="H63" s="113">
        <f t="shared" si="3"/>
        <v>88.99</v>
      </c>
    </row>
    <row r="64" spans="3:8" x14ac:dyDescent="0.25">
      <c r="C64" s="3" t="s">
        <v>14</v>
      </c>
      <c r="D64" s="8" t="s">
        <v>44</v>
      </c>
      <c r="E64" s="13">
        <v>0.08</v>
      </c>
      <c r="F64" s="74">
        <f t="shared" si="3"/>
        <v>273.62</v>
      </c>
      <c r="G64" s="112"/>
      <c r="H64" s="113">
        <f t="shared" si="3"/>
        <v>284.79000000000002</v>
      </c>
    </row>
    <row r="65" spans="3:8" x14ac:dyDescent="0.25">
      <c r="C65" s="3" t="s">
        <v>16</v>
      </c>
      <c r="D65" s="8" t="s">
        <v>45</v>
      </c>
      <c r="E65" s="13">
        <v>0.01</v>
      </c>
      <c r="F65" s="74">
        <f t="shared" si="3"/>
        <v>34.200000000000003</v>
      </c>
      <c r="G65" s="112"/>
      <c r="H65" s="113">
        <f t="shared" si="3"/>
        <v>35.590000000000003</v>
      </c>
    </row>
    <row r="66" spans="3:8" x14ac:dyDescent="0.25">
      <c r="C66" s="3" t="s">
        <v>18</v>
      </c>
      <c r="D66" s="8" t="s">
        <v>46</v>
      </c>
      <c r="E66" s="13">
        <v>6.0000000000000001E-3</v>
      </c>
      <c r="F66" s="74">
        <f t="shared" si="3"/>
        <v>20.52</v>
      </c>
      <c r="G66" s="112"/>
      <c r="H66" s="113">
        <f t="shared" si="3"/>
        <v>21.35</v>
      </c>
    </row>
    <row r="67" spans="3:8" x14ac:dyDescent="0.25">
      <c r="C67" s="145" t="s">
        <v>47</v>
      </c>
      <c r="D67" s="145"/>
      <c r="E67" s="14">
        <f>SUM(E59:E66)</f>
        <v>0.14800000000000002</v>
      </c>
      <c r="F67" s="75">
        <f>SUM(F59:F66)</f>
        <v>506.18</v>
      </c>
      <c r="G67" s="114"/>
      <c r="H67" s="115">
        <f>SUM(H59:H66)</f>
        <v>526.81000000000006</v>
      </c>
    </row>
    <row r="68" spans="3:8" x14ac:dyDescent="0.25">
      <c r="C68" s="152" t="s">
        <v>48</v>
      </c>
      <c r="D68" s="152"/>
      <c r="E68" s="152"/>
      <c r="F68" s="153"/>
      <c r="G68" s="88"/>
      <c r="H68" s="89"/>
    </row>
    <row r="69" spans="3:8" x14ac:dyDescent="0.25">
      <c r="C69" s="158" t="s">
        <v>49</v>
      </c>
      <c r="D69" s="158"/>
      <c r="E69" s="158"/>
      <c r="F69" s="159"/>
      <c r="G69" s="88"/>
      <c r="H69" s="89"/>
    </row>
    <row r="70" spans="3:8" ht="9" customHeight="1" x14ac:dyDescent="0.25">
      <c r="G70" s="88"/>
      <c r="H70" s="89"/>
    </row>
    <row r="71" spans="3:8" x14ac:dyDescent="0.25">
      <c r="C71" s="154" t="s">
        <v>50</v>
      </c>
      <c r="D71" s="154"/>
      <c r="E71" s="154"/>
      <c r="F71" s="155"/>
      <c r="G71" s="88"/>
      <c r="H71" s="89"/>
    </row>
    <row r="72" spans="3:8" x14ac:dyDescent="0.25">
      <c r="C72" s="1" t="s">
        <v>51</v>
      </c>
      <c r="D72" s="12" t="s">
        <v>52</v>
      </c>
      <c r="E72" s="1" t="s">
        <v>2</v>
      </c>
      <c r="F72" s="46" t="s">
        <v>3</v>
      </c>
      <c r="G72" s="90"/>
      <c r="H72" s="91"/>
    </row>
    <row r="73" spans="3:8" x14ac:dyDescent="0.25">
      <c r="C73" s="3" t="s">
        <v>4</v>
      </c>
      <c r="D73" s="8" t="s">
        <v>53</v>
      </c>
      <c r="E73" s="13">
        <f>ROUND(1/12,4)</f>
        <v>8.3299999999999999E-2</v>
      </c>
      <c r="F73" s="74">
        <f>ROUNDDOWN(F$34*$E73,2)</f>
        <v>284.91000000000003</v>
      </c>
      <c r="G73" s="112"/>
      <c r="H73" s="113">
        <f t="shared" ref="H73" si="4">ROUNDDOWN(H$34*$E73,2)</f>
        <v>296.52999999999997</v>
      </c>
    </row>
    <row r="74" spans="3:8" x14ac:dyDescent="0.25">
      <c r="C74" s="3" t="s">
        <v>6</v>
      </c>
      <c r="D74" s="8" t="s">
        <v>54</v>
      </c>
      <c r="E74" s="13">
        <f>ROUND(E73*(1/3),4)</f>
        <v>2.7799999999999998E-2</v>
      </c>
      <c r="F74" s="74">
        <f t="shared" ref="F74:H76" si="5">ROUNDDOWN(F$34*$E74,2)</f>
        <v>95.08</v>
      </c>
      <c r="G74" s="112"/>
      <c r="H74" s="113">
        <f t="shared" si="5"/>
        <v>98.96</v>
      </c>
    </row>
    <row r="75" spans="3:8" x14ac:dyDescent="0.25">
      <c r="C75" s="3"/>
      <c r="D75" s="3" t="s">
        <v>55</v>
      </c>
      <c r="E75" s="13">
        <v>0.1111</v>
      </c>
      <c r="F75" s="74">
        <f t="shared" si="5"/>
        <v>379.99</v>
      </c>
      <c r="G75" s="112"/>
      <c r="H75" s="113">
        <f t="shared" si="5"/>
        <v>395.5</v>
      </c>
    </row>
    <row r="76" spans="3:8" ht="25.5" x14ac:dyDescent="0.25">
      <c r="C76" s="3" t="s">
        <v>8</v>
      </c>
      <c r="D76" s="8" t="s">
        <v>56</v>
      </c>
      <c r="E76" s="13">
        <f>ROUND(E67*E75,4)</f>
        <v>1.6400000000000001E-2</v>
      </c>
      <c r="F76" s="74">
        <f t="shared" si="5"/>
        <v>56.09</v>
      </c>
      <c r="G76" s="112"/>
      <c r="H76" s="113">
        <f t="shared" si="5"/>
        <v>58.38</v>
      </c>
    </row>
    <row r="77" spans="3:8" x14ac:dyDescent="0.25">
      <c r="C77" s="145" t="s">
        <v>47</v>
      </c>
      <c r="D77" s="145"/>
      <c r="E77" s="16">
        <f>E75+E76</f>
        <v>0.1275</v>
      </c>
      <c r="F77" s="73">
        <f>F75+F76</f>
        <v>436.08000000000004</v>
      </c>
      <c r="G77" s="110"/>
      <c r="H77" s="111">
        <f>H75+H76</f>
        <v>453.88</v>
      </c>
    </row>
    <row r="78" spans="3:8" ht="9" customHeight="1" x14ac:dyDescent="0.25">
      <c r="G78" s="88"/>
      <c r="H78" s="89"/>
    </row>
    <row r="79" spans="3:8" x14ac:dyDescent="0.25">
      <c r="C79" s="154" t="s">
        <v>57</v>
      </c>
      <c r="D79" s="154"/>
      <c r="E79" s="154"/>
      <c r="F79" s="155"/>
      <c r="G79" s="88"/>
      <c r="H79" s="89"/>
    </row>
    <row r="80" spans="3:8" x14ac:dyDescent="0.25">
      <c r="C80" s="18" t="s">
        <v>58</v>
      </c>
      <c r="D80" s="7" t="s">
        <v>59</v>
      </c>
      <c r="E80" s="18" t="s">
        <v>2</v>
      </c>
      <c r="F80" s="76" t="s">
        <v>3</v>
      </c>
      <c r="G80" s="116"/>
      <c r="H80" s="117"/>
    </row>
    <row r="81" spans="3:8" x14ac:dyDescent="0.25">
      <c r="C81" s="3" t="s">
        <v>4</v>
      </c>
      <c r="D81" s="8" t="s">
        <v>60</v>
      </c>
      <c r="E81" s="13">
        <v>6.9999999999999999E-4</v>
      </c>
      <c r="F81" s="74">
        <f>ROUNDDOWN(F$34*$E81,2)</f>
        <v>2.39</v>
      </c>
      <c r="G81" s="112"/>
      <c r="H81" s="113">
        <f t="shared" ref="H81:H82" si="6">ROUNDDOWN(H$34*$E81,2)</f>
        <v>2.4900000000000002</v>
      </c>
    </row>
    <row r="82" spans="3:8" ht="25.5" x14ac:dyDescent="0.25">
      <c r="C82" s="3" t="s">
        <v>6</v>
      </c>
      <c r="D82" s="8" t="s">
        <v>61</v>
      </c>
      <c r="E82" s="13">
        <f>ROUND(E67*E81,4)</f>
        <v>1E-4</v>
      </c>
      <c r="F82" s="74">
        <f>ROUNDDOWN(F$34*$E82,2)</f>
        <v>0.34</v>
      </c>
      <c r="G82" s="112"/>
      <c r="H82" s="113">
        <f t="shared" si="6"/>
        <v>0.35</v>
      </c>
    </row>
    <row r="83" spans="3:8" x14ac:dyDescent="0.25">
      <c r="C83" s="145" t="s">
        <v>47</v>
      </c>
      <c r="D83" s="145"/>
      <c r="E83" s="16">
        <f>E81+E82</f>
        <v>8.0000000000000004E-4</v>
      </c>
      <c r="F83" s="73">
        <f>SUM(F81:F82)</f>
        <v>2.73</v>
      </c>
      <c r="G83" s="110"/>
      <c r="H83" s="111">
        <f t="shared" ref="H83" si="7">SUM(H81:H82)</f>
        <v>2.8400000000000003</v>
      </c>
    </row>
    <row r="84" spans="3:8" ht="9" customHeight="1" x14ac:dyDescent="0.25">
      <c r="G84" s="88"/>
      <c r="H84" s="89"/>
    </row>
    <row r="85" spans="3:8" x14ac:dyDescent="0.25">
      <c r="C85" s="147" t="s">
        <v>62</v>
      </c>
      <c r="D85" s="147"/>
      <c r="E85" s="147"/>
      <c r="F85" s="142"/>
      <c r="G85" s="88"/>
      <c r="H85" s="89"/>
    </row>
    <row r="86" spans="3:8" x14ac:dyDescent="0.25">
      <c r="C86" s="1" t="s">
        <v>63</v>
      </c>
      <c r="D86" s="12" t="s">
        <v>64</v>
      </c>
      <c r="E86" s="1" t="s">
        <v>2</v>
      </c>
      <c r="F86" s="46" t="s">
        <v>3</v>
      </c>
      <c r="G86" s="90"/>
      <c r="H86" s="91"/>
    </row>
    <row r="87" spans="3:8" ht="51" x14ac:dyDescent="0.25">
      <c r="C87" s="3" t="s">
        <v>4</v>
      </c>
      <c r="D87" s="19" t="s">
        <v>65</v>
      </c>
      <c r="E87" s="13">
        <f>ROUND(0.05*(1/12),4)</f>
        <v>4.1999999999999997E-3</v>
      </c>
      <c r="F87" s="74">
        <f>ROUNDDOWN(F$34*$E87,2)</f>
        <v>14.36</v>
      </c>
      <c r="G87" s="112"/>
      <c r="H87" s="113">
        <f t="shared" ref="H87" si="8">ROUNDDOWN(H$34*$E87,2)</f>
        <v>14.95</v>
      </c>
    </row>
    <row r="88" spans="3:8" ht="25.5" x14ac:dyDescent="0.25">
      <c r="C88" s="3" t="s">
        <v>6</v>
      </c>
      <c r="D88" s="8" t="s">
        <v>66</v>
      </c>
      <c r="E88" s="13">
        <f>ROUND(E67*E87,4)</f>
        <v>5.9999999999999995E-4</v>
      </c>
      <c r="F88" s="74">
        <f t="shared" ref="F88:H92" si="9">ROUNDDOWN(F$34*$E88,2)</f>
        <v>2.0499999999999998</v>
      </c>
      <c r="G88" s="112"/>
      <c r="H88" s="113">
        <f t="shared" si="9"/>
        <v>2.13</v>
      </c>
    </row>
    <row r="89" spans="3:8" ht="63.75" x14ac:dyDescent="0.25">
      <c r="C89" s="3" t="s">
        <v>8</v>
      </c>
      <c r="D89" s="19" t="s">
        <v>67</v>
      </c>
      <c r="E89" s="13">
        <f>ROUND(E87*0.5,4)</f>
        <v>2.0999999999999999E-3</v>
      </c>
      <c r="F89" s="74">
        <f t="shared" si="9"/>
        <v>7.18</v>
      </c>
      <c r="G89" s="112"/>
      <c r="H89" s="113">
        <f t="shared" si="9"/>
        <v>7.47</v>
      </c>
    </row>
    <row r="90" spans="3:8" ht="51" x14ac:dyDescent="0.25">
      <c r="C90" s="3" t="s">
        <v>10</v>
      </c>
      <c r="D90" s="19" t="s">
        <v>68</v>
      </c>
      <c r="E90" s="13">
        <f>ROUND(((100%/30)*7)/12,4)</f>
        <v>1.9400000000000001E-2</v>
      </c>
      <c r="F90" s="74">
        <f t="shared" si="9"/>
        <v>66.349999999999994</v>
      </c>
      <c r="G90" s="112"/>
      <c r="H90" s="113">
        <f t="shared" si="9"/>
        <v>69.06</v>
      </c>
    </row>
    <row r="91" spans="3:8" ht="25.5" x14ac:dyDescent="0.25">
      <c r="C91" s="3" t="s">
        <v>12</v>
      </c>
      <c r="D91" s="19" t="s">
        <v>69</v>
      </c>
      <c r="E91" s="13">
        <f>ROUND(E67*E90,4)</f>
        <v>2.8999999999999998E-3</v>
      </c>
      <c r="F91" s="74">
        <f t="shared" si="9"/>
        <v>9.91</v>
      </c>
      <c r="G91" s="112"/>
      <c r="H91" s="113">
        <f t="shared" si="9"/>
        <v>10.32</v>
      </c>
    </row>
    <row r="92" spans="3:8" ht="63.75" x14ac:dyDescent="0.25">
      <c r="C92" s="3" t="s">
        <v>14</v>
      </c>
      <c r="D92" s="19" t="s">
        <v>70</v>
      </c>
      <c r="E92" s="13">
        <f>ROUND(E90*0.5,4)</f>
        <v>9.7000000000000003E-3</v>
      </c>
      <c r="F92" s="74">
        <f t="shared" si="9"/>
        <v>33.17</v>
      </c>
      <c r="G92" s="112"/>
      <c r="H92" s="113">
        <f t="shared" si="9"/>
        <v>34.53</v>
      </c>
    </row>
    <row r="93" spans="3:8" x14ac:dyDescent="0.25">
      <c r="C93" s="145" t="s">
        <v>47</v>
      </c>
      <c r="D93" s="145"/>
      <c r="E93" s="16">
        <f>SUM(E87:E92)</f>
        <v>3.8900000000000004E-2</v>
      </c>
      <c r="F93" s="73">
        <f>SUM(F87:F92)</f>
        <v>133.01999999999998</v>
      </c>
      <c r="G93" s="110"/>
      <c r="H93" s="111">
        <f t="shared" ref="H93" si="10">SUM(H87:H92)</f>
        <v>138.46</v>
      </c>
    </row>
    <row r="94" spans="3:8" ht="9" customHeight="1" x14ac:dyDescent="0.25">
      <c r="G94" s="88"/>
      <c r="H94" s="89"/>
    </row>
    <row r="95" spans="3:8" x14ac:dyDescent="0.25">
      <c r="C95" s="147" t="s">
        <v>71</v>
      </c>
      <c r="D95" s="147"/>
      <c r="E95" s="147"/>
      <c r="F95" s="142"/>
      <c r="G95" s="88"/>
      <c r="H95" s="89"/>
    </row>
    <row r="96" spans="3:8" ht="25.5" x14ac:dyDescent="0.25">
      <c r="C96" s="1" t="s">
        <v>72</v>
      </c>
      <c r="D96" s="1" t="s">
        <v>73</v>
      </c>
      <c r="E96" s="1" t="s">
        <v>2</v>
      </c>
      <c r="F96" s="46" t="s">
        <v>3</v>
      </c>
      <c r="G96" s="90"/>
      <c r="H96" s="91"/>
    </row>
    <row r="97" spans="3:8" x14ac:dyDescent="0.25">
      <c r="C97" s="3" t="s">
        <v>4</v>
      </c>
      <c r="D97" s="8" t="s">
        <v>74</v>
      </c>
      <c r="E97" s="13">
        <f>ROUND((1/12),4)</f>
        <v>8.3299999999999999E-2</v>
      </c>
      <c r="F97" s="74">
        <f>ROUNDDOWN(F$34*$E97,2)</f>
        <v>284.91000000000003</v>
      </c>
      <c r="G97" s="112"/>
      <c r="H97" s="113">
        <f t="shared" ref="H97" si="11">ROUNDDOWN(H$34*$E97,2)</f>
        <v>296.52999999999997</v>
      </c>
    </row>
    <row r="98" spans="3:8" x14ac:dyDescent="0.25">
      <c r="C98" s="3" t="s">
        <v>6</v>
      </c>
      <c r="D98" s="8" t="s">
        <v>75</v>
      </c>
      <c r="E98" s="13">
        <v>1.3899999999999999E-2</v>
      </c>
      <c r="F98" s="74">
        <f t="shared" ref="F98:H104" si="12">ROUNDDOWN(F$34*$E98,2)</f>
        <v>47.54</v>
      </c>
      <c r="G98" s="112"/>
      <c r="H98" s="113">
        <f t="shared" si="12"/>
        <v>49.48</v>
      </c>
    </row>
    <row r="99" spans="3:8" x14ac:dyDescent="0.25">
      <c r="C99" s="3" t="s">
        <v>8</v>
      </c>
      <c r="D99" s="8" t="s">
        <v>76</v>
      </c>
      <c r="E99" s="13">
        <v>1.2999999999999999E-3</v>
      </c>
      <c r="F99" s="74">
        <f t="shared" si="12"/>
        <v>4.4400000000000004</v>
      </c>
      <c r="G99" s="112"/>
      <c r="H99" s="113">
        <f t="shared" si="12"/>
        <v>4.62</v>
      </c>
    </row>
    <row r="100" spans="3:8" x14ac:dyDescent="0.25">
      <c r="C100" s="3" t="s">
        <v>10</v>
      </c>
      <c r="D100" s="8" t="s">
        <v>77</v>
      </c>
      <c r="E100" s="13">
        <v>2.8E-3</v>
      </c>
      <c r="F100" s="74">
        <f t="shared" si="12"/>
        <v>9.57</v>
      </c>
      <c r="G100" s="112"/>
      <c r="H100" s="113">
        <f t="shared" si="12"/>
        <v>9.9600000000000009</v>
      </c>
    </row>
    <row r="101" spans="3:8" ht="25.5" x14ac:dyDescent="0.25">
      <c r="C101" s="3" t="s">
        <v>12</v>
      </c>
      <c r="D101" s="8" t="s">
        <v>78</v>
      </c>
      <c r="E101" s="13">
        <v>3.3E-3</v>
      </c>
      <c r="F101" s="74">
        <f t="shared" si="12"/>
        <v>11.28</v>
      </c>
      <c r="G101" s="112"/>
      <c r="H101" s="113">
        <f t="shared" si="12"/>
        <v>11.74</v>
      </c>
    </row>
    <row r="102" spans="3:8" x14ac:dyDescent="0.25">
      <c r="C102" s="3" t="s">
        <v>14</v>
      </c>
      <c r="D102" s="8" t="s">
        <v>19</v>
      </c>
      <c r="E102" s="13">
        <v>0</v>
      </c>
      <c r="F102" s="74">
        <f t="shared" si="12"/>
        <v>0</v>
      </c>
      <c r="G102" s="112"/>
      <c r="H102" s="113">
        <f t="shared" si="12"/>
        <v>0</v>
      </c>
    </row>
    <row r="103" spans="3:8" x14ac:dyDescent="0.25">
      <c r="C103" s="140" t="s">
        <v>55</v>
      </c>
      <c r="D103" s="140"/>
      <c r="E103" s="20">
        <f>ROUND(SUM(E97:E102),4)</f>
        <v>0.1046</v>
      </c>
      <c r="F103" s="74">
        <f>ROUNDDOWN(F$34*$E103,2)-0.02</f>
        <v>357.74</v>
      </c>
      <c r="G103" s="112"/>
      <c r="H103" s="113">
        <f t="shared" si="12"/>
        <v>372.36</v>
      </c>
    </row>
    <row r="104" spans="3:8" x14ac:dyDescent="0.25">
      <c r="C104" s="3" t="s">
        <v>16</v>
      </c>
      <c r="D104" s="8" t="s">
        <v>79</v>
      </c>
      <c r="E104" s="20">
        <f>ROUND(E67*E103,4)</f>
        <v>1.55E-2</v>
      </c>
      <c r="F104" s="74">
        <f t="shared" si="12"/>
        <v>53.01</v>
      </c>
      <c r="G104" s="112"/>
      <c r="H104" s="113">
        <f t="shared" si="12"/>
        <v>55.17</v>
      </c>
    </row>
    <row r="105" spans="3:8" x14ac:dyDescent="0.25">
      <c r="C105" s="145" t="s">
        <v>47</v>
      </c>
      <c r="D105" s="145"/>
      <c r="E105" s="14">
        <f>E103+E104</f>
        <v>0.1201</v>
      </c>
      <c r="F105" s="73">
        <f>F103+F104</f>
        <v>410.75</v>
      </c>
      <c r="G105" s="110"/>
      <c r="H105" s="111">
        <f t="shared" ref="H105" si="13">H103+H104</f>
        <v>427.53000000000003</v>
      </c>
    </row>
    <row r="106" spans="3:8" ht="9" customHeight="1" x14ac:dyDescent="0.25">
      <c r="G106" s="88"/>
      <c r="H106" s="89"/>
    </row>
    <row r="107" spans="3:8" x14ac:dyDescent="0.25">
      <c r="C107" s="147" t="s">
        <v>80</v>
      </c>
      <c r="D107" s="147"/>
      <c r="E107" s="147"/>
      <c r="F107" s="142"/>
      <c r="G107" s="88"/>
      <c r="H107" s="89"/>
    </row>
    <row r="108" spans="3:8" x14ac:dyDescent="0.25">
      <c r="C108" s="1">
        <v>4</v>
      </c>
      <c r="D108" s="1" t="s">
        <v>81</v>
      </c>
      <c r="E108" s="1" t="s">
        <v>2</v>
      </c>
      <c r="F108" s="46" t="s">
        <v>3</v>
      </c>
      <c r="G108" s="90"/>
      <c r="H108" s="91"/>
    </row>
    <row r="109" spans="3:8" x14ac:dyDescent="0.25">
      <c r="C109" s="3" t="s">
        <v>37</v>
      </c>
      <c r="D109" s="8" t="s">
        <v>38</v>
      </c>
      <c r="E109" s="13">
        <f>E67</f>
        <v>0.14800000000000002</v>
      </c>
      <c r="F109" s="74">
        <f>F67</f>
        <v>506.18</v>
      </c>
      <c r="G109" s="112"/>
      <c r="H109" s="113">
        <f t="shared" ref="H109" si="14">H67</f>
        <v>526.81000000000006</v>
      </c>
    </row>
    <row r="110" spans="3:8" x14ac:dyDescent="0.25">
      <c r="C110" s="3" t="s">
        <v>51</v>
      </c>
      <c r="D110" s="8" t="s">
        <v>82</v>
      </c>
      <c r="E110" s="13">
        <f>E77</f>
        <v>0.1275</v>
      </c>
      <c r="F110" s="74">
        <f>F77</f>
        <v>436.08000000000004</v>
      </c>
      <c r="G110" s="112"/>
      <c r="H110" s="113">
        <f t="shared" ref="H110" si="15">H77</f>
        <v>453.88</v>
      </c>
    </row>
    <row r="111" spans="3:8" x14ac:dyDescent="0.25">
      <c r="C111" s="3" t="s">
        <v>58</v>
      </c>
      <c r="D111" s="8" t="s">
        <v>83</v>
      </c>
      <c r="E111" s="13">
        <f>E83</f>
        <v>8.0000000000000004E-4</v>
      </c>
      <c r="F111" s="74">
        <f>F83</f>
        <v>2.73</v>
      </c>
      <c r="G111" s="112"/>
      <c r="H111" s="113">
        <f t="shared" ref="H111" si="16">H83</f>
        <v>2.8400000000000003</v>
      </c>
    </row>
    <row r="112" spans="3:8" x14ac:dyDescent="0.25">
      <c r="C112" s="3" t="s">
        <v>63</v>
      </c>
      <c r="D112" s="8" t="s">
        <v>84</v>
      </c>
      <c r="E112" s="13">
        <f>E93</f>
        <v>3.8900000000000004E-2</v>
      </c>
      <c r="F112" s="74">
        <f>F93</f>
        <v>133.01999999999998</v>
      </c>
      <c r="G112" s="112"/>
      <c r="H112" s="113">
        <f t="shared" ref="H112" si="17">H93</f>
        <v>138.46</v>
      </c>
    </row>
    <row r="113" spans="3:8" x14ac:dyDescent="0.25">
      <c r="C113" s="3" t="s">
        <v>72</v>
      </c>
      <c r="D113" s="8" t="s">
        <v>85</v>
      </c>
      <c r="E113" s="13">
        <f>E105</f>
        <v>0.1201</v>
      </c>
      <c r="F113" s="74">
        <f>F105</f>
        <v>410.75</v>
      </c>
      <c r="G113" s="112"/>
      <c r="H113" s="113">
        <f t="shared" ref="H113" si="18">H105</f>
        <v>427.53000000000003</v>
      </c>
    </row>
    <row r="114" spans="3:8" x14ac:dyDescent="0.25">
      <c r="C114" s="3" t="s">
        <v>86</v>
      </c>
      <c r="D114" s="8" t="s">
        <v>19</v>
      </c>
      <c r="E114" s="13">
        <v>0</v>
      </c>
      <c r="F114" s="74">
        <f>ROUNDDOWN(F$34*$E114,2)</f>
        <v>0</v>
      </c>
      <c r="G114" s="112"/>
      <c r="H114" s="113">
        <f t="shared" ref="H114" si="19">ROUNDDOWN(H$34*$E114,2)</f>
        <v>0</v>
      </c>
    </row>
    <row r="115" spans="3:8" x14ac:dyDescent="0.25">
      <c r="C115" s="145" t="s">
        <v>47</v>
      </c>
      <c r="D115" s="145"/>
      <c r="E115" s="14">
        <f>SUM(E109:E114)</f>
        <v>0.43530000000000002</v>
      </c>
      <c r="F115" s="75">
        <f>SUM(F109:F114)</f>
        <v>1488.76</v>
      </c>
      <c r="G115" s="114"/>
      <c r="H115" s="115">
        <f t="shared" ref="H115" si="20">SUM(H109:H114)</f>
        <v>1549.52</v>
      </c>
    </row>
    <row r="116" spans="3:8" ht="9" customHeight="1" x14ac:dyDescent="0.25">
      <c r="G116" s="88"/>
      <c r="H116" s="89"/>
    </row>
    <row r="117" spans="3:8" x14ac:dyDescent="0.25">
      <c r="C117" s="146" t="s">
        <v>87</v>
      </c>
      <c r="D117" s="146"/>
      <c r="E117" s="146"/>
      <c r="F117" s="151"/>
      <c r="G117" s="88"/>
      <c r="H117" s="89"/>
    </row>
    <row r="118" spans="3:8" x14ac:dyDescent="0.25">
      <c r="C118" s="1" t="s">
        <v>88</v>
      </c>
      <c r="D118" s="1" t="s">
        <v>89</v>
      </c>
      <c r="E118" s="1" t="s">
        <v>2</v>
      </c>
      <c r="F118" s="46" t="s">
        <v>3</v>
      </c>
      <c r="G118" s="90"/>
      <c r="H118" s="91"/>
    </row>
    <row r="119" spans="3:8" x14ac:dyDescent="0.25">
      <c r="C119" s="3" t="s">
        <v>4</v>
      </c>
      <c r="D119" s="8" t="s">
        <v>90</v>
      </c>
      <c r="E119" s="13">
        <v>0.05</v>
      </c>
      <c r="F119" s="74">
        <f>ROUNDDOWN((F$34+F$45+F$53+F$115)*$E119,4)-0.01</f>
        <v>280.75850000000003</v>
      </c>
      <c r="G119" s="112"/>
      <c r="H119" s="113">
        <f t="shared" ref="H119" si="21">ROUNDDOWN((H$34+H$45+H$53+H$115)*$E119,4)</f>
        <v>297.00029999999998</v>
      </c>
    </row>
    <row r="120" spans="3:8" x14ac:dyDescent="0.25">
      <c r="C120" s="3" t="s">
        <v>6</v>
      </c>
      <c r="D120" s="8" t="s">
        <v>91</v>
      </c>
      <c r="E120" s="13">
        <f>SUM(E121:E124)</f>
        <v>0.13150000000000001</v>
      </c>
      <c r="F120" s="74"/>
      <c r="G120" s="112"/>
      <c r="H120" s="113"/>
    </row>
    <row r="121" spans="3:8" ht="25.5" x14ac:dyDescent="0.25">
      <c r="C121" s="3"/>
      <c r="D121" s="8" t="s">
        <v>92</v>
      </c>
      <c r="E121" s="13">
        <v>3.6499999999999998E-2</v>
      </c>
      <c r="F121" s="74">
        <f>(((F$34+F$45+F$53+F$115)+F$119+F$125)/(1-$E$120))*$E121</f>
        <v>257.18394651698327</v>
      </c>
      <c r="G121" s="112"/>
      <c r="H121" s="113">
        <f t="shared" ref="H121:H124" si="22">(((H$34+H$45+H$53+H$115)+H$119+H$125)/(1-$E$120))*$E121</f>
        <v>272.05284439820377</v>
      </c>
    </row>
    <row r="122" spans="3:8" x14ac:dyDescent="0.25">
      <c r="C122" s="3"/>
      <c r="D122" s="8" t="s">
        <v>93</v>
      </c>
      <c r="E122" s="13">
        <v>0.05</v>
      </c>
      <c r="F122" s="74">
        <f>(((F$34+F$45+F$53+F$115)+F$119+F$125)/(1-$E$120))*$E122</f>
        <v>352.30677605066205</v>
      </c>
      <c r="G122" s="112"/>
      <c r="H122" s="113">
        <f t="shared" si="22"/>
        <v>372.67512931260791</v>
      </c>
    </row>
    <row r="123" spans="3:8" x14ac:dyDescent="0.25">
      <c r="C123" s="3"/>
      <c r="D123" s="8" t="s">
        <v>94</v>
      </c>
      <c r="E123" s="21"/>
      <c r="F123" s="74">
        <f>(((F$34+F$45+F$53+F$115)+F$119+F$125)/(1-$E$120))*$E123</f>
        <v>0</v>
      </c>
      <c r="G123" s="112"/>
      <c r="H123" s="113">
        <f t="shared" si="22"/>
        <v>0</v>
      </c>
    </row>
    <row r="124" spans="3:8" x14ac:dyDescent="0.25">
      <c r="C124" s="3"/>
      <c r="D124" s="8" t="s">
        <v>110</v>
      </c>
      <c r="E124" s="13">
        <v>4.4999999999999998E-2</v>
      </c>
      <c r="F124" s="74">
        <f>(((F$34+F$45+F$53+F$115)+F$119+F$125)/(1-$E$120))*$E124</f>
        <v>317.07609844559579</v>
      </c>
      <c r="G124" s="112"/>
      <c r="H124" s="113">
        <f t="shared" si="22"/>
        <v>335.40761638134711</v>
      </c>
    </row>
    <row r="125" spans="3:8" x14ac:dyDescent="0.25">
      <c r="C125" s="3" t="s">
        <v>8</v>
      </c>
      <c r="D125" s="8" t="s">
        <v>95</v>
      </c>
      <c r="E125" s="51">
        <v>3.7896079760813002E-2</v>
      </c>
      <c r="F125" s="74">
        <f>ROUND(((F$34+F$45+F$53+F$115)+F$119)*$E125,2)</f>
        <v>223.44</v>
      </c>
      <c r="G125" s="112"/>
      <c r="H125" s="113">
        <f t="shared" ref="H125" si="23">ROUND(((H$34+H$45+H$53+H$115)+H$119)*$E125,2)</f>
        <v>236.36</v>
      </c>
    </row>
    <row r="126" spans="3:8" x14ac:dyDescent="0.25">
      <c r="C126" s="5"/>
      <c r="D126" s="1" t="s">
        <v>96</v>
      </c>
      <c r="E126" s="5"/>
      <c r="F126" s="75">
        <f>SUM(F119:F125)</f>
        <v>1430.7653210132412</v>
      </c>
      <c r="G126" s="114"/>
      <c r="H126" s="115">
        <f t="shared" ref="H126" si="24">SUM(H119:H125)</f>
        <v>1513.4958900921588</v>
      </c>
    </row>
    <row r="127" spans="3:8" x14ac:dyDescent="0.25">
      <c r="C127" s="152" t="s">
        <v>97</v>
      </c>
      <c r="D127" s="152"/>
      <c r="E127" s="152"/>
      <c r="F127" s="153"/>
      <c r="G127" s="88"/>
      <c r="H127" s="89"/>
    </row>
    <row r="128" spans="3:8" x14ac:dyDescent="0.25">
      <c r="C128" s="152" t="s">
        <v>98</v>
      </c>
      <c r="D128" s="152"/>
      <c r="E128" s="152"/>
      <c r="F128" s="153"/>
      <c r="G128" s="88"/>
      <c r="H128" s="89"/>
    </row>
    <row r="129" spans="3:8" ht="9" customHeight="1" x14ac:dyDescent="0.25">
      <c r="G129" s="88"/>
      <c r="H129" s="89"/>
    </row>
    <row r="130" spans="3:8" x14ac:dyDescent="0.25">
      <c r="C130" s="147" t="s">
        <v>99</v>
      </c>
      <c r="D130" s="147"/>
      <c r="E130" s="147"/>
      <c r="F130" s="142"/>
      <c r="G130" s="88"/>
      <c r="H130" s="89"/>
    </row>
    <row r="131" spans="3:8" ht="25.5" x14ac:dyDescent="0.25">
      <c r="C131" s="7"/>
      <c r="D131" s="7" t="s">
        <v>100</v>
      </c>
      <c r="E131" s="1" t="s">
        <v>2</v>
      </c>
      <c r="F131" s="77" t="s">
        <v>101</v>
      </c>
      <c r="G131" s="118"/>
      <c r="H131" s="119"/>
    </row>
    <row r="132" spans="3:8" x14ac:dyDescent="0.25">
      <c r="C132" s="3" t="s">
        <v>4</v>
      </c>
      <c r="D132" s="8" t="s">
        <v>102</v>
      </c>
      <c r="F132" s="78">
        <f>F34</f>
        <v>3420.33</v>
      </c>
      <c r="G132" s="120"/>
      <c r="H132" s="121">
        <f t="shared" ref="H132" si="25">H34</f>
        <v>3559.8794639999996</v>
      </c>
    </row>
    <row r="133" spans="3:8" x14ac:dyDescent="0.25">
      <c r="C133" s="3" t="s">
        <v>6</v>
      </c>
      <c r="D133" s="8" t="s">
        <v>103</v>
      </c>
      <c r="F133" s="79">
        <f>F45</f>
        <v>664.28020000000004</v>
      </c>
      <c r="G133" s="122"/>
      <c r="H133" s="123">
        <f t="shared" ref="H133" si="26">H45</f>
        <v>788.60723215999997</v>
      </c>
    </row>
    <row r="134" spans="3:8" ht="25.5" x14ac:dyDescent="0.25">
      <c r="C134" s="3" t="s">
        <v>8</v>
      </c>
      <c r="D134" s="8" t="s">
        <v>104</v>
      </c>
      <c r="F134" s="80">
        <f>F53</f>
        <v>42</v>
      </c>
      <c r="G134" s="124"/>
      <c r="H134" s="125">
        <f t="shared" ref="H134" si="27">H53</f>
        <v>42</v>
      </c>
    </row>
    <row r="135" spans="3:8" x14ac:dyDescent="0.25">
      <c r="C135" s="3" t="s">
        <v>10</v>
      </c>
      <c r="D135" s="8" t="s">
        <v>105</v>
      </c>
      <c r="F135" s="78">
        <f>F115</f>
        <v>1488.76</v>
      </c>
      <c r="G135" s="120"/>
      <c r="H135" s="121">
        <f t="shared" ref="H135" si="28">H115</f>
        <v>1549.52</v>
      </c>
    </row>
    <row r="136" spans="3:8" x14ac:dyDescent="0.25">
      <c r="C136" s="140" t="s">
        <v>106</v>
      </c>
      <c r="D136" s="140"/>
      <c r="F136" s="81">
        <f>SUM(F132:F135)</f>
        <v>5615.3702000000003</v>
      </c>
      <c r="G136" s="126"/>
      <c r="H136" s="127">
        <f t="shared" ref="H136" si="29">SUM(H132:H135)</f>
        <v>5940.0066961600005</v>
      </c>
    </row>
    <row r="137" spans="3:8" x14ac:dyDescent="0.25">
      <c r="C137" s="3" t="s">
        <v>12</v>
      </c>
      <c r="D137" s="3" t="s">
        <v>107</v>
      </c>
      <c r="F137" s="78">
        <f>F126</f>
        <v>1430.7653210132412</v>
      </c>
      <c r="G137" s="120"/>
      <c r="H137" s="121">
        <f t="shared" ref="H137" si="30">H126</f>
        <v>1513.4958900921588</v>
      </c>
    </row>
    <row r="138" spans="3:8" ht="15.75" thickBot="1" x14ac:dyDescent="0.3">
      <c r="C138" s="145" t="s">
        <v>108</v>
      </c>
      <c r="D138" s="145"/>
      <c r="F138" s="68">
        <f>F136+F137</f>
        <v>7046.1355210132415</v>
      </c>
      <c r="G138" s="128"/>
      <c r="H138" s="129">
        <f t="shared" ref="H138" si="31">H136+H137</f>
        <v>7453.5025862521597</v>
      </c>
    </row>
  </sheetData>
  <mergeCells count="61">
    <mergeCell ref="D39:E39"/>
    <mergeCell ref="D40:E40"/>
    <mergeCell ref="D41:E41"/>
    <mergeCell ref="C24:F24"/>
    <mergeCell ref="C36:F36"/>
    <mergeCell ref="D37:E37"/>
    <mergeCell ref="D38:E38"/>
    <mergeCell ref="D53:E53"/>
    <mergeCell ref="C54:F54"/>
    <mergeCell ref="D42:E42"/>
    <mergeCell ref="D43:E43"/>
    <mergeCell ref="D44:E44"/>
    <mergeCell ref="D45:E45"/>
    <mergeCell ref="C46:F46"/>
    <mergeCell ref="C48:F48"/>
    <mergeCell ref="D49:E49"/>
    <mergeCell ref="D50:E50"/>
    <mergeCell ref="D51:E51"/>
    <mergeCell ref="D52:E52"/>
    <mergeCell ref="C138:D138"/>
    <mergeCell ref="C128:F128"/>
    <mergeCell ref="C130:F130"/>
    <mergeCell ref="C95:F95"/>
    <mergeCell ref="C56:F56"/>
    <mergeCell ref="C57:F57"/>
    <mergeCell ref="C67:D67"/>
    <mergeCell ref="C68:F68"/>
    <mergeCell ref="C69:F69"/>
    <mergeCell ref="C71:F71"/>
    <mergeCell ref="C77:D77"/>
    <mergeCell ref="C79:F79"/>
    <mergeCell ref="C83:D83"/>
    <mergeCell ref="C85:F85"/>
    <mergeCell ref="C93:D93"/>
    <mergeCell ref="C136:D136"/>
    <mergeCell ref="C103:D103"/>
    <mergeCell ref="C105:D105"/>
    <mergeCell ref="C107:F107"/>
    <mergeCell ref="C115:D115"/>
    <mergeCell ref="C117:F117"/>
    <mergeCell ref="C127:F127"/>
    <mergeCell ref="D22:E22"/>
    <mergeCell ref="C2:D2"/>
    <mergeCell ref="C3:D3"/>
    <mergeCell ref="C4:D4"/>
    <mergeCell ref="C7:E7"/>
    <mergeCell ref="D14:E14"/>
    <mergeCell ref="D15:E15"/>
    <mergeCell ref="C13:F13"/>
    <mergeCell ref="C17:F17"/>
    <mergeCell ref="C18:F18"/>
    <mergeCell ref="C6:F6"/>
    <mergeCell ref="D8:E8"/>
    <mergeCell ref="D9:E9"/>
    <mergeCell ref="D10:E10"/>
    <mergeCell ref="D11:E11"/>
    <mergeCell ref="G4:H4"/>
    <mergeCell ref="G5:H6"/>
    <mergeCell ref="D19:E19"/>
    <mergeCell ref="D20:E20"/>
    <mergeCell ref="D21:E21"/>
  </mergeCells>
  <printOptions horizontalCentered="1"/>
  <pageMargins left="0.11811023622047245" right="0.11811023622047245" top="0.19685039370078741" bottom="0.19685039370078741" header="0.11811023622047245" footer="0.11811023622047245"/>
  <pageSetup paperSize="9" scale="66" orientation="portrait" r:id="rId1"/>
  <rowBreaks count="1" manualBreakCount="1">
    <brk id="70" min="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38"/>
  <sheetViews>
    <sheetView showGridLines="0" view="pageBreakPreview" topLeftCell="D1" zoomScale="110" zoomScaleNormal="93" zoomScaleSheetLayoutView="110" workbookViewId="0">
      <selection activeCell="F143" sqref="F143"/>
    </sheetView>
  </sheetViews>
  <sheetFormatPr defaultRowHeight="15" x14ac:dyDescent="0.25"/>
  <cols>
    <col min="3" max="3" width="30.85546875" customWidth="1"/>
    <col min="4" max="4" width="45.7109375" customWidth="1"/>
    <col min="5" max="5" width="13.7109375" customWidth="1"/>
    <col min="6" max="6" width="31.28515625" customWidth="1"/>
    <col min="7" max="7" width="17.5703125" customWidth="1"/>
    <col min="8" max="8" width="19.28515625" customWidth="1"/>
  </cols>
  <sheetData>
    <row r="2" spans="3:8" ht="15.75" x14ac:dyDescent="0.25">
      <c r="C2" s="141" t="s">
        <v>128</v>
      </c>
      <c r="D2" s="141"/>
    </row>
    <row r="3" spans="3:8" ht="16.5" thickBot="1" x14ac:dyDescent="0.3">
      <c r="C3" s="141" t="s">
        <v>129</v>
      </c>
      <c r="D3" s="141"/>
    </row>
    <row r="4" spans="3:8" ht="15.75" customHeight="1" x14ac:dyDescent="0.25">
      <c r="C4" s="141" t="s">
        <v>130</v>
      </c>
      <c r="D4" s="141"/>
      <c r="G4" s="134" t="s">
        <v>169</v>
      </c>
      <c r="H4" s="135"/>
    </row>
    <row r="5" spans="3:8" ht="15" customHeight="1" x14ac:dyDescent="0.25">
      <c r="G5" s="136" t="s">
        <v>168</v>
      </c>
      <c r="H5" s="137"/>
    </row>
    <row r="6" spans="3:8" x14ac:dyDescent="0.25">
      <c r="C6" s="149" t="s">
        <v>111</v>
      </c>
      <c r="D6" s="149"/>
      <c r="E6" s="149"/>
      <c r="F6" s="149"/>
      <c r="G6" s="138"/>
      <c r="H6" s="139"/>
    </row>
    <row r="7" spans="3:8" x14ac:dyDescent="0.25">
      <c r="C7" s="142"/>
      <c r="D7" s="143"/>
      <c r="E7" s="144"/>
      <c r="F7" s="25"/>
      <c r="G7" s="82"/>
      <c r="H7" s="83"/>
    </row>
    <row r="8" spans="3:8" x14ac:dyDescent="0.25">
      <c r="C8" s="4" t="s">
        <v>4</v>
      </c>
      <c r="D8" s="140" t="s">
        <v>112</v>
      </c>
      <c r="E8" s="140"/>
      <c r="F8" s="29">
        <v>42685</v>
      </c>
      <c r="G8" s="84"/>
      <c r="H8" s="85">
        <v>42965</v>
      </c>
    </row>
    <row r="9" spans="3:8" x14ac:dyDescent="0.25">
      <c r="C9" s="4" t="s">
        <v>6</v>
      </c>
      <c r="D9" s="140" t="s">
        <v>113</v>
      </c>
      <c r="E9" s="140"/>
      <c r="F9" s="4" t="s">
        <v>114</v>
      </c>
      <c r="G9" s="86"/>
      <c r="H9" s="87" t="s">
        <v>114</v>
      </c>
    </row>
    <row r="10" spans="3:8" ht="31.5" customHeight="1" x14ac:dyDescent="0.25">
      <c r="C10" s="4" t="s">
        <v>8</v>
      </c>
      <c r="D10" s="140" t="s">
        <v>165</v>
      </c>
      <c r="E10" s="140"/>
      <c r="F10" s="4" t="s">
        <v>166</v>
      </c>
      <c r="G10" s="86"/>
      <c r="H10" s="87" t="s">
        <v>164</v>
      </c>
    </row>
    <row r="11" spans="3:8" x14ac:dyDescent="0.25">
      <c r="C11" s="4" t="s">
        <v>10</v>
      </c>
      <c r="D11" s="140" t="s">
        <v>115</v>
      </c>
      <c r="E11" s="140"/>
      <c r="F11" s="4">
        <v>12</v>
      </c>
      <c r="G11" s="86"/>
      <c r="H11" s="87">
        <v>12</v>
      </c>
    </row>
    <row r="12" spans="3:8" ht="9" customHeight="1" x14ac:dyDescent="0.25">
      <c r="G12" s="88"/>
      <c r="H12" s="89"/>
    </row>
    <row r="13" spans="3:8" x14ac:dyDescent="0.25">
      <c r="C13" s="147" t="s">
        <v>116</v>
      </c>
      <c r="D13" s="147"/>
      <c r="E13" s="147"/>
      <c r="F13" s="147"/>
      <c r="G13" s="88"/>
      <c r="H13" s="89"/>
    </row>
    <row r="14" spans="3:8" ht="25.5" x14ac:dyDescent="0.25">
      <c r="C14" s="2" t="s">
        <v>117</v>
      </c>
      <c r="D14" s="145" t="s">
        <v>118</v>
      </c>
      <c r="E14" s="145"/>
      <c r="F14" s="2" t="s">
        <v>119</v>
      </c>
      <c r="G14" s="90"/>
      <c r="H14" s="91"/>
    </row>
    <row r="15" spans="3:8" ht="38.25" x14ac:dyDescent="0.25">
      <c r="C15" s="26" t="s">
        <v>133</v>
      </c>
      <c r="D15" s="146" t="s">
        <v>121</v>
      </c>
      <c r="E15" s="146"/>
      <c r="F15" s="27" t="s">
        <v>122</v>
      </c>
      <c r="G15" s="92"/>
      <c r="H15" s="93"/>
    </row>
    <row r="16" spans="3:8" ht="9" customHeight="1" x14ac:dyDescent="0.25">
      <c r="G16" s="88"/>
      <c r="H16" s="89"/>
    </row>
    <row r="17" spans="3:8" x14ac:dyDescent="0.25">
      <c r="C17" s="147" t="s">
        <v>123</v>
      </c>
      <c r="D17" s="147"/>
      <c r="E17" s="147"/>
      <c r="F17" s="147"/>
      <c r="G17" s="88"/>
      <c r="H17" s="89"/>
    </row>
    <row r="18" spans="3:8" ht="15.75" customHeight="1" x14ac:dyDescent="0.25">
      <c r="C18" s="145" t="s">
        <v>124</v>
      </c>
      <c r="D18" s="145"/>
      <c r="E18" s="145"/>
      <c r="F18" s="145"/>
      <c r="G18" s="88"/>
      <c r="H18" s="89"/>
    </row>
    <row r="19" spans="3:8" ht="38.25" x14ac:dyDescent="0.25">
      <c r="C19" s="4">
        <v>1</v>
      </c>
      <c r="D19" s="140" t="s">
        <v>125</v>
      </c>
      <c r="E19" s="140"/>
      <c r="F19" s="26" t="s">
        <v>120</v>
      </c>
      <c r="G19" s="94"/>
      <c r="H19" s="95"/>
    </row>
    <row r="20" spans="3:8" ht="26.25" customHeight="1" x14ac:dyDescent="0.25">
      <c r="C20" s="4">
        <v>2</v>
      </c>
      <c r="D20" s="140" t="s">
        <v>162</v>
      </c>
      <c r="E20" s="140"/>
      <c r="F20" s="28">
        <v>2162.86</v>
      </c>
      <c r="G20" s="130" t="s">
        <v>172</v>
      </c>
      <c r="H20" s="131">
        <f>(1+4.08/100)*F20</f>
        <v>2251.1046879999999</v>
      </c>
    </row>
    <row r="21" spans="3:8" ht="38.25" x14ac:dyDescent="0.25">
      <c r="C21" s="4">
        <v>3</v>
      </c>
      <c r="D21" s="140" t="s">
        <v>126</v>
      </c>
      <c r="E21" s="140"/>
      <c r="F21" s="26" t="s">
        <v>133</v>
      </c>
      <c r="G21" s="94"/>
      <c r="H21" s="95"/>
    </row>
    <row r="22" spans="3:8" x14ac:dyDescent="0.25">
      <c r="C22" s="4">
        <v>4</v>
      </c>
      <c r="D22" s="140" t="s">
        <v>127</v>
      </c>
      <c r="E22" s="140"/>
      <c r="F22" s="4" t="s">
        <v>163</v>
      </c>
      <c r="G22" s="86"/>
      <c r="H22" s="87"/>
    </row>
    <row r="23" spans="3:8" ht="9" customHeight="1" x14ac:dyDescent="0.25">
      <c r="G23" s="88"/>
      <c r="H23" s="89"/>
    </row>
    <row r="24" spans="3:8" x14ac:dyDescent="0.25">
      <c r="C24" s="146" t="s">
        <v>0</v>
      </c>
      <c r="D24" s="146"/>
      <c r="E24" s="146"/>
      <c r="F24" s="146"/>
      <c r="G24" s="88"/>
      <c r="H24" s="89"/>
    </row>
    <row r="25" spans="3:8" x14ac:dyDescent="0.25">
      <c r="C25" s="2">
        <v>1</v>
      </c>
      <c r="D25" s="7" t="s">
        <v>1</v>
      </c>
      <c r="E25" s="5" t="s">
        <v>2</v>
      </c>
      <c r="F25" s="2" t="s">
        <v>3</v>
      </c>
      <c r="G25" s="90"/>
      <c r="H25" s="91"/>
    </row>
    <row r="26" spans="3:8" x14ac:dyDescent="0.25">
      <c r="C26" s="4" t="s">
        <v>4</v>
      </c>
      <c r="D26" s="8" t="s">
        <v>5</v>
      </c>
      <c r="E26" s="9">
        <v>1</v>
      </c>
      <c r="F26" s="23">
        <f>F20</f>
        <v>2162.86</v>
      </c>
      <c r="G26" s="130" t="str">
        <f>G20</f>
        <v>Reajuste de 4,08%</v>
      </c>
      <c r="H26" s="132">
        <f>H20</f>
        <v>2251.1046879999999</v>
      </c>
    </row>
    <row r="27" spans="3:8" x14ac:dyDescent="0.25">
      <c r="C27" s="4" t="s">
        <v>6</v>
      </c>
      <c r="D27" s="8" t="s">
        <v>7</v>
      </c>
      <c r="E27" s="9">
        <v>0</v>
      </c>
      <c r="F27" s="10"/>
      <c r="G27" s="96"/>
      <c r="H27" s="97"/>
    </row>
    <row r="28" spans="3:8" x14ac:dyDescent="0.25">
      <c r="C28" s="4" t="s">
        <v>8</v>
      </c>
      <c r="D28" s="8" t="s">
        <v>9</v>
      </c>
      <c r="E28" s="9">
        <v>0</v>
      </c>
      <c r="F28" s="10"/>
      <c r="G28" s="96"/>
      <c r="H28" s="97"/>
    </row>
    <row r="29" spans="3:8" x14ac:dyDescent="0.25">
      <c r="C29" s="4" t="s">
        <v>10</v>
      </c>
      <c r="D29" s="8" t="s">
        <v>11</v>
      </c>
      <c r="E29" s="9">
        <v>0</v>
      </c>
      <c r="F29" s="4"/>
      <c r="G29" s="86"/>
      <c r="H29" s="87"/>
    </row>
    <row r="30" spans="3:8" x14ac:dyDescent="0.25">
      <c r="C30" s="4" t="s">
        <v>12</v>
      </c>
      <c r="D30" s="8" t="s">
        <v>13</v>
      </c>
      <c r="E30" s="9">
        <v>0</v>
      </c>
      <c r="F30" s="4"/>
      <c r="G30" s="86"/>
      <c r="H30" s="87"/>
    </row>
    <row r="31" spans="3:8" x14ac:dyDescent="0.25">
      <c r="C31" s="4" t="s">
        <v>14</v>
      </c>
      <c r="D31" s="8" t="s">
        <v>15</v>
      </c>
      <c r="E31" s="9">
        <v>0</v>
      </c>
      <c r="F31" s="4"/>
      <c r="G31" s="86"/>
      <c r="H31" s="87"/>
    </row>
    <row r="32" spans="3:8" x14ac:dyDescent="0.25">
      <c r="C32" s="4" t="s">
        <v>16</v>
      </c>
      <c r="D32" s="8" t="s">
        <v>17</v>
      </c>
      <c r="E32" s="9">
        <v>0</v>
      </c>
      <c r="F32" s="4"/>
      <c r="G32" s="86"/>
      <c r="H32" s="87"/>
    </row>
    <row r="33" spans="3:8" x14ac:dyDescent="0.25">
      <c r="C33" s="4" t="s">
        <v>18</v>
      </c>
      <c r="D33" s="8" t="s">
        <v>19</v>
      </c>
      <c r="E33" s="9">
        <v>0</v>
      </c>
      <c r="F33" s="4"/>
      <c r="G33" s="86"/>
      <c r="H33" s="87"/>
    </row>
    <row r="34" spans="3:8" x14ac:dyDescent="0.25">
      <c r="C34" s="5"/>
      <c r="D34" s="2" t="s">
        <v>20</v>
      </c>
      <c r="E34" s="166">
        <f>SUM(F26:F33)</f>
        <v>2162.86</v>
      </c>
      <c r="F34" s="166"/>
      <c r="G34" s="98"/>
      <c r="H34" s="99">
        <f t="shared" ref="H34" si="0">SUM(H26:H33)</f>
        <v>2251.1046879999999</v>
      </c>
    </row>
    <row r="35" spans="3:8" ht="9" customHeight="1" x14ac:dyDescent="0.25">
      <c r="C35" s="11"/>
      <c r="D35" s="11"/>
      <c r="E35" s="11"/>
      <c r="F35" s="11"/>
      <c r="G35" s="100"/>
      <c r="H35" s="101"/>
    </row>
    <row r="36" spans="3:8" x14ac:dyDescent="0.25">
      <c r="C36" s="147" t="s">
        <v>21</v>
      </c>
      <c r="D36" s="147"/>
      <c r="E36" s="147"/>
      <c r="F36" s="147"/>
      <c r="G36" s="88"/>
      <c r="H36" s="89"/>
    </row>
    <row r="37" spans="3:8" ht="26.25" customHeight="1" x14ac:dyDescent="0.25">
      <c r="C37" s="2">
        <v>2</v>
      </c>
      <c r="D37" s="145" t="s">
        <v>22</v>
      </c>
      <c r="E37" s="145"/>
      <c r="F37" s="2" t="s">
        <v>3</v>
      </c>
      <c r="G37" s="90"/>
      <c r="H37" s="91"/>
    </row>
    <row r="38" spans="3:8" ht="52.5" customHeight="1" x14ac:dyDescent="0.25">
      <c r="C38" s="4" t="s">
        <v>4</v>
      </c>
      <c r="D38" s="140" t="s">
        <v>161</v>
      </c>
      <c r="E38" s="140"/>
      <c r="F38" s="24">
        <f>ROUNDDOWN(((4+2.25)*44)-F26*6%,4)-0.01</f>
        <v>145.2184</v>
      </c>
      <c r="G38" s="102" t="s">
        <v>170</v>
      </c>
      <c r="H38" s="103">
        <f>((5+2.5)*44)-H26*6%</f>
        <v>194.93371872</v>
      </c>
    </row>
    <row r="39" spans="3:8" ht="28.5" customHeight="1" x14ac:dyDescent="0.25">
      <c r="C39" s="4" t="s">
        <v>6</v>
      </c>
      <c r="D39" s="140" t="s">
        <v>23</v>
      </c>
      <c r="E39" s="140"/>
      <c r="F39" s="24">
        <f>ROUNDDOWN((21*20)-(21*20*5%),4)</f>
        <v>399</v>
      </c>
      <c r="G39" s="102" t="s">
        <v>173</v>
      </c>
      <c r="H39" s="103">
        <f>(21*24)-(21*24*5%)</f>
        <v>478.8</v>
      </c>
    </row>
    <row r="40" spans="3:8" ht="30" customHeight="1" x14ac:dyDescent="0.25">
      <c r="C40" s="4" t="s">
        <v>8</v>
      </c>
      <c r="D40" s="140" t="s">
        <v>134</v>
      </c>
      <c r="E40" s="140"/>
      <c r="F40" s="24">
        <f>400*60%</f>
        <v>240</v>
      </c>
      <c r="G40" s="102" t="s">
        <v>174</v>
      </c>
      <c r="H40" s="103">
        <f>400*60%</f>
        <v>240</v>
      </c>
    </row>
    <row r="41" spans="3:8" x14ac:dyDescent="0.25">
      <c r="C41" s="4" t="s">
        <v>10</v>
      </c>
      <c r="D41" s="140" t="s">
        <v>24</v>
      </c>
      <c r="E41" s="140"/>
      <c r="F41" s="24">
        <v>0</v>
      </c>
      <c r="G41" s="106"/>
      <c r="H41" s="107">
        <v>0</v>
      </c>
    </row>
    <row r="42" spans="3:8" ht="33.75" customHeight="1" x14ac:dyDescent="0.25">
      <c r="C42" s="4" t="s">
        <v>12</v>
      </c>
      <c r="D42" s="140" t="s">
        <v>131</v>
      </c>
      <c r="E42" s="140"/>
      <c r="F42" s="30">
        <v>6</v>
      </c>
      <c r="G42" s="108"/>
      <c r="H42" s="109">
        <v>6</v>
      </c>
    </row>
    <row r="43" spans="3:8" x14ac:dyDescent="0.25">
      <c r="C43" s="4" t="s">
        <v>14</v>
      </c>
      <c r="D43" s="140" t="s">
        <v>25</v>
      </c>
      <c r="E43" s="140"/>
      <c r="F43" s="24">
        <v>0</v>
      </c>
      <c r="G43" s="106"/>
      <c r="H43" s="107">
        <v>0</v>
      </c>
    </row>
    <row r="44" spans="3:8" ht="29.25" customHeight="1" x14ac:dyDescent="0.25">
      <c r="C44" s="4" t="s">
        <v>16</v>
      </c>
      <c r="D44" s="140" t="s">
        <v>132</v>
      </c>
      <c r="E44" s="140"/>
      <c r="F44" s="30">
        <v>0</v>
      </c>
      <c r="G44" s="108"/>
      <c r="H44" s="109">
        <v>0</v>
      </c>
    </row>
    <row r="45" spans="3:8" ht="18" customHeight="1" x14ac:dyDescent="0.25">
      <c r="C45" s="5"/>
      <c r="D45" s="148" t="s">
        <v>26</v>
      </c>
      <c r="E45" s="162"/>
      <c r="F45" s="17">
        <f>SUM(F38:F44)</f>
        <v>790.21839999999997</v>
      </c>
      <c r="G45" s="110"/>
      <c r="H45" s="111">
        <f>SUM(H38:H44)</f>
        <v>919.73371872000007</v>
      </c>
    </row>
    <row r="46" spans="3:8" x14ac:dyDescent="0.25">
      <c r="C46" s="161" t="s">
        <v>27</v>
      </c>
      <c r="D46" s="163"/>
      <c r="E46" s="163"/>
      <c r="F46" s="167"/>
      <c r="G46" s="88"/>
      <c r="H46" s="89"/>
    </row>
    <row r="47" spans="3:8" ht="9" customHeight="1" x14ac:dyDescent="0.25">
      <c r="G47" s="88"/>
      <c r="H47" s="89"/>
    </row>
    <row r="48" spans="3:8" x14ac:dyDescent="0.25">
      <c r="C48" s="147" t="s">
        <v>28</v>
      </c>
      <c r="D48" s="147"/>
      <c r="E48" s="147"/>
      <c r="F48" s="147"/>
      <c r="G48" s="88"/>
      <c r="H48" s="89"/>
    </row>
    <row r="49" spans="3:8" x14ac:dyDescent="0.25">
      <c r="C49" s="2">
        <v>3</v>
      </c>
      <c r="D49" s="145" t="s">
        <v>29</v>
      </c>
      <c r="E49" s="145"/>
      <c r="F49" s="2" t="s">
        <v>3</v>
      </c>
      <c r="G49" s="90"/>
      <c r="H49" s="91"/>
    </row>
    <row r="50" spans="3:8" x14ac:dyDescent="0.25">
      <c r="C50" s="4" t="s">
        <v>4</v>
      </c>
      <c r="D50" s="140" t="s">
        <v>30</v>
      </c>
      <c r="E50" s="140"/>
      <c r="F50" s="6"/>
      <c r="G50" s="108"/>
      <c r="H50" s="109">
        <v>0</v>
      </c>
    </row>
    <row r="51" spans="3:8" x14ac:dyDescent="0.25">
      <c r="C51" s="4" t="s">
        <v>6</v>
      </c>
      <c r="D51" s="140" t="s">
        <v>31</v>
      </c>
      <c r="E51" s="140"/>
      <c r="F51" s="6"/>
      <c r="G51" s="108"/>
      <c r="H51" s="109">
        <v>0</v>
      </c>
    </row>
    <row r="52" spans="3:8" ht="50.25" customHeight="1" x14ac:dyDescent="0.25">
      <c r="C52" s="4" t="s">
        <v>8</v>
      </c>
      <c r="D52" s="140" t="s">
        <v>32</v>
      </c>
      <c r="E52" s="140"/>
      <c r="F52" s="30">
        <v>42</v>
      </c>
      <c r="G52" s="104"/>
      <c r="H52" s="105">
        <v>42</v>
      </c>
    </row>
    <row r="53" spans="3:8" ht="26.25" customHeight="1" x14ac:dyDescent="0.25">
      <c r="C53" s="5"/>
      <c r="D53" s="145" t="s">
        <v>33</v>
      </c>
      <c r="E53" s="145"/>
      <c r="F53" s="52">
        <f>F52</f>
        <v>42</v>
      </c>
      <c r="G53" s="110"/>
      <c r="H53" s="111">
        <f>H52</f>
        <v>42</v>
      </c>
    </row>
    <row r="54" spans="3:8" ht="15.75" customHeight="1" x14ac:dyDescent="0.25">
      <c r="C54" s="160" t="s">
        <v>34</v>
      </c>
      <c r="D54" s="160"/>
      <c r="E54" s="160"/>
      <c r="F54" s="160"/>
      <c r="G54" s="88"/>
      <c r="H54" s="89"/>
    </row>
    <row r="55" spans="3:8" ht="9" customHeight="1" x14ac:dyDescent="0.25">
      <c r="G55" s="88"/>
      <c r="H55" s="89"/>
    </row>
    <row r="56" spans="3:8" x14ac:dyDescent="0.25">
      <c r="C56" s="147" t="s">
        <v>35</v>
      </c>
      <c r="D56" s="147"/>
      <c r="E56" s="147"/>
      <c r="F56" s="147"/>
      <c r="G56" s="88"/>
      <c r="H56" s="89"/>
    </row>
    <row r="57" spans="3:8" x14ac:dyDescent="0.25">
      <c r="C57" s="156" t="s">
        <v>36</v>
      </c>
      <c r="D57" s="156"/>
      <c r="E57" s="156"/>
      <c r="F57" s="156"/>
      <c r="G57" s="88"/>
      <c r="H57" s="89"/>
    </row>
    <row r="58" spans="3:8" x14ac:dyDescent="0.25">
      <c r="C58" s="2" t="s">
        <v>37</v>
      </c>
      <c r="D58" s="12" t="s">
        <v>38</v>
      </c>
      <c r="E58" s="2" t="s">
        <v>2</v>
      </c>
      <c r="F58" s="2" t="s">
        <v>3</v>
      </c>
      <c r="G58" s="90"/>
      <c r="H58" s="91"/>
    </row>
    <row r="59" spans="3:8" x14ac:dyDescent="0.25">
      <c r="C59" s="4" t="s">
        <v>4</v>
      </c>
      <c r="D59" s="8" t="s">
        <v>39</v>
      </c>
      <c r="E59" s="13">
        <v>0</v>
      </c>
      <c r="F59" s="22">
        <f>ROUNDDOWN($E$34*E59,4)</f>
        <v>0</v>
      </c>
      <c r="G59" s="112"/>
      <c r="H59" s="113">
        <f>ROUNDDOWN(H$34*$E59,2)</f>
        <v>0</v>
      </c>
    </row>
    <row r="60" spans="3:8" x14ac:dyDescent="0.25">
      <c r="C60" s="4" t="s">
        <v>6</v>
      </c>
      <c r="D60" s="8" t="s">
        <v>40</v>
      </c>
      <c r="E60" s="13">
        <v>1.4999999999999999E-2</v>
      </c>
      <c r="F60" s="44">
        <f t="shared" ref="F60:F63" si="1">ROUNDDOWN($E$34*E60,4)</f>
        <v>32.442900000000002</v>
      </c>
      <c r="G60" s="112"/>
      <c r="H60" s="113">
        <f t="shared" ref="H60:H66" si="2">ROUNDDOWN(H$34*$E60,2)</f>
        <v>33.76</v>
      </c>
    </row>
    <row r="61" spans="3:8" x14ac:dyDescent="0.25">
      <c r="C61" s="4" t="s">
        <v>8</v>
      </c>
      <c r="D61" s="8" t="s">
        <v>41</v>
      </c>
      <c r="E61" s="13">
        <v>0.01</v>
      </c>
      <c r="F61" s="44">
        <f>ROUNDDOWN($E$34*E61,4)-0.01</f>
        <v>21.618599999999997</v>
      </c>
      <c r="G61" s="112"/>
      <c r="H61" s="113">
        <f t="shared" si="2"/>
        <v>22.51</v>
      </c>
    </row>
    <row r="62" spans="3:8" x14ac:dyDescent="0.25">
      <c r="C62" s="4" t="s">
        <v>10</v>
      </c>
      <c r="D62" s="8" t="s">
        <v>42</v>
      </c>
      <c r="E62" s="13">
        <v>2E-3</v>
      </c>
      <c r="F62" s="44">
        <f>ROUNDDOWN($E$34*E62,4)</f>
        <v>4.3257000000000003</v>
      </c>
      <c r="G62" s="112"/>
      <c r="H62" s="113">
        <f t="shared" si="2"/>
        <v>4.5</v>
      </c>
    </row>
    <row r="63" spans="3:8" x14ac:dyDescent="0.25">
      <c r="C63" s="4" t="s">
        <v>12</v>
      </c>
      <c r="D63" s="8" t="s">
        <v>43</v>
      </c>
      <c r="E63" s="13">
        <v>2.5000000000000001E-2</v>
      </c>
      <c r="F63" s="44">
        <f t="shared" si="1"/>
        <v>54.0715</v>
      </c>
      <c r="G63" s="112"/>
      <c r="H63" s="113">
        <f t="shared" si="2"/>
        <v>56.27</v>
      </c>
    </row>
    <row r="64" spans="3:8" x14ac:dyDescent="0.25">
      <c r="C64" s="4" t="s">
        <v>14</v>
      </c>
      <c r="D64" s="8" t="s">
        <v>44</v>
      </c>
      <c r="E64" s="13">
        <v>0.08</v>
      </c>
      <c r="F64" s="44">
        <f>ROUNDDOWN($E$34*E64,4)-0.01</f>
        <v>173.0188</v>
      </c>
      <c r="G64" s="112"/>
      <c r="H64" s="113">
        <f t="shared" si="2"/>
        <v>180.08</v>
      </c>
    </row>
    <row r="65" spans="3:8" x14ac:dyDescent="0.25">
      <c r="C65" s="4" t="s">
        <v>16</v>
      </c>
      <c r="D65" s="8" t="s">
        <v>45</v>
      </c>
      <c r="E65" s="13">
        <v>0.01</v>
      </c>
      <c r="F65" s="44">
        <f>ROUNDDOWN($E$34*E65,4)-0.01</f>
        <v>21.618599999999997</v>
      </c>
      <c r="G65" s="112"/>
      <c r="H65" s="113">
        <f t="shared" si="2"/>
        <v>22.51</v>
      </c>
    </row>
    <row r="66" spans="3:8" x14ac:dyDescent="0.25">
      <c r="C66" s="4" t="s">
        <v>18</v>
      </c>
      <c r="D66" s="8" t="s">
        <v>46</v>
      </c>
      <c r="E66" s="13">
        <v>6.0000000000000001E-3</v>
      </c>
      <c r="F66" s="44">
        <f>ROUNDDOWN($E$34*E66,4)-0.01</f>
        <v>12.9671</v>
      </c>
      <c r="G66" s="112"/>
      <c r="H66" s="113">
        <f t="shared" si="2"/>
        <v>13.5</v>
      </c>
    </row>
    <row r="67" spans="3:8" x14ac:dyDescent="0.25">
      <c r="C67" s="145" t="s">
        <v>47</v>
      </c>
      <c r="D67" s="145"/>
      <c r="E67" s="14">
        <f>SUM(E59:E66)</f>
        <v>0.14800000000000002</v>
      </c>
      <c r="F67" s="15">
        <f>SUM(F59:F66)</f>
        <v>320.06319999999999</v>
      </c>
      <c r="G67" s="114"/>
      <c r="H67" s="115">
        <f>SUM(H59:H66)</f>
        <v>333.13</v>
      </c>
    </row>
    <row r="68" spans="3:8" x14ac:dyDescent="0.25">
      <c r="C68" s="152" t="s">
        <v>48</v>
      </c>
      <c r="D68" s="152"/>
      <c r="E68" s="152"/>
      <c r="F68" s="152"/>
      <c r="G68" s="88"/>
      <c r="H68" s="89"/>
    </row>
    <row r="69" spans="3:8" x14ac:dyDescent="0.25">
      <c r="C69" s="158" t="s">
        <v>49</v>
      </c>
      <c r="D69" s="158"/>
      <c r="E69" s="158"/>
      <c r="F69" s="158"/>
      <c r="G69" s="88"/>
      <c r="H69" s="89"/>
    </row>
    <row r="70" spans="3:8" ht="9" customHeight="1" x14ac:dyDescent="0.25">
      <c r="G70" s="88"/>
      <c r="H70" s="89"/>
    </row>
    <row r="71" spans="3:8" x14ac:dyDescent="0.25">
      <c r="C71" s="154" t="s">
        <v>50</v>
      </c>
      <c r="D71" s="154"/>
      <c r="E71" s="154"/>
      <c r="F71" s="154"/>
      <c r="G71" s="88"/>
      <c r="H71" s="89"/>
    </row>
    <row r="72" spans="3:8" x14ac:dyDescent="0.25">
      <c r="C72" s="2" t="s">
        <v>51</v>
      </c>
      <c r="D72" s="12" t="s">
        <v>52</v>
      </c>
      <c r="E72" s="2" t="s">
        <v>2</v>
      </c>
      <c r="F72" s="2" t="s">
        <v>3</v>
      </c>
      <c r="G72" s="90"/>
      <c r="H72" s="91"/>
    </row>
    <row r="73" spans="3:8" x14ac:dyDescent="0.25">
      <c r="C73" s="4" t="s">
        <v>4</v>
      </c>
      <c r="D73" s="8" t="s">
        <v>53</v>
      </c>
      <c r="E73" s="13">
        <f>ROUND(1/12,4)</f>
        <v>8.3299999999999999E-2</v>
      </c>
      <c r="F73" s="44">
        <f>ROUNDDOWN($E$34*E73,2)</f>
        <v>180.16</v>
      </c>
      <c r="G73" s="112"/>
      <c r="H73" s="113">
        <f t="shared" ref="H73" si="3">ROUNDDOWN(H$34*$E73,2)</f>
        <v>187.51</v>
      </c>
    </row>
    <row r="74" spans="3:8" x14ac:dyDescent="0.25">
      <c r="C74" s="4" t="s">
        <v>6</v>
      </c>
      <c r="D74" s="8" t="s">
        <v>54</v>
      </c>
      <c r="E74" s="13">
        <f>ROUND(E73*(1/3),4)</f>
        <v>2.7799999999999998E-2</v>
      </c>
      <c r="F74" s="44">
        <f>ROUNDDOWN($E$34*E74,2)</f>
        <v>60.12</v>
      </c>
      <c r="G74" s="112"/>
      <c r="H74" s="113">
        <f t="shared" ref="H74:H76" si="4">ROUNDDOWN(H$34*$E74,2)</f>
        <v>62.58</v>
      </c>
    </row>
    <row r="75" spans="3:8" x14ac:dyDescent="0.25">
      <c r="C75" s="4"/>
      <c r="D75" s="4" t="s">
        <v>55</v>
      </c>
      <c r="E75" s="13">
        <v>0.1111</v>
      </c>
      <c r="F75" s="44">
        <f>ROUNDDOWN($E$34*E75,2)</f>
        <v>240.29</v>
      </c>
      <c r="G75" s="112"/>
      <c r="H75" s="113">
        <f t="shared" si="4"/>
        <v>250.09</v>
      </c>
    </row>
    <row r="76" spans="3:8" ht="25.5" x14ac:dyDescent="0.25">
      <c r="C76" s="4" t="s">
        <v>8</v>
      </c>
      <c r="D76" s="8" t="s">
        <v>56</v>
      </c>
      <c r="E76" s="13">
        <f>ROUND(E67*E75,4)</f>
        <v>1.6400000000000001E-2</v>
      </c>
      <c r="F76" s="44">
        <f>ROUNDDOWN($E$34*E76,2)</f>
        <v>35.47</v>
      </c>
      <c r="G76" s="112"/>
      <c r="H76" s="113">
        <f t="shared" si="4"/>
        <v>36.909999999999997</v>
      </c>
    </row>
    <row r="77" spans="3:8" x14ac:dyDescent="0.25">
      <c r="C77" s="145" t="s">
        <v>47</v>
      </c>
      <c r="D77" s="145"/>
      <c r="E77" s="16">
        <f>E75+E76</f>
        <v>0.1275</v>
      </c>
      <c r="F77" s="17">
        <f>F75+F76</f>
        <v>275.76</v>
      </c>
      <c r="G77" s="110"/>
      <c r="H77" s="111">
        <f>H75+H76</f>
        <v>287</v>
      </c>
    </row>
    <row r="78" spans="3:8" ht="9" customHeight="1" x14ac:dyDescent="0.25">
      <c r="F78" s="42">
        <f>SUM(F73:F76)</f>
        <v>516.04</v>
      </c>
      <c r="G78" s="88"/>
      <c r="H78" s="89"/>
    </row>
    <row r="79" spans="3:8" x14ac:dyDescent="0.25">
      <c r="C79" s="154" t="s">
        <v>57</v>
      </c>
      <c r="D79" s="154"/>
      <c r="E79" s="154"/>
      <c r="F79" s="154"/>
      <c r="G79" s="88"/>
      <c r="H79" s="89"/>
    </row>
    <row r="80" spans="3:8" x14ac:dyDescent="0.25">
      <c r="C80" s="18" t="s">
        <v>58</v>
      </c>
      <c r="D80" s="7" t="s">
        <v>59</v>
      </c>
      <c r="E80" s="18" t="s">
        <v>2</v>
      </c>
      <c r="F80" s="18" t="s">
        <v>3</v>
      </c>
      <c r="G80" s="116"/>
      <c r="H80" s="117"/>
    </row>
    <row r="81" spans="3:8" x14ac:dyDescent="0.25">
      <c r="C81" s="4" t="s">
        <v>4</v>
      </c>
      <c r="D81" s="8" t="s">
        <v>60</v>
      </c>
      <c r="E81" s="13">
        <v>6.9999999999999999E-4</v>
      </c>
      <c r="F81" s="44">
        <f>ROUNDDOWN($E$34*E81,2)</f>
        <v>1.51</v>
      </c>
      <c r="G81" s="112"/>
      <c r="H81" s="113">
        <f t="shared" ref="H81:H82" si="5">ROUNDDOWN(H$34*$E81,2)</f>
        <v>1.57</v>
      </c>
    </row>
    <row r="82" spans="3:8" ht="25.5" x14ac:dyDescent="0.25">
      <c r="C82" s="4" t="s">
        <v>6</v>
      </c>
      <c r="D82" s="8" t="s">
        <v>61</v>
      </c>
      <c r="E82" s="13">
        <f>ROUND(E67*E81,4)</f>
        <v>1E-4</v>
      </c>
      <c r="F82" s="44">
        <f>ROUNDDOWN($E$34*E82,2)</f>
        <v>0.21</v>
      </c>
      <c r="G82" s="112"/>
      <c r="H82" s="113">
        <f t="shared" si="5"/>
        <v>0.22</v>
      </c>
    </row>
    <row r="83" spans="3:8" x14ac:dyDescent="0.25">
      <c r="C83" s="145" t="s">
        <v>47</v>
      </c>
      <c r="D83" s="145"/>
      <c r="E83" s="16">
        <f>E81+E82</f>
        <v>8.0000000000000004E-4</v>
      </c>
      <c r="F83" s="17">
        <f>SUM(F81:F82)</f>
        <v>1.72</v>
      </c>
      <c r="G83" s="110"/>
      <c r="H83" s="111">
        <f t="shared" ref="H83" si="6">SUM(H81:H82)</f>
        <v>1.79</v>
      </c>
    </row>
    <row r="84" spans="3:8" ht="9" customHeight="1" x14ac:dyDescent="0.25">
      <c r="G84" s="88"/>
      <c r="H84" s="89"/>
    </row>
    <row r="85" spans="3:8" x14ac:dyDescent="0.25">
      <c r="C85" s="147" t="s">
        <v>62</v>
      </c>
      <c r="D85" s="147"/>
      <c r="E85" s="147"/>
      <c r="F85" s="147"/>
      <c r="G85" s="88"/>
      <c r="H85" s="89"/>
    </row>
    <row r="86" spans="3:8" x14ac:dyDescent="0.25">
      <c r="C86" s="2" t="s">
        <v>63</v>
      </c>
      <c r="D86" s="12" t="s">
        <v>64</v>
      </c>
      <c r="E86" s="2" t="s">
        <v>2</v>
      </c>
      <c r="F86" s="2" t="s">
        <v>3</v>
      </c>
      <c r="G86" s="90"/>
      <c r="H86" s="91"/>
    </row>
    <row r="87" spans="3:8" ht="51" x14ac:dyDescent="0.25">
      <c r="C87" s="4" t="s">
        <v>4</v>
      </c>
      <c r="D87" s="19" t="s">
        <v>65</v>
      </c>
      <c r="E87" s="13">
        <f>ROUND(0.05*(1/12),4)</f>
        <v>4.1999999999999997E-3</v>
      </c>
      <c r="F87" s="44">
        <f>ROUNDDOWN($E$34*E87,2)</f>
        <v>9.08</v>
      </c>
      <c r="G87" s="112"/>
      <c r="H87" s="113">
        <f t="shared" ref="H87:H92" si="7">ROUNDDOWN(H$34*$E87,2)</f>
        <v>9.4499999999999993</v>
      </c>
    </row>
    <row r="88" spans="3:8" ht="25.5" x14ac:dyDescent="0.25">
      <c r="C88" s="4" t="s">
        <v>6</v>
      </c>
      <c r="D88" s="8" t="s">
        <v>66</v>
      </c>
      <c r="E88" s="13">
        <f>ROUND(E67*E87,4)</f>
        <v>5.9999999999999995E-4</v>
      </c>
      <c r="F88" s="44">
        <f t="shared" ref="F88:F92" si="8">ROUNDDOWN($E$34*E88,2)</f>
        <v>1.29</v>
      </c>
      <c r="G88" s="112"/>
      <c r="H88" s="113">
        <f t="shared" si="7"/>
        <v>1.35</v>
      </c>
    </row>
    <row r="89" spans="3:8" ht="63.75" x14ac:dyDescent="0.25">
      <c r="C89" s="4" t="s">
        <v>8</v>
      </c>
      <c r="D89" s="19" t="s">
        <v>67</v>
      </c>
      <c r="E89" s="13">
        <f>ROUND(E87*0.5,4)</f>
        <v>2.0999999999999999E-3</v>
      </c>
      <c r="F89" s="44">
        <f t="shared" si="8"/>
        <v>4.54</v>
      </c>
      <c r="G89" s="112"/>
      <c r="H89" s="113">
        <f t="shared" si="7"/>
        <v>4.72</v>
      </c>
    </row>
    <row r="90" spans="3:8" ht="51" x14ac:dyDescent="0.25">
      <c r="C90" s="4" t="s">
        <v>10</v>
      </c>
      <c r="D90" s="19" t="s">
        <v>68</v>
      </c>
      <c r="E90" s="13">
        <f>ROUND(((100%/30)*7)/12,4)</f>
        <v>1.9400000000000001E-2</v>
      </c>
      <c r="F90" s="44">
        <f t="shared" si="8"/>
        <v>41.95</v>
      </c>
      <c r="G90" s="112"/>
      <c r="H90" s="113">
        <f t="shared" si="7"/>
        <v>43.67</v>
      </c>
    </row>
    <row r="91" spans="3:8" ht="25.5" x14ac:dyDescent="0.25">
      <c r="C91" s="4" t="s">
        <v>12</v>
      </c>
      <c r="D91" s="19" t="s">
        <v>69</v>
      </c>
      <c r="E91" s="13">
        <f>ROUND(E67*E90,4)</f>
        <v>2.8999999999999998E-3</v>
      </c>
      <c r="F91" s="44">
        <f t="shared" si="8"/>
        <v>6.27</v>
      </c>
      <c r="G91" s="112"/>
      <c r="H91" s="113">
        <f t="shared" si="7"/>
        <v>6.52</v>
      </c>
    </row>
    <row r="92" spans="3:8" ht="63.75" x14ac:dyDescent="0.25">
      <c r="C92" s="4" t="s">
        <v>14</v>
      </c>
      <c r="D92" s="19" t="s">
        <v>70</v>
      </c>
      <c r="E92" s="13">
        <f>ROUND(E90*0.5,4)</f>
        <v>9.7000000000000003E-3</v>
      </c>
      <c r="F92" s="44">
        <f t="shared" si="8"/>
        <v>20.97</v>
      </c>
      <c r="G92" s="112"/>
      <c r="H92" s="113">
        <f t="shared" si="7"/>
        <v>21.83</v>
      </c>
    </row>
    <row r="93" spans="3:8" x14ac:dyDescent="0.25">
      <c r="C93" s="145" t="s">
        <v>47</v>
      </c>
      <c r="D93" s="145"/>
      <c r="E93" s="16">
        <f>SUM(E87:E92)</f>
        <v>3.8900000000000004E-2</v>
      </c>
      <c r="F93" s="17">
        <f>SUM(F87:F92)</f>
        <v>84.1</v>
      </c>
      <c r="G93" s="110"/>
      <c r="H93" s="111">
        <f t="shared" ref="H93" si="9">SUM(H87:H92)</f>
        <v>87.539999999999992</v>
      </c>
    </row>
    <row r="94" spans="3:8" ht="9" customHeight="1" x14ac:dyDescent="0.25">
      <c r="G94" s="88"/>
      <c r="H94" s="89"/>
    </row>
    <row r="95" spans="3:8" x14ac:dyDescent="0.25">
      <c r="C95" s="147" t="s">
        <v>71</v>
      </c>
      <c r="D95" s="147"/>
      <c r="E95" s="147"/>
      <c r="F95" s="147"/>
      <c r="G95" s="88"/>
      <c r="H95" s="89"/>
    </row>
    <row r="96" spans="3:8" ht="25.5" x14ac:dyDescent="0.25">
      <c r="C96" s="2" t="s">
        <v>72</v>
      </c>
      <c r="D96" s="2" t="s">
        <v>73</v>
      </c>
      <c r="E96" s="2" t="s">
        <v>2</v>
      </c>
      <c r="F96" s="2" t="s">
        <v>3</v>
      </c>
      <c r="G96" s="90"/>
      <c r="H96" s="91"/>
    </row>
    <row r="97" spans="3:8" x14ac:dyDescent="0.25">
      <c r="C97" s="4" t="s">
        <v>4</v>
      </c>
      <c r="D97" s="8" t="s">
        <v>74</v>
      </c>
      <c r="E97" s="13">
        <f>ROUND((1/12),4)</f>
        <v>8.3299999999999999E-2</v>
      </c>
      <c r="F97" s="44">
        <f t="shared" ref="F97:F101" si="10">ROUNDDOWN($E$34*E97,2)</f>
        <v>180.16</v>
      </c>
      <c r="G97" s="112"/>
      <c r="H97" s="113">
        <f t="shared" ref="H97:H104" si="11">ROUNDDOWN(H$34*$E97,2)</f>
        <v>187.51</v>
      </c>
    </row>
    <row r="98" spans="3:8" x14ac:dyDescent="0.25">
      <c r="C98" s="4" t="s">
        <v>6</v>
      </c>
      <c r="D98" s="8" t="s">
        <v>75</v>
      </c>
      <c r="E98" s="13">
        <v>1.3899999999999999E-2</v>
      </c>
      <c r="F98" s="44">
        <f t="shared" si="10"/>
        <v>30.06</v>
      </c>
      <c r="G98" s="112"/>
      <c r="H98" s="113">
        <f t="shared" si="11"/>
        <v>31.29</v>
      </c>
    </row>
    <row r="99" spans="3:8" x14ac:dyDescent="0.25">
      <c r="C99" s="4" t="s">
        <v>8</v>
      </c>
      <c r="D99" s="8" t="s">
        <v>76</v>
      </c>
      <c r="E99" s="13">
        <v>1.2999999999999999E-3</v>
      </c>
      <c r="F99" s="44">
        <f t="shared" si="10"/>
        <v>2.81</v>
      </c>
      <c r="G99" s="112"/>
      <c r="H99" s="113">
        <f t="shared" si="11"/>
        <v>2.92</v>
      </c>
    </row>
    <row r="100" spans="3:8" x14ac:dyDescent="0.25">
      <c r="C100" s="4" t="s">
        <v>10</v>
      </c>
      <c r="D100" s="8" t="s">
        <v>77</v>
      </c>
      <c r="E100" s="13">
        <v>2.8E-3</v>
      </c>
      <c r="F100" s="44">
        <f t="shared" si="10"/>
        <v>6.05</v>
      </c>
      <c r="G100" s="112"/>
      <c r="H100" s="113">
        <f t="shared" si="11"/>
        <v>6.3</v>
      </c>
    </row>
    <row r="101" spans="3:8" ht="25.5" x14ac:dyDescent="0.25">
      <c r="C101" s="4" t="s">
        <v>12</v>
      </c>
      <c r="D101" s="8" t="s">
        <v>78</v>
      </c>
      <c r="E101" s="13">
        <v>3.3E-3</v>
      </c>
      <c r="F101" s="44">
        <f t="shared" si="10"/>
        <v>7.13</v>
      </c>
      <c r="G101" s="112"/>
      <c r="H101" s="113">
        <f t="shared" si="11"/>
        <v>7.42</v>
      </c>
    </row>
    <row r="102" spans="3:8" x14ac:dyDescent="0.25">
      <c r="C102" s="4" t="s">
        <v>14</v>
      </c>
      <c r="D102" s="8" t="s">
        <v>19</v>
      </c>
      <c r="E102" s="13">
        <v>0</v>
      </c>
      <c r="F102" s="45"/>
      <c r="G102" s="112"/>
      <c r="H102" s="113">
        <f t="shared" si="11"/>
        <v>0</v>
      </c>
    </row>
    <row r="103" spans="3:8" x14ac:dyDescent="0.25">
      <c r="C103" s="140" t="s">
        <v>55</v>
      </c>
      <c r="D103" s="140"/>
      <c r="E103" s="20">
        <f>ROUND(SUM(E97:E102),4)</f>
        <v>0.1046</v>
      </c>
      <c r="F103" s="53">
        <f>SUM(F97:F102)+0.02</f>
        <v>226.23000000000002</v>
      </c>
      <c r="G103" s="112"/>
      <c r="H103" s="113">
        <f t="shared" si="11"/>
        <v>235.46</v>
      </c>
    </row>
    <row r="104" spans="3:8" x14ac:dyDescent="0.25">
      <c r="C104" s="4" t="s">
        <v>16</v>
      </c>
      <c r="D104" s="8" t="s">
        <v>79</v>
      </c>
      <c r="E104" s="20">
        <f>ROUND(E67*E103,4)</f>
        <v>1.55E-2</v>
      </c>
      <c r="F104" s="44">
        <f>ROUNDDOWN($E$34*E104,2)</f>
        <v>33.520000000000003</v>
      </c>
      <c r="G104" s="112"/>
      <c r="H104" s="113">
        <f t="shared" si="11"/>
        <v>34.89</v>
      </c>
    </row>
    <row r="105" spans="3:8" x14ac:dyDescent="0.25">
      <c r="C105" s="145" t="s">
        <v>47</v>
      </c>
      <c r="D105" s="145"/>
      <c r="E105" s="14">
        <f>E103+E104</f>
        <v>0.1201</v>
      </c>
      <c r="F105" s="17">
        <f>F103+F104</f>
        <v>259.75</v>
      </c>
      <c r="G105" s="110"/>
      <c r="H105" s="111">
        <f t="shared" ref="H105" si="12">H103+H104</f>
        <v>270.35000000000002</v>
      </c>
    </row>
    <row r="106" spans="3:8" ht="9" customHeight="1" x14ac:dyDescent="0.25">
      <c r="G106" s="88"/>
      <c r="H106" s="89"/>
    </row>
    <row r="107" spans="3:8" x14ac:dyDescent="0.25">
      <c r="C107" s="147" t="s">
        <v>80</v>
      </c>
      <c r="D107" s="147"/>
      <c r="E107" s="147"/>
      <c r="F107" s="147"/>
      <c r="G107" s="88"/>
      <c r="H107" s="89"/>
    </row>
    <row r="108" spans="3:8" x14ac:dyDescent="0.25">
      <c r="C108" s="2">
        <v>4</v>
      </c>
      <c r="D108" s="2" t="s">
        <v>81</v>
      </c>
      <c r="E108" s="2" t="s">
        <v>2</v>
      </c>
      <c r="F108" s="2" t="s">
        <v>3</v>
      </c>
      <c r="G108" s="90"/>
      <c r="H108" s="91"/>
    </row>
    <row r="109" spans="3:8" x14ac:dyDescent="0.25">
      <c r="C109" s="4" t="s">
        <v>37</v>
      </c>
      <c r="D109" s="8" t="s">
        <v>38</v>
      </c>
      <c r="E109" s="13">
        <f>E67</f>
        <v>0.14800000000000002</v>
      </c>
      <c r="F109" s="44">
        <f>F67</f>
        <v>320.06319999999999</v>
      </c>
      <c r="G109" s="112"/>
      <c r="H109" s="113">
        <f t="shared" ref="H109" si="13">H67</f>
        <v>333.13</v>
      </c>
    </row>
    <row r="110" spans="3:8" x14ac:dyDescent="0.25">
      <c r="C110" s="4" t="s">
        <v>51</v>
      </c>
      <c r="D110" s="8" t="s">
        <v>82</v>
      </c>
      <c r="E110" s="13">
        <f>E77</f>
        <v>0.1275</v>
      </c>
      <c r="F110" s="44">
        <f>F77</f>
        <v>275.76</v>
      </c>
      <c r="G110" s="112"/>
      <c r="H110" s="113">
        <f t="shared" ref="H110" si="14">H77</f>
        <v>287</v>
      </c>
    </row>
    <row r="111" spans="3:8" x14ac:dyDescent="0.25">
      <c r="C111" s="4" t="s">
        <v>58</v>
      </c>
      <c r="D111" s="8" t="s">
        <v>83</v>
      </c>
      <c r="E111" s="13">
        <f>E83</f>
        <v>8.0000000000000004E-4</v>
      </c>
      <c r="F111" s="44">
        <f>F83</f>
        <v>1.72</v>
      </c>
      <c r="G111" s="112"/>
      <c r="H111" s="113">
        <f t="shared" ref="H111" si="15">H83</f>
        <v>1.79</v>
      </c>
    </row>
    <row r="112" spans="3:8" x14ac:dyDescent="0.25">
      <c r="C112" s="4" t="s">
        <v>63</v>
      </c>
      <c r="D112" s="8" t="s">
        <v>84</v>
      </c>
      <c r="E112" s="13">
        <f>E93</f>
        <v>3.8900000000000004E-2</v>
      </c>
      <c r="F112" s="44">
        <f>F93</f>
        <v>84.1</v>
      </c>
      <c r="G112" s="112"/>
      <c r="H112" s="113">
        <f t="shared" ref="H112" si="16">H93</f>
        <v>87.539999999999992</v>
      </c>
    </row>
    <row r="113" spans="3:8" x14ac:dyDescent="0.25">
      <c r="C113" s="4" t="s">
        <v>72</v>
      </c>
      <c r="D113" s="8" t="s">
        <v>85</v>
      </c>
      <c r="E113" s="13">
        <f>E105</f>
        <v>0.1201</v>
      </c>
      <c r="F113" s="44">
        <f>F105</f>
        <v>259.75</v>
      </c>
      <c r="G113" s="112"/>
      <c r="H113" s="113">
        <f t="shared" ref="H113" si="17">H105</f>
        <v>270.35000000000002</v>
      </c>
    </row>
    <row r="114" spans="3:8" x14ac:dyDescent="0.25">
      <c r="C114" s="4" t="s">
        <v>86</v>
      </c>
      <c r="D114" s="8" t="s">
        <v>19</v>
      </c>
      <c r="E114" s="13">
        <v>0</v>
      </c>
      <c r="F114" s="44">
        <f t="shared" ref="F114" si="18">ROUNDDOWN($E$34*E114,2)</f>
        <v>0</v>
      </c>
      <c r="G114" s="112"/>
      <c r="H114" s="113">
        <f t="shared" ref="H114" si="19">ROUNDDOWN(H$34*$E114,2)</f>
        <v>0</v>
      </c>
    </row>
    <row r="115" spans="3:8" x14ac:dyDescent="0.25">
      <c r="C115" s="145" t="s">
        <v>47</v>
      </c>
      <c r="D115" s="145"/>
      <c r="E115" s="14">
        <f>SUM(E109:E114)</f>
        <v>0.43530000000000002</v>
      </c>
      <c r="F115" s="15">
        <f>SUM(F109:F114)</f>
        <v>941.39320000000009</v>
      </c>
      <c r="G115" s="114"/>
      <c r="H115" s="115">
        <f t="shared" ref="H115" si="20">SUM(H109:H114)</f>
        <v>979.81</v>
      </c>
    </row>
    <row r="116" spans="3:8" ht="9" customHeight="1" x14ac:dyDescent="0.25">
      <c r="G116" s="88"/>
      <c r="H116" s="89"/>
    </row>
    <row r="117" spans="3:8" x14ac:dyDescent="0.25">
      <c r="C117" s="146" t="s">
        <v>87</v>
      </c>
      <c r="D117" s="146"/>
      <c r="E117" s="146"/>
      <c r="F117" s="146"/>
      <c r="G117" s="88"/>
      <c r="H117" s="89"/>
    </row>
    <row r="118" spans="3:8" x14ac:dyDescent="0.25">
      <c r="C118" s="2" t="s">
        <v>88</v>
      </c>
      <c r="D118" s="2" t="s">
        <v>89</v>
      </c>
      <c r="E118" s="2" t="s">
        <v>2</v>
      </c>
      <c r="F118" s="2" t="s">
        <v>3</v>
      </c>
      <c r="G118" s="90"/>
      <c r="H118" s="91"/>
    </row>
    <row r="119" spans="3:8" x14ac:dyDescent="0.25">
      <c r="C119" s="4" t="s">
        <v>4</v>
      </c>
      <c r="D119" s="8" t="s">
        <v>90</v>
      </c>
      <c r="E119" s="13">
        <v>0.05</v>
      </c>
      <c r="F119" s="44">
        <f>ROUNDDOWN(($E$34+$F$45+$F$53+$F$115)*E119,4)</f>
        <v>196.8235</v>
      </c>
      <c r="G119" s="112"/>
      <c r="H119" s="113">
        <f t="shared" ref="H119" si="21">ROUNDDOWN((H$34+H$45+H$53+H$115)*$E119,4)</f>
        <v>209.63239999999999</v>
      </c>
    </row>
    <row r="120" spans="3:8" x14ac:dyDescent="0.25">
      <c r="C120" s="4" t="s">
        <v>6</v>
      </c>
      <c r="D120" s="8" t="s">
        <v>91</v>
      </c>
      <c r="E120" s="13">
        <f>SUM(E121:E124)</f>
        <v>0.13150000000000001</v>
      </c>
      <c r="F120" s="44"/>
      <c r="G120" s="112"/>
      <c r="H120" s="113"/>
    </row>
    <row r="121" spans="3:8" ht="25.5" x14ac:dyDescent="0.25">
      <c r="C121" s="4"/>
      <c r="D121" s="8" t="s">
        <v>92</v>
      </c>
      <c r="E121" s="13">
        <v>3.6499999999999998E-2</v>
      </c>
      <c r="F121" s="44">
        <f>((($E$34+$F$45+$F$53+$F$115)+$F$119+$F$125)/(1-$E$120))*E121</f>
        <v>179.62140028785259</v>
      </c>
      <c r="G121" s="112"/>
      <c r="H121" s="113">
        <f t="shared" ref="H121:H124" si="22">(((H$34+H$45+H$53+H$115)+H$119+H$125)/(1-$E$120))*$E121</f>
        <v>191.31130621218193</v>
      </c>
    </row>
    <row r="122" spans="3:8" x14ac:dyDescent="0.25">
      <c r="C122" s="4"/>
      <c r="D122" s="8" t="s">
        <v>93</v>
      </c>
      <c r="E122" s="13">
        <v>0.05</v>
      </c>
      <c r="F122" s="44">
        <f>((($E$34+$F$45+$F$53+$F$115)+$F$119+$F$125)/(1-$E$120))*E122</f>
        <v>246.05671272308578</v>
      </c>
      <c r="G122" s="112"/>
      <c r="H122" s="113">
        <f t="shared" si="22"/>
        <v>262.07028248244103</v>
      </c>
    </row>
    <row r="123" spans="3:8" x14ac:dyDescent="0.25">
      <c r="C123" s="4"/>
      <c r="D123" s="8" t="s">
        <v>94</v>
      </c>
      <c r="E123" s="21"/>
      <c r="F123" s="44">
        <f t="shared" ref="F123" si="23">((($E$34+$F$45+$F$53+$F$115)+$F$119+$F$125)/(1-$E$120))*E123</f>
        <v>0</v>
      </c>
      <c r="G123" s="112"/>
      <c r="H123" s="113">
        <f t="shared" si="22"/>
        <v>0</v>
      </c>
    </row>
    <row r="124" spans="3:8" x14ac:dyDescent="0.25">
      <c r="C124" s="4"/>
      <c r="D124" s="8" t="s">
        <v>110</v>
      </c>
      <c r="E124" s="13">
        <v>4.4999999999999998E-2</v>
      </c>
      <c r="F124" s="44">
        <f>((($E$34+$F$45+$F$53+$F$115)+$F$119+$F$125)/(1-$E$120))*E124</f>
        <v>221.45104145077718</v>
      </c>
      <c r="G124" s="112"/>
      <c r="H124" s="113">
        <f t="shared" si="22"/>
        <v>235.86325423419689</v>
      </c>
    </row>
    <row r="125" spans="3:8" x14ac:dyDescent="0.25">
      <c r="C125" s="4" t="s">
        <v>8</v>
      </c>
      <c r="D125" s="8" t="s">
        <v>95</v>
      </c>
      <c r="E125" s="51">
        <f>ROUNDDOWN(3.4045%,6)</f>
        <v>3.4044999999999999E-2</v>
      </c>
      <c r="F125" s="22">
        <f>ROUNDDOWN((($E$34+$F$45+$F$53+$F$115)+$F$119)*E125,2)</f>
        <v>140.71</v>
      </c>
      <c r="G125" s="112"/>
      <c r="H125" s="113">
        <f t="shared" ref="H125" si="24">ROUND(((H$34+H$45+H$53+H$115)+H$119)*$E125,2)</f>
        <v>149.88</v>
      </c>
    </row>
    <row r="126" spans="3:8" x14ac:dyDescent="0.25">
      <c r="C126" s="5"/>
      <c r="D126" s="2" t="s">
        <v>96</v>
      </c>
      <c r="E126" s="5"/>
      <c r="F126" s="15">
        <f>SUM(F119:F125)</f>
        <v>984.66265446171565</v>
      </c>
      <c r="G126" s="114"/>
      <c r="H126" s="115">
        <f t="shared" ref="H126" si="25">SUM(H119:H125)</f>
        <v>1048.7572429288198</v>
      </c>
    </row>
    <row r="127" spans="3:8" x14ac:dyDescent="0.25">
      <c r="C127" s="152" t="s">
        <v>97</v>
      </c>
      <c r="D127" s="152"/>
      <c r="E127" s="152"/>
      <c r="F127" s="152"/>
      <c r="G127" s="88"/>
      <c r="H127" s="89"/>
    </row>
    <row r="128" spans="3:8" x14ac:dyDescent="0.25">
      <c r="C128" s="152" t="s">
        <v>98</v>
      </c>
      <c r="D128" s="152"/>
      <c r="E128" s="152"/>
      <c r="F128" s="152"/>
      <c r="G128" s="88"/>
      <c r="H128" s="89"/>
    </row>
    <row r="129" spans="3:8" ht="9" customHeight="1" x14ac:dyDescent="0.25">
      <c r="G129" s="88"/>
      <c r="H129" s="89"/>
    </row>
    <row r="130" spans="3:8" x14ac:dyDescent="0.25">
      <c r="C130" s="147" t="s">
        <v>99</v>
      </c>
      <c r="D130" s="147"/>
      <c r="E130" s="147"/>
      <c r="F130" s="147"/>
      <c r="G130" s="88"/>
      <c r="H130" s="89"/>
    </row>
    <row r="131" spans="3:8" ht="25.5" x14ac:dyDescent="0.25">
      <c r="C131" s="7"/>
      <c r="D131" s="7" t="s">
        <v>100</v>
      </c>
      <c r="E131" s="2" t="s">
        <v>2</v>
      </c>
      <c r="F131" s="5" t="s">
        <v>101</v>
      </c>
      <c r="G131" s="118"/>
      <c r="H131" s="119"/>
    </row>
    <row r="132" spans="3:8" x14ac:dyDescent="0.25">
      <c r="C132" s="4" t="s">
        <v>4</v>
      </c>
      <c r="D132" s="8" t="s">
        <v>102</v>
      </c>
      <c r="E132" s="168">
        <f>E34</f>
        <v>2162.86</v>
      </c>
      <c r="F132" s="168"/>
      <c r="G132" s="120"/>
      <c r="H132" s="121">
        <f t="shared" ref="H132" si="26">H34</f>
        <v>2251.1046879999999</v>
      </c>
    </row>
    <row r="133" spans="3:8" x14ac:dyDescent="0.25">
      <c r="C133" s="4" t="s">
        <v>6</v>
      </c>
      <c r="D133" s="8" t="s">
        <v>103</v>
      </c>
      <c r="E133" s="169">
        <f>F45</f>
        <v>790.21839999999997</v>
      </c>
      <c r="F133" s="169"/>
      <c r="G133" s="122"/>
      <c r="H133" s="123">
        <f t="shared" ref="H133" si="27">H45</f>
        <v>919.73371872000007</v>
      </c>
    </row>
    <row r="134" spans="3:8" ht="25.5" x14ac:dyDescent="0.25">
      <c r="C134" s="4" t="s">
        <v>8</v>
      </c>
      <c r="D134" s="8" t="s">
        <v>104</v>
      </c>
      <c r="E134" s="140">
        <f>F53</f>
        <v>42</v>
      </c>
      <c r="F134" s="140"/>
      <c r="G134" s="124"/>
      <c r="H134" s="125">
        <f t="shared" ref="H134" si="28">H53</f>
        <v>42</v>
      </c>
    </row>
    <row r="135" spans="3:8" x14ac:dyDescent="0.25">
      <c r="C135" s="4" t="s">
        <v>10</v>
      </c>
      <c r="D135" s="8" t="s">
        <v>105</v>
      </c>
      <c r="E135" s="168">
        <f>F115</f>
        <v>941.39320000000009</v>
      </c>
      <c r="F135" s="168"/>
      <c r="G135" s="120"/>
      <c r="H135" s="121">
        <f t="shared" ref="H135" si="29">H115</f>
        <v>979.81</v>
      </c>
    </row>
    <row r="136" spans="3:8" x14ac:dyDescent="0.25">
      <c r="C136" s="140" t="s">
        <v>106</v>
      </c>
      <c r="D136" s="140"/>
      <c r="E136" s="170">
        <f>SUM(E132:F135)</f>
        <v>3936.4716000000003</v>
      </c>
      <c r="F136" s="170"/>
      <c r="G136" s="126"/>
      <c r="H136" s="127">
        <f t="shared" ref="H136" si="30">SUM(H132:H135)</f>
        <v>4192.6484067199999</v>
      </c>
    </row>
    <row r="137" spans="3:8" x14ac:dyDescent="0.25">
      <c r="C137" s="4" t="s">
        <v>12</v>
      </c>
      <c r="D137" s="4" t="s">
        <v>107</v>
      </c>
      <c r="E137" s="168">
        <f>F126</f>
        <v>984.66265446171565</v>
      </c>
      <c r="F137" s="168"/>
      <c r="G137" s="120"/>
      <c r="H137" s="121">
        <f t="shared" ref="H137" si="31">H126</f>
        <v>1048.7572429288198</v>
      </c>
    </row>
    <row r="138" spans="3:8" ht="15.75" thickBot="1" x14ac:dyDescent="0.3">
      <c r="C138" s="145" t="s">
        <v>108</v>
      </c>
      <c r="D138" s="145"/>
      <c r="E138" s="166">
        <f>E136+E137</f>
        <v>4921.1342544617164</v>
      </c>
      <c r="F138" s="166"/>
      <c r="G138" s="128"/>
      <c r="H138" s="129">
        <f t="shared" ref="H138" si="32">H136+H137</f>
        <v>5241.4056496488192</v>
      </c>
    </row>
  </sheetData>
  <mergeCells count="69">
    <mergeCell ref="C138:D138"/>
    <mergeCell ref="E138:F138"/>
    <mergeCell ref="C117:F117"/>
    <mergeCell ref="C127:F127"/>
    <mergeCell ref="C128:F128"/>
    <mergeCell ref="C130:F130"/>
    <mergeCell ref="E132:F132"/>
    <mergeCell ref="E133:F133"/>
    <mergeCell ref="E134:F134"/>
    <mergeCell ref="E135:F135"/>
    <mergeCell ref="C136:D136"/>
    <mergeCell ref="E136:F136"/>
    <mergeCell ref="E137:F137"/>
    <mergeCell ref="C115:D115"/>
    <mergeCell ref="C69:F69"/>
    <mergeCell ref="C71:F71"/>
    <mergeCell ref="C77:D77"/>
    <mergeCell ref="C79:F79"/>
    <mergeCell ref="C83:D83"/>
    <mergeCell ref="C85:F85"/>
    <mergeCell ref="C93:D93"/>
    <mergeCell ref="C95:F95"/>
    <mergeCell ref="C103:D103"/>
    <mergeCell ref="C105:D105"/>
    <mergeCell ref="C107:F107"/>
    <mergeCell ref="C68:F68"/>
    <mergeCell ref="C46:F46"/>
    <mergeCell ref="C48:F48"/>
    <mergeCell ref="D49:E49"/>
    <mergeCell ref="D50:E50"/>
    <mergeCell ref="D51:E51"/>
    <mergeCell ref="D52:E52"/>
    <mergeCell ref="D53:E53"/>
    <mergeCell ref="C54:F54"/>
    <mergeCell ref="C56:F56"/>
    <mergeCell ref="C57:F57"/>
    <mergeCell ref="C67:D67"/>
    <mergeCell ref="D45:E45"/>
    <mergeCell ref="C24:F24"/>
    <mergeCell ref="E34:F34"/>
    <mergeCell ref="C36:F36"/>
    <mergeCell ref="D37:E37"/>
    <mergeCell ref="D38:E38"/>
    <mergeCell ref="D39:E39"/>
    <mergeCell ref="D40:E40"/>
    <mergeCell ref="D41:E41"/>
    <mergeCell ref="D42:E42"/>
    <mergeCell ref="D43:E43"/>
    <mergeCell ref="D44:E44"/>
    <mergeCell ref="D22:E22"/>
    <mergeCell ref="D9:E9"/>
    <mergeCell ref="D10:E10"/>
    <mergeCell ref="D11:E11"/>
    <mergeCell ref="C13:F13"/>
    <mergeCell ref="D14:E14"/>
    <mergeCell ref="D15:E15"/>
    <mergeCell ref="C17:F17"/>
    <mergeCell ref="C18:F18"/>
    <mergeCell ref="D19:E19"/>
    <mergeCell ref="D20:E20"/>
    <mergeCell ref="D21:E21"/>
    <mergeCell ref="G4:H4"/>
    <mergeCell ref="G5:H6"/>
    <mergeCell ref="D8:E8"/>
    <mergeCell ref="C2:D2"/>
    <mergeCell ref="C3:D3"/>
    <mergeCell ref="C4:D4"/>
    <mergeCell ref="C6:F6"/>
    <mergeCell ref="C7:E7"/>
  </mergeCells>
  <printOptions horizontalCentered="1"/>
  <pageMargins left="0.11811023622047245" right="0.11811023622047245" top="0.19685039370078741" bottom="0.19685039370078741" header="0.11811023622047245" footer="0.11811023622047245"/>
  <pageSetup paperSize="9" scale="52" orientation="portrait" r:id="rId1"/>
  <rowBreaks count="1" manualBreakCount="1">
    <brk id="70" min="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42"/>
  <sheetViews>
    <sheetView showGridLines="0" topLeftCell="A25" zoomScaleNormal="100" zoomScaleSheetLayoutView="90" workbookViewId="0">
      <selection activeCell="D42" sqref="D42"/>
    </sheetView>
  </sheetViews>
  <sheetFormatPr defaultRowHeight="15" x14ac:dyDescent="0.25"/>
  <cols>
    <col min="4" max="4" width="29.28515625" customWidth="1"/>
    <col min="5" max="6" width="11.28515625" customWidth="1"/>
    <col min="7" max="7" width="16.140625" customWidth="1"/>
    <col min="8" max="8" width="9.140625" customWidth="1"/>
    <col min="9" max="9" width="11.5703125" customWidth="1"/>
    <col min="10" max="10" width="10.5703125" bestFit="1" customWidth="1"/>
  </cols>
  <sheetData>
    <row r="1" spans="3:13" ht="31.5" customHeight="1" x14ac:dyDescent="0.25">
      <c r="C1" s="179" t="s">
        <v>175</v>
      </c>
      <c r="D1" s="180"/>
      <c r="E1" s="180"/>
      <c r="F1" s="180"/>
      <c r="G1" s="180"/>
      <c r="H1" s="180"/>
      <c r="I1" s="181"/>
    </row>
    <row r="2" spans="3:13" ht="25.5" customHeight="1" x14ac:dyDescent="0.25">
      <c r="C2" s="156" t="s">
        <v>177</v>
      </c>
      <c r="D2" s="156"/>
      <c r="E2" s="156"/>
      <c r="F2" s="156"/>
      <c r="G2" s="156"/>
      <c r="H2" s="156"/>
      <c r="I2" s="156"/>
    </row>
    <row r="3" spans="3:13" ht="9" customHeight="1" x14ac:dyDescent="0.25"/>
    <row r="4" spans="3:13" x14ac:dyDescent="0.25">
      <c r="C4" s="197" t="s">
        <v>135</v>
      </c>
      <c r="D4" s="198"/>
      <c r="E4" s="198"/>
      <c r="F4" s="198"/>
      <c r="G4" s="198"/>
      <c r="H4" s="198"/>
      <c r="I4" s="199"/>
    </row>
    <row r="5" spans="3:13" ht="51" x14ac:dyDescent="0.25">
      <c r="C5" s="182" t="s">
        <v>136</v>
      </c>
      <c r="D5" s="183"/>
      <c r="E5" s="33" t="s">
        <v>137</v>
      </c>
      <c r="F5" s="33" t="s">
        <v>138</v>
      </c>
      <c r="G5" s="33" t="s">
        <v>139</v>
      </c>
      <c r="H5" s="33" t="s">
        <v>140</v>
      </c>
      <c r="I5" s="33" t="s">
        <v>141</v>
      </c>
    </row>
    <row r="6" spans="3:13" ht="25.5" customHeight="1" x14ac:dyDescent="0.25">
      <c r="C6" s="171" t="s">
        <v>142</v>
      </c>
      <c r="D6" s="171"/>
      <c r="E6" s="33" t="s">
        <v>143</v>
      </c>
      <c r="F6" s="33" t="s">
        <v>144</v>
      </c>
      <c r="G6" s="33" t="s">
        <v>145</v>
      </c>
      <c r="H6" s="33" t="s">
        <v>146</v>
      </c>
      <c r="I6" s="33" t="s">
        <v>147</v>
      </c>
    </row>
    <row r="7" spans="3:13" ht="38.25" x14ac:dyDescent="0.25">
      <c r="C7" s="6" t="s">
        <v>148</v>
      </c>
      <c r="D7" s="34" t="s">
        <v>120</v>
      </c>
      <c r="E7" s="35">
        <f>ROUND(Arquivista!F138,2)</f>
        <v>7046.14</v>
      </c>
      <c r="F7" s="6">
        <v>1</v>
      </c>
      <c r="G7" s="35">
        <f>F7*E7</f>
        <v>7046.14</v>
      </c>
      <c r="H7" s="6">
        <v>1</v>
      </c>
      <c r="I7" s="35">
        <f>H7*G7</f>
        <v>7046.14</v>
      </c>
    </row>
    <row r="8" spans="3:13" ht="38.25" x14ac:dyDescent="0.25">
      <c r="C8" s="6" t="s">
        <v>149</v>
      </c>
      <c r="D8" s="34" t="s">
        <v>150</v>
      </c>
      <c r="E8" s="35">
        <f>ROUND(Assistente!E138,2)</f>
        <v>4921.13</v>
      </c>
      <c r="F8" s="6">
        <v>1</v>
      </c>
      <c r="G8" s="35">
        <f>F8*E8</f>
        <v>4921.13</v>
      </c>
      <c r="H8" s="6">
        <v>7</v>
      </c>
      <c r="I8" s="35">
        <f>H8*G8</f>
        <v>34447.910000000003</v>
      </c>
    </row>
    <row r="9" spans="3:13" x14ac:dyDescent="0.25">
      <c r="C9" s="171" t="s">
        <v>151</v>
      </c>
      <c r="D9" s="171"/>
      <c r="E9" s="171"/>
      <c r="F9" s="171"/>
      <c r="G9" s="171"/>
      <c r="H9" s="171"/>
      <c r="I9" s="36">
        <f>SUM(I7:I8)</f>
        <v>41494.050000000003</v>
      </c>
    </row>
    <row r="10" spans="3:13" ht="9" customHeight="1" x14ac:dyDescent="0.25">
      <c r="C10" s="32"/>
      <c r="D10" s="31"/>
      <c r="E10" s="31"/>
      <c r="F10" s="31"/>
      <c r="G10" s="31"/>
      <c r="H10" s="31"/>
      <c r="I10" s="31"/>
    </row>
    <row r="11" spans="3:13" x14ac:dyDescent="0.25">
      <c r="C11" s="196" t="s">
        <v>152</v>
      </c>
      <c r="D11" s="196"/>
      <c r="E11" s="196"/>
      <c r="F11" s="196"/>
      <c r="G11" s="196"/>
      <c r="H11" s="196"/>
      <c r="I11" s="196"/>
      <c r="M11" s="41"/>
    </row>
    <row r="12" spans="3:13" x14ac:dyDescent="0.25">
      <c r="C12" s="171" t="s">
        <v>153</v>
      </c>
      <c r="D12" s="171"/>
      <c r="E12" s="171"/>
      <c r="F12" s="171"/>
      <c r="G12" s="171"/>
      <c r="H12" s="171"/>
      <c r="I12" s="171"/>
    </row>
    <row r="13" spans="3:13" x14ac:dyDescent="0.25">
      <c r="C13" s="34"/>
      <c r="D13" s="201" t="s">
        <v>154</v>
      </c>
      <c r="E13" s="201"/>
      <c r="F13" s="201"/>
      <c r="G13" s="201"/>
      <c r="H13" s="201"/>
      <c r="I13" s="37" t="s">
        <v>3</v>
      </c>
    </row>
    <row r="14" spans="3:13" x14ac:dyDescent="0.25">
      <c r="C14" s="37" t="s">
        <v>4</v>
      </c>
      <c r="D14" s="201" t="s">
        <v>155</v>
      </c>
      <c r="E14" s="201"/>
      <c r="F14" s="201"/>
      <c r="G14" s="201"/>
      <c r="H14" s="201"/>
      <c r="I14" s="38"/>
    </row>
    <row r="15" spans="3:13" x14ac:dyDescent="0.25">
      <c r="C15" s="6" t="s">
        <v>156</v>
      </c>
      <c r="D15" s="200" t="s">
        <v>120</v>
      </c>
      <c r="E15" s="200"/>
      <c r="F15" s="200"/>
      <c r="G15" s="200"/>
      <c r="H15" s="200"/>
      <c r="I15" s="39">
        <f>I7</f>
        <v>7046.14</v>
      </c>
    </row>
    <row r="16" spans="3:13" x14ac:dyDescent="0.25">
      <c r="C16" s="6" t="s">
        <v>157</v>
      </c>
      <c r="D16" s="200" t="s">
        <v>150</v>
      </c>
      <c r="E16" s="200"/>
      <c r="F16" s="200"/>
      <c r="G16" s="200"/>
      <c r="H16" s="200"/>
      <c r="I16" s="39">
        <f>I8</f>
        <v>34447.910000000003</v>
      </c>
    </row>
    <row r="17" spans="3:10" x14ac:dyDescent="0.25">
      <c r="C17" s="37" t="s">
        <v>6</v>
      </c>
      <c r="D17" s="201" t="s">
        <v>158</v>
      </c>
      <c r="E17" s="201"/>
      <c r="F17" s="201"/>
      <c r="G17" s="201"/>
      <c r="H17" s="201"/>
      <c r="I17" s="40">
        <f>SUM(I15:I16)</f>
        <v>41494.050000000003</v>
      </c>
    </row>
    <row r="18" spans="3:10" x14ac:dyDescent="0.25">
      <c r="C18" s="37" t="s">
        <v>8</v>
      </c>
      <c r="D18" s="201" t="s">
        <v>159</v>
      </c>
      <c r="E18" s="201"/>
      <c r="F18" s="201"/>
      <c r="G18" s="201"/>
      <c r="H18" s="201"/>
      <c r="I18" s="40">
        <f>I17*12</f>
        <v>497928.60000000003</v>
      </c>
      <c r="J18" s="42"/>
    </row>
    <row r="19" spans="3:10" x14ac:dyDescent="0.25">
      <c r="C19" s="178" t="s">
        <v>160</v>
      </c>
      <c r="D19" s="178"/>
      <c r="E19" s="178"/>
      <c r="F19" s="178"/>
      <c r="G19" s="178"/>
      <c r="H19" s="178"/>
      <c r="I19" s="178"/>
    </row>
    <row r="21" spans="3:10" ht="27.75" customHeight="1" x14ac:dyDescent="0.25">
      <c r="C21" s="179" t="s">
        <v>176</v>
      </c>
      <c r="D21" s="180"/>
      <c r="E21" s="180"/>
      <c r="F21" s="180"/>
      <c r="G21" s="180"/>
      <c r="H21" s="180"/>
      <c r="I21" s="181"/>
    </row>
    <row r="22" spans="3:10" ht="24" customHeight="1" x14ac:dyDescent="0.25">
      <c r="C22" s="156" t="s">
        <v>177</v>
      </c>
      <c r="D22" s="156"/>
      <c r="E22" s="156"/>
      <c r="F22" s="156"/>
      <c r="G22" s="156"/>
      <c r="H22" s="156"/>
      <c r="I22" s="156"/>
    </row>
    <row r="23" spans="3:10" x14ac:dyDescent="0.25">
      <c r="C23" s="197" t="s">
        <v>183</v>
      </c>
      <c r="D23" s="198"/>
      <c r="E23" s="198"/>
      <c r="F23" s="198"/>
      <c r="G23" s="198"/>
      <c r="H23" s="198"/>
      <c r="I23" s="199"/>
    </row>
    <row r="24" spans="3:10" ht="76.5" customHeight="1" x14ac:dyDescent="0.25">
      <c r="C24" s="171" t="s">
        <v>136</v>
      </c>
      <c r="D24" s="171"/>
      <c r="E24" s="50" t="s">
        <v>138</v>
      </c>
      <c r="F24" s="50" t="s">
        <v>140</v>
      </c>
      <c r="G24" s="50" t="s">
        <v>180</v>
      </c>
      <c r="H24" s="182" t="s">
        <v>178</v>
      </c>
      <c r="I24" s="183"/>
    </row>
    <row r="25" spans="3:10" ht="25.5" customHeight="1" x14ac:dyDescent="0.25">
      <c r="C25" s="171"/>
      <c r="D25" s="171"/>
      <c r="E25" s="171" t="s">
        <v>181</v>
      </c>
      <c r="F25" s="171"/>
      <c r="G25" s="171"/>
      <c r="H25" s="171" t="s">
        <v>179</v>
      </c>
      <c r="I25" s="171"/>
    </row>
    <row r="26" spans="3:10" ht="38.25" x14ac:dyDescent="0.25">
      <c r="C26" s="47" t="s">
        <v>148</v>
      </c>
      <c r="D26" s="34" t="s">
        <v>120</v>
      </c>
      <c r="E26" s="47">
        <v>1</v>
      </c>
      <c r="F26" s="47">
        <v>1</v>
      </c>
      <c r="G26" s="35">
        <f>E7</f>
        <v>7046.14</v>
      </c>
      <c r="H26" s="172">
        <f>Arquivista!H138</f>
        <v>7453.5025862521597</v>
      </c>
      <c r="I26" s="173"/>
    </row>
    <row r="27" spans="3:10" ht="38.25" x14ac:dyDescent="0.25">
      <c r="C27" s="47" t="s">
        <v>149</v>
      </c>
      <c r="D27" s="34" t="s">
        <v>150</v>
      </c>
      <c r="E27" s="47">
        <v>1</v>
      </c>
      <c r="F27" s="47">
        <v>7</v>
      </c>
      <c r="G27" s="35">
        <f>E8</f>
        <v>4921.13</v>
      </c>
      <c r="H27" s="172">
        <f>Assistente!H138</f>
        <v>5241.4056496488192</v>
      </c>
      <c r="I27" s="173"/>
    </row>
    <row r="28" spans="3:10" x14ac:dyDescent="0.25">
      <c r="C28" s="32"/>
      <c r="D28" s="31"/>
      <c r="E28" s="31"/>
      <c r="F28" s="31"/>
      <c r="G28" s="31"/>
      <c r="H28" s="31"/>
      <c r="I28" s="31"/>
    </row>
    <row r="29" spans="3:10" x14ac:dyDescent="0.25">
      <c r="C29" s="196" t="s">
        <v>152</v>
      </c>
      <c r="D29" s="196"/>
      <c r="E29" s="196"/>
      <c r="F29" s="196"/>
      <c r="G29" s="196"/>
      <c r="H29" s="196"/>
      <c r="I29" s="196"/>
    </row>
    <row r="30" spans="3:10" x14ac:dyDescent="0.25">
      <c r="C30" s="171" t="s">
        <v>153</v>
      </c>
      <c r="D30" s="171"/>
      <c r="E30" s="171"/>
      <c r="F30" s="171"/>
      <c r="G30" s="171"/>
      <c r="H30" s="171"/>
      <c r="I30" s="171"/>
    </row>
    <row r="31" spans="3:10" x14ac:dyDescent="0.25">
      <c r="C31" s="34"/>
      <c r="D31" s="184" t="s">
        <v>154</v>
      </c>
      <c r="E31" s="185"/>
      <c r="F31" s="186"/>
      <c r="G31" s="193" t="s">
        <v>3</v>
      </c>
      <c r="H31" s="194"/>
      <c r="I31" s="195"/>
    </row>
    <row r="32" spans="3:10" ht="35.25" customHeight="1" x14ac:dyDescent="0.25">
      <c r="C32" s="48" t="s">
        <v>4</v>
      </c>
      <c r="D32" s="187" t="s">
        <v>155</v>
      </c>
      <c r="E32" s="188"/>
      <c r="F32" s="189"/>
      <c r="G32" s="49" t="s">
        <v>182</v>
      </c>
      <c r="H32" s="174" t="str">
        <f>H25</f>
        <v>01/05/2017 a 30/12/2017</v>
      </c>
      <c r="I32" s="175"/>
    </row>
    <row r="33" spans="3:10" ht="30" customHeight="1" x14ac:dyDescent="0.25">
      <c r="C33" s="47" t="s">
        <v>156</v>
      </c>
      <c r="D33" s="190" t="s">
        <v>120</v>
      </c>
      <c r="E33" s="191"/>
      <c r="F33" s="192"/>
      <c r="G33" s="39">
        <f>$E$26*$F$26*G26</f>
        <v>7046.14</v>
      </c>
      <c r="H33" s="176">
        <f>$E$26*$F$26*H26</f>
        <v>7453.5025862521597</v>
      </c>
      <c r="I33" s="176"/>
    </row>
    <row r="34" spans="3:10" ht="27.75" customHeight="1" x14ac:dyDescent="0.25">
      <c r="C34" s="47" t="s">
        <v>157</v>
      </c>
      <c r="D34" s="190" t="s">
        <v>150</v>
      </c>
      <c r="E34" s="191"/>
      <c r="F34" s="192"/>
      <c r="G34" s="39">
        <f>$E$27*$F$27*G27</f>
        <v>34447.910000000003</v>
      </c>
      <c r="H34" s="176">
        <f>$E$27*$F$27*H27</f>
        <v>36689.839547541735</v>
      </c>
      <c r="I34" s="176"/>
    </row>
    <row r="35" spans="3:10" ht="23.25" customHeight="1" x14ac:dyDescent="0.25">
      <c r="C35" s="48" t="s">
        <v>6</v>
      </c>
      <c r="D35" s="187" t="s">
        <v>158</v>
      </c>
      <c r="E35" s="188"/>
      <c r="F35" s="189"/>
      <c r="G35" s="40">
        <f>G33+G34</f>
        <v>41494.050000000003</v>
      </c>
      <c r="H35" s="177">
        <f>H33+H34</f>
        <v>44143.342133793893</v>
      </c>
      <c r="I35" s="177"/>
      <c r="J35" s="133"/>
    </row>
    <row r="36" spans="3:10" ht="23.25" customHeight="1" x14ac:dyDescent="0.25">
      <c r="C36" s="48" t="s">
        <v>8</v>
      </c>
      <c r="D36" s="187" t="s">
        <v>159</v>
      </c>
      <c r="E36" s="188"/>
      <c r="F36" s="189"/>
      <c r="G36" s="40">
        <f>G35*12</f>
        <v>497928.60000000003</v>
      </c>
      <c r="H36" s="177">
        <f>H35*12</f>
        <v>529720.10560552671</v>
      </c>
      <c r="I36" s="177"/>
      <c r="J36" s="133"/>
    </row>
    <row r="37" spans="3:10" x14ac:dyDescent="0.25">
      <c r="C37" s="178"/>
      <c r="D37" s="178"/>
      <c r="E37" s="178"/>
      <c r="F37" s="178"/>
      <c r="G37" s="178"/>
      <c r="H37" s="178"/>
      <c r="I37" s="178"/>
    </row>
    <row r="39" spans="3:10" x14ac:dyDescent="0.25">
      <c r="J39" s="54"/>
    </row>
    <row r="41" spans="3:10" x14ac:dyDescent="0.25">
      <c r="H41" s="54"/>
    </row>
    <row r="42" spans="3:10" x14ac:dyDescent="0.25">
      <c r="G42" s="54"/>
    </row>
  </sheetData>
  <mergeCells count="39">
    <mergeCell ref="C2:I2"/>
    <mergeCell ref="C11:I11"/>
    <mergeCell ref="C12:I12"/>
    <mergeCell ref="D13:H13"/>
    <mergeCell ref="D14:H14"/>
    <mergeCell ref="C4:I4"/>
    <mergeCell ref="C5:D5"/>
    <mergeCell ref="C6:D6"/>
    <mergeCell ref="C9:H9"/>
    <mergeCell ref="C22:I22"/>
    <mergeCell ref="C23:I23"/>
    <mergeCell ref="D15:H15"/>
    <mergeCell ref="D16:H16"/>
    <mergeCell ref="D17:H17"/>
    <mergeCell ref="D18:H18"/>
    <mergeCell ref="C19:I19"/>
    <mergeCell ref="H34:I34"/>
    <mergeCell ref="H35:I35"/>
    <mergeCell ref="H36:I36"/>
    <mergeCell ref="C37:I37"/>
    <mergeCell ref="C1:I1"/>
    <mergeCell ref="C21:I21"/>
    <mergeCell ref="H24:I24"/>
    <mergeCell ref="D31:F31"/>
    <mergeCell ref="D32:F32"/>
    <mergeCell ref="D33:F33"/>
    <mergeCell ref="D34:F34"/>
    <mergeCell ref="D35:F35"/>
    <mergeCell ref="D36:F36"/>
    <mergeCell ref="E25:G25"/>
    <mergeCell ref="C24:D25"/>
    <mergeCell ref="G31:I31"/>
    <mergeCell ref="H25:I25"/>
    <mergeCell ref="H26:I26"/>
    <mergeCell ref="H27:I27"/>
    <mergeCell ref="H32:I32"/>
    <mergeCell ref="H33:I33"/>
    <mergeCell ref="C29:I29"/>
    <mergeCell ref="C30:I30"/>
  </mergeCells>
  <printOptions horizontalCentered="1"/>
  <pageMargins left="0.11811023622047245" right="0.11811023622047245" top="0.19685039370078741" bottom="0.19685039370078741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Arquivista</vt:lpstr>
      <vt:lpstr>Assistente</vt:lpstr>
      <vt:lpstr>Resumo</vt:lpstr>
      <vt:lpstr>Arquivista!Area_de_impressao</vt:lpstr>
      <vt:lpstr>Assistente!Area_de_impressao</vt:lpstr>
      <vt:lpstr>Resumo!Area_de_impressao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matheus.lacerda</dc:creator>
  <cp:lastModifiedBy>Cleusa Costa de Jesus</cp:lastModifiedBy>
  <cp:lastPrinted>2016-11-15T15:10:05Z</cp:lastPrinted>
  <dcterms:created xsi:type="dcterms:W3CDTF">2016-11-14T21:17:29Z</dcterms:created>
  <dcterms:modified xsi:type="dcterms:W3CDTF">2020-03-09T19:31:17Z</dcterms:modified>
</cp:coreProperties>
</file>