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BRASFORT EMPRESA DE SEGURANÇA LTDA - VIGILÂNCIA\CONTRATO Nº 12-2017-MME - VIGILÂNCIA\"/>
    </mc:Choice>
  </mc:AlternateContent>
  <bookViews>
    <workbookView xWindow="0" yWindow="0" windowWidth="24000" windowHeight="9600" tabRatio="895" firstSheet="2" activeTab="7"/>
  </bookViews>
  <sheets>
    <sheet name="DADOS" sheetId="8" r:id="rId1"/>
    <sheet name="PROPOSTA INICIAL" sheetId="9" r:id="rId2"/>
    <sheet name="SUPERVISOR-DIURNO - 44h" sheetId="36" r:id="rId3"/>
    <sheet name="VIGILANTE-DIURNO 12x36 DD" sheetId="39" r:id="rId4"/>
    <sheet name="VIGILANTE-NOTURNO 12x36 ND" sheetId="40" r:id="rId5"/>
    <sheet name="UNIFORMES" sheetId="32" r:id="rId6"/>
    <sheet name="MAT e EQUIPS" sheetId="38" r:id="rId7"/>
    <sheet name="RESUMO" sheetId="10" r:id="rId8"/>
    <sheet name="HISTORICO" sheetId="41" r:id="rId9"/>
    <sheet name="SÚMULA 444" sheetId="31" state="hidden" r:id="rId10"/>
  </sheets>
  <externalReferences>
    <externalReference r:id="rId11"/>
    <externalReference r:id="rId12"/>
    <externalReference r:id="rId13"/>
  </externalReferences>
  <definedNames>
    <definedName name="_xlnm.Print_Area" localSheetId="0">DADOS!$A$1:$M$121</definedName>
    <definedName name="_xlnm.Print_Area" localSheetId="6">'MAT e EQUIPS'!$A$1:$I$56</definedName>
    <definedName name="_xlnm.Print_Area" localSheetId="1">'PROPOSTA INICIAL'!$A$1:$H$45</definedName>
    <definedName name="_xlnm.Print_Area" localSheetId="7">RESUMO!$A$1:$K$201</definedName>
    <definedName name="_xlnm.Print_Area" localSheetId="9">'SÚMULA 444'!$A$1:$I$28</definedName>
    <definedName name="_xlnm.Print_Area" localSheetId="2">'SUPERVISOR-DIURNO - 44h'!$A$1:$S$140</definedName>
    <definedName name="_xlnm.Print_Area" localSheetId="5">UNIFORMES!$A$1:$G$53</definedName>
    <definedName name="_xlnm.Print_Area" localSheetId="3">'VIGILANTE-DIURNO 12x36 DD'!$A$1:$S$133</definedName>
    <definedName name="_xlnm.Print_Area" localSheetId="4">'VIGILANTE-NOTURNO 12x36 ND'!$A$1:$S$133</definedName>
    <definedName name="Excel_BuiltIn_Print_Area_1">#REF!</definedName>
    <definedName name="Excel_BuiltIn_Print_Area_2">#REF!</definedName>
    <definedName name="Tipo_de_Joranda_de_Trabalho" localSheetId="9">OFFSET([1]Apoio!$A$1,1,0,COUNTA([1]Apoio!$A$1:$A$65536)-1,1)</definedName>
    <definedName name="Tipo_de_Joranda_de_Trabalho">OFFSET([1]Apoio!$A$1,1,0,COUNTA([1]Apoio!$A$1:$A$65536)-1,1)</definedName>
    <definedName name="UN" localSheetId="6">#REF!</definedName>
    <definedName name="UN" localSheetId="2">#REF!</definedName>
    <definedName name="UN" localSheetId="3">#REF!</definedName>
    <definedName name="UN" localSheetId="4">#REF!</definedName>
    <definedName name="UN">#REF!</definedName>
  </definedNames>
  <calcPr calcId="162913" fullPrecision="0"/>
</workbook>
</file>

<file path=xl/calcChain.xml><?xml version="1.0" encoding="utf-8"?>
<calcChain xmlns="http://schemas.openxmlformats.org/spreadsheetml/2006/main">
  <c r="H185" i="10" l="1"/>
  <c r="H159" i="10"/>
  <c r="H188" i="10" l="1"/>
  <c r="H187" i="10"/>
  <c r="H186" i="10"/>
  <c r="H189" i="10" l="1"/>
  <c r="D82" i="10"/>
  <c r="G169" i="10" l="1"/>
  <c r="D167" i="10"/>
  <c r="D166" i="10"/>
  <c r="S103" i="40"/>
  <c r="S97" i="40"/>
  <c r="S98" i="40"/>
  <c r="S99" i="40"/>
  <c r="S100" i="40"/>
  <c r="S101" i="40"/>
  <c r="S96" i="40"/>
  <c r="Q103" i="40"/>
  <c r="Q97" i="40"/>
  <c r="Q98" i="40"/>
  <c r="Q99" i="40"/>
  <c r="Q100" i="40"/>
  <c r="Q101" i="40"/>
  <c r="Q96" i="40"/>
  <c r="S87" i="40"/>
  <c r="S88" i="40"/>
  <c r="S89" i="40"/>
  <c r="S90" i="40"/>
  <c r="S91" i="40"/>
  <c r="S86" i="40"/>
  <c r="Q89" i="40"/>
  <c r="Q90" i="40"/>
  <c r="Q91" i="40"/>
  <c r="Q88" i="40"/>
  <c r="Q87" i="40"/>
  <c r="Q86" i="40"/>
  <c r="S75" i="40" l="1"/>
  <c r="S73" i="40"/>
  <c r="S72" i="40"/>
  <c r="Q75" i="40"/>
  <c r="Q73" i="40"/>
  <c r="Q72" i="40"/>
  <c r="S61" i="40"/>
  <c r="S62" i="40"/>
  <c r="S63" i="40"/>
  <c r="S64" i="40"/>
  <c r="S65" i="40"/>
  <c r="S66" i="40"/>
  <c r="S67" i="40"/>
  <c r="S60" i="40"/>
  <c r="Q61" i="40"/>
  <c r="Q62" i="40"/>
  <c r="Q63" i="40"/>
  <c r="Q64" i="40"/>
  <c r="Q65" i="40"/>
  <c r="Q66" i="40"/>
  <c r="Q67" i="40"/>
  <c r="Q60" i="40"/>
  <c r="S54" i="40"/>
  <c r="S53" i="40"/>
  <c r="Q53" i="40"/>
  <c r="Q54" i="40"/>
  <c r="S40" i="40"/>
  <c r="Q40" i="40"/>
  <c r="R19" i="39"/>
  <c r="P19" i="39"/>
  <c r="N19" i="39"/>
  <c r="R19" i="40"/>
  <c r="S39" i="40"/>
  <c r="Q39" i="40"/>
  <c r="R119" i="40"/>
  <c r="R113" i="40"/>
  <c r="R102" i="40"/>
  <c r="R92" i="40"/>
  <c r="R111" i="40" s="1"/>
  <c r="R81" i="40"/>
  <c r="R80" i="40"/>
  <c r="R74" i="40"/>
  <c r="R68" i="40"/>
  <c r="R108" i="40" s="1"/>
  <c r="R46" i="40"/>
  <c r="R45" i="40"/>
  <c r="R44" i="40"/>
  <c r="R43" i="40"/>
  <c r="R41" i="40"/>
  <c r="S41" i="40" s="1"/>
  <c r="R39" i="40"/>
  <c r="S37" i="40"/>
  <c r="R37" i="40"/>
  <c r="R25" i="40"/>
  <c r="S24" i="40"/>
  <c r="Q40" i="39"/>
  <c r="Q39" i="39"/>
  <c r="S121" i="39"/>
  <c r="S120" i="39"/>
  <c r="S103" i="39"/>
  <c r="S97" i="39"/>
  <c r="S98" i="39"/>
  <c r="S99" i="39"/>
  <c r="S100" i="39"/>
  <c r="S101" i="39"/>
  <c r="S96" i="39"/>
  <c r="Q103" i="39"/>
  <c r="Q97" i="39"/>
  <c r="Q98" i="39"/>
  <c r="Q99" i="39"/>
  <c r="Q100" i="39"/>
  <c r="Q101" i="39"/>
  <c r="Q96" i="39"/>
  <c r="S92" i="39"/>
  <c r="S87" i="39"/>
  <c r="S88" i="39"/>
  <c r="S89" i="39"/>
  <c r="S90" i="39"/>
  <c r="S91" i="39"/>
  <c r="S86" i="39"/>
  <c r="Q90" i="39"/>
  <c r="Q91" i="39"/>
  <c r="Q89" i="39"/>
  <c r="Q88" i="39"/>
  <c r="Q87" i="39"/>
  <c r="Q86" i="39"/>
  <c r="S75" i="39"/>
  <c r="S73" i="39"/>
  <c r="S72" i="39"/>
  <c r="Q75" i="39"/>
  <c r="Q73" i="39"/>
  <c r="Q72" i="39"/>
  <c r="S61" i="39"/>
  <c r="S62" i="39"/>
  <c r="S63" i="39"/>
  <c r="S64" i="39"/>
  <c r="S65" i="39"/>
  <c r="S66" i="39"/>
  <c r="S67" i="39"/>
  <c r="S60" i="39"/>
  <c r="Q61" i="39"/>
  <c r="Q62" i="39"/>
  <c r="Q63" i="39"/>
  <c r="Q64" i="39"/>
  <c r="Q65" i="39"/>
  <c r="Q66" i="39"/>
  <c r="Q67" i="39"/>
  <c r="Q60" i="39"/>
  <c r="S128" i="36"/>
  <c r="S127" i="36"/>
  <c r="S54" i="39"/>
  <c r="S53" i="39"/>
  <c r="Q54" i="39"/>
  <c r="Q53" i="39"/>
  <c r="R54" i="39"/>
  <c r="R53" i="39"/>
  <c r="S61" i="36"/>
  <c r="S60" i="36"/>
  <c r="I56" i="38"/>
  <c r="I52" i="38"/>
  <c r="I53" i="38"/>
  <c r="I51" i="38"/>
  <c r="H39" i="38"/>
  <c r="I45" i="38"/>
  <c r="I40" i="38"/>
  <c r="I41" i="38"/>
  <c r="I43" i="38" s="1"/>
  <c r="I44" i="38" s="1"/>
  <c r="I42" i="38"/>
  <c r="I39" i="38"/>
  <c r="S59" i="36"/>
  <c r="R126" i="36"/>
  <c r="R120" i="36"/>
  <c r="R109" i="36"/>
  <c r="R110" i="36" s="1"/>
  <c r="S110" i="36" s="1"/>
  <c r="S108" i="36"/>
  <c r="S107" i="36"/>
  <c r="S106" i="36"/>
  <c r="S105" i="36"/>
  <c r="S104" i="36"/>
  <c r="S109" i="36" s="1"/>
  <c r="S111" i="36" s="1"/>
  <c r="S119" i="36" s="1"/>
  <c r="S103" i="36"/>
  <c r="R99" i="36"/>
  <c r="R118" i="36" s="1"/>
  <c r="S98" i="36"/>
  <c r="S97" i="36"/>
  <c r="S96" i="36"/>
  <c r="S95" i="36"/>
  <c r="S94" i="36"/>
  <c r="S99" i="36" s="1"/>
  <c r="S118" i="36" s="1"/>
  <c r="S93" i="36"/>
  <c r="S88" i="36"/>
  <c r="R88" i="36"/>
  <c r="R87" i="36"/>
  <c r="S87" i="36" s="1"/>
  <c r="S89" i="36" s="1"/>
  <c r="S117" i="36" s="1"/>
  <c r="R82" i="36"/>
  <c r="S82" i="36" s="1"/>
  <c r="S81" i="36"/>
  <c r="R81" i="36"/>
  <c r="R83" i="36" s="1"/>
  <c r="R116" i="36" s="1"/>
  <c r="S80" i="36"/>
  <c r="S79" i="36"/>
  <c r="R75" i="36"/>
  <c r="R115" i="36" s="1"/>
  <c r="S74" i="36"/>
  <c r="S73" i="36"/>
  <c r="S72" i="36"/>
  <c r="S71" i="36"/>
  <c r="S70" i="36"/>
  <c r="S69" i="36"/>
  <c r="S68" i="36"/>
  <c r="S75" i="36" s="1"/>
  <c r="S115" i="36" s="1"/>
  <c r="S67" i="36"/>
  <c r="R53" i="36"/>
  <c r="R52" i="36"/>
  <c r="R51" i="36"/>
  <c r="R50" i="36"/>
  <c r="R49" i="36"/>
  <c r="S49" i="36" s="1"/>
  <c r="R48" i="36"/>
  <c r="S48" i="36" s="1"/>
  <c r="S46" i="36"/>
  <c r="S47" i="36" s="1"/>
  <c r="R46" i="36"/>
  <c r="S44" i="36"/>
  <c r="R44" i="36"/>
  <c r="R32" i="36"/>
  <c r="S31" i="36"/>
  <c r="S40" i="39"/>
  <c r="S39" i="39"/>
  <c r="Q47" i="36"/>
  <c r="Q46" i="36"/>
  <c r="R75" i="40" l="1"/>
  <c r="R76" i="40" s="1"/>
  <c r="R109" i="40" s="1"/>
  <c r="R114" i="40" s="1"/>
  <c r="S38" i="40"/>
  <c r="S48" i="40"/>
  <c r="S128" i="40" s="1"/>
  <c r="S26" i="40"/>
  <c r="S28" i="40" s="1"/>
  <c r="R104" i="40"/>
  <c r="R112" i="40" s="1"/>
  <c r="R82" i="40"/>
  <c r="R110" i="40" s="1"/>
  <c r="R103" i="40"/>
  <c r="I54" i="38"/>
  <c r="I55" i="38" s="1"/>
  <c r="S121" i="36"/>
  <c r="S137" i="36" s="1"/>
  <c r="S83" i="36"/>
  <c r="S116" i="36" s="1"/>
  <c r="S40" i="36"/>
  <c r="S134" i="36" s="1"/>
  <c r="R89" i="36"/>
  <c r="R117" i="36" s="1"/>
  <c r="R121" i="36" s="1"/>
  <c r="R111" i="36"/>
  <c r="R119" i="36" s="1"/>
  <c r="S33" i="36"/>
  <c r="S45" i="36"/>
  <c r="S55" i="36" s="1"/>
  <c r="S135" i="36" s="1"/>
  <c r="R119" i="39"/>
  <c r="R113" i="39"/>
  <c r="R102" i="39"/>
  <c r="S102" i="39"/>
  <c r="R92" i="39"/>
  <c r="R111" i="39" s="1"/>
  <c r="S111" i="39"/>
  <c r="R81" i="39"/>
  <c r="R80" i="39"/>
  <c r="R74" i="39"/>
  <c r="S74" i="39"/>
  <c r="R68" i="39"/>
  <c r="R108" i="39" s="1"/>
  <c r="R46" i="39"/>
  <c r="R45" i="39"/>
  <c r="R44" i="39"/>
  <c r="R43" i="39"/>
  <c r="S41" i="39"/>
  <c r="R41" i="39"/>
  <c r="R39" i="39"/>
  <c r="S37" i="39"/>
  <c r="R37" i="39"/>
  <c r="R25" i="39"/>
  <c r="S24" i="39"/>
  <c r="S38" i="39" s="1"/>
  <c r="S48" i="39" s="1"/>
  <c r="S128" i="39" s="1"/>
  <c r="I130" i="10"/>
  <c r="I129" i="10"/>
  <c r="I128" i="10"/>
  <c r="S31" i="40" l="1"/>
  <c r="S33" i="40" s="1"/>
  <c r="S127" i="40" s="1"/>
  <c r="R76" i="39"/>
  <c r="R109" i="39" s="1"/>
  <c r="S68" i="39"/>
  <c r="S108" i="39" s="1"/>
  <c r="R75" i="39"/>
  <c r="S76" i="39" s="1"/>
  <c r="S109" i="39" s="1"/>
  <c r="R103" i="39"/>
  <c r="S104" i="39" s="1"/>
  <c r="S112" i="39" s="1"/>
  <c r="R82" i="39"/>
  <c r="R110" i="39" s="1"/>
  <c r="S26" i="39"/>
  <c r="S31" i="39"/>
  <c r="S33" i="39" s="1"/>
  <c r="S127" i="39" s="1"/>
  <c r="B177" i="10"/>
  <c r="B176" i="10"/>
  <c r="B175" i="10"/>
  <c r="B148" i="10"/>
  <c r="B150" i="10"/>
  <c r="B149" i="10"/>
  <c r="R104" i="39" l="1"/>
  <c r="R112" i="39" s="1"/>
  <c r="R114" i="39"/>
  <c r="F5" i="39"/>
  <c r="F6" i="39"/>
  <c r="J6" i="39"/>
  <c r="L6" i="39"/>
  <c r="F7" i="39"/>
  <c r="F8" i="39"/>
  <c r="F9" i="39"/>
  <c r="M44" i="36"/>
  <c r="K59" i="36"/>
  <c r="K44" i="36"/>
  <c r="G59" i="36"/>
  <c r="G46" i="36"/>
  <c r="G44" i="36"/>
  <c r="G31" i="36"/>
  <c r="F37" i="39" l="1"/>
  <c r="I37" i="39" s="1"/>
  <c r="G37" i="39"/>
  <c r="H37" i="39"/>
  <c r="J37" i="39"/>
  <c r="K37" i="39"/>
  <c r="M37" i="39"/>
  <c r="F38" i="39"/>
  <c r="H38" i="39"/>
  <c r="I38" i="39" s="1"/>
  <c r="J38" i="39"/>
  <c r="K38" i="39" s="1"/>
  <c r="M38" i="39"/>
  <c r="G39" i="39"/>
  <c r="I39" i="39"/>
  <c r="K39" i="39"/>
  <c r="M39" i="39"/>
  <c r="P19" i="40"/>
  <c r="N19" i="40"/>
  <c r="F9" i="40" l="1"/>
  <c r="F8" i="40"/>
  <c r="F7" i="40"/>
  <c r="N6" i="40"/>
  <c r="L6" i="40"/>
  <c r="J6" i="40"/>
  <c r="F6" i="40"/>
  <c r="F5" i="40"/>
  <c r="B61" i="39"/>
  <c r="B62" i="39"/>
  <c r="B63" i="39"/>
  <c r="B64" i="39"/>
  <c r="B65" i="39"/>
  <c r="B66" i="39"/>
  <c r="B67" i="39"/>
  <c r="B60" i="39"/>
  <c r="J19" i="36" l="1"/>
  <c r="K19" i="36"/>
  <c r="B96" i="39"/>
  <c r="B97" i="39"/>
  <c r="B98" i="39"/>
  <c r="B99" i="39"/>
  <c r="B100" i="39"/>
  <c r="B101" i="39"/>
  <c r="B86" i="39"/>
  <c r="B87" i="39"/>
  <c r="B88" i="39"/>
  <c r="B89" i="39"/>
  <c r="B90" i="39"/>
  <c r="B91" i="39"/>
  <c r="B72" i="39"/>
  <c r="B73" i="39"/>
  <c r="B75" i="39"/>
  <c r="B52" i="39"/>
  <c r="B53" i="39"/>
  <c r="B54" i="39"/>
  <c r="B31" i="39"/>
  <c r="B28" i="39"/>
  <c r="B26" i="39"/>
  <c r="B25" i="39"/>
  <c r="P13" i="36" l="1"/>
  <c r="N13" i="36"/>
  <c r="L13" i="36"/>
  <c r="G120" i="41"/>
  <c r="G122" i="41" s="1"/>
  <c r="F120" i="41"/>
  <c r="F113" i="41"/>
  <c r="F118" i="41" s="1"/>
  <c r="G112" i="41"/>
  <c r="I111" i="41"/>
  <c r="J106" i="41"/>
  <c r="J105" i="41"/>
  <c r="J104" i="41"/>
  <c r="H94" i="41"/>
  <c r="J92" i="41"/>
  <c r="J91" i="41"/>
  <c r="J90" i="41"/>
  <c r="J78" i="41"/>
  <c r="J77" i="41"/>
  <c r="J76" i="41"/>
  <c r="J68" i="41"/>
  <c r="J67" i="41"/>
  <c r="J66" i="41"/>
  <c r="G55" i="41"/>
  <c r="J50" i="41"/>
  <c r="J49" i="41"/>
  <c r="J48" i="41"/>
  <c r="F115" i="41" l="1"/>
  <c r="F117" i="41" s="1"/>
  <c r="Q59" i="36" l="1"/>
  <c r="O59" i="36"/>
  <c r="P119" i="40" l="1"/>
  <c r="P113" i="40"/>
  <c r="P102" i="40"/>
  <c r="P92" i="40"/>
  <c r="P111" i="40" s="1"/>
  <c r="P81" i="40"/>
  <c r="P80" i="40"/>
  <c r="P82" i="40" s="1"/>
  <c r="P110" i="40" s="1"/>
  <c r="P74" i="40"/>
  <c r="P68" i="40"/>
  <c r="P108" i="40" s="1"/>
  <c r="P46" i="40"/>
  <c r="P45" i="40"/>
  <c r="P44" i="40"/>
  <c r="P43" i="40"/>
  <c r="P41" i="40"/>
  <c r="Q41" i="40" s="1"/>
  <c r="P39" i="40"/>
  <c r="Q37" i="40"/>
  <c r="P37" i="40"/>
  <c r="P25" i="40"/>
  <c r="Q24" i="40"/>
  <c r="Q38" i="40" s="1"/>
  <c r="P119" i="39"/>
  <c r="P113" i="39"/>
  <c r="P102" i="39"/>
  <c r="P92" i="39"/>
  <c r="P111" i="39" s="1"/>
  <c r="P81" i="39"/>
  <c r="P80" i="39"/>
  <c r="P74" i="39"/>
  <c r="P68" i="39"/>
  <c r="P108" i="39" s="1"/>
  <c r="P46" i="39"/>
  <c r="P45" i="39"/>
  <c r="P44" i="39"/>
  <c r="P43" i="39"/>
  <c r="P41" i="39"/>
  <c r="Q41" i="39" s="1"/>
  <c r="P39" i="39"/>
  <c r="Q37" i="39"/>
  <c r="P37" i="39"/>
  <c r="P25" i="39"/>
  <c r="Q24" i="39"/>
  <c r="P126" i="36"/>
  <c r="P120" i="36"/>
  <c r="P109" i="36"/>
  <c r="P99" i="36"/>
  <c r="P118" i="36" s="1"/>
  <c r="P88" i="36"/>
  <c r="P87" i="36"/>
  <c r="P81" i="36"/>
  <c r="P75" i="36"/>
  <c r="P115" i="36" s="1"/>
  <c r="P53" i="36"/>
  <c r="P52" i="36"/>
  <c r="P51" i="36"/>
  <c r="P50" i="36"/>
  <c r="P49" i="36"/>
  <c r="Q49" i="36" s="1"/>
  <c r="P48" i="36"/>
  <c r="Q48" i="36" s="1"/>
  <c r="P46" i="36"/>
  <c r="Q44" i="36"/>
  <c r="P44" i="36"/>
  <c r="P32" i="36"/>
  <c r="Q31" i="36"/>
  <c r="Q26" i="40" l="1"/>
  <c r="Q28" i="40" s="1"/>
  <c r="Q31" i="40" s="1"/>
  <c r="Q33" i="40" s="1"/>
  <c r="Q127" i="40" s="1"/>
  <c r="P75" i="40"/>
  <c r="P76" i="40" s="1"/>
  <c r="P109" i="40" s="1"/>
  <c r="P103" i="40"/>
  <c r="P75" i="39"/>
  <c r="P103" i="39"/>
  <c r="Q33" i="36"/>
  <c r="Q40" i="36" s="1"/>
  <c r="Q98" i="36" s="1"/>
  <c r="P110" i="36"/>
  <c r="Q48" i="40"/>
  <c r="Q128" i="40" s="1"/>
  <c r="P104" i="40"/>
  <c r="P112" i="40" s="1"/>
  <c r="Q38" i="39"/>
  <c r="Q48" i="39" s="1"/>
  <c r="Q128" i="39" s="1"/>
  <c r="P82" i="39"/>
  <c r="P110" i="39" s="1"/>
  <c r="Q26" i="39"/>
  <c r="P82" i="36"/>
  <c r="P89" i="36"/>
  <c r="P117" i="36" s="1"/>
  <c r="Q45" i="36"/>
  <c r="Q55" i="36" s="1"/>
  <c r="Q135" i="36" s="1"/>
  <c r="J112" i="10"/>
  <c r="J113" i="10"/>
  <c r="J111" i="10"/>
  <c r="F112" i="10"/>
  <c r="F113" i="10"/>
  <c r="F111" i="10"/>
  <c r="J105" i="10"/>
  <c r="J106" i="10"/>
  <c r="J104" i="10"/>
  <c r="P114" i="40" l="1"/>
  <c r="Q68" i="36"/>
  <c r="Q73" i="36"/>
  <c r="Q97" i="36"/>
  <c r="Q95" i="36"/>
  <c r="Q74" i="36"/>
  <c r="Q94" i="36"/>
  <c r="Q105" i="36"/>
  <c r="Q107" i="36"/>
  <c r="Q80" i="36"/>
  <c r="Q96" i="36"/>
  <c r="Q72" i="36"/>
  <c r="Q79" i="36"/>
  <c r="Q69" i="36"/>
  <c r="Q93" i="36"/>
  <c r="Q103" i="36"/>
  <c r="Q70" i="36"/>
  <c r="Q134" i="36"/>
  <c r="P104" i="39"/>
  <c r="P112" i="39" s="1"/>
  <c r="P76" i="39"/>
  <c r="P109" i="39" s="1"/>
  <c r="Q110" i="36"/>
  <c r="Q71" i="36"/>
  <c r="Q104" i="36"/>
  <c r="Q106" i="36"/>
  <c r="Q67" i="36"/>
  <c r="P111" i="36"/>
  <c r="P119" i="36" s="1"/>
  <c r="Q82" i="36"/>
  <c r="Q31" i="39"/>
  <c r="Q33" i="39" s="1"/>
  <c r="Q127" i="39" s="1"/>
  <c r="P83" i="36"/>
  <c r="P116" i="36" s="1"/>
  <c r="P121" i="36" l="1"/>
  <c r="Q75" i="36"/>
  <c r="Q115" i="36" s="1"/>
  <c r="Q81" i="36"/>
  <c r="Q83" i="36" s="1"/>
  <c r="Q116" i="36" s="1"/>
  <c r="Q99" i="36"/>
  <c r="Q118" i="36" s="1"/>
  <c r="P114" i="39"/>
  <c r="B35" i="10"/>
  <c r="B62" i="10" s="1"/>
  <c r="B81" i="10" s="1"/>
  <c r="B91" i="10" s="1"/>
  <c r="B36" i="10"/>
  <c r="B63" i="10" s="1"/>
  <c r="B82" i="10" s="1"/>
  <c r="B92" i="10" s="1"/>
  <c r="B34" i="10"/>
  <c r="B61" i="10" s="1"/>
  <c r="M24" i="40"/>
  <c r="M26" i="40" s="1"/>
  <c r="N119" i="40"/>
  <c r="N113" i="40"/>
  <c r="N102" i="40"/>
  <c r="N92" i="40"/>
  <c r="N111" i="40" s="1"/>
  <c r="N81" i="40"/>
  <c r="N80" i="40"/>
  <c r="N74" i="40"/>
  <c r="N68" i="40"/>
  <c r="N108" i="40" s="1"/>
  <c r="N46" i="40"/>
  <c r="N45" i="40"/>
  <c r="N44" i="40"/>
  <c r="N43" i="40"/>
  <c r="N41" i="40"/>
  <c r="O41" i="40" s="1"/>
  <c r="O40" i="40"/>
  <c r="O39" i="40"/>
  <c r="N39" i="40"/>
  <c r="O37" i="40"/>
  <c r="N37" i="40"/>
  <c r="N25" i="40"/>
  <c r="O24" i="40"/>
  <c r="O26" i="40" s="1"/>
  <c r="O28" i="40" s="1"/>
  <c r="O40" i="39"/>
  <c r="O39" i="39"/>
  <c r="O37" i="39"/>
  <c r="O47" i="36"/>
  <c r="N119" i="39"/>
  <c r="N113" i="39"/>
  <c r="N102" i="39"/>
  <c r="N92" i="39"/>
  <c r="N111" i="39" s="1"/>
  <c r="N81" i="39"/>
  <c r="N80" i="39"/>
  <c r="N74" i="39"/>
  <c r="N68" i="39"/>
  <c r="N108" i="39" s="1"/>
  <c r="N46" i="39"/>
  <c r="N45" i="39"/>
  <c r="N44" i="39"/>
  <c r="N43" i="39"/>
  <c r="N41" i="39"/>
  <c r="O41" i="39" s="1"/>
  <c r="N39" i="39"/>
  <c r="N37" i="39"/>
  <c r="N25" i="39"/>
  <c r="O24" i="39"/>
  <c r="C116" i="8"/>
  <c r="N126" i="36"/>
  <c r="C77" i="8"/>
  <c r="O31" i="36"/>
  <c r="O46" i="36"/>
  <c r="N82" i="39" l="1"/>
  <c r="N110" i="39" s="1"/>
  <c r="B71" i="10"/>
  <c r="B80" i="10"/>
  <c r="B90" i="10" s="1"/>
  <c r="O31" i="40"/>
  <c r="O33" i="40" s="1"/>
  <c r="N82" i="40"/>
  <c r="N110" i="40" s="1"/>
  <c r="B72" i="10"/>
  <c r="B73" i="10"/>
  <c r="O38" i="40"/>
  <c r="O48" i="40" s="1"/>
  <c r="O128" i="40" s="1"/>
  <c r="N75" i="40"/>
  <c r="N76" i="40" s="1"/>
  <c r="N109" i="40" s="1"/>
  <c r="N103" i="40"/>
  <c r="N104" i="40" s="1"/>
  <c r="N112" i="40" s="1"/>
  <c r="O38" i="39"/>
  <c r="O48" i="39" s="1"/>
  <c r="O128" i="39" s="1"/>
  <c r="O26" i="39"/>
  <c r="N75" i="39"/>
  <c r="N76" i="39" s="1"/>
  <c r="N109" i="39" s="1"/>
  <c r="N103" i="39"/>
  <c r="N104" i="39" s="1"/>
  <c r="N112" i="39" s="1"/>
  <c r="K46" i="36"/>
  <c r="O44" i="36"/>
  <c r="O33" i="36"/>
  <c r="N120" i="36"/>
  <c r="N109" i="36"/>
  <c r="N99" i="36"/>
  <c r="N118" i="36" s="1"/>
  <c r="N88" i="36"/>
  <c r="N87" i="36"/>
  <c r="N81" i="36"/>
  <c r="N75" i="36"/>
  <c r="N53" i="36"/>
  <c r="N52" i="36"/>
  <c r="N51" i="36"/>
  <c r="N50" i="36"/>
  <c r="N49" i="36"/>
  <c r="O49" i="36" s="1"/>
  <c r="N48" i="36"/>
  <c r="O48" i="36" s="1"/>
  <c r="N46" i="36"/>
  <c r="N44" i="36"/>
  <c r="N32" i="36"/>
  <c r="S74" i="40" l="1"/>
  <c r="O40" i="36"/>
  <c r="Q108" i="36" s="1"/>
  <c r="Q109" i="36" s="1"/>
  <c r="Q111" i="36" s="1"/>
  <c r="Q119" i="36" s="1"/>
  <c r="N114" i="40"/>
  <c r="N110" i="36"/>
  <c r="O108" i="36"/>
  <c r="O74" i="36"/>
  <c r="O67" i="36"/>
  <c r="O93" i="36"/>
  <c r="O134" i="36"/>
  <c r="O79" i="36"/>
  <c r="O106" i="36"/>
  <c r="O94" i="36"/>
  <c r="O98" i="36"/>
  <c r="O80" i="36"/>
  <c r="O71" i="36"/>
  <c r="O107" i="36"/>
  <c r="O95" i="36"/>
  <c r="O68" i="36"/>
  <c r="O72" i="36"/>
  <c r="O100" i="40"/>
  <c r="O98" i="40"/>
  <c r="O96" i="40"/>
  <c r="O90" i="40"/>
  <c r="O88" i="40"/>
  <c r="O86" i="40"/>
  <c r="O72" i="40"/>
  <c r="O66" i="40"/>
  <c r="O64" i="40"/>
  <c r="O62" i="40"/>
  <c r="O60" i="40"/>
  <c r="O89" i="40"/>
  <c r="O67" i="40"/>
  <c r="O63" i="40"/>
  <c r="O101" i="40"/>
  <c r="O127" i="40"/>
  <c r="O99" i="40"/>
  <c r="O87" i="40"/>
  <c r="O65" i="40"/>
  <c r="O61" i="40"/>
  <c r="O97" i="40"/>
  <c r="O91" i="40"/>
  <c r="O73" i="40"/>
  <c r="O103" i="40"/>
  <c r="O75" i="40"/>
  <c r="O31" i="39"/>
  <c r="O33" i="39" s="1"/>
  <c r="N114" i="39"/>
  <c r="N89" i="36"/>
  <c r="N117" i="36" s="1"/>
  <c r="O45" i="36"/>
  <c r="O55" i="36" s="1"/>
  <c r="O135" i="36" s="1"/>
  <c r="N82" i="36"/>
  <c r="O82" i="36" s="1"/>
  <c r="N115" i="36"/>
  <c r="S76" i="40" l="1"/>
  <c r="S109" i="40" s="1"/>
  <c r="S68" i="40"/>
  <c r="S108" i="40" s="1"/>
  <c r="S102" i="40"/>
  <c r="S104" i="40" s="1"/>
  <c r="S112" i="40" s="1"/>
  <c r="S92" i="40"/>
  <c r="S111" i="40" s="1"/>
  <c r="O70" i="36"/>
  <c r="O110" i="36"/>
  <c r="O103" i="36"/>
  <c r="Q92" i="40"/>
  <c r="Q111" i="40" s="1"/>
  <c r="Q68" i="40"/>
  <c r="Q108" i="40" s="1"/>
  <c r="Q102" i="40"/>
  <c r="Q104" i="40" s="1"/>
  <c r="Q112" i="40" s="1"/>
  <c r="Q74" i="40"/>
  <c r="Q76" i="40" s="1"/>
  <c r="Q109" i="40" s="1"/>
  <c r="O73" i="36"/>
  <c r="O105" i="36"/>
  <c r="O96" i="36"/>
  <c r="O97" i="36"/>
  <c r="O69" i="36"/>
  <c r="O75" i="36" s="1"/>
  <c r="O115" i="36" s="1"/>
  <c r="O104" i="36"/>
  <c r="O60" i="39"/>
  <c r="O99" i="39"/>
  <c r="N111" i="36"/>
  <c r="N119" i="36" s="1"/>
  <c r="O109" i="36"/>
  <c r="O111" i="36" s="1"/>
  <c r="O119" i="36" s="1"/>
  <c r="O98" i="39"/>
  <c r="O86" i="39"/>
  <c r="O72" i="39"/>
  <c r="O63" i="39"/>
  <c r="O87" i="39"/>
  <c r="O66" i="39"/>
  <c r="O81" i="36"/>
  <c r="O83" i="36" s="1"/>
  <c r="O116" i="36" s="1"/>
  <c r="O68" i="40"/>
  <c r="O108" i="40" s="1"/>
  <c r="O102" i="40"/>
  <c r="O104" i="40" s="1"/>
  <c r="O112" i="40" s="1"/>
  <c r="O92" i="40"/>
  <c r="O111" i="40" s="1"/>
  <c r="O74" i="40"/>
  <c r="O76" i="40" s="1"/>
  <c r="O109" i="40" s="1"/>
  <c r="O67" i="39"/>
  <c r="O127" i="39"/>
  <c r="O88" i="39"/>
  <c r="O61" i="39"/>
  <c r="O101" i="39"/>
  <c r="O100" i="39"/>
  <c r="O75" i="39"/>
  <c r="O89" i="39"/>
  <c r="O62" i="39"/>
  <c r="O90" i="39"/>
  <c r="O65" i="39"/>
  <c r="O97" i="39"/>
  <c r="O103" i="39"/>
  <c r="O91" i="39"/>
  <c r="O64" i="39"/>
  <c r="O96" i="39"/>
  <c r="O73" i="39"/>
  <c r="N83" i="36"/>
  <c r="N116" i="36" s="1"/>
  <c r="N121" i="36" s="1"/>
  <c r="F43" i="10"/>
  <c r="M39" i="40"/>
  <c r="K39" i="40"/>
  <c r="K24" i="40"/>
  <c r="K41" i="39"/>
  <c r="K24" i="39"/>
  <c r="L122" i="40"/>
  <c r="J121" i="40"/>
  <c r="J120" i="40"/>
  <c r="L119" i="40"/>
  <c r="L118" i="40"/>
  <c r="J113" i="40"/>
  <c r="J101" i="40"/>
  <c r="J100" i="40"/>
  <c r="J99" i="40"/>
  <c r="J98" i="40"/>
  <c r="J97" i="40"/>
  <c r="J96" i="40"/>
  <c r="J92" i="40"/>
  <c r="J111" i="40" s="1"/>
  <c r="L91" i="40"/>
  <c r="L90" i="40"/>
  <c r="L89" i="40"/>
  <c r="L87" i="40"/>
  <c r="L86" i="40"/>
  <c r="L81" i="40"/>
  <c r="J81" i="40"/>
  <c r="L80" i="40"/>
  <c r="J80" i="40"/>
  <c r="J73" i="40"/>
  <c r="J72" i="40"/>
  <c r="J67" i="40"/>
  <c r="J66" i="40"/>
  <c r="J65" i="40"/>
  <c r="J64" i="40"/>
  <c r="J63" i="40"/>
  <c r="J62" i="40"/>
  <c r="J61" i="40"/>
  <c r="J60" i="40"/>
  <c r="J46" i="40"/>
  <c r="J45" i="40"/>
  <c r="J44" i="40"/>
  <c r="J43" i="40"/>
  <c r="M42" i="40"/>
  <c r="K42" i="40"/>
  <c r="K41" i="40"/>
  <c r="J38" i="40"/>
  <c r="M37" i="40"/>
  <c r="M38" i="40" s="1"/>
  <c r="K37" i="40"/>
  <c r="J37" i="40"/>
  <c r="J26" i="40"/>
  <c r="L25" i="40"/>
  <c r="J25" i="40"/>
  <c r="M24" i="39"/>
  <c r="L122" i="39"/>
  <c r="L118" i="39"/>
  <c r="L87" i="39"/>
  <c r="L89" i="39"/>
  <c r="L90" i="39"/>
  <c r="L86" i="39"/>
  <c r="I44" i="39"/>
  <c r="M44" i="39" s="1"/>
  <c r="I45" i="39"/>
  <c r="M45" i="39" s="1"/>
  <c r="I46" i="39"/>
  <c r="M46" i="39" s="1"/>
  <c r="I43" i="39"/>
  <c r="M43" i="39" s="1"/>
  <c r="K44" i="39"/>
  <c r="K45" i="39"/>
  <c r="K46" i="39"/>
  <c r="K43" i="39"/>
  <c r="L81" i="39"/>
  <c r="L80" i="39"/>
  <c r="L25" i="39"/>
  <c r="J12" i="39"/>
  <c r="J17" i="39"/>
  <c r="J19" i="39"/>
  <c r="J20" i="39"/>
  <c r="J25" i="39"/>
  <c r="J26" i="39"/>
  <c r="K26" i="39" s="1"/>
  <c r="J43" i="39"/>
  <c r="J44" i="39"/>
  <c r="J45" i="39"/>
  <c r="J46" i="39"/>
  <c r="J60" i="39"/>
  <c r="J61" i="39"/>
  <c r="J62" i="39"/>
  <c r="J63" i="39"/>
  <c r="J64" i="39"/>
  <c r="J65" i="39"/>
  <c r="J66" i="39"/>
  <c r="J67" i="39"/>
  <c r="J72" i="39"/>
  <c r="J73" i="39"/>
  <c r="J80" i="39"/>
  <c r="J81" i="39"/>
  <c r="J92" i="39"/>
  <c r="J111" i="39" s="1"/>
  <c r="J96" i="39"/>
  <c r="J97" i="39"/>
  <c r="J98" i="39"/>
  <c r="J99" i="39"/>
  <c r="J100" i="39"/>
  <c r="J101" i="39"/>
  <c r="J103" i="39"/>
  <c r="J113" i="39"/>
  <c r="J120" i="39"/>
  <c r="J121" i="39"/>
  <c r="I24" i="40"/>
  <c r="I26" i="40" s="1"/>
  <c r="H113" i="40"/>
  <c r="L113" i="40" s="1"/>
  <c r="H80" i="40"/>
  <c r="H46" i="40"/>
  <c r="H45" i="40"/>
  <c r="H44" i="40"/>
  <c r="H43" i="40"/>
  <c r="H42" i="40"/>
  <c r="I42" i="40" s="1"/>
  <c r="H41" i="40"/>
  <c r="I41" i="40" s="1"/>
  <c r="H39" i="40"/>
  <c r="H31" i="40"/>
  <c r="H25" i="40"/>
  <c r="M46" i="36"/>
  <c r="M31" i="36"/>
  <c r="B32" i="36"/>
  <c r="F32" i="36"/>
  <c r="H32" i="36"/>
  <c r="J32" i="36"/>
  <c r="L32" i="36"/>
  <c r="H99" i="36"/>
  <c r="H88" i="36"/>
  <c r="H87" i="36"/>
  <c r="H81" i="36"/>
  <c r="H83" i="36" s="1"/>
  <c r="I44" i="36"/>
  <c r="I46" i="36"/>
  <c r="I49" i="36"/>
  <c r="I48" i="36"/>
  <c r="I31" i="36"/>
  <c r="I45" i="36" s="1"/>
  <c r="F45" i="10"/>
  <c r="B45" i="10"/>
  <c r="F44" i="10"/>
  <c r="B44" i="10"/>
  <c r="B43" i="10"/>
  <c r="G8" i="10"/>
  <c r="G9" i="10"/>
  <c r="G10" i="10"/>
  <c r="E36" i="10"/>
  <c r="E35" i="10"/>
  <c r="E34" i="10"/>
  <c r="B53" i="10"/>
  <c r="B52" i="10"/>
  <c r="B51" i="10"/>
  <c r="G53" i="38"/>
  <c r="H53" i="38" s="1"/>
  <c r="F53" i="38"/>
  <c r="G52" i="38"/>
  <c r="H52" i="38" s="1"/>
  <c r="F52" i="38"/>
  <c r="G51" i="38"/>
  <c r="H51" i="38" s="1"/>
  <c r="H54" i="38" s="1"/>
  <c r="H55" i="38" s="1"/>
  <c r="H56" i="38" s="1"/>
  <c r="F51" i="38"/>
  <c r="G42" i="38"/>
  <c r="F42" i="38"/>
  <c r="G41" i="38"/>
  <c r="H41" i="38" s="1"/>
  <c r="F41" i="38"/>
  <c r="G40" i="38"/>
  <c r="H40" i="38" s="1"/>
  <c r="F40" i="38"/>
  <c r="G39" i="38"/>
  <c r="F39" i="38"/>
  <c r="F50" i="32"/>
  <c r="G50" i="32" s="1"/>
  <c r="F49" i="32"/>
  <c r="G49" i="32" s="1"/>
  <c r="F48" i="32"/>
  <c r="G48" i="32" s="1"/>
  <c r="F47" i="32"/>
  <c r="G47" i="32" s="1"/>
  <c r="F46" i="32"/>
  <c r="G46" i="32" s="1"/>
  <c r="G45" i="32"/>
  <c r="F45" i="32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H25" i="39"/>
  <c r="L20" i="40"/>
  <c r="J20" i="40"/>
  <c r="L17" i="40"/>
  <c r="J17" i="40"/>
  <c r="L19" i="40"/>
  <c r="J19" i="40"/>
  <c r="H31" i="39"/>
  <c r="I24" i="39"/>
  <c r="H19" i="39"/>
  <c r="H12" i="39"/>
  <c r="H121" i="39"/>
  <c r="L121" i="39" s="1"/>
  <c r="H120" i="39"/>
  <c r="L120" i="39" s="1"/>
  <c r="H113" i="39"/>
  <c r="L113" i="39" s="1"/>
  <c r="H103" i="39"/>
  <c r="H101" i="39"/>
  <c r="L101" i="39" s="1"/>
  <c r="H100" i="39"/>
  <c r="L100" i="39" s="1"/>
  <c r="H99" i="39"/>
  <c r="L99" i="39" s="1"/>
  <c r="H98" i="39"/>
  <c r="H97" i="39"/>
  <c r="L97" i="39" s="1"/>
  <c r="H96" i="39"/>
  <c r="L96" i="39" s="1"/>
  <c r="H91" i="39"/>
  <c r="L91" i="39" s="1"/>
  <c r="H88" i="39"/>
  <c r="L88" i="39" s="1"/>
  <c r="H81" i="39"/>
  <c r="H80" i="39"/>
  <c r="H73" i="39"/>
  <c r="H72" i="39"/>
  <c r="L72" i="39" s="1"/>
  <c r="H67" i="39"/>
  <c r="L67" i="39" s="1"/>
  <c r="H66" i="39"/>
  <c r="L66" i="39" s="1"/>
  <c r="H65" i="39"/>
  <c r="L65" i="39" s="1"/>
  <c r="H64" i="39"/>
  <c r="L64" i="39" s="1"/>
  <c r="H63" i="39"/>
  <c r="L63" i="39" s="1"/>
  <c r="H62" i="39"/>
  <c r="H61" i="39"/>
  <c r="L61" i="39" s="1"/>
  <c r="H60" i="39"/>
  <c r="L60" i="39" s="1"/>
  <c r="H46" i="39"/>
  <c r="H45" i="39"/>
  <c r="H44" i="39"/>
  <c r="H43" i="39"/>
  <c r="I42" i="39"/>
  <c r="I41" i="39"/>
  <c r="H26" i="39"/>
  <c r="H20" i="39"/>
  <c r="H17" i="39"/>
  <c r="A5" i="36"/>
  <c r="F12" i="36"/>
  <c r="F13" i="36"/>
  <c r="J13" i="36"/>
  <c r="F14" i="36"/>
  <c r="F15" i="36"/>
  <c r="F16" i="36"/>
  <c r="E19" i="36"/>
  <c r="F19" i="36"/>
  <c r="F24" i="36"/>
  <c r="F25" i="36"/>
  <c r="J25" i="36"/>
  <c r="K31" i="36" s="1"/>
  <c r="F26" i="36"/>
  <c r="F27" i="36"/>
  <c r="J27" i="36"/>
  <c r="L27" i="36"/>
  <c r="B33" i="36"/>
  <c r="F33" i="36"/>
  <c r="J33" i="36"/>
  <c r="L33" i="36"/>
  <c r="B35" i="36"/>
  <c r="B38" i="36"/>
  <c r="B44" i="36"/>
  <c r="J44" i="36"/>
  <c r="L44" i="36"/>
  <c r="F45" i="36"/>
  <c r="J45" i="36"/>
  <c r="L45" i="36"/>
  <c r="B46" i="36"/>
  <c r="F46" i="36"/>
  <c r="J46" i="36"/>
  <c r="L46" i="36"/>
  <c r="B48" i="36"/>
  <c r="F48" i="36"/>
  <c r="G48" i="36" s="1"/>
  <c r="J48" i="36"/>
  <c r="L48" i="36"/>
  <c r="M48" i="36" s="1"/>
  <c r="B49" i="36"/>
  <c r="F49" i="36"/>
  <c r="G49" i="36" s="1"/>
  <c r="J49" i="36"/>
  <c r="K49" i="36" s="1"/>
  <c r="L49" i="36"/>
  <c r="M49" i="36" s="1"/>
  <c r="B50" i="36"/>
  <c r="F50" i="36"/>
  <c r="J50" i="36"/>
  <c r="L50" i="36"/>
  <c r="B51" i="36"/>
  <c r="F51" i="36"/>
  <c r="J51" i="36"/>
  <c r="L51" i="36"/>
  <c r="B52" i="36"/>
  <c r="F52" i="36"/>
  <c r="J52" i="36"/>
  <c r="L52" i="36"/>
  <c r="B53" i="36"/>
  <c r="F53" i="36"/>
  <c r="J53" i="36"/>
  <c r="L53" i="36"/>
  <c r="B59" i="36"/>
  <c r="B60" i="36"/>
  <c r="B61" i="36"/>
  <c r="B67" i="36"/>
  <c r="F67" i="36"/>
  <c r="J67" i="36"/>
  <c r="L67" i="36"/>
  <c r="B68" i="36"/>
  <c r="F68" i="36"/>
  <c r="J68" i="36"/>
  <c r="L68" i="36"/>
  <c r="B69" i="36"/>
  <c r="F69" i="36"/>
  <c r="J69" i="36"/>
  <c r="L69" i="36"/>
  <c r="B70" i="36"/>
  <c r="F70" i="36"/>
  <c r="J70" i="36"/>
  <c r="L70" i="36"/>
  <c r="B71" i="36"/>
  <c r="F71" i="36"/>
  <c r="J71" i="36"/>
  <c r="L71" i="36"/>
  <c r="B72" i="36"/>
  <c r="F72" i="36"/>
  <c r="J72" i="36"/>
  <c r="L72" i="36"/>
  <c r="B73" i="36"/>
  <c r="F73" i="36"/>
  <c r="J73" i="36"/>
  <c r="L73" i="36"/>
  <c r="B74" i="36"/>
  <c r="F74" i="36"/>
  <c r="J74" i="36"/>
  <c r="L74" i="36"/>
  <c r="B79" i="36"/>
  <c r="F79" i="36"/>
  <c r="J79" i="36"/>
  <c r="L79" i="36"/>
  <c r="B80" i="36"/>
  <c r="F80" i="36"/>
  <c r="F81" i="36" s="1"/>
  <c r="J80" i="36"/>
  <c r="L80" i="36"/>
  <c r="L81" i="36" s="1"/>
  <c r="B82" i="36"/>
  <c r="B87" i="36"/>
  <c r="F87" i="36"/>
  <c r="J87" i="36"/>
  <c r="L87" i="36"/>
  <c r="B88" i="36"/>
  <c r="J88" i="36"/>
  <c r="L88" i="36"/>
  <c r="B93" i="36"/>
  <c r="F93" i="36"/>
  <c r="J93" i="36"/>
  <c r="B94" i="36"/>
  <c r="B95" i="36"/>
  <c r="F95" i="36"/>
  <c r="J95" i="36"/>
  <c r="B96" i="36"/>
  <c r="F96" i="36"/>
  <c r="J96" i="36"/>
  <c r="B97" i="36"/>
  <c r="B98" i="36"/>
  <c r="F98" i="36"/>
  <c r="J98" i="36"/>
  <c r="L98" i="36"/>
  <c r="L99" i="36" s="1"/>
  <c r="L118" i="36" s="1"/>
  <c r="B103" i="36"/>
  <c r="F103" i="36"/>
  <c r="J103" i="36"/>
  <c r="L103" i="36"/>
  <c r="B104" i="36"/>
  <c r="F104" i="36"/>
  <c r="J104" i="36"/>
  <c r="L104" i="36"/>
  <c r="B105" i="36"/>
  <c r="F105" i="36"/>
  <c r="J105" i="36"/>
  <c r="L105" i="36"/>
  <c r="B106" i="36"/>
  <c r="F106" i="36"/>
  <c r="J106" i="36"/>
  <c r="L106" i="36"/>
  <c r="B107" i="36"/>
  <c r="F107" i="36"/>
  <c r="J107" i="36"/>
  <c r="L107" i="36"/>
  <c r="B108" i="36"/>
  <c r="F108" i="36"/>
  <c r="J108" i="36"/>
  <c r="L108" i="36"/>
  <c r="B110" i="36"/>
  <c r="B115" i="36"/>
  <c r="B116" i="36"/>
  <c r="B117" i="36"/>
  <c r="B118" i="36"/>
  <c r="L128" i="36"/>
  <c r="L127" i="36"/>
  <c r="L120" i="36"/>
  <c r="J128" i="36"/>
  <c r="J127" i="36"/>
  <c r="J104" i="8"/>
  <c r="L103" i="8"/>
  <c r="L102" i="8"/>
  <c r="L101" i="8"/>
  <c r="L104" i="8" s="1"/>
  <c r="J96" i="8"/>
  <c r="L95" i="8"/>
  <c r="L96" i="8" s="1"/>
  <c r="L94" i="8"/>
  <c r="L93" i="8"/>
  <c r="J120" i="36"/>
  <c r="F73" i="39"/>
  <c r="F73" i="40"/>
  <c r="H73" i="40" s="1"/>
  <c r="L73" i="40" s="1"/>
  <c r="B73" i="40"/>
  <c r="C93" i="8"/>
  <c r="F15" i="32"/>
  <c r="G15" i="32" s="1"/>
  <c r="F122" i="40"/>
  <c r="F118" i="40"/>
  <c r="F122" i="39"/>
  <c r="F118" i="39"/>
  <c r="G25" i="38"/>
  <c r="F44" i="40"/>
  <c r="G44" i="40" s="1"/>
  <c r="G26" i="38"/>
  <c r="G27" i="38"/>
  <c r="G16" i="38"/>
  <c r="G15" i="38"/>
  <c r="G14" i="38"/>
  <c r="G13" i="38"/>
  <c r="H13" i="38" s="1"/>
  <c r="H17" i="38" s="1"/>
  <c r="H18" i="38" s="1"/>
  <c r="H19" i="38" s="1"/>
  <c r="F20" i="32"/>
  <c r="G20" i="32" s="1"/>
  <c r="F19" i="32"/>
  <c r="G19" i="32"/>
  <c r="F18" i="32"/>
  <c r="G18" i="32" s="1"/>
  <c r="F17" i="32"/>
  <c r="G17" i="32"/>
  <c r="F16" i="32"/>
  <c r="G16" i="32" s="1"/>
  <c r="B10" i="10"/>
  <c r="B27" i="10" s="1"/>
  <c r="B31" i="40"/>
  <c r="F19" i="40"/>
  <c r="F18" i="40"/>
  <c r="G24" i="40" s="1"/>
  <c r="G12" i="40"/>
  <c r="F12" i="40"/>
  <c r="F121" i="40"/>
  <c r="H121" i="40" s="1"/>
  <c r="L121" i="40" s="1"/>
  <c r="F120" i="40"/>
  <c r="H120" i="40" s="1"/>
  <c r="L120" i="40" s="1"/>
  <c r="F113" i="40"/>
  <c r="B112" i="40"/>
  <c r="B111" i="40"/>
  <c r="B110" i="40"/>
  <c r="B109" i="40"/>
  <c r="B108" i="40"/>
  <c r="B103" i="40"/>
  <c r="F101" i="40"/>
  <c r="H101" i="40" s="1"/>
  <c r="L101" i="40" s="1"/>
  <c r="B101" i="40"/>
  <c r="F100" i="40"/>
  <c r="H100" i="40" s="1"/>
  <c r="L100" i="40" s="1"/>
  <c r="B100" i="40"/>
  <c r="F99" i="40"/>
  <c r="H99" i="40" s="1"/>
  <c r="L99" i="40" s="1"/>
  <c r="B99" i="40"/>
  <c r="F98" i="40"/>
  <c r="H98" i="40" s="1"/>
  <c r="L98" i="40" s="1"/>
  <c r="B98" i="40"/>
  <c r="F97" i="40"/>
  <c r="H97" i="40" s="1"/>
  <c r="L97" i="40" s="1"/>
  <c r="B97" i="40"/>
  <c r="F96" i="40"/>
  <c r="H96" i="40" s="1"/>
  <c r="B96" i="40"/>
  <c r="B91" i="40"/>
  <c r="B90" i="40"/>
  <c r="F89" i="40"/>
  <c r="B89" i="40"/>
  <c r="B88" i="40"/>
  <c r="B87" i="40"/>
  <c r="F86" i="40"/>
  <c r="B86" i="40"/>
  <c r="B81" i="40"/>
  <c r="F80" i="40"/>
  <c r="B80" i="40"/>
  <c r="B75" i="40"/>
  <c r="F72" i="40"/>
  <c r="B72" i="40"/>
  <c r="F67" i="40"/>
  <c r="H67" i="40" s="1"/>
  <c r="L67" i="40" s="1"/>
  <c r="B67" i="40"/>
  <c r="F66" i="40"/>
  <c r="H66" i="40" s="1"/>
  <c r="L66" i="40" s="1"/>
  <c r="B66" i="40"/>
  <c r="F65" i="40"/>
  <c r="H65" i="40" s="1"/>
  <c r="L65" i="40" s="1"/>
  <c r="B65" i="40"/>
  <c r="F64" i="40"/>
  <c r="H64" i="40" s="1"/>
  <c r="L64" i="40" s="1"/>
  <c r="B64" i="40"/>
  <c r="F63" i="40"/>
  <c r="H63" i="40" s="1"/>
  <c r="B63" i="40"/>
  <c r="F62" i="40"/>
  <c r="H62" i="40" s="1"/>
  <c r="L62" i="40" s="1"/>
  <c r="B62" i="40"/>
  <c r="F61" i="40"/>
  <c r="H61" i="40" s="1"/>
  <c r="L61" i="40" s="1"/>
  <c r="B61" i="40"/>
  <c r="F60" i="40"/>
  <c r="H60" i="40" s="1"/>
  <c r="L60" i="40" s="1"/>
  <c r="B60" i="40"/>
  <c r="B54" i="40"/>
  <c r="B53" i="40"/>
  <c r="B52" i="40"/>
  <c r="F46" i="40"/>
  <c r="G46" i="40" s="1"/>
  <c r="I46" i="40" s="1"/>
  <c r="M46" i="40" s="1"/>
  <c r="B46" i="40"/>
  <c r="F45" i="40"/>
  <c r="G45" i="40" s="1"/>
  <c r="B45" i="40"/>
  <c r="B44" i="40"/>
  <c r="F43" i="40"/>
  <c r="G43" i="40" s="1"/>
  <c r="B43" i="40"/>
  <c r="F42" i="40"/>
  <c r="G42" i="40" s="1"/>
  <c r="B42" i="40"/>
  <c r="F41" i="40"/>
  <c r="G41" i="40" s="1"/>
  <c r="B41" i="40"/>
  <c r="F39" i="40"/>
  <c r="G39" i="40" s="1"/>
  <c r="I39" i="40" s="1"/>
  <c r="B39" i="40"/>
  <c r="F38" i="40"/>
  <c r="B37" i="40"/>
  <c r="F28" i="40"/>
  <c r="F31" i="40"/>
  <c r="F26" i="40"/>
  <c r="B26" i="40"/>
  <c r="F25" i="40"/>
  <c r="B25" i="40"/>
  <c r="F20" i="40"/>
  <c r="F17" i="40"/>
  <c r="E12" i="40"/>
  <c r="B9" i="10"/>
  <c r="B26" i="10" s="1"/>
  <c r="C9" i="10"/>
  <c r="F19" i="39"/>
  <c r="F18" i="39"/>
  <c r="G24" i="39" s="1"/>
  <c r="G38" i="39" s="1"/>
  <c r="F12" i="39"/>
  <c r="F121" i="39"/>
  <c r="F120" i="39"/>
  <c r="F113" i="39"/>
  <c r="B112" i="39"/>
  <c r="B111" i="39"/>
  <c r="B110" i="39"/>
  <c r="B109" i="39"/>
  <c r="B108" i="39"/>
  <c r="B103" i="39"/>
  <c r="F101" i="39"/>
  <c r="F100" i="39"/>
  <c r="F99" i="39"/>
  <c r="F98" i="39"/>
  <c r="F97" i="39"/>
  <c r="F96" i="39"/>
  <c r="F89" i="39"/>
  <c r="F86" i="39"/>
  <c r="B81" i="39"/>
  <c r="F80" i="39"/>
  <c r="B80" i="39"/>
  <c r="F72" i="39"/>
  <c r="F67" i="39"/>
  <c r="F66" i="39"/>
  <c r="F65" i="39"/>
  <c r="F64" i="39"/>
  <c r="F63" i="39"/>
  <c r="F62" i="39"/>
  <c r="F61" i="39"/>
  <c r="F60" i="39"/>
  <c r="G42" i="39"/>
  <c r="G41" i="39"/>
  <c r="F31" i="39"/>
  <c r="F26" i="39"/>
  <c r="F20" i="39"/>
  <c r="F17" i="39"/>
  <c r="E12" i="39"/>
  <c r="B8" i="10"/>
  <c r="B25" i="10" s="1"/>
  <c r="E9" i="10"/>
  <c r="E10" i="10"/>
  <c r="E8" i="10"/>
  <c r="F127" i="36"/>
  <c r="F27" i="38"/>
  <c r="F26" i="38"/>
  <c r="F25" i="38"/>
  <c r="H25" i="38" s="1"/>
  <c r="F14" i="38"/>
  <c r="H14" i="38" s="1"/>
  <c r="F15" i="38"/>
  <c r="H15" i="38" s="1"/>
  <c r="F16" i="38"/>
  <c r="H16" i="38" s="1"/>
  <c r="F13" i="38"/>
  <c r="A3" i="38"/>
  <c r="A2" i="38"/>
  <c r="B66" i="8"/>
  <c r="O60" i="8"/>
  <c r="L74" i="8"/>
  <c r="K12" i="39" s="1"/>
  <c r="L75" i="8"/>
  <c r="E17" i="9"/>
  <c r="L73" i="8"/>
  <c r="G19" i="36" s="1"/>
  <c r="F129" i="36"/>
  <c r="F125" i="36"/>
  <c r="D16" i="9"/>
  <c r="D17" i="9"/>
  <c r="B16" i="9"/>
  <c r="B17" i="9"/>
  <c r="J76" i="8"/>
  <c r="C7" i="8" s="1"/>
  <c r="F128" i="36"/>
  <c r="F120" i="36"/>
  <c r="B119" i="36"/>
  <c r="A3" i="32"/>
  <c r="A2" i="32"/>
  <c r="D15" i="9"/>
  <c r="B15" i="9"/>
  <c r="E33" i="8"/>
  <c r="F33" i="8" s="1"/>
  <c r="A2" i="31"/>
  <c r="A1" i="31"/>
  <c r="C115" i="8"/>
  <c r="C89" i="8"/>
  <c r="A1" i="10"/>
  <c r="A2" i="10"/>
  <c r="A1" i="9"/>
  <c r="A2" i="9"/>
  <c r="B8" i="9"/>
  <c r="F36" i="8"/>
  <c r="C76" i="8"/>
  <c r="E15" i="9"/>
  <c r="F91" i="39"/>
  <c r="F91" i="40"/>
  <c r="C98" i="8"/>
  <c r="F88" i="40"/>
  <c r="H88" i="40" s="1"/>
  <c r="F88" i="39"/>
  <c r="E105" i="8"/>
  <c r="F103" i="39"/>
  <c r="L76" i="8"/>
  <c r="O63" i="8"/>
  <c r="O68" i="8"/>
  <c r="E16" i="9"/>
  <c r="G12" i="39"/>
  <c r="H26" i="38"/>
  <c r="A23" i="9"/>
  <c r="A21" i="9"/>
  <c r="Q61" i="36" l="1"/>
  <c r="O61" i="36"/>
  <c r="H43" i="38"/>
  <c r="H44" i="38" s="1"/>
  <c r="H45" i="38" s="1"/>
  <c r="H27" i="38"/>
  <c r="H42" i="38"/>
  <c r="K60" i="36"/>
  <c r="G60" i="36"/>
  <c r="I60" i="36"/>
  <c r="F17" i="10"/>
  <c r="F104" i="10"/>
  <c r="F18" i="10"/>
  <c r="F105" i="10"/>
  <c r="F19" i="10"/>
  <c r="F106" i="10"/>
  <c r="O99" i="36"/>
  <c r="O118" i="36" s="1"/>
  <c r="D18" i="9"/>
  <c r="F74" i="40"/>
  <c r="Q74" i="39"/>
  <c r="Q76" i="39" s="1"/>
  <c r="Q109" i="39" s="1"/>
  <c r="E18" i="9"/>
  <c r="Q102" i="39"/>
  <c r="Q104" i="39" s="1"/>
  <c r="Q112" i="39" s="1"/>
  <c r="Q92" i="39"/>
  <c r="Q111" i="39" s="1"/>
  <c r="Q68" i="39"/>
  <c r="Q108" i="39" s="1"/>
  <c r="J75" i="36"/>
  <c r="J115" i="36" s="1"/>
  <c r="O74" i="39"/>
  <c r="O76" i="39" s="1"/>
  <c r="O109" i="39" s="1"/>
  <c r="F46" i="10"/>
  <c r="J119" i="40"/>
  <c r="K26" i="40"/>
  <c r="J68" i="40"/>
  <c r="J108" i="40" s="1"/>
  <c r="J74" i="40"/>
  <c r="F75" i="36"/>
  <c r="F115" i="36" s="1"/>
  <c r="G33" i="36"/>
  <c r="G40" i="36" s="1"/>
  <c r="G71" i="36" s="1"/>
  <c r="H89" i="36"/>
  <c r="J81" i="36"/>
  <c r="M33" i="36"/>
  <c r="M40" i="36" s="1"/>
  <c r="M74" i="36" s="1"/>
  <c r="F126" i="36"/>
  <c r="L89" i="36"/>
  <c r="L117" i="36" s="1"/>
  <c r="J89" i="36"/>
  <c r="J117" i="36" s="1"/>
  <c r="K48" i="39"/>
  <c r="K128" i="39" s="1"/>
  <c r="I26" i="39"/>
  <c r="I31" i="39" s="1"/>
  <c r="I33" i="39" s="1"/>
  <c r="H92" i="39"/>
  <c r="H111" i="39" s="1"/>
  <c r="L111" i="39" s="1"/>
  <c r="F68" i="39"/>
  <c r="F108" i="39" s="1"/>
  <c r="F74" i="39"/>
  <c r="F119" i="39"/>
  <c r="J74" i="39"/>
  <c r="L109" i="36"/>
  <c r="I55" i="36"/>
  <c r="I135" i="36" s="1"/>
  <c r="J109" i="36"/>
  <c r="M79" i="36"/>
  <c r="J126" i="36"/>
  <c r="K33" i="36"/>
  <c r="K40" i="36" s="1"/>
  <c r="J82" i="40"/>
  <c r="J110" i="40" s="1"/>
  <c r="J102" i="40"/>
  <c r="L82" i="40"/>
  <c r="G26" i="40"/>
  <c r="K38" i="40"/>
  <c r="H72" i="40"/>
  <c r="L72" i="40" s="1"/>
  <c r="F68" i="40"/>
  <c r="F75" i="40" s="1"/>
  <c r="F76" i="40" s="1"/>
  <c r="F109" i="40" s="1"/>
  <c r="F102" i="40"/>
  <c r="F119" i="40"/>
  <c r="O68" i="39"/>
  <c r="O108" i="39" s="1"/>
  <c r="O92" i="39"/>
  <c r="O111" i="39" s="1"/>
  <c r="O102" i="39"/>
  <c r="O104" i="39" s="1"/>
  <c r="O112" i="39" s="1"/>
  <c r="J119" i="39"/>
  <c r="J102" i="39"/>
  <c r="J104" i="39" s="1"/>
  <c r="J112" i="39" s="1"/>
  <c r="J82" i="39"/>
  <c r="J110" i="39" s="1"/>
  <c r="G26" i="39"/>
  <c r="G31" i="39" s="1"/>
  <c r="G33" i="39" s="1"/>
  <c r="F102" i="39"/>
  <c r="F104" i="39" s="1"/>
  <c r="F112" i="39" s="1"/>
  <c r="H82" i="39"/>
  <c r="H110" i="39" s="1"/>
  <c r="L110" i="39" s="1"/>
  <c r="H119" i="39"/>
  <c r="L119" i="39" s="1"/>
  <c r="L75" i="36"/>
  <c r="L126" i="36"/>
  <c r="I33" i="36"/>
  <c r="I40" i="36" s="1"/>
  <c r="I134" i="36" s="1"/>
  <c r="M28" i="40"/>
  <c r="M31" i="40" s="1"/>
  <c r="L88" i="40"/>
  <c r="H92" i="40"/>
  <c r="H111" i="40" s="1"/>
  <c r="L111" i="40" s="1"/>
  <c r="M54" i="39"/>
  <c r="M61" i="36"/>
  <c r="M54" i="40"/>
  <c r="O54" i="40" s="1"/>
  <c r="L98" i="39"/>
  <c r="L102" i="39" s="1"/>
  <c r="H102" i="39"/>
  <c r="H104" i="39" s="1"/>
  <c r="H112" i="39" s="1"/>
  <c r="L112" i="39" s="1"/>
  <c r="L103" i="39"/>
  <c r="L63" i="40"/>
  <c r="L68" i="40" s="1"/>
  <c r="M26" i="39"/>
  <c r="M31" i="39" s="1"/>
  <c r="M48" i="39"/>
  <c r="M128" i="39" s="1"/>
  <c r="M73" i="36"/>
  <c r="M95" i="36"/>
  <c r="M93" i="36"/>
  <c r="M106" i="36"/>
  <c r="H28" i="38"/>
  <c r="H29" i="38" s="1"/>
  <c r="H30" i="38" s="1"/>
  <c r="L73" i="39"/>
  <c r="H74" i="39"/>
  <c r="K53" i="39"/>
  <c r="K53" i="40"/>
  <c r="F54" i="8"/>
  <c r="L62" i="39"/>
  <c r="H68" i="39"/>
  <c r="K45" i="40"/>
  <c r="I45" i="40"/>
  <c r="M45" i="40" s="1"/>
  <c r="H38" i="40"/>
  <c r="L96" i="40"/>
  <c r="H102" i="40"/>
  <c r="J68" i="39"/>
  <c r="K43" i="40"/>
  <c r="I43" i="40"/>
  <c r="M43" i="40" s="1"/>
  <c r="H68" i="40"/>
  <c r="G21" i="32"/>
  <c r="G51" i="32"/>
  <c r="C94" i="8"/>
  <c r="C95" i="8" s="1"/>
  <c r="C102" i="8"/>
  <c r="C105" i="8"/>
  <c r="F44" i="36"/>
  <c r="H37" i="40"/>
  <c r="F37" i="40"/>
  <c r="G37" i="40" s="1"/>
  <c r="G38" i="40" s="1"/>
  <c r="K44" i="40"/>
  <c r="I44" i="40"/>
  <c r="M44" i="40" s="1"/>
  <c r="L82" i="39"/>
  <c r="K46" i="40"/>
  <c r="K31" i="39"/>
  <c r="K33" i="39" s="1"/>
  <c r="H81" i="40"/>
  <c r="C99" i="8"/>
  <c r="F88" i="36"/>
  <c r="F81" i="39"/>
  <c r="F81" i="40"/>
  <c r="F82" i="40" s="1"/>
  <c r="F110" i="40" s="1"/>
  <c r="J110" i="36"/>
  <c r="F103" i="40"/>
  <c r="J103" i="40"/>
  <c r="L110" i="36"/>
  <c r="C117" i="8"/>
  <c r="F110" i="36"/>
  <c r="F109" i="36"/>
  <c r="G36" i="32"/>
  <c r="G53" i="32" s="1"/>
  <c r="L92" i="39"/>
  <c r="I12" i="39"/>
  <c r="I28" i="40"/>
  <c r="Q60" i="36" l="1"/>
  <c r="S62" i="36"/>
  <c r="S136" i="36" s="1"/>
  <c r="S138" i="36" s="1"/>
  <c r="O60" i="36"/>
  <c r="M53" i="40"/>
  <c r="O53" i="40" s="1"/>
  <c r="M53" i="39"/>
  <c r="G61" i="36"/>
  <c r="K61" i="36"/>
  <c r="M60" i="36"/>
  <c r="S81" i="39"/>
  <c r="S80" i="39"/>
  <c r="S82" i="39" s="1"/>
  <c r="S110" i="39" s="1"/>
  <c r="S114" i="39" s="1"/>
  <c r="S130" i="39" s="1"/>
  <c r="F20" i="10"/>
  <c r="I97" i="36"/>
  <c r="J75" i="40"/>
  <c r="J76" i="40" s="1"/>
  <c r="J109" i="40" s="1"/>
  <c r="I67" i="36"/>
  <c r="G98" i="36"/>
  <c r="G110" i="36"/>
  <c r="I107" i="36"/>
  <c r="M94" i="36"/>
  <c r="M98" i="36"/>
  <c r="J82" i="36"/>
  <c r="M110" i="36"/>
  <c r="I93" i="36"/>
  <c r="F82" i="36"/>
  <c r="F83" i="36" s="1"/>
  <c r="F116" i="36" s="1"/>
  <c r="M103" i="36"/>
  <c r="M69" i="36"/>
  <c r="I103" i="36"/>
  <c r="G68" i="36"/>
  <c r="I98" i="36"/>
  <c r="I88" i="36"/>
  <c r="G106" i="36"/>
  <c r="G108" i="36"/>
  <c r="G72" i="36"/>
  <c r="G80" i="36"/>
  <c r="G70" i="36"/>
  <c r="G96" i="36"/>
  <c r="G134" i="36"/>
  <c r="I74" i="36"/>
  <c r="I72" i="36"/>
  <c r="G104" i="36"/>
  <c r="I94" i="36"/>
  <c r="G74" i="36"/>
  <c r="G69" i="36"/>
  <c r="G107" i="36"/>
  <c r="I110" i="36"/>
  <c r="I108" i="36"/>
  <c r="I68" i="36"/>
  <c r="O54" i="39"/>
  <c r="L104" i="39"/>
  <c r="M108" i="36"/>
  <c r="M72" i="36"/>
  <c r="M104" i="36"/>
  <c r="M71" i="36"/>
  <c r="M97" i="36"/>
  <c r="M68" i="36"/>
  <c r="M107" i="36"/>
  <c r="M67" i="36"/>
  <c r="M134" i="36"/>
  <c r="M70" i="36"/>
  <c r="M96" i="36"/>
  <c r="M80" i="36"/>
  <c r="M81" i="36" s="1"/>
  <c r="M105" i="36"/>
  <c r="K28" i="40"/>
  <c r="K31" i="40" s="1"/>
  <c r="Q81" i="39"/>
  <c r="Q80" i="39"/>
  <c r="K96" i="36"/>
  <c r="Q88" i="36"/>
  <c r="Q87" i="36"/>
  <c r="G73" i="36"/>
  <c r="I87" i="36"/>
  <c r="I105" i="36"/>
  <c r="G67" i="36"/>
  <c r="G105" i="36"/>
  <c r="I82" i="36"/>
  <c r="G103" i="36"/>
  <c r="I69" i="36"/>
  <c r="G87" i="36"/>
  <c r="I73" i="36"/>
  <c r="K70" i="36"/>
  <c r="I71" i="36"/>
  <c r="I80" i="36"/>
  <c r="G95" i="36"/>
  <c r="I79" i="36"/>
  <c r="G79" i="36"/>
  <c r="G93" i="36"/>
  <c r="I96" i="36"/>
  <c r="I70" i="36"/>
  <c r="I106" i="36"/>
  <c r="I95" i="36"/>
  <c r="I104" i="36"/>
  <c r="K93" i="36"/>
  <c r="M88" i="36"/>
  <c r="O87" i="36"/>
  <c r="K82" i="36"/>
  <c r="K74" i="36"/>
  <c r="K88" i="36"/>
  <c r="K105" i="36"/>
  <c r="K72" i="36"/>
  <c r="K103" i="36"/>
  <c r="K104" i="36"/>
  <c r="K68" i="36"/>
  <c r="K73" i="36"/>
  <c r="K67" i="36"/>
  <c r="K69" i="36"/>
  <c r="K98" i="36"/>
  <c r="K106" i="36"/>
  <c r="K80" i="36"/>
  <c r="K71" i="36"/>
  <c r="K107" i="36"/>
  <c r="O88" i="36"/>
  <c r="K108" i="36"/>
  <c r="K79" i="36"/>
  <c r="K134" i="36"/>
  <c r="K95" i="36"/>
  <c r="K87" i="36"/>
  <c r="K89" i="36" s="1"/>
  <c r="K117" i="36" s="1"/>
  <c r="M87" i="36"/>
  <c r="O81" i="39"/>
  <c r="O80" i="39"/>
  <c r="F75" i="39"/>
  <c r="F76" i="39" s="1"/>
  <c r="F109" i="39" s="1"/>
  <c r="G28" i="40"/>
  <c r="I31" i="40" s="1"/>
  <c r="I33" i="40" s="1"/>
  <c r="F108" i="40"/>
  <c r="M48" i="40"/>
  <c r="M128" i="40" s="1"/>
  <c r="H74" i="40"/>
  <c r="L74" i="40" s="1"/>
  <c r="K80" i="39"/>
  <c r="I73" i="39"/>
  <c r="I101" i="39"/>
  <c r="I87" i="39"/>
  <c r="I61" i="39"/>
  <c r="I64" i="39"/>
  <c r="I96" i="39"/>
  <c r="I65" i="39"/>
  <c r="I97" i="39"/>
  <c r="I99" i="39"/>
  <c r="I98" i="39"/>
  <c r="I80" i="39"/>
  <c r="I62" i="39"/>
  <c r="I86" i="39"/>
  <c r="I67" i="39"/>
  <c r="I88" i="39"/>
  <c r="I81" i="39"/>
  <c r="I103" i="39"/>
  <c r="I60" i="39"/>
  <c r="I66" i="39"/>
  <c r="I127" i="39"/>
  <c r="I63" i="39"/>
  <c r="I89" i="39"/>
  <c r="I100" i="39"/>
  <c r="I91" i="39"/>
  <c r="I72" i="39"/>
  <c r="I74" i="39" s="1"/>
  <c r="I90" i="39"/>
  <c r="L115" i="36"/>
  <c r="L82" i="36"/>
  <c r="J83" i="36"/>
  <c r="J116" i="36" s="1"/>
  <c r="K127" i="39"/>
  <c r="K100" i="39"/>
  <c r="K96" i="39"/>
  <c r="K81" i="39"/>
  <c r="K64" i="39"/>
  <c r="K73" i="39"/>
  <c r="K97" i="39"/>
  <c r="K60" i="39"/>
  <c r="K99" i="39"/>
  <c r="K86" i="39"/>
  <c r="K90" i="39"/>
  <c r="K98" i="39"/>
  <c r="K66" i="39"/>
  <c r="K65" i="39"/>
  <c r="K101" i="39"/>
  <c r="K62" i="39"/>
  <c r="K61" i="39"/>
  <c r="K72" i="39"/>
  <c r="K74" i="39" s="1"/>
  <c r="K88" i="39"/>
  <c r="K103" i="39"/>
  <c r="K87" i="39"/>
  <c r="K67" i="39"/>
  <c r="K89" i="39"/>
  <c r="K63" i="39"/>
  <c r="K91" i="39"/>
  <c r="L74" i="39"/>
  <c r="L68" i="39"/>
  <c r="H103" i="40"/>
  <c r="H104" i="40" s="1"/>
  <c r="H112" i="40" s="1"/>
  <c r="L112" i="40" s="1"/>
  <c r="F89" i="36"/>
  <c r="F117" i="36" s="1"/>
  <c r="G88" i="36"/>
  <c r="K48" i="40"/>
  <c r="K128" i="40" s="1"/>
  <c r="L102" i="40"/>
  <c r="J104" i="40"/>
  <c r="J112" i="40" s="1"/>
  <c r="J114" i="40" s="1"/>
  <c r="I53" i="39"/>
  <c r="G53" i="39"/>
  <c r="G53" i="40"/>
  <c r="I53" i="40" s="1"/>
  <c r="K54" i="39"/>
  <c r="K54" i="40"/>
  <c r="I61" i="36"/>
  <c r="F55" i="8"/>
  <c r="M33" i="39"/>
  <c r="M103" i="39" s="1"/>
  <c r="L92" i="40"/>
  <c r="G98" i="39"/>
  <c r="G86" i="39"/>
  <c r="G66" i="39"/>
  <c r="G91" i="39"/>
  <c r="G67" i="39"/>
  <c r="G127" i="39"/>
  <c r="G99" i="39"/>
  <c r="G65" i="39"/>
  <c r="G72" i="39"/>
  <c r="G63" i="39"/>
  <c r="G97" i="39"/>
  <c r="G60" i="39"/>
  <c r="G88" i="39"/>
  <c r="G101" i="39"/>
  <c r="G80" i="39"/>
  <c r="G73" i="39"/>
  <c r="G100" i="39"/>
  <c r="G64" i="39"/>
  <c r="G96" i="39"/>
  <c r="G103" i="39"/>
  <c r="G62" i="39"/>
  <c r="G61" i="39"/>
  <c r="G89" i="39"/>
  <c r="F82" i="39"/>
  <c r="F110" i="39" s="1"/>
  <c r="G81" i="39"/>
  <c r="F87" i="40"/>
  <c r="F94" i="36"/>
  <c r="C107" i="8"/>
  <c r="C118" i="8" s="1"/>
  <c r="D23" i="8" s="1"/>
  <c r="J94" i="36"/>
  <c r="F87" i="39"/>
  <c r="G37" i="32"/>
  <c r="G22" i="32"/>
  <c r="G23" i="32"/>
  <c r="G38" i="32"/>
  <c r="G52" i="32"/>
  <c r="J111" i="36"/>
  <c r="J119" i="36" s="1"/>
  <c r="K110" i="36"/>
  <c r="H108" i="40"/>
  <c r="J75" i="39"/>
  <c r="J108" i="39"/>
  <c r="F111" i="36"/>
  <c r="F119" i="36" s="1"/>
  <c r="H82" i="40"/>
  <c r="H110" i="40" s="1"/>
  <c r="L110" i="40" s="1"/>
  <c r="I37" i="40"/>
  <c r="I38" i="40" s="1"/>
  <c r="G48" i="40"/>
  <c r="G128" i="40" s="1"/>
  <c r="F97" i="36"/>
  <c r="G97" i="36" s="1"/>
  <c r="F90" i="40"/>
  <c r="J97" i="36"/>
  <c r="K97" i="36" s="1"/>
  <c r="F90" i="39"/>
  <c r="G90" i="39" s="1"/>
  <c r="L111" i="36"/>
  <c r="L119" i="36" s="1"/>
  <c r="H75" i="39"/>
  <c r="H108" i="39"/>
  <c r="F104" i="40"/>
  <c r="F112" i="40" s="1"/>
  <c r="M33" i="40"/>
  <c r="O53" i="39" l="1"/>
  <c r="S125" i="36"/>
  <c r="S129" i="36" s="1"/>
  <c r="I81" i="36"/>
  <c r="I83" i="36" s="1"/>
  <c r="I116" i="36" s="1"/>
  <c r="I89" i="36"/>
  <c r="I117" i="36" s="1"/>
  <c r="G82" i="36"/>
  <c r="M99" i="36"/>
  <c r="M118" i="36" s="1"/>
  <c r="I109" i="36"/>
  <c r="I111" i="36" s="1"/>
  <c r="I119" i="36" s="1"/>
  <c r="G81" i="36"/>
  <c r="G75" i="36"/>
  <c r="G115" i="36" s="1"/>
  <c r="M109" i="36"/>
  <c r="M111" i="36" s="1"/>
  <c r="M119" i="36" s="1"/>
  <c r="K82" i="39"/>
  <c r="K110" i="39" s="1"/>
  <c r="Q82" i="39"/>
  <c r="Q110" i="39" s="1"/>
  <c r="Q114" i="39" s="1"/>
  <c r="Q130" i="39" s="1"/>
  <c r="M75" i="36"/>
  <c r="M115" i="36" s="1"/>
  <c r="M89" i="36"/>
  <c r="M117" i="36" s="1"/>
  <c r="K81" i="36"/>
  <c r="K83" i="36" s="1"/>
  <c r="K116" i="36" s="1"/>
  <c r="I99" i="36"/>
  <c r="I118" i="36" s="1"/>
  <c r="G109" i="36"/>
  <c r="G111" i="36" s="1"/>
  <c r="G119" i="36" s="1"/>
  <c r="I75" i="36"/>
  <c r="I115" i="36" s="1"/>
  <c r="O89" i="36"/>
  <c r="O117" i="36" s="1"/>
  <c r="O121" i="36" s="1"/>
  <c r="O137" i="36" s="1"/>
  <c r="K33" i="40"/>
  <c r="K75" i="36"/>
  <c r="K115" i="36" s="1"/>
  <c r="K109" i="36"/>
  <c r="K111" i="36" s="1"/>
  <c r="K119" i="36" s="1"/>
  <c r="G89" i="36"/>
  <c r="G117" i="36" s="1"/>
  <c r="Q89" i="36"/>
  <c r="Q117" i="36" s="1"/>
  <c r="Q121" i="36" s="1"/>
  <c r="Q137" i="36" s="1"/>
  <c r="O82" i="39"/>
  <c r="O110" i="39" s="1"/>
  <c r="O114" i="39" s="1"/>
  <c r="O130" i="39" s="1"/>
  <c r="I102" i="39"/>
  <c r="I104" i="39" s="1"/>
  <c r="I112" i="39" s="1"/>
  <c r="I82" i="39"/>
  <c r="I110" i="39" s="1"/>
  <c r="I68" i="39"/>
  <c r="I108" i="39" s="1"/>
  <c r="M98" i="39"/>
  <c r="G75" i="39"/>
  <c r="I92" i="39"/>
  <c r="I111" i="39" s="1"/>
  <c r="G31" i="40"/>
  <c r="G33" i="40" s="1"/>
  <c r="I88" i="40"/>
  <c r="I127" i="40"/>
  <c r="I98" i="40"/>
  <c r="I72" i="40"/>
  <c r="I87" i="40"/>
  <c r="I86" i="40"/>
  <c r="I99" i="40"/>
  <c r="I96" i="40"/>
  <c r="K80" i="40"/>
  <c r="I90" i="40"/>
  <c r="I91" i="40"/>
  <c r="I97" i="40"/>
  <c r="I100" i="40"/>
  <c r="I89" i="40"/>
  <c r="K81" i="40"/>
  <c r="I101" i="40"/>
  <c r="I73" i="40"/>
  <c r="H75" i="40"/>
  <c r="H76" i="40" s="1"/>
  <c r="H109" i="40" s="1"/>
  <c r="L109" i="40" s="1"/>
  <c r="G68" i="39"/>
  <c r="G108" i="39" s="1"/>
  <c r="G102" i="39"/>
  <c r="G104" i="39" s="1"/>
  <c r="G112" i="39" s="1"/>
  <c r="G82" i="39"/>
  <c r="G110" i="39" s="1"/>
  <c r="L83" i="36"/>
  <c r="L116" i="36" s="1"/>
  <c r="L121" i="36" s="1"/>
  <c r="M82" i="36"/>
  <c r="M83" i="36" s="1"/>
  <c r="M116" i="36" s="1"/>
  <c r="M67" i="40"/>
  <c r="M73" i="40"/>
  <c r="M87" i="40"/>
  <c r="M72" i="40"/>
  <c r="M99" i="40"/>
  <c r="M65" i="40"/>
  <c r="M98" i="40"/>
  <c r="M80" i="40"/>
  <c r="M90" i="40"/>
  <c r="M91" i="40"/>
  <c r="M100" i="40"/>
  <c r="M66" i="40"/>
  <c r="M101" i="40"/>
  <c r="M64" i="40"/>
  <c r="M81" i="40"/>
  <c r="M62" i="40"/>
  <c r="M60" i="40"/>
  <c r="M61" i="40"/>
  <c r="M86" i="40"/>
  <c r="M127" i="40"/>
  <c r="M89" i="40"/>
  <c r="M97" i="40"/>
  <c r="M96" i="40"/>
  <c r="M63" i="40"/>
  <c r="M88" i="40"/>
  <c r="I48" i="40"/>
  <c r="I128" i="40" s="1"/>
  <c r="I75" i="40"/>
  <c r="G45" i="36"/>
  <c r="G55" i="36" s="1"/>
  <c r="G135" i="36" s="1"/>
  <c r="M52" i="40"/>
  <c r="M52" i="39"/>
  <c r="Q52" i="39" s="1"/>
  <c r="K52" i="39"/>
  <c r="K52" i="40"/>
  <c r="I59" i="36"/>
  <c r="I62" i="36" s="1"/>
  <c r="I136" i="36" s="1"/>
  <c r="F99" i="36"/>
  <c r="F118" i="36" s="1"/>
  <c r="F121" i="36" s="1"/>
  <c r="G94" i="36"/>
  <c r="G99" i="36" s="1"/>
  <c r="G118" i="36" s="1"/>
  <c r="M100" i="39"/>
  <c r="M65" i="39"/>
  <c r="M60" i="39"/>
  <c r="M72" i="39"/>
  <c r="M64" i="39"/>
  <c r="M91" i="39"/>
  <c r="M89" i="39"/>
  <c r="M99" i="39"/>
  <c r="M97" i="39"/>
  <c r="M63" i="39"/>
  <c r="M101" i="39"/>
  <c r="M88" i="39"/>
  <c r="M81" i="39"/>
  <c r="M127" i="39"/>
  <c r="M86" i="39"/>
  <c r="M96" i="39"/>
  <c r="M66" i="39"/>
  <c r="M87" i="39"/>
  <c r="M67" i="39"/>
  <c r="M80" i="39"/>
  <c r="M61" i="39"/>
  <c r="M90" i="39"/>
  <c r="G48" i="39"/>
  <c r="G128" i="39" s="1"/>
  <c r="L103" i="40"/>
  <c r="M103" i="40" s="1"/>
  <c r="I103" i="40"/>
  <c r="M62" i="39"/>
  <c r="K68" i="39"/>
  <c r="K108" i="39" s="1"/>
  <c r="J76" i="39"/>
  <c r="J109" i="39" s="1"/>
  <c r="J114" i="39" s="1"/>
  <c r="K75" i="39"/>
  <c r="K76" i="39" s="1"/>
  <c r="K109" i="39" s="1"/>
  <c r="L108" i="40"/>
  <c r="G87" i="39"/>
  <c r="G92" i="39" s="1"/>
  <c r="G111" i="39" s="1"/>
  <c r="F92" i="39"/>
  <c r="F111" i="39" s="1"/>
  <c r="F114" i="39" s="1"/>
  <c r="F92" i="40"/>
  <c r="F111" i="40" s="1"/>
  <c r="F114" i="40" s="1"/>
  <c r="K102" i="39"/>
  <c r="K104" i="39" s="1"/>
  <c r="K112" i="39" s="1"/>
  <c r="L108" i="39"/>
  <c r="L75" i="39"/>
  <c r="M75" i="39" s="1"/>
  <c r="I75" i="39"/>
  <c r="I76" i="39" s="1"/>
  <c r="I109" i="39" s="1"/>
  <c r="M74" i="40"/>
  <c r="M45" i="36"/>
  <c r="M55" i="36" s="1"/>
  <c r="M135" i="36" s="1"/>
  <c r="J99" i="36"/>
  <c r="J118" i="36" s="1"/>
  <c r="J121" i="36" s="1"/>
  <c r="K94" i="36"/>
  <c r="K99" i="36" s="1"/>
  <c r="K118" i="36" s="1"/>
  <c r="H76" i="39"/>
  <c r="H109" i="39" s="1"/>
  <c r="L109" i="39" s="1"/>
  <c r="K92" i="39"/>
  <c r="K111" i="39" s="1"/>
  <c r="K45" i="36"/>
  <c r="K55" i="36" s="1"/>
  <c r="K135" i="36" s="1"/>
  <c r="M59" i="36"/>
  <c r="F53" i="8"/>
  <c r="G74" i="39"/>
  <c r="I54" i="39"/>
  <c r="G54" i="39"/>
  <c r="G54" i="40"/>
  <c r="I54" i="40" s="1"/>
  <c r="M73" i="39"/>
  <c r="I48" i="39"/>
  <c r="I128" i="39" s="1"/>
  <c r="M74" i="39"/>
  <c r="K89" i="40" l="1"/>
  <c r="S81" i="40"/>
  <c r="S80" i="40"/>
  <c r="S82" i="40" s="1"/>
  <c r="S110" i="40" s="1"/>
  <c r="S114" i="40" s="1"/>
  <c r="S130" i="40" s="1"/>
  <c r="M121" i="36"/>
  <c r="M137" i="36" s="1"/>
  <c r="G83" i="36"/>
  <c r="G116" i="36" s="1"/>
  <c r="G121" i="36" s="1"/>
  <c r="G137" i="36" s="1"/>
  <c r="H114" i="40"/>
  <c r="K72" i="40"/>
  <c r="K87" i="40"/>
  <c r="O81" i="40"/>
  <c r="K98" i="40"/>
  <c r="K63" i="40"/>
  <c r="K96" i="40"/>
  <c r="K64" i="40"/>
  <c r="I121" i="36"/>
  <c r="I137" i="36" s="1"/>
  <c r="I138" i="36" s="1"/>
  <c r="I125" i="36" s="1"/>
  <c r="G76" i="39"/>
  <c r="G109" i="39" s="1"/>
  <c r="K60" i="40"/>
  <c r="K127" i="40"/>
  <c r="K75" i="40"/>
  <c r="K66" i="40"/>
  <c r="K67" i="40"/>
  <c r="K103" i="40"/>
  <c r="K62" i="40"/>
  <c r="Q80" i="40"/>
  <c r="Q81" i="40"/>
  <c r="O80" i="40"/>
  <c r="K97" i="40"/>
  <c r="I80" i="40"/>
  <c r="I81" i="40"/>
  <c r="K88" i="40"/>
  <c r="K73" i="40"/>
  <c r="K74" i="40" s="1"/>
  <c r="K76" i="40" s="1"/>
  <c r="K109" i="40" s="1"/>
  <c r="K61" i="40"/>
  <c r="K101" i="40"/>
  <c r="K86" i="40"/>
  <c r="K90" i="40"/>
  <c r="K65" i="40"/>
  <c r="K100" i="40"/>
  <c r="K99" i="40"/>
  <c r="K91" i="40"/>
  <c r="I114" i="39"/>
  <c r="I130" i="39" s="1"/>
  <c r="K55" i="39"/>
  <c r="K129" i="39" s="1"/>
  <c r="Q55" i="39"/>
  <c r="Q129" i="39" s="1"/>
  <c r="Q131" i="39" s="1"/>
  <c r="M76" i="39"/>
  <c r="M109" i="39" s="1"/>
  <c r="M55" i="39"/>
  <c r="M129" i="39" s="1"/>
  <c r="O52" i="39"/>
  <c r="G127" i="40"/>
  <c r="I60" i="40"/>
  <c r="G67" i="40"/>
  <c r="G72" i="40"/>
  <c r="I62" i="40"/>
  <c r="I65" i="40"/>
  <c r="G63" i="40"/>
  <c r="G100" i="40"/>
  <c r="G65" i="40"/>
  <c r="G66" i="40"/>
  <c r="G103" i="40"/>
  <c r="I63" i="40"/>
  <c r="I66" i="40"/>
  <c r="G60" i="40"/>
  <c r="G86" i="40"/>
  <c r="G89" i="40"/>
  <c r="G75" i="40"/>
  <c r="I67" i="40"/>
  <c r="G80" i="40"/>
  <c r="G101" i="40"/>
  <c r="G64" i="40"/>
  <c r="G96" i="40"/>
  <c r="G97" i="40"/>
  <c r="G88" i="40"/>
  <c r="I61" i="40"/>
  <c r="G91" i="40"/>
  <c r="G99" i="40"/>
  <c r="G81" i="40"/>
  <c r="G61" i="40"/>
  <c r="I64" i="40"/>
  <c r="G98" i="40"/>
  <c r="G62" i="40"/>
  <c r="G73" i="40"/>
  <c r="G90" i="40"/>
  <c r="G87" i="40"/>
  <c r="K82" i="40"/>
  <c r="K110" i="40" s="1"/>
  <c r="L114" i="40"/>
  <c r="M55" i="40"/>
  <c r="M129" i="40" s="1"/>
  <c r="O52" i="40"/>
  <c r="I74" i="40"/>
  <c r="I76" i="40" s="1"/>
  <c r="I109" i="40" s="1"/>
  <c r="K55" i="40"/>
  <c r="K129" i="40" s="1"/>
  <c r="I102" i="40"/>
  <c r="I104" i="40" s="1"/>
  <c r="I112" i="40" s="1"/>
  <c r="L75" i="40"/>
  <c r="M102" i="40"/>
  <c r="M104" i="40" s="1"/>
  <c r="M112" i="40" s="1"/>
  <c r="I92" i="40"/>
  <c r="I111" i="40" s="1"/>
  <c r="L104" i="40"/>
  <c r="L76" i="39"/>
  <c r="G114" i="39"/>
  <c r="G130" i="39" s="1"/>
  <c r="L114" i="39"/>
  <c r="K121" i="36"/>
  <c r="K137" i="36" s="1"/>
  <c r="M62" i="36"/>
  <c r="M136" i="36" s="1"/>
  <c r="M138" i="36" s="1"/>
  <c r="M125" i="36" s="1"/>
  <c r="M82" i="40"/>
  <c r="M110" i="40" s="1"/>
  <c r="M92" i="40"/>
  <c r="M111" i="40" s="1"/>
  <c r="H114" i="39"/>
  <c r="K114" i="39"/>
  <c r="K130" i="39" s="1"/>
  <c r="M82" i="39"/>
  <c r="M110" i="39" s="1"/>
  <c r="M102" i="39"/>
  <c r="M104" i="39" s="1"/>
  <c r="M112" i="39" s="1"/>
  <c r="I52" i="39"/>
  <c r="I55" i="39" s="1"/>
  <c r="I129" i="39" s="1"/>
  <c r="G52" i="40"/>
  <c r="G52" i="39"/>
  <c r="G55" i="39" s="1"/>
  <c r="G129" i="39" s="1"/>
  <c r="G62" i="36"/>
  <c r="G136" i="36" s="1"/>
  <c r="M92" i="39"/>
  <c r="M111" i="39" s="1"/>
  <c r="M68" i="39"/>
  <c r="M108" i="39" s="1"/>
  <c r="M68" i="40"/>
  <c r="M108" i="40" s="1"/>
  <c r="O55" i="39" l="1"/>
  <c r="O129" i="39" s="1"/>
  <c r="O131" i="39" s="1"/>
  <c r="O118" i="39" s="1"/>
  <c r="S52" i="39"/>
  <c r="S55" i="39" s="1"/>
  <c r="S129" i="39" s="1"/>
  <c r="S131" i="39" s="1"/>
  <c r="K131" i="39"/>
  <c r="G138" i="36"/>
  <c r="G125" i="36" s="1"/>
  <c r="G129" i="36" s="1"/>
  <c r="G128" i="36" s="1"/>
  <c r="K92" i="40"/>
  <c r="K111" i="40" s="1"/>
  <c r="O82" i="40"/>
  <c r="O110" i="40" s="1"/>
  <c r="O114" i="40" s="1"/>
  <c r="O130" i="40" s="1"/>
  <c r="K102" i="40"/>
  <c r="K104" i="40" s="1"/>
  <c r="K112" i="40" s="1"/>
  <c r="G131" i="39"/>
  <c r="G118" i="39" s="1"/>
  <c r="O55" i="40"/>
  <c r="O129" i="40" s="1"/>
  <c r="Q52" i="40"/>
  <c r="I82" i="40"/>
  <c r="I110" i="40" s="1"/>
  <c r="Q82" i="40"/>
  <c r="Q110" i="40" s="1"/>
  <c r="Q114" i="40" s="1"/>
  <c r="Q130" i="40" s="1"/>
  <c r="K68" i="40"/>
  <c r="K108" i="40" s="1"/>
  <c r="K114" i="40" s="1"/>
  <c r="K130" i="40" s="1"/>
  <c r="K131" i="40" s="1"/>
  <c r="Q118" i="39"/>
  <c r="Q122" i="39" s="1"/>
  <c r="Q121" i="39" s="1"/>
  <c r="O62" i="36"/>
  <c r="O136" i="36" s="1"/>
  <c r="O138" i="36" s="1"/>
  <c r="Q62" i="36"/>
  <c r="Q136" i="36" s="1"/>
  <c r="Q138" i="36" s="1"/>
  <c r="G102" i="40"/>
  <c r="G104" i="40" s="1"/>
  <c r="G112" i="40" s="1"/>
  <c r="G68" i="40"/>
  <c r="G108" i="40" s="1"/>
  <c r="I131" i="39"/>
  <c r="I118" i="39" s="1"/>
  <c r="I122" i="39" s="1"/>
  <c r="M114" i="39"/>
  <c r="M130" i="39" s="1"/>
  <c r="M131" i="39" s="1"/>
  <c r="M118" i="39" s="1"/>
  <c r="I68" i="40"/>
  <c r="I108" i="40" s="1"/>
  <c r="I114" i="40" s="1"/>
  <c r="I130" i="40" s="1"/>
  <c r="G74" i="40"/>
  <c r="G76" i="40" s="1"/>
  <c r="G109" i="40" s="1"/>
  <c r="G92" i="40"/>
  <c r="G111" i="40" s="1"/>
  <c r="G82" i="40"/>
  <c r="G110" i="40" s="1"/>
  <c r="M75" i="40"/>
  <c r="M76" i="40" s="1"/>
  <c r="M109" i="40" s="1"/>
  <c r="M114" i="40" s="1"/>
  <c r="M130" i="40" s="1"/>
  <c r="M131" i="40" s="1"/>
  <c r="M118" i="40" s="1"/>
  <c r="L76" i="40"/>
  <c r="K62" i="36"/>
  <c r="K136" i="36" s="1"/>
  <c r="K138" i="36" s="1"/>
  <c r="K125" i="36" s="1"/>
  <c r="I52" i="40"/>
  <c r="I55" i="40" s="1"/>
  <c r="I129" i="40" s="1"/>
  <c r="G55" i="40"/>
  <c r="G129" i="40" s="1"/>
  <c r="K118" i="39"/>
  <c r="K122" i="39" s="1"/>
  <c r="I129" i="36"/>
  <c r="I128" i="36" s="1"/>
  <c r="M129" i="36"/>
  <c r="M127" i="36" s="1"/>
  <c r="Q55" i="40" l="1"/>
  <c r="Q129" i="40" s="1"/>
  <c r="Q131" i="40" s="1"/>
  <c r="S52" i="40"/>
  <c r="S55" i="40" s="1"/>
  <c r="S129" i="40" s="1"/>
  <c r="S131" i="40" s="1"/>
  <c r="S118" i="39"/>
  <c r="S122" i="39" s="1"/>
  <c r="O131" i="40"/>
  <c r="O125" i="36"/>
  <c r="O129" i="36" s="1"/>
  <c r="O127" i="36" s="1"/>
  <c r="K118" i="40"/>
  <c r="K122" i="40" s="1"/>
  <c r="Q125" i="36"/>
  <c r="Q129" i="36" s="1"/>
  <c r="G114" i="40"/>
  <c r="G130" i="40" s="1"/>
  <c r="G131" i="40" s="1"/>
  <c r="G118" i="40" s="1"/>
  <c r="G122" i="40" s="1"/>
  <c r="G121" i="40" s="1"/>
  <c r="O122" i="39"/>
  <c r="I131" i="40"/>
  <c r="I118" i="40" s="1"/>
  <c r="I122" i="40" s="1"/>
  <c r="I120" i="40" s="1"/>
  <c r="M122" i="40"/>
  <c r="M121" i="40" s="1"/>
  <c r="I120" i="39"/>
  <c r="I127" i="36"/>
  <c r="I130" i="36" s="1"/>
  <c r="I139" i="36" s="1"/>
  <c r="I140" i="36" s="1"/>
  <c r="M128" i="36"/>
  <c r="M130" i="36" s="1"/>
  <c r="M139" i="36" s="1"/>
  <c r="M140" i="36" s="1"/>
  <c r="D34" i="10" s="1"/>
  <c r="G127" i="36"/>
  <c r="G130" i="36" s="1"/>
  <c r="G139" i="36" s="1"/>
  <c r="G140" i="36" s="1"/>
  <c r="I121" i="39"/>
  <c r="K121" i="39"/>
  <c r="K120" i="39"/>
  <c r="M122" i="39"/>
  <c r="M120" i="39" s="1"/>
  <c r="G122" i="39"/>
  <c r="G120" i="39" s="1"/>
  <c r="K129" i="36"/>
  <c r="K127" i="36" s="1"/>
  <c r="O118" i="40" l="1"/>
  <c r="O122" i="40" s="1"/>
  <c r="S118" i="40"/>
  <c r="S130" i="36"/>
  <c r="S139" i="36" s="1"/>
  <c r="S140" i="36" s="1"/>
  <c r="S123" i="39"/>
  <c r="S132" i="39" s="1"/>
  <c r="S133" i="39" s="1"/>
  <c r="O128" i="36"/>
  <c r="O130" i="36" s="1"/>
  <c r="O139" i="36" s="1"/>
  <c r="O140" i="36" s="1"/>
  <c r="D80" i="10" s="1"/>
  <c r="Q127" i="36"/>
  <c r="Q128" i="36"/>
  <c r="K120" i="40"/>
  <c r="K121" i="40"/>
  <c r="Q118" i="40"/>
  <c r="O120" i="39"/>
  <c r="F34" i="10"/>
  <c r="E111" i="10" s="1"/>
  <c r="D111" i="10"/>
  <c r="I123" i="39"/>
  <c r="I132" i="39" s="1"/>
  <c r="I133" i="39" s="1"/>
  <c r="K123" i="39"/>
  <c r="K132" i="39" s="1"/>
  <c r="K133" i="39" s="1"/>
  <c r="D9" i="10" s="1"/>
  <c r="O121" i="39"/>
  <c r="M120" i="40"/>
  <c r="M123" i="40" s="1"/>
  <c r="M132" i="40" s="1"/>
  <c r="M133" i="40" s="1"/>
  <c r="D36" i="10" s="1"/>
  <c r="M121" i="39"/>
  <c r="M123" i="39" s="1"/>
  <c r="M132" i="39" s="1"/>
  <c r="M133" i="39" s="1"/>
  <c r="D35" i="10" s="1"/>
  <c r="G121" i="39"/>
  <c r="G123" i="39" s="1"/>
  <c r="G132" i="39" s="1"/>
  <c r="G133" i="39" s="1"/>
  <c r="K128" i="36"/>
  <c r="K130" i="36" s="1"/>
  <c r="K139" i="36" s="1"/>
  <c r="K140" i="36" s="1"/>
  <c r="D8" i="10" s="1"/>
  <c r="I121" i="40"/>
  <c r="I123" i="40" s="1"/>
  <c r="I132" i="40" s="1"/>
  <c r="I133" i="40" s="1"/>
  <c r="G120" i="40"/>
  <c r="G123" i="40" s="1"/>
  <c r="G132" i="40" s="1"/>
  <c r="G133" i="40" s="1"/>
  <c r="S122" i="40" l="1"/>
  <c r="S121" i="40" s="1"/>
  <c r="S120" i="40"/>
  <c r="Q122" i="40"/>
  <c r="Q121" i="40" s="1"/>
  <c r="Q120" i="40"/>
  <c r="O120" i="40"/>
  <c r="O121" i="40"/>
  <c r="D61" i="10"/>
  <c r="F61" i="10" s="1"/>
  <c r="K123" i="40"/>
  <c r="K132" i="40" s="1"/>
  <c r="K133" i="40" s="1"/>
  <c r="D10" i="10" s="1"/>
  <c r="F10" i="10" s="1"/>
  <c r="O123" i="39"/>
  <c r="O132" i="39" s="1"/>
  <c r="O133" i="39" s="1"/>
  <c r="D62" i="10" s="1"/>
  <c r="Q130" i="36"/>
  <c r="Q139" i="36" s="1"/>
  <c r="Q140" i="36" s="1"/>
  <c r="E43" i="10"/>
  <c r="G43" i="10" s="1"/>
  <c r="G51" i="10" s="1"/>
  <c r="H34" i="10"/>
  <c r="G111" i="10" s="1"/>
  <c r="F36" i="10"/>
  <c r="E45" i="10" s="1"/>
  <c r="G45" i="10" s="1"/>
  <c r="G53" i="10" s="1"/>
  <c r="D113" i="10"/>
  <c r="F9" i="10"/>
  <c r="H9" i="10" s="1"/>
  <c r="G105" i="10" s="1"/>
  <c r="D105" i="10"/>
  <c r="F35" i="10"/>
  <c r="H35" i="10" s="1"/>
  <c r="D112" i="10"/>
  <c r="F80" i="10"/>
  <c r="H111" i="10"/>
  <c r="F8" i="10"/>
  <c r="E104" i="10" s="1"/>
  <c r="D104" i="10"/>
  <c r="O123" i="40" l="1"/>
  <c r="O132" i="40" s="1"/>
  <c r="O133" i="40" s="1"/>
  <c r="F82" i="10" s="1"/>
  <c r="S123" i="40"/>
  <c r="S132" i="40" s="1"/>
  <c r="S133" i="40" s="1"/>
  <c r="D168" i="10" s="1"/>
  <c r="F168" i="10" s="1"/>
  <c r="H168" i="10" s="1"/>
  <c r="G177" i="10" s="1"/>
  <c r="Q123" i="40"/>
  <c r="Q132" i="40" s="1"/>
  <c r="Q133" i="40" s="1"/>
  <c r="D140" i="10" s="1"/>
  <c r="F140" i="10" s="1"/>
  <c r="H140" i="10" s="1"/>
  <c r="G150" i="10" s="1"/>
  <c r="H104" i="10"/>
  <c r="F166" i="10"/>
  <c r="H166" i="10" s="1"/>
  <c r="G175" i="10" s="1"/>
  <c r="D138" i="10"/>
  <c r="F138" i="10" s="1"/>
  <c r="H138" i="10" s="1"/>
  <c r="G148" i="10" s="1"/>
  <c r="D81" i="10"/>
  <c r="F81" i="10" s="1"/>
  <c r="E106" i="10"/>
  <c r="H10" i="10"/>
  <c r="G106" i="10" s="1"/>
  <c r="N65" i="8"/>
  <c r="P65" i="8" s="1"/>
  <c r="D106" i="10"/>
  <c r="F17" i="9"/>
  <c r="G17" i="9" s="1"/>
  <c r="H17" i="9" s="1"/>
  <c r="E19" i="10"/>
  <c r="G19" i="10" s="1"/>
  <c r="G27" i="10" s="1"/>
  <c r="H8" i="10"/>
  <c r="F15" i="9"/>
  <c r="G15" i="9" s="1"/>
  <c r="H15" i="9" s="1"/>
  <c r="N63" i="8"/>
  <c r="P63" i="8" s="1"/>
  <c r="E17" i="10"/>
  <c r="G17" i="10" s="1"/>
  <c r="G25" i="10" s="1"/>
  <c r="H36" i="10"/>
  <c r="G113" i="10" s="1"/>
  <c r="E113" i="10"/>
  <c r="F16" i="9"/>
  <c r="G16" i="9" s="1"/>
  <c r="H16" i="9" s="1"/>
  <c r="G112" i="10"/>
  <c r="E44" i="10"/>
  <c r="G44" i="10" s="1"/>
  <c r="G52" i="10" s="1"/>
  <c r="G54" i="10" s="1"/>
  <c r="E112" i="10"/>
  <c r="N64" i="8"/>
  <c r="E105" i="10"/>
  <c r="E18" i="10"/>
  <c r="G18" i="10" s="1"/>
  <c r="G26" i="10" s="1"/>
  <c r="H61" i="10"/>
  <c r="I104" i="10"/>
  <c r="H80" i="10"/>
  <c r="I111" i="10"/>
  <c r="F62" i="10"/>
  <c r="H105" i="10"/>
  <c r="D63" i="10"/>
  <c r="H112" i="10" l="1"/>
  <c r="H11" i="10"/>
  <c r="H12" i="10" s="1"/>
  <c r="N70" i="8"/>
  <c r="N75" i="8" s="1"/>
  <c r="P75" i="8" s="1"/>
  <c r="G114" i="10"/>
  <c r="H37" i="10"/>
  <c r="H38" i="10" s="1"/>
  <c r="G46" i="10"/>
  <c r="G104" i="10"/>
  <c r="G107" i="10" s="1"/>
  <c r="N68" i="8"/>
  <c r="P68" i="8" s="1"/>
  <c r="G20" i="10"/>
  <c r="G18" i="9"/>
  <c r="H20" i="9" s="1"/>
  <c r="G28" i="10"/>
  <c r="G29" i="10" s="1"/>
  <c r="H18" i="9"/>
  <c r="H22" i="9" s="1"/>
  <c r="L67" i="8" s="1"/>
  <c r="M68" i="8" s="1"/>
  <c r="N69" i="8"/>
  <c r="P64" i="8"/>
  <c r="K104" i="10"/>
  <c r="G71" i="10"/>
  <c r="K111" i="10"/>
  <c r="G90" i="10"/>
  <c r="H81" i="10"/>
  <c r="I112" i="10"/>
  <c r="H62" i="10"/>
  <c r="I105" i="10"/>
  <c r="F63" i="10"/>
  <c r="H106" i="10"/>
  <c r="H113" i="10"/>
  <c r="G55" i="10"/>
  <c r="N73" i="8" l="1"/>
  <c r="P73" i="8" s="1"/>
  <c r="P70" i="8"/>
  <c r="L66" i="8"/>
  <c r="M2" i="8"/>
  <c r="O54" i="8" s="1"/>
  <c r="N74" i="8"/>
  <c r="P74" i="8" s="1"/>
  <c r="P69" i="8"/>
  <c r="G72" i="10"/>
  <c r="K105" i="10"/>
  <c r="G91" i="10"/>
  <c r="K112" i="10"/>
  <c r="H63" i="10"/>
  <c r="I106" i="10"/>
  <c r="H82" i="10"/>
  <c r="I113" i="10"/>
  <c r="M60" i="8" l="1"/>
  <c r="G73" i="10"/>
  <c r="G74" i="10" s="1"/>
  <c r="G75" i="10" s="1"/>
  <c r="K106" i="10"/>
  <c r="K107" i="10" s="1"/>
  <c r="K108" i="10" s="1"/>
  <c r="K109" i="10" s="1"/>
  <c r="H64" i="10"/>
  <c r="H65" i="10" s="1"/>
  <c r="G92" i="10"/>
  <c r="G93" i="10" s="1"/>
  <c r="G94" i="10" s="1"/>
  <c r="K113" i="10"/>
  <c r="K114" i="10" s="1"/>
  <c r="K115" i="10" s="1"/>
  <c r="K116" i="10" s="1"/>
  <c r="H83" i="10"/>
  <c r="H84" i="10" s="1"/>
  <c r="K117" i="10" l="1"/>
  <c r="Q120" i="39"/>
  <c r="Q123" i="39" s="1"/>
  <c r="Q132" i="39" s="1"/>
  <c r="Q133" i="39" s="1"/>
  <c r="D139" i="10" l="1"/>
  <c r="F139" i="10" s="1"/>
  <c r="H139" i="10" s="1"/>
  <c r="F167" i="10"/>
  <c r="H167" i="10" s="1"/>
  <c r="G176" i="10" l="1"/>
  <c r="G178" i="10" s="1"/>
  <c r="G179" i="10" s="1"/>
  <c r="H169" i="10"/>
  <c r="H181" i="10" s="1"/>
  <c r="G149" i="10"/>
  <c r="G151" i="10" s="1"/>
  <c r="H154" i="10" s="1"/>
  <c r="H141" i="10"/>
  <c r="H142" i="10" s="1"/>
  <c r="H158" i="10" l="1"/>
  <c r="G152" i="10"/>
  <c r="H170" i="10"/>
  <c r="H160" i="10" l="1"/>
  <c r="H192" i="10" s="1"/>
</calcChain>
</file>

<file path=xl/comments1.xml><?xml version="1.0" encoding="utf-8"?>
<comments xmlns="http://schemas.openxmlformats.org/spreadsheetml/2006/main">
  <authors>
    <author>Wilson Rodrigues de Melo Junior</author>
  </authors>
  <commentList>
    <comment ref="K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K48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</commentList>
</comments>
</file>

<file path=xl/sharedStrings.xml><?xml version="1.0" encoding="utf-8"?>
<sst xmlns="http://schemas.openxmlformats.org/spreadsheetml/2006/main" count="2021" uniqueCount="556">
  <si>
    <t xml:space="preserve"> </t>
  </si>
  <si>
    <t>A</t>
  </si>
  <si>
    <t>B</t>
  </si>
  <si>
    <t xml:space="preserve">Município/UF </t>
  </si>
  <si>
    <t>C</t>
  </si>
  <si>
    <t>D</t>
  </si>
  <si>
    <t>E</t>
  </si>
  <si>
    <t>F</t>
  </si>
  <si>
    <t>G</t>
  </si>
  <si>
    <t>H</t>
  </si>
  <si>
    <t>Categoria profissional (vinculada à execução contratual)</t>
  </si>
  <si>
    <t>Data base da categoria (dia/mês/ano)</t>
  </si>
  <si>
    <t> %</t>
  </si>
  <si>
    <t>%</t>
  </si>
  <si>
    <t>INSS</t>
  </si>
  <si>
    <t>SESI ou SESC</t>
  </si>
  <si>
    <t>SENAI ou SENAC</t>
  </si>
  <si>
    <t>INCRA</t>
  </si>
  <si>
    <t>FGTS</t>
  </si>
  <si>
    <t>SEBRAE</t>
  </si>
  <si>
    <t>Lucro</t>
  </si>
  <si>
    <t>PIS</t>
  </si>
  <si>
    <t>COFINS</t>
  </si>
  <si>
    <t>Tributos</t>
  </si>
  <si>
    <t>Hora noturna adicional</t>
  </si>
  <si>
    <t>Benefícios Mensais e Diários</t>
  </si>
  <si>
    <t>Afastamento Maternidade</t>
  </si>
  <si>
    <t>Ausência por doença</t>
  </si>
  <si>
    <t>Ausências legais</t>
  </si>
  <si>
    <t>Custos Indiretos, Tributos e Lucro</t>
  </si>
  <si>
    <t>Custos indiretos</t>
  </si>
  <si>
    <t>MÓDULO 1 - COMPOSIÇÃO DA REMUNERAÇÃO</t>
  </si>
  <si>
    <t>MÓDULO 2 - BENEFÍCIOS MENSAIS E DIÁRIOS</t>
  </si>
  <si>
    <t>MÓDULO 3 - INSUMOS DIVERSOS</t>
  </si>
  <si>
    <t>MÓDULO 4 - ENCARGOS SOCIAIS E TRABALHISTAS</t>
  </si>
  <si>
    <t>MÓDULO 5 - CUSTOS INDIRETOS, TRIBUTOS E LUCRO</t>
  </si>
  <si>
    <t>DATA LICITAÇÃO:</t>
  </si>
  <si>
    <t>HORAS:</t>
  </si>
  <si>
    <t>MUNICÍPIO:</t>
  </si>
  <si>
    <t>Brasília - DF</t>
  </si>
  <si>
    <t>ANO CONV. COLETIVA</t>
  </si>
  <si>
    <t>TIPO DE SERVIÇO:</t>
  </si>
  <si>
    <t>UNIDADE MEDIDA (UM):</t>
  </si>
  <si>
    <t>QUANT. A CONTRATAR EM FUNÇÃO DA U.M</t>
  </si>
  <si>
    <t>Nº MESES EXEC. CONTR.:</t>
  </si>
  <si>
    <t>Reserva Técnica</t>
  </si>
  <si>
    <t xml:space="preserve">                                                                                                                                          </t>
  </si>
  <si>
    <t>Encargos Sociais</t>
  </si>
  <si>
    <t>dias</t>
  </si>
  <si>
    <t>INSUMOS DA MÃO-DE-OBRA (BENEFÍCIOS MENSAIS E DIÁRIOS)</t>
  </si>
  <si>
    <t>Desconto de 6% sobre o salário</t>
  </si>
  <si>
    <t>INSUMOS DIVERSOS</t>
  </si>
  <si>
    <t>D. Adm.</t>
  </si>
  <si>
    <t>ISSQN ou ISS</t>
  </si>
  <si>
    <t>TOTAL - TRIBUTOS</t>
  </si>
  <si>
    <t>CATEGORIA</t>
  </si>
  <si>
    <t>SALÁRIO</t>
  </si>
  <si>
    <t>TOTAL</t>
  </si>
  <si>
    <t>4.1</t>
  </si>
  <si>
    <t>ENCARGOS PREVIDENCIÁRIOS E FGTS</t>
  </si>
  <si>
    <t>SINDICATOS UTILIZADOS NA ELABORAÇÃO DA PROPOSTA</t>
  </si>
  <si>
    <t>SINDICATO</t>
  </si>
  <si>
    <t>VIGÊNCIA ATUAL</t>
  </si>
  <si>
    <t>DATA-BASE</t>
  </si>
  <si>
    <t>SINDESV/SINDESP-DF</t>
  </si>
  <si>
    <t>4.2</t>
  </si>
  <si>
    <t>SUBTOTAL</t>
  </si>
  <si>
    <t>4.3</t>
  </si>
  <si>
    <t>AFASTAMENTO MATERNIDADE</t>
  </si>
  <si>
    <t>4.4</t>
  </si>
  <si>
    <t>PROVISÕES PARA RESCISÃO</t>
  </si>
  <si>
    <t>Aviso Prévio Indenizado </t>
  </si>
  <si>
    <t>4.5</t>
  </si>
  <si>
    <t>CUSTOS DE REPOSIÇÃO DO PROFISSIONAL AUSENTE</t>
  </si>
  <si>
    <t>Licença Paternidade</t>
  </si>
  <si>
    <t>Ausência por Acidente de trabalho</t>
  </si>
  <si>
    <t>Outros (especificar)</t>
  </si>
  <si>
    <t>TOTAL GERAL</t>
  </si>
  <si>
    <t>Nesta</t>
  </si>
  <si>
    <t>---</t>
  </si>
  <si>
    <t>Declarações:</t>
  </si>
  <si>
    <t>Regime de tributação:</t>
  </si>
  <si>
    <t>Sindicatos:</t>
  </si>
  <si>
    <t>Dados da empresa:</t>
  </si>
  <si>
    <t>BRASFORT EMPRESA DE SEGURANÇA LTDA</t>
  </si>
  <si>
    <t>Representante legal:</t>
  </si>
  <si>
    <t>Validade da proposta:</t>
  </si>
  <si>
    <t>ROBÉRIO BANDEIRA DE NEGREIROS</t>
  </si>
  <si>
    <t>SÓCIO-GERENTE</t>
  </si>
  <si>
    <t>Item</t>
  </si>
  <si>
    <t>Quantidade de Postos</t>
  </si>
  <si>
    <t>Unidade</t>
  </si>
  <si>
    <t>Par</t>
  </si>
  <si>
    <t>Posto de Serviço</t>
  </si>
  <si>
    <t>LICITAÇÃO Nº:</t>
  </si>
  <si>
    <t>CNPJ: 03.497.401/0001-97</t>
  </si>
  <si>
    <t>Tipo de serviço (mesmo serviço com características distintas)</t>
  </si>
  <si>
    <t>Salário Normativo da Categoria Profissional</t>
  </si>
  <si>
    <t>Valor  Total (R$)</t>
  </si>
  <si>
    <t>Composição da Remuneração</t>
  </si>
  <si>
    <t>Adcional de Hora Extra</t>
  </si>
  <si>
    <t>Desconto Legal do transporte 6%</t>
  </si>
  <si>
    <t>Insumos Diversos</t>
  </si>
  <si>
    <t xml:space="preserve">Subtotal </t>
  </si>
  <si>
    <t>Submódulo 4.3 - Afastamento Maternidade</t>
  </si>
  <si>
    <t>Submódulo 4.4 - Provisão para Rescisão</t>
  </si>
  <si>
    <t>Provisão para Rescisão</t>
  </si>
  <si>
    <t>Submódulo 4.5 - Custo de Reposição do Profissional Ausente</t>
  </si>
  <si>
    <t>Módulo 4 - Encargos sociais e trabalhistas</t>
  </si>
  <si>
    <t>Subtotal (A + B + C + D)</t>
  </si>
  <si>
    <t>Descrição</t>
  </si>
  <si>
    <t>Identificação do Serviço</t>
  </si>
  <si>
    <t>Mão de obra vinculada à execução contratual</t>
  </si>
  <si>
    <t>Submódulo 4.2 - 13º (décimo terceiro) salário</t>
  </si>
  <si>
    <t xml:space="preserve">Salário Educação </t>
  </si>
  <si>
    <t xml:space="preserve">13º (décimo terceiro) Salário </t>
  </si>
  <si>
    <t>Encargos previdenciários, FGTS e outras contribuições</t>
  </si>
  <si>
    <t>Composição do Custo de Reposição do Profissional Ausente</t>
  </si>
  <si>
    <t>Submódulo 4.1 - Encargos previdenciários, FGTS e outras contribuições:</t>
  </si>
  <si>
    <t>Uniformes</t>
  </si>
  <si>
    <t>Inscrição Estadual: 07.328.028/001-25</t>
  </si>
  <si>
    <t>A validade da presente proposta é de 60 (sessenta) dias, a contar a data de sua apresentação.</t>
  </si>
  <si>
    <t>Endereço: SAAN Quadra 01 Lote 635</t>
  </si>
  <si>
    <t xml:space="preserve">Telefone: (61) 3878-3434          Fax: (61) 3878-3433                     </t>
  </si>
  <si>
    <t>Cidade: Brasília/DF                   CEP: 70.632-100</t>
  </si>
  <si>
    <t>4.6</t>
  </si>
  <si>
    <t>Unidade de Medida</t>
  </si>
  <si>
    <t>Ano do acordo coletivo, convenção coletiva ou sentença normativa em dissídio coletivo</t>
  </si>
  <si>
    <t>Data da apresentação da proposta (dia/mês/ano)</t>
  </si>
  <si>
    <t>Nº de meses de execução contratual</t>
  </si>
  <si>
    <t>1.1</t>
  </si>
  <si>
    <t>Quantidade de Funcionários</t>
  </si>
  <si>
    <t>Discriminação dos Serviços (Dados referentes à contratação)</t>
  </si>
  <si>
    <t>Total da Remuneração</t>
  </si>
  <si>
    <t>Total de Benefícios mensais e diários</t>
  </si>
  <si>
    <t>Valor (R$)</t>
  </si>
  <si>
    <t>Total de Insumos diversos</t>
  </si>
  <si>
    <t>Quadro - resumo - Módulo 4 - Encargos sociais e trabalhistas</t>
  </si>
  <si>
    <t>Total dos Encargos Sociais e Trabalhistas</t>
  </si>
  <si>
    <t>I</t>
  </si>
  <si>
    <t>Valor Global da Proposta</t>
  </si>
  <si>
    <t>Valor mensal do serviço</t>
  </si>
  <si>
    <t>13º SALÁRIO</t>
  </si>
  <si>
    <t>Seguro Acidente do Trabalho - RAT x FAP</t>
  </si>
  <si>
    <t xml:space="preserve">Incidência dos encargos previstos no Submódulo 4.1 sobre 13° (décimo terceiro) salário </t>
  </si>
  <si>
    <t>Incidência dos encargos do Submódulo 4.1 sobre o afastamento maternidade</t>
  </si>
  <si>
    <t>Aviso Prévio trabalhado</t>
  </si>
  <si>
    <t>Incidência dos encargos do submódulo 4.1 sobre aviso prévio trabalhado</t>
  </si>
  <si>
    <t>Incidência dos encargos previstos no Submódulo 4.1 sobre o custo de reposição do profissional ausente</t>
  </si>
  <si>
    <t xml:space="preserve">Despesas Administrativas </t>
  </si>
  <si>
    <t>2016/2016</t>
  </si>
  <si>
    <t xml:space="preserve">ESTIMATIVA - EDITAL </t>
  </si>
  <si>
    <t xml:space="preserve">PROPOSTA COMERCIAL </t>
  </si>
  <si>
    <t>01/01/2016 a 31/12/2016</t>
  </si>
  <si>
    <t>Declaramos que iremos cumprir os termos da Convenção Coletiva - SINDESV/SINDESP-DF, e de que reconhecemos a Categoria Sindical, como sendo aquela que regerá durante a vigência do contrato os salários dos profissionais a serem alocados na execução dos serviços objeto deste Termo de Referência. Os preços desta proposta foram elaborados de acordo com a CCT 2016/2016, registro no M.T.E DF000010/2016, vigência 01/01/2016 a 31/12/2016, sendo a data-base da categoria 1º janeiro. Os reajustes terão como base os mesmos percentuais acordados na data-base.</t>
  </si>
  <si>
    <t>CCT UTILIZADA PARA ELABORAÇÃO DA PROPOSTA</t>
  </si>
  <si>
    <t xml:space="preserve">(R$) </t>
  </si>
  <si>
    <t>Fórmula de Cálculo:</t>
  </si>
  <si>
    <t>Manutenção dos equipamentos</t>
  </si>
  <si>
    <t>MÉMORIA SÚMULA 444 TST</t>
  </si>
  <si>
    <t>(A)</t>
  </si>
  <si>
    <t>(B)</t>
  </si>
  <si>
    <t>(D) = (B x C)</t>
  </si>
  <si>
    <t>Tipo de Serviço</t>
  </si>
  <si>
    <t>VALOR MENSAL DOS SERVIÇOS</t>
  </si>
  <si>
    <t>Razão Social: BRASFORT EMPRESA DE SEGURANÇA LTDA</t>
  </si>
  <si>
    <t>E-mail: brasfort@brasfort.com.br // comercial@brasfort.com.br</t>
  </si>
  <si>
    <t>Dados Bancários: Banco do Brasil, Agência nº 3382-0, Conta Corrente nº 435.247-5</t>
  </si>
  <si>
    <t>Esta empresa é optante do LUCRO REAL.</t>
  </si>
  <si>
    <t>Valores VT</t>
  </si>
  <si>
    <t>Normal</t>
  </si>
  <si>
    <t>Circular</t>
  </si>
  <si>
    <t>(C)</t>
  </si>
  <si>
    <t>Adicional Motorizado - Cláusula 3ª, alínea "f" da CCT</t>
  </si>
  <si>
    <t>Ref.:</t>
  </si>
  <si>
    <t>Salário Base</t>
  </si>
  <si>
    <t>Dados complementares para composição dos custos referente à mão de obra</t>
  </si>
  <si>
    <t>(C )</t>
  </si>
  <si>
    <t xml:space="preserve">Valor Mensal </t>
  </si>
  <si>
    <t>ANUAL:</t>
  </si>
  <si>
    <t>----</t>
  </si>
  <si>
    <t>VIGILANTE:</t>
  </si>
  <si>
    <t>(E)</t>
  </si>
  <si>
    <t>(F) = (D x E)</t>
  </si>
  <si>
    <t>Valor proposto por empregado</t>
  </si>
  <si>
    <t>Qtde de empregados por posto</t>
  </si>
  <si>
    <t>Valor proposto por posto</t>
  </si>
  <si>
    <t>Valor do Unitário por posto</t>
  </si>
  <si>
    <t xml:space="preserve">  </t>
  </si>
  <si>
    <t>Noturno</t>
  </si>
  <si>
    <t>Proposta</t>
  </si>
  <si>
    <t>Mín.MPOG</t>
  </si>
  <si>
    <t>Diferença</t>
  </si>
  <si>
    <t>Supervisor</t>
  </si>
  <si>
    <t>Vigilante</t>
  </si>
  <si>
    <t>Qtd. de Profissionais</t>
  </si>
  <si>
    <t>% PROP.</t>
  </si>
  <si>
    <t xml:space="preserve">Valor para 12 (doze) meses </t>
  </si>
  <si>
    <t>(E) = (D x 12)</t>
  </si>
  <si>
    <t>VALOR GLOBAL DA PROPOSTA PARA 12 (DOZE) MESES DE CONTRATO</t>
  </si>
  <si>
    <t>Vigilância</t>
  </si>
  <si>
    <t>001/2017</t>
  </si>
  <si>
    <t>UASG/ID Nº:</t>
  </si>
  <si>
    <t>CCT VENCIDA</t>
  </si>
  <si>
    <t>MINISTÉRIO DE MINAS E ENERGIA - MME</t>
  </si>
  <si>
    <t>PREGÃO ELETRÔNICO Nº 001/2017 - MME</t>
  </si>
  <si>
    <t>PLANILHA DE CUSTOS E FORMAÇÃO DE PREÇOS - MME</t>
  </si>
  <si>
    <t>1.1) 1º/janeiro - Confraternização universal (Art. 1º da Lei nº 662/1949);</t>
  </si>
  <si>
    <t>1.2) Data variável - Sexta-feira da Paixão (Art. 2º da Lei nº 9.093/1995);</t>
  </si>
  <si>
    <t>1.3) 21/abril - Tiradentes (Art. 1º da Lei nº 662/1949);</t>
  </si>
  <si>
    <t>1.4) 1º/maio - Dia do trabalho (Art. 1º da Lei nº 662/1949);</t>
  </si>
  <si>
    <t>1.5) 7/setembro - Independência do Brasil (Art. 1º da Lei nº 662/1949);</t>
  </si>
  <si>
    <t>1.6) 12/outubro - Padroeira do Brasil (Art. 1º da Lei nº 6.802/1980);</t>
  </si>
  <si>
    <t>1.7) 2/novembro - Finados (Art. 1º da Lei nº 662/1949);</t>
  </si>
  <si>
    <t>1.8) 15/novembro - Proclamação da República (Art. 1º da Lei nº 662/1949);</t>
  </si>
  <si>
    <t>Esplanada Bloco "U"</t>
  </si>
  <si>
    <t>MENSAL:</t>
  </si>
  <si>
    <t>Feriados (Súmula nº 444/TST)</t>
  </si>
  <si>
    <t>QTDE.P/ POSTO</t>
  </si>
  <si>
    <t>TRIBUTAÇÃO (Alíquotas)</t>
  </si>
  <si>
    <t>48000.001766/2016-11</t>
  </si>
  <si>
    <t>Secretaria Executiva</t>
  </si>
  <si>
    <t>Subsecretaria de Planejamento, Orçamento e Administração</t>
  </si>
  <si>
    <t>Coordenação-Geral de Compras e Contratos</t>
  </si>
  <si>
    <t>Processo Administrativo nº: 48000.001766/2016-11</t>
  </si>
  <si>
    <t>Data/Hora de Abertura: 22/02/2017 às 10h00</t>
  </si>
  <si>
    <t>A empresa resguarda o direito a repactuação das novas datas-base 2017/2017, tão logo que sejam registradas nos termos legais.</t>
  </si>
  <si>
    <t>Pagamento (item 19 Edital, pág.19)</t>
  </si>
  <si>
    <t>Vigilante Diurno Desarmado - 12 horas de segunda-feira a domingo, envolvendo 2 (dois) vigilantes em turnos de 12x36hs</t>
  </si>
  <si>
    <t>Vigilante Noturno Desarmado - 12 horas de segunda-feira a domingo, envolvendo 2 (dois) vigilantes em turnos de 12x36hs</t>
  </si>
  <si>
    <t xml:space="preserve">Diurno </t>
  </si>
  <si>
    <t xml:space="preserve">- Fornecer crachá e EPI's, quando for o caso (subitem 12.6 TR, pág.36); </t>
  </si>
  <si>
    <t>CV</t>
  </si>
  <si>
    <t xml:space="preserve">- Manter Preposto no local de prestação de serviço (subitem 12.26 TR, pág.39); </t>
  </si>
  <si>
    <t>- Fornecer roupeiros de aço, portas altas, com pintura antiferrugem e total de compartimentos (portas) suficientes ao número de empregados, sendo um compartimento para cada, com fechadura (à chave) ou pitão para cadeado (subitem12.52 TR, pág.41);</t>
  </si>
  <si>
    <t>12x36hs</t>
  </si>
  <si>
    <t>Conta Vinculada (subitens 12.14 a 12.19.4 e Item 23 TR, pág.37/38 e 52)</t>
  </si>
  <si>
    <t xml:space="preserve">Conforme subitem 22.2 do Termo de Referência, foram observados os Limites Mínimos e Máximos para Contratação de Serviços de Vigilância no Distrito Federal estipulado na Portaria do MPOG </t>
  </si>
  <si>
    <t>Especificações dos Uniformes</t>
  </si>
  <si>
    <t>ANEXO II</t>
  </si>
  <si>
    <t>RELAÇÃO DOS UNIFORMES A SEREM DISPONIBILIZADOS</t>
  </si>
  <si>
    <t>PLANILHA ESTIMATIVA DE UNIFORMES - VALOR MENSAL E ANUAL</t>
  </si>
  <si>
    <t>Preço Unitário Médio</t>
  </si>
  <si>
    <t>Ternos, na cor preta, 55% poliéster, 45% lã leve fina, em tecido tipo microfibra, forrado internamente, inclusive na manga, de boa qualidade.</t>
  </si>
  <si>
    <t>Gravata, em tecido 100% poliéster ou 100% seda, na cor preta, de boa qualidade.</t>
  </si>
  <si>
    <t>Camisa, em estilo social em tecido, gola com entretela, 65% poliéster e 35% algodão, cor azul clara ou branca, de boa qualidade.</t>
  </si>
  <si>
    <t>Sapatos, tipo esporte fino, com cadarço, de couro, solado de borracha, cor preta, de boa qualidade.</t>
  </si>
  <si>
    <t>Meias, de tecido 60% algodão, 39% poliamida e 1% elastano, cor preta, de boa qualidade.</t>
  </si>
  <si>
    <t>Cinto, tipo esporte fino, de couro e cor preta, de boa qualidade.</t>
  </si>
  <si>
    <t>ANEXO III</t>
  </si>
  <si>
    <t>Preço Total/Vigilante + Supervisor</t>
  </si>
  <si>
    <t>Quantidade Anual por Vigilante + Supervisor</t>
  </si>
  <si>
    <t>RELAÇÃO DE MATERIAIS DE CONSUMO E EQUIPAMENTOS A SEREM DISPONIBILIZADOS</t>
  </si>
  <si>
    <t>Material de Consumo e Equipamentos (ANUAL)</t>
  </si>
  <si>
    <t>MATERIAL DE CONSUMO</t>
  </si>
  <si>
    <t xml:space="preserve">Quantidade </t>
  </si>
  <si>
    <t>Em R$</t>
  </si>
  <si>
    <t>Preço Unitário</t>
  </si>
  <si>
    <t>Preço Total</t>
  </si>
  <si>
    <t>Mensal</t>
  </si>
  <si>
    <t>Anual</t>
  </si>
  <si>
    <t>TOTAL GERAL ANUAL (VIGILANTE + SUPERVISOR)</t>
  </si>
  <si>
    <t>TOTAL ANUAL (VIGILANTE + SUPERVISOR)</t>
  </si>
  <si>
    <t>TOTAL MENSAL (VIGILANTE + SUPERVISOR)</t>
  </si>
  <si>
    <t>Livros para anotações de ocorrências, capa dura, contendo 100 folhas pautadas cada, um para cada mês.</t>
  </si>
  <si>
    <t>Canetas esferográficas.</t>
  </si>
  <si>
    <t>Resma de Papel.</t>
  </si>
  <si>
    <t>Bloco de Rascunho tamanho ofício.</t>
  </si>
  <si>
    <t>EQUIPAMENTO PARA DESENVOLVIMENTO DAS ATIVIDADES</t>
  </si>
  <si>
    <t>Lanternas Vigilight ou similar, de mão, tipo farolete, com lâmpada Halógena de 55 W, tensão de carregador 110 V/220 V, peso Máximo de 3,6 Kg.</t>
  </si>
  <si>
    <t>Spray de defesa de gás pimenta, extra forte, frasco com 110 ml, previsão anual.</t>
  </si>
  <si>
    <t xml:space="preserve">Especificações </t>
  </si>
  <si>
    <t>Conforme Edital/Escl.</t>
  </si>
  <si>
    <t>Valor de R$ 10,00 CCT/2016 - Não integra no Contrato atual e Conforme Esclarecimento não cotar por ser entendido como parte do auxílio saúde</t>
  </si>
  <si>
    <t>Auxílio Funeral (Despesas de sepultamento - R$ 3.560,00 - Cláusula 16ª alínea "d" da CCT/2016</t>
  </si>
  <si>
    <t>Seguro de vida, inclusive invalidez - Cláusula 16ª da CCT/2016</t>
  </si>
  <si>
    <t>R$ 25,22 Contrato Atual e R$ 26,11 Edital</t>
  </si>
  <si>
    <t>Valores reais</t>
  </si>
  <si>
    <t xml:space="preserve">Auxílio alimentação (Tiquete refeição de R$ 32,00 x 20,5 dias efetivamente trabalhados) - Cláusula 12ª da CCT/2016 </t>
  </si>
  <si>
    <t>Seguro de Vida</t>
  </si>
  <si>
    <t>R$ 1,80 Contrato Atual e R$ 17,80 Edital</t>
  </si>
  <si>
    <t>R$ 6,83 Contrato Atual e R$ 36,67 Edital</t>
  </si>
  <si>
    <t>CT 15,5</t>
  </si>
  <si>
    <t>CT 25</t>
  </si>
  <si>
    <t>44hs</t>
  </si>
  <si>
    <t>Salário Mín. Categoria</t>
  </si>
  <si>
    <t>CT 70,64%</t>
  </si>
  <si>
    <t>Valor de R$ 140,00 CCT/2016 - Não integra no Contrato atual e Conforme Esclarecimento não cotar conforme Parecer Nº 15/2014/CPLC/ DEPCONSU/PGF/AGU c/c a Portaria Nº 409, de 21/12/2016</t>
  </si>
  <si>
    <t>R$ 110,28 (Supervisor) e R$ 88,67 (Not.Armado) Contrato Atual e R$ 247,19 Edital</t>
  </si>
  <si>
    <t>R$ 7,65 Contrato Atual e Não há depreciação no Edital</t>
  </si>
  <si>
    <t>R$ 5,57 Contrato Atual e R$ 4,71 Edital</t>
  </si>
  <si>
    <t>R$ 76,52 Contrato Atual e R$ 46,88 Edital</t>
  </si>
  <si>
    <t>1,00% Contrato Atual e 7,39% Edital</t>
  </si>
  <si>
    <t>1,35230% Contrato Atual e 5,00% Edital</t>
  </si>
  <si>
    <t>Pregão Eletrônico nº</t>
  </si>
  <si>
    <t>Processo nº</t>
  </si>
  <si>
    <t>CNPJ Nº: 37.115.383/0001-53</t>
  </si>
  <si>
    <t>Valor do Contrato Atual</t>
  </si>
  <si>
    <t>(*) No contrato atual são 07 Postos com 13 Profissionais</t>
  </si>
  <si>
    <t>QTDE. PROF. (*)</t>
  </si>
  <si>
    <t>QTD POSTOS(*)</t>
  </si>
  <si>
    <t>Mão-de-obra</t>
  </si>
  <si>
    <t>Supervisor Diurno Desarmado - 44 h./semana</t>
  </si>
  <si>
    <t>1º de Janeiro</t>
  </si>
  <si>
    <t>Adicional de Insalubridade</t>
  </si>
  <si>
    <t>Adicional de Periculosidade/Risco de Vida - (Lei nº 12.740/2012 e Cláusula 3ª § 4º da CCT/2016)</t>
  </si>
  <si>
    <t>Adicional Noturno - Cláusula 49ª da CCT/2016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</si>
  <si>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</t>
    </r>
  </si>
  <si>
    <t>Não se Aplica ao Supervisor, por se tratar de pagamento somente para regime 12x36</t>
  </si>
  <si>
    <t>Auxílio Saúde - Cláusula 14ª da CCT/2016 - NÃO SE APLICA CONFORME PARECER Nº 15/2014/CPLC/ DEPCONSU/PGF/AGU</t>
  </si>
  <si>
    <t>Fundo Ind. Aposent. Ou Doença - Cláusula 15ª da CCT/2016</t>
  </si>
  <si>
    <t>Auxílio alimentação (Tiquete refeição de R$ 32,00 x 15,5 dias efetivamente trabalhados) - Cláusula 12ª da CCT/2016</t>
  </si>
  <si>
    <t>Fundo Social e Odontológico - Cláusula 18ª da CCT/2016 - NÃO SE APLICA CONFORME PARECER Nº 15/2014/CPLC/ DEPCONSU/PGF/AGU, por entender que integra ao Auxílio Saúde</t>
  </si>
  <si>
    <t>Treinamento/Capacitação/Reciclagem - Cláusula 28ª da CCT/2016</t>
  </si>
  <si>
    <t>Equipamentos para desenvolvimento das atividades</t>
  </si>
  <si>
    <t>Materiais de Consumo Mensal</t>
  </si>
  <si>
    <t>Conforme Edital exceto SAT, incidências e CV                      (Edital 70,70%)</t>
  </si>
  <si>
    <t>Edital e Contrato Zerado</t>
  </si>
  <si>
    <t>CT 3,33%</t>
  </si>
  <si>
    <t>CT 11,11%</t>
  </si>
  <si>
    <t>CT 2,12%</t>
  </si>
  <si>
    <t>CT 0,56%</t>
  </si>
  <si>
    <t>CT 0,02%</t>
  </si>
  <si>
    <t>Prezados Senhores,</t>
  </si>
  <si>
    <t>PROPOSTA DE PREÇOS Nº 011/2017</t>
  </si>
  <si>
    <t>O correto a incidência sobre o FGTS</t>
  </si>
  <si>
    <t>Incidência dos encargos do submódulo 4.1 sobre aviso prévio indenizado</t>
  </si>
  <si>
    <t xml:space="preserve">Multa do FGTS e contribuições sociais sobre o aviso prévio indenizado </t>
  </si>
  <si>
    <t>Multa do FGTS e contribuições sociais sobre o aviso prévio trabalhado</t>
  </si>
  <si>
    <t>Total dos Custos Indiretos, Tributos e Lucro</t>
  </si>
  <si>
    <t>Quadro-resumo do Custo por Empregado</t>
  </si>
  <si>
    <t>Mão-de-obra vinculada à execução contratual (valor por empregado)</t>
  </si>
  <si>
    <t>Valor total por empregado</t>
  </si>
  <si>
    <t>II</t>
  </si>
  <si>
    <t>III</t>
  </si>
  <si>
    <t>Valor total do serviço</t>
  </si>
  <si>
    <t>VALOR MENSAL DOS SERVIÇOS (I + II + III)</t>
  </si>
  <si>
    <t>Quadro-demonstrativo - VALOR GLOBAL DA PROPOSTA</t>
  </si>
  <si>
    <t>A1</t>
  </si>
  <si>
    <t>A2</t>
  </si>
  <si>
    <t>A3</t>
  </si>
  <si>
    <t>Valor globa da proposta (valor mensal do serviço x 12 meses do contrato)</t>
  </si>
  <si>
    <t>Complemento dos Serviços de Vigilância</t>
  </si>
  <si>
    <t>TIPO</t>
  </si>
  <si>
    <t>ESCALA DE TRABALHO</t>
  </si>
  <si>
    <t>PREÇO MENSAL DO POSTO</t>
  </si>
  <si>
    <t>Nº DE POSTOS</t>
  </si>
  <si>
    <t>SUBTOTAL (R$)</t>
  </si>
  <si>
    <t>ANEXO V</t>
  </si>
  <si>
    <t>1.2</t>
  </si>
  <si>
    <t>Vigilante Diurno Desarmado - 12x36hs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</si>
  <si>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- NÃO SE APLICA</t>
    </r>
  </si>
  <si>
    <t>Vigilante Noturno Desarmado - 12x36hs</t>
  </si>
  <si>
    <r>
      <t xml:space="preserve">Adicional Noturno - Cláusula 49ª da CCT/2016 [(Coeficiente de Conversão Hora Noturna (1,142857) x Qtd.horas (9:00hs = 22:00 às 07:00hs) x (Valor Hora = (Salário Base + Ad.Peric.) </t>
    </r>
    <r>
      <rPr>
        <sz val="11"/>
        <rFont val="Calibri"/>
        <family val="2"/>
      </rPr>
      <t>÷ 220hs x (alíquota adic. Not = 20%) x (qtd.dias = 15,5)]</t>
    </r>
  </si>
  <si>
    <t>Contrato atual o cálculo está por hora</t>
  </si>
  <si>
    <t>Brasfort</t>
  </si>
  <si>
    <t>Edital</t>
  </si>
  <si>
    <t xml:space="preserve"> Salário Base + Adicionais + Intervalo de Intrajornada ÷ 30 dias x nº de feriados no ano ÷ 12 meses</t>
  </si>
  <si>
    <t>A presente proposta para a prestação de serviços de Vigilância desarmada, será pelo preço mensal e valor total global para 12 (doze) meses conforme planilha abaixo:</t>
  </si>
  <si>
    <t>Declaramos que estamos de pleno acordo com todas as condições estabelecidas no Edital e seus Anexos, bem como aceitamos todas as obrigações e responsabilidades especificadas no Termo de Referência, Anexo I do Edital.</t>
  </si>
  <si>
    <t>Declaramos que nos preços cotados estão incluídas todas as despesas que, direta ou indiretamente, façam parte da prestação dos serviços, tais como gastos da empresa com suporte técnico e administrativo, impostos, seguro, taxas, ou quaisquer outros que possam incidir sobre gastos da empresa, sem quaisquer acréscimos em virtude de expectativa inflacionária e deduzidos os descontos eventualmente concedidos.</t>
  </si>
  <si>
    <t>Repactuação (Item 26 TR, pág.54 e Cláusula 6ª MC, pág.90)</t>
  </si>
  <si>
    <t>C.I nº: 257.787/SSP-DF e CPF nº: 084.837.521-15</t>
  </si>
  <si>
    <t>Nome: Robério Bandeira de Negreiros</t>
  </si>
  <si>
    <t>Cargo: Sócio-Gerente</t>
  </si>
  <si>
    <t>Garantia (item 13 Edital, pág.16 e Cláusula 76ª MC, pág.92)</t>
  </si>
  <si>
    <t>Critérios de Sustentabilidade Ambiental (Item 28 TR, pág.56 e  Cláusula 11ª MC, pág.94)</t>
  </si>
  <si>
    <t>Acréscimos ou supreessões (subitem 31.4 TR, pág.58 e  Cláusula 15ª MC, pág.97)</t>
  </si>
  <si>
    <t>Feriados Nacionais considerados para o cálculo da Súmula, conforme Decreto nº 38.011, de 16 de Fevereiro de 2017:</t>
  </si>
  <si>
    <t>LANCE FINAL:</t>
  </si>
  <si>
    <t>Transporte [(R$ 5,00) x 2] x 20,5 dias - Cláusula 13ª da CCT/2016</t>
  </si>
  <si>
    <t>Transporte [(R$ 5,00) x 2] x 15,5 dias - Cláusula 13ª da CCT/2016</t>
  </si>
  <si>
    <t>Adicional de férias</t>
  </si>
  <si>
    <t xml:space="preserve">Férias </t>
  </si>
  <si>
    <t>1.9) 25/dezembro - Natal (Art. 1º da Lei nº 662/1949).</t>
  </si>
  <si>
    <t>CV 4,35</t>
  </si>
  <si>
    <t>Na renovação vai p/ 68,32%</t>
  </si>
  <si>
    <t>PROPOSTA FINAL RETIFICADA - 2ª DILIGÊNCIA - CONTRAPROPOSTA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</si>
  <si>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</si>
  <si>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</si>
  <si>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</si>
  <si>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</si>
  <si>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</si>
  <si>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r>
      <t>Comprovar, antes da assinatura do contrato, a formação técnica específica da mão-de-obra oferecida, através de</t>
    </r>
    <r>
      <rPr>
        <b/>
        <u/>
        <sz val="9"/>
        <rFont val="Cambria"/>
        <family val="1"/>
      </rPr>
      <t xml:space="preserve"> Certificado de Curso de Formação de Vigilantes</t>
    </r>
    <r>
      <rPr>
        <b/>
        <sz val="9"/>
        <rFont val="Cambria"/>
        <family val="1"/>
      </rPr>
      <t xml:space="preserve"> , como também apresentar os</t>
    </r>
    <r>
      <rPr>
        <b/>
        <u/>
        <sz val="9"/>
        <rFont val="Cambria"/>
        <family val="1"/>
      </rPr>
      <t xml:space="preserve"> Atestados de Antecedentes civil e ciminal</t>
    </r>
    <r>
      <rPr>
        <b/>
        <sz val="9"/>
        <rFont val="Cambria"/>
        <family val="1"/>
      </rPr>
      <t xml:space="preserve"> dos empregados que prestarão serviços no Ministério. (subitens 12.37 e 12.39 TR, pág.40)</t>
    </r>
  </si>
  <si>
    <r>
      <t>Apresentar comprovação de</t>
    </r>
    <r>
      <rPr>
        <b/>
        <u/>
        <sz val="9"/>
        <rFont val="Cambria"/>
        <family val="1"/>
      </rPr>
      <t xml:space="preserve"> Seguro de Vida Coletivo</t>
    </r>
    <r>
      <rPr>
        <b/>
        <sz val="9"/>
        <rFont val="Cambria"/>
        <family val="1"/>
      </rPr>
      <t>, com abrangência para todos os vigilantes lotados no Ministério, na forma do Art. 4 da Portaria nº 358/2009-DG/DPF, em até 30 (trinta) dias após a assinatura do contrato (subitem 12.70 TR, pág.43)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</si>
  <si>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20,5 dias) - NÃO SE APLICA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</si>
  <si>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15,5 dias) </t>
    </r>
  </si>
  <si>
    <t>2017/2017</t>
  </si>
  <si>
    <r>
      <t xml:space="preserve">Supervisor Diurno Desarmado - 44hs semanais </t>
    </r>
    <r>
      <rPr>
        <sz val="9"/>
        <color indexed="10"/>
        <rFont val="Cambria"/>
        <family val="1"/>
      </rPr>
      <t>envolvendo 1 (um) funcionário</t>
    </r>
  </si>
  <si>
    <t>PERÍODO DE 1º de janeiro/2018 até 05 de abril/2018</t>
  </si>
  <si>
    <t>PERÍODO à partir de 06 de abril/2018</t>
  </si>
  <si>
    <t>01.Jan.2018 a 05.Abr.2018</t>
  </si>
  <si>
    <t>06.Abr.2018 a 06.Abr.2019</t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</si>
  <si>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</si>
  <si>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Mês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</si>
  <si>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(Vigilantes+Supervisores/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</si>
  <si>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</si>
  <si>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Mês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</si>
  <si>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(Vigilantes+Supervisores/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</si>
  <si>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t>INICIAL</t>
  </si>
  <si>
    <r>
      <rPr>
        <b/>
        <sz val="9"/>
        <rFont val="Cambria"/>
        <family val="1"/>
      </rPr>
      <t>- Diurno:</t>
    </r>
    <r>
      <rPr>
        <sz val="9"/>
        <rFont val="Cambria"/>
        <family val="1"/>
      </rPr>
      <t xml:space="preserve"> R$ 2.012,54 (Salário Base) + R$ 603,76 (Adicional de Periculosidade) ÷ 30 dias x 10 (nº de feriados no ano) ÷ 12 meses = </t>
    </r>
    <r>
      <rPr>
        <b/>
        <u/>
        <sz val="9"/>
        <rFont val="Cambria"/>
        <family val="1"/>
      </rPr>
      <t>R$ 65,71</t>
    </r>
  </si>
  <si>
    <r>
      <rPr>
        <b/>
        <sz val="9"/>
        <rFont val="Cambria"/>
        <family val="1"/>
      </rPr>
      <t>- Noturno:</t>
    </r>
    <r>
      <rPr>
        <sz val="9"/>
        <rFont val="Cambria"/>
        <family val="1"/>
      </rPr>
      <t xml:space="preserve"> R$ 2.012,54 (Salário Base) + R$ 603,76 (Adicional de Periculosidade) + R$ 379,19 (Adicional Noturno) ÷ 30 dias x 10 (nº de feriados no ano) ÷ 12 meses = </t>
    </r>
    <r>
      <rPr>
        <b/>
        <u/>
        <sz val="9"/>
        <rFont val="Cambria"/>
        <family val="1"/>
      </rPr>
      <t>R$ 75,26</t>
    </r>
  </si>
  <si>
    <t>Supervisor Diurno Desarmado - 44hs semanais envolvendo 1 (um) funcionário</t>
  </si>
  <si>
    <t>CONTRATO</t>
  </si>
  <si>
    <t>A partir de 06.Abr.2018 a 06.Abr.2019</t>
  </si>
  <si>
    <t xml:space="preserve">Acréscimo salário, Auxílio alimentação de R$32,0 para R$34,11, 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</si>
  <si>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</si>
  <si>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</si>
  <si>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</si>
  <si>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</si>
  <si>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</si>
  <si>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t>VALOR GLOBAL DO CONTRATO APÓS REPACTUAÇÃO</t>
  </si>
  <si>
    <t>2º Termo Aditivo</t>
  </si>
  <si>
    <t>1º Termo de Apostilamento</t>
  </si>
  <si>
    <t>Acréscimo salário, Auxílio alimentação de R$32,0 para R$34,11, , alteração na proporção da material e equipamentos para 16 colaboradores, redução aviso prévio</t>
  </si>
  <si>
    <t>Coparticipação do empregado - Cláusula 11ª parág. 5º - Dissidio/2018</t>
  </si>
  <si>
    <t>Acréscimo salário, Auxílio alimentação de de R$34,11 para R$34,84 , alteração na proporção da material e equipamentos para 16 colaboradores, redução aviso prévio, alteração no SAT</t>
  </si>
  <si>
    <t>VALOR DOS SERVIÇOS A PARTIR DE 01/01/2018 - 3 REPACTUAÇÃO - 1º TERMO DE APOSTILAMENTO</t>
  </si>
  <si>
    <t>VALOR DOS SERVIÇOS A PARTIR DE 06/04/2018 - 3 REPACTUAÇÃO - 1º TERMO DE APOSTILAMENTO</t>
  </si>
  <si>
    <t>VALOR DOS SERVIÇOS A PARTIR DE 06/01/2018 - 2º TERMO ADITIVO</t>
  </si>
  <si>
    <t>VALOR DOS SERVIÇOS DE 01/01/2018 A 05/01/2018 - 2º TERMO ADITIVO</t>
  </si>
  <si>
    <t>PERÍODO DE 01/01/2018 A 05/04/2018</t>
  </si>
  <si>
    <t>Diferença mensal</t>
  </si>
  <si>
    <t>Diferença para o período de 01/01/2018 à 05/04/2018</t>
  </si>
  <si>
    <t>Diferença para o período de 06/04/2018 à 06/04/2019</t>
  </si>
  <si>
    <t>TOTAL MENSAL</t>
  </si>
  <si>
    <t>2º TERMO ADITIVO</t>
  </si>
  <si>
    <t>1º TERMO DE APOSTILAMENTO</t>
  </si>
  <si>
    <t>VALOR DA REPACTUAÇÃO REFERENTE AO 1º TERMO DE APOSTILAMENTO</t>
  </si>
  <si>
    <t>PERÍODO DE 06/04/2018 A 06/04/2019</t>
  </si>
  <si>
    <t>DIFERENÇA TOTAL PARA PERÍODO DE 01/01/2018 À 06/04/2019</t>
  </si>
  <si>
    <t>CLÁUSULA PRIMEIRA – OBJETO</t>
  </si>
  <si>
    <r>
      <t>1.1  Este Termo Aditivo tem por objeto </t>
    </r>
    <r>
      <rPr>
        <b/>
        <sz val="10"/>
        <color rgb="FFFF0000"/>
        <rFont val="Calibri"/>
        <family val="2"/>
        <scheme val="minor"/>
      </rPr>
      <t>prorrogar a vigência do Contrato nº 12/2017-MME</t>
    </r>
    <r>
      <rPr>
        <sz val="10"/>
        <color rgb="FF000000"/>
        <rFont val="Calibri"/>
        <family val="2"/>
        <scheme val="minor"/>
      </rPr>
      <t>,  com fundamento no Art. 57, inciso II  da Lei nº 8.666/93, </t>
    </r>
    <r>
      <rPr>
        <sz val="10"/>
        <color rgb="FFFF0000"/>
        <rFont val="Calibri"/>
        <family val="2"/>
        <scheme val="minor"/>
      </rPr>
      <t>proceder ao </t>
    </r>
    <r>
      <rPr>
        <b/>
        <sz val="10"/>
        <color rgb="FFFF0000"/>
        <rFont val="Calibri"/>
        <family val="2"/>
        <scheme val="minor"/>
      </rPr>
      <t>acréscimo de</t>
    </r>
    <r>
      <rPr>
        <sz val="10"/>
        <color rgb="FFFF0000"/>
        <rFont val="Calibri"/>
        <family val="2"/>
        <scheme val="minor"/>
      </rPr>
      <t> </t>
    </r>
    <r>
      <rPr>
        <b/>
        <sz val="10"/>
        <color rgb="FFFF0000"/>
        <rFont val="Calibri"/>
        <family val="2"/>
        <scheme val="minor"/>
      </rPr>
      <t>1 (um) Posto de Trabalho de Supervisor Diurno Desarmado</t>
    </r>
    <r>
      <rPr>
        <sz val="10"/>
        <color rgb="FF000000"/>
        <rFont val="Calibri"/>
        <family val="2"/>
        <scheme val="minor"/>
      </rPr>
      <t>, bem como </t>
    </r>
    <r>
      <rPr>
        <b/>
        <sz val="10"/>
        <color rgb="FFFF0000"/>
        <rFont val="Calibri"/>
        <family val="2"/>
        <scheme val="minor"/>
      </rPr>
      <t>repactuar o preço em face do desconto ofertado pela Contratada</t>
    </r>
    <r>
      <rPr>
        <sz val="10"/>
        <color rgb="FF000000"/>
        <rFont val="Calibri"/>
        <family val="2"/>
        <scheme val="minor"/>
      </rPr>
      <t>, aplicado sobre a Planilha de Custos e Formação de Preços pertinente ao Contrato, por meio da Carta/Com nº 170/2018 (SEI 0137220) e da Carta/Com nº 234/2018 (SEI 0140930), resultando com tais alterações em acréscimo da ordem de </t>
    </r>
    <r>
      <rPr>
        <b/>
        <sz val="10"/>
        <color rgb="FF000000"/>
        <rFont val="Calibri"/>
        <family val="2"/>
        <scheme val="minor"/>
      </rPr>
      <t>4,29%</t>
    </r>
    <r>
      <rPr>
        <sz val="10"/>
        <color rgb="FF000000"/>
        <rFont val="Calibri"/>
        <family val="2"/>
        <scheme val="minor"/>
      </rPr>
      <t> ao valor da contratação, com fundamento no Inciso I, alínea b), e  no §1º, do Art. 65.</t>
    </r>
  </si>
  <si>
    <t>Vigência 06/04/2018 a 06/04/2019</t>
  </si>
  <si>
    <t>Qtd. Total de Empregados</t>
  </si>
  <si>
    <t>(G)=(CXE)</t>
  </si>
  <si>
    <t> R$               7.278,27</t>
  </si>
  <si>
    <t> R$          7.278,27</t>
  </si>
  <si>
    <t> R$       14.556,54</t>
  </si>
  <si>
    <t> R$               6.707,48</t>
  </si>
  <si>
    <t> R$        13.414,96</t>
  </si>
  <si>
    <t> R$       80.489,76</t>
  </si>
  <si>
    <t> R$               7.534,13</t>
  </si>
  <si>
    <t> R$        15.068,26</t>
  </si>
  <si>
    <t> R$       15.068,26</t>
  </si>
  <si>
    <t> R$   110.114,56</t>
  </si>
  <si>
    <t>16 EMPREGADOS</t>
  </si>
  <si>
    <t>Valor global da proposta (valor mensal do serviço x 12 meses do contrato)</t>
  </si>
  <si>
    <t>DIFERENÇA/ACRÉSCIMO</t>
  </si>
  <si>
    <t>DIFERENÇA</t>
  </si>
  <si>
    <t>PERCENTUAL/APROXIMADO</t>
  </si>
  <si>
    <t>VALOR INICIAL DO CONTRATO</t>
  </si>
  <si>
    <t>VALOR COM ACRÉSCIMO 01 POSTO SUPERVISOR</t>
  </si>
  <si>
    <t xml:space="preserve"> REPACTUAÇÃO DOS PREÇOS</t>
  </si>
  <si>
    <r>
      <t xml:space="preserve">1.1  </t>
    </r>
    <r>
      <rPr>
        <b/>
        <sz val="10"/>
        <color rgb="FFFF0000"/>
        <rFont val="Calibri"/>
        <family val="2"/>
        <scheme val="minor"/>
      </rPr>
      <t xml:space="preserve">repactuação dos preços </t>
    </r>
    <r>
      <rPr>
        <sz val="10"/>
        <color rgb="FF000000"/>
        <rFont val="Calibri"/>
        <family val="2"/>
        <scheme val="minor"/>
      </rPr>
      <t>em face da solicitação formulada pela Contratada por meio da Carta/Adm nº 160/2018, em razão do Dissídio Coletivo da data-base de 01/01/2017 SINDESP-DF e SlNDESV/DF que entrou em vigor a partir de 19/12/2017, em conformidade com Processo DC nº 0000271-15.2017.5.10.0000, bem como para ajustar a planilha contratual às alterações promovidas na legislação trabalhista, em decorrência da Lei nº 13.467, de 13.07.2017.</t>
    </r>
  </si>
  <si>
    <t>Vigência 01/01/2018 a 05/04/2018</t>
  </si>
  <si>
    <t>VALOR DOS SERVIÇOS DE 01/01/2018 A 05/04/2018</t>
  </si>
  <si>
    <t>              R$ 7.922,18</t>
  </si>
  <si>
    <t>              R$ 7.922,18</t>
  </si>
  <si>
    <t>             R$ 7.922,18</t>
  </si>
  <si>
    <t>              R$ 7.163,76</t>
  </si>
  <si>
    <t>            R$ 14.327,52</t>
  </si>
  <si>
    <t>           R$ 85.965,12</t>
  </si>
  <si>
    <t>              R$ 8.047,51</t>
  </si>
  <si>
    <t>           R$ 16.095,02</t>
  </si>
  <si>
    <t>           R$ 16.095,02</t>
  </si>
  <si>
    <t>         R$ 109.982,32</t>
  </si>
  <si>
    <t>     R$ 1.319.787,84</t>
  </si>
  <si>
    <t>VALOR DOS SERVIÇOS A PARTIR DE 06/04/2018</t>
  </si>
  <si>
    <t>              R$ 7.713,40</t>
  </si>
  <si>
    <t>         R$ 15.426,80</t>
  </si>
  <si>
    <t>              R$ 6.974,57</t>
  </si>
  <si>
    <t>            R$ 13.949,14</t>
  </si>
  <si>
    <t>         R$ 83.694,84</t>
  </si>
  <si>
    <t>              R$ 7.835,89</t>
  </si>
  <si>
    <t>            R$ 15.671,78</t>
  </si>
  <si>
    <t>         R$ 15.671,78</t>
  </si>
  <si>
    <t>     R$    114.793,42</t>
  </si>
  <si>
    <t>    R$  1.377.521,04</t>
  </si>
  <si>
    <t>REPACTUAÇÃO</t>
  </si>
  <si>
    <t>Vigência 1º DE JANEIRO/2018</t>
  </si>
  <si>
    <t> R$ 7.874,54</t>
  </si>
  <si>
    <t> R$ 15.749,08</t>
  </si>
  <si>
    <t> R$ 85.446,84</t>
  </si>
  <si>
    <t>PRORROGAÇÃO E ACRÉSCIMO de 1 (um) Posto de Trabalho de Vigilante Diurno Desarmado</t>
  </si>
  <si>
    <r>
      <t xml:space="preserve">1.1  Este Termo Aditivo tem por objeto </t>
    </r>
    <r>
      <rPr>
        <b/>
        <sz val="10"/>
        <color rgb="FFFF0000"/>
        <rFont val="Calibri"/>
        <family val="2"/>
        <scheme val="minor"/>
      </rPr>
      <t>prorrogar a vigência do Contrato nº 12/2017-MME</t>
    </r>
    <r>
      <rPr>
        <sz val="10"/>
        <color rgb="FF000000"/>
        <rFont val="Calibri"/>
        <family val="2"/>
        <scheme val="minor"/>
      </rPr>
      <t xml:space="preserve">,  com fundamento no Art. 57, inciso II  da Lei nº 8.666/93, e </t>
    </r>
    <r>
      <rPr>
        <b/>
        <sz val="10"/>
        <color rgb="FFFF0000"/>
        <rFont val="Calibri"/>
        <family val="2"/>
        <scheme val="minor"/>
      </rPr>
      <t>proceder ao acréscimo de 1 (um) Posto de Trabalho de Vigilante Diurno Desarmado</t>
    </r>
    <r>
      <rPr>
        <b/>
        <sz val="10"/>
        <color rgb="FF000000"/>
        <rFont val="Calibri"/>
        <family val="2"/>
        <scheme val="minor"/>
      </rPr>
      <t>,</t>
    </r>
    <r>
      <rPr>
        <sz val="10"/>
        <color rgb="FF000000"/>
        <rFont val="Calibri"/>
        <family val="2"/>
        <scheme val="minor"/>
      </rPr>
      <t xml:space="preserve"> resultando com tais alterações em acréscimo da ordem de 12,16% ao valor da contratação, com fundamento no §1º, do Art. 65, da Lei n° 8.666/93.</t>
    </r>
  </si>
  <si>
    <t>Vigência 06/04/2019 a 06/04/2020</t>
  </si>
  <si>
    <t> R$       15.749,08</t>
  </si>
  <si>
    <t> R$      99.687,98</t>
  </si>
  <si>
    <t>18 EMPREGADOS</t>
  </si>
  <si>
    <t>DIFERENÇAS</t>
  </si>
  <si>
    <t>PERCENTUAL</t>
  </si>
  <si>
    <t>TOTAL/APROXIMADO</t>
  </si>
  <si>
    <t>NOVO VALOR  RESULTANTE</t>
  </si>
  <si>
    <t>DIFERENÇA REPACTUAÇÃO  - 2º T. ADITIVO - 01/01 a 05/04/2018</t>
  </si>
  <si>
    <t>DIFERENÇA REPACTUAÇÃO  - 2º T. ADITIVO - 06/04/2018 a 06/04/2019</t>
  </si>
  <si>
    <t>DIFERENÇA REPACTUAÇÃO - 1º APOSTILAMENTO</t>
  </si>
  <si>
    <t>NOVO VALOR RESULTANTE</t>
  </si>
  <si>
    <t>VALOR TOTAL DE ACRÉSCIMOS DE POSTOS</t>
  </si>
  <si>
    <r>
      <t>DIFERENÇA REPACTUAÇÃO E</t>
    </r>
    <r>
      <rPr>
        <b/>
        <sz val="9"/>
        <color rgb="FFFF0000"/>
        <rFont val="Calibri"/>
        <family val="2"/>
        <scheme val="minor"/>
      </rPr>
      <t xml:space="preserve"> ACRÉSCIMO DE 1 POSTO DE SUPERVISOR</t>
    </r>
    <r>
      <rPr>
        <b/>
        <sz val="9"/>
        <color rgb="FF000000"/>
        <rFont val="Calibri"/>
        <family val="2"/>
        <scheme val="minor"/>
      </rPr>
      <t xml:space="preserve"> - 1º T. ADITIVO</t>
    </r>
  </si>
  <si>
    <r>
      <t xml:space="preserve">DIFERENÇA COM </t>
    </r>
    <r>
      <rPr>
        <b/>
        <sz val="9"/>
        <color rgb="FFFF0000"/>
        <rFont val="Calibri"/>
        <family val="2"/>
        <scheme val="minor"/>
      </rPr>
      <t>ACRÉSCIMO 01 POSTO VIGILANTE DIURNO</t>
    </r>
    <r>
      <rPr>
        <b/>
        <sz val="9"/>
        <color rgb="FF000000"/>
        <rFont val="Calibri"/>
        <family val="2"/>
        <scheme val="minor"/>
      </rPr>
      <t xml:space="preserve"> - 3º T. ADITIVO</t>
    </r>
  </si>
  <si>
    <r>
      <t xml:space="preserve">PRORROGAÇÃO - REPACTUAÇÃO </t>
    </r>
    <r>
      <rPr>
        <sz val="10"/>
        <color theme="1"/>
        <rFont val="Calibri"/>
        <family val="2"/>
        <scheme val="minor"/>
      </rPr>
      <t xml:space="preserve">E </t>
    </r>
    <r>
      <rPr>
        <b/>
        <sz val="10"/>
        <color theme="1"/>
        <rFont val="Calibri"/>
        <family val="2"/>
        <scheme val="minor"/>
      </rPr>
      <t>ACRÉSCIMO de 1 (um) Posto de Trabalho de Supervisor Diurno Desarmado</t>
    </r>
  </si>
  <si>
    <r>
      <rPr>
        <b/>
        <sz val="10"/>
        <color rgb="FFFF0000"/>
        <rFont val="Calibri"/>
        <family val="2"/>
        <scheme val="minor"/>
      </rPr>
      <t>PRIMEIRO TERMO ADITIVO</t>
    </r>
    <r>
      <rPr>
        <b/>
        <sz val="10"/>
        <color rgb="FF000000"/>
        <rFont val="Calibri"/>
        <family val="2"/>
        <scheme val="minor"/>
      </rPr>
      <t xml:space="preserve"> AO CONTRATO Nº 12/2017-MME    -      SEI 0152285</t>
    </r>
  </si>
  <si>
    <r>
      <rPr>
        <b/>
        <sz val="10"/>
        <color rgb="FFFF0000"/>
        <rFont val="Calibri"/>
        <family val="2"/>
        <scheme val="minor"/>
      </rPr>
      <t>SEGUNDO TERMO ADITIVO</t>
    </r>
    <r>
      <rPr>
        <b/>
        <sz val="10"/>
        <color rgb="FF000000"/>
        <rFont val="Calibri"/>
        <family val="2"/>
        <scheme val="minor"/>
      </rPr>
      <t xml:space="preserve"> AO CONTRATO Nº 12/2017-MME    -      SEI 0214978</t>
    </r>
  </si>
  <si>
    <r>
      <rPr>
        <b/>
        <sz val="10"/>
        <color rgb="FFFF0000"/>
        <rFont val="Calibri"/>
        <family val="2"/>
        <scheme val="minor"/>
      </rPr>
      <t>PRIMEIRO TERMO DE APOSTILAMENTO</t>
    </r>
    <r>
      <rPr>
        <b/>
        <sz val="10"/>
        <color rgb="FF000000"/>
        <rFont val="Calibri"/>
        <family val="2"/>
        <scheme val="minor"/>
      </rPr>
      <t xml:space="preserve"> AO CONTRATO Nº 12/2017-MME    -       SEI 0256159</t>
    </r>
  </si>
  <si>
    <r>
      <rPr>
        <b/>
        <sz val="10"/>
        <color rgb="FFFF0000"/>
        <rFont val="Calibri"/>
        <family val="2"/>
        <scheme val="minor"/>
      </rPr>
      <t>Repactuar o valor do Contrato nº 12/2017-MME</t>
    </r>
    <r>
      <rPr>
        <sz val="10"/>
        <color rgb="FF000000"/>
        <rFont val="Calibri"/>
        <family val="2"/>
        <scheme val="minor"/>
      </rPr>
      <t>, de prestação de serviços de vigilância desarmada, período diurno/noturno (...)</t>
    </r>
  </si>
  <si>
    <r>
      <rPr>
        <b/>
        <sz val="10"/>
        <color rgb="FFFF0000"/>
        <rFont val="Calibri"/>
        <family val="2"/>
        <scheme val="minor"/>
      </rPr>
      <t>TERCEIRO TERMO ADITIVO</t>
    </r>
    <r>
      <rPr>
        <b/>
        <sz val="10"/>
        <color rgb="FF000000"/>
        <rFont val="Calibri"/>
        <family val="2"/>
        <scheme val="minor"/>
      </rPr>
      <t xml:space="preserve"> AO CONTRATO Nº 12/2017-MME    -       SEI 0270172</t>
    </r>
  </si>
  <si>
    <t>A partir de 06/04/2018 - Inseriu 1 Supervisor e concedeu Repactuação (desconto)</t>
  </si>
  <si>
    <t>1º TERMO ADITIVO</t>
  </si>
  <si>
    <t>2º Termo de Apostilamento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</si>
  <si>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</t>
    </r>
  </si>
  <si>
    <r>
      <rPr>
        <b/>
        <sz val="11"/>
        <rFont val="Cambria"/>
        <family val="1"/>
        <scheme val="major"/>
      </rPr>
      <t xml:space="preserve">B.1. </t>
    </r>
    <r>
      <rPr>
        <sz val="11"/>
        <rFont val="Cambria"/>
        <family val="1"/>
        <scheme val="major"/>
      </rPr>
      <t>Tributos Federais - PIS (0,65%) + COFINS (3,00%) = 3,65%</t>
    </r>
  </si>
  <si>
    <r>
      <rPr>
        <b/>
        <sz val="11"/>
        <rFont val="Cambria"/>
        <family val="1"/>
        <scheme val="major"/>
      </rPr>
      <t xml:space="preserve">B.2. </t>
    </r>
    <r>
      <rPr>
        <sz val="11"/>
        <rFont val="Cambria"/>
        <family val="1"/>
        <scheme val="major"/>
      </rPr>
      <t>Tributos Estaduais - ISS (5,00%) (Distrito Federal)</t>
    </r>
  </si>
  <si>
    <r>
      <rPr>
        <b/>
        <sz val="11"/>
        <rFont val="Cambria"/>
        <family val="1"/>
        <scheme val="major"/>
      </rPr>
      <t>B.1.</t>
    </r>
    <r>
      <rPr>
        <sz val="11"/>
        <rFont val="Cambria"/>
        <family val="1"/>
        <scheme val="major"/>
      </rPr>
      <t xml:space="preserve"> Tributos Federais - PIS (0,65%) + COFINS (3,00%) = 3,65%</t>
    </r>
  </si>
  <si>
    <r>
      <rPr>
        <b/>
        <sz val="11"/>
        <rFont val="Cambria"/>
        <family val="1"/>
        <scheme val="major"/>
      </rPr>
      <t>B.2.</t>
    </r>
    <r>
      <rPr>
        <sz val="11"/>
        <rFont val="Cambria"/>
        <family val="1"/>
        <scheme val="major"/>
      </rPr>
      <t xml:space="preserve"> Tributos Estaduais - ISS (5,00%) (Distrito Federal)</t>
    </r>
  </si>
  <si>
    <r>
      <t xml:space="preserve">Apresentamos a V.Sa. a nossa proposta final após as determinações e justificaticas contidas na Diligência de propostas de 14/03/2017, para a </t>
    </r>
    <r>
      <rPr>
        <b/>
        <sz val="9"/>
        <rFont val="Calibri"/>
        <family val="2"/>
        <scheme val="minor"/>
      </rPr>
      <t>prestação de serviços de vigilância desarmada período diurno/noturno</t>
    </r>
    <r>
      <rPr>
        <sz val="9"/>
        <rFont val="Calibri"/>
        <family val="2"/>
        <scheme val="minor"/>
      </rPr>
      <t>, a serem executados de forma contínua, com disponibilização de vigilante e supervisor, com fornecimento de materiais acessórios, a serem executados de forma contínua, no âmbito do Bloco “U” da Esplanada dos Ministérios, sedes dos Ministérios de Minas e Energia, e do Turismo, em Brasília - DF, conforme especificações técnicas, quantitativos e demais condições e exigências estabelecidas no Edital e seus Anexos.</t>
    </r>
  </si>
  <si>
    <t>Supervisor Diurno Desarmado - 44hs semanais</t>
  </si>
  <si>
    <t>BRASFORT EMPRESA DE SEGURANÇA LTDA - CNPJ: 03.497.401/0001-97</t>
  </si>
  <si>
    <t>Pregão Eletrônico 001/2017-MME   - Data 22/02/2017                                                                                                                                                                                                                                                                                                            Processo n 48000.001766/2016-11                                                                                                                                                                                                                                                                                                   ANEXO V - PLANILHA DE CUSTOS E FORMAÇÃO DE PREÇOS</t>
  </si>
  <si>
    <t>Brasília/DF, 15 de março de 2017</t>
  </si>
  <si>
    <r>
      <rPr>
        <b/>
        <sz val="11"/>
        <rFont val="Cambria"/>
        <family val="1"/>
        <scheme val="major"/>
      </rPr>
      <t xml:space="preserve">Módulo 5 </t>
    </r>
    <r>
      <rPr>
        <sz val="11"/>
        <rFont val="Cambria"/>
        <family val="1"/>
        <scheme val="major"/>
      </rPr>
      <t>- Custos Indiretos, Tributos e Lucro</t>
    </r>
  </si>
  <si>
    <r>
      <rPr>
        <b/>
        <sz val="11"/>
        <rFont val="Cambria"/>
        <family val="1"/>
        <scheme val="major"/>
      </rPr>
      <t>B.1. Tributos Federais</t>
    </r>
    <r>
      <rPr>
        <sz val="11"/>
        <rFont val="Cambria"/>
        <family val="1"/>
        <scheme val="major"/>
      </rPr>
      <t xml:space="preserve"> - PIS (0,65%) + COFINS (3,00%) = 3,65%</t>
    </r>
  </si>
  <si>
    <r>
      <rPr>
        <b/>
        <sz val="11"/>
        <rFont val="Cambria"/>
        <family val="1"/>
        <scheme val="major"/>
      </rPr>
      <t xml:space="preserve">B.2. Tributos Estaduais </t>
    </r>
    <r>
      <rPr>
        <sz val="11"/>
        <rFont val="Cambria"/>
        <family val="1"/>
        <scheme val="major"/>
      </rPr>
      <t>- ISS (5,00%) (Distrito Federal)</t>
    </r>
  </si>
  <si>
    <t>Fundo Social e Odontológico - Cláusula 18ª - CCT/2016 - NÃO SE APLIC CONF.PARECER Nº 15/2014/CPLC/ DEPCONSU/PGF/AGU, por entender que integra ao Auxílio Saúde</t>
  </si>
  <si>
    <t>Pregão Eletrônico 001/2017-MME   - Data 22/02/2017                                                                                                                                                                                                                                                                                                            Processo n 48000.001766/2016-11                                                                                                                                                                                                                                                                                                                        ANEXO V - PLANILHA DE CUSTOS E FORMAÇÃO DE PREÇOS</t>
  </si>
  <si>
    <t>2018/2018</t>
  </si>
  <si>
    <t>Brasília-DF</t>
  </si>
  <si>
    <t xml:space="preserve">Supervisor Diurno Desarmado - 44hs semanais </t>
  </si>
  <si>
    <t>01.01.2019 a 06/04/2020</t>
  </si>
  <si>
    <r>
      <t xml:space="preserve">Reajuste: Salarial de 3,43% -  Aux. Alimentação de R$34,84 para R$36,50 - Fundo de Aposentadoria R$14,00 - </t>
    </r>
    <r>
      <rPr>
        <b/>
        <sz val="9"/>
        <rFont val="Cambria"/>
        <family val="1"/>
        <scheme val="major"/>
      </rPr>
      <t>Seguro de Vida R$12,90 -</t>
    </r>
    <r>
      <rPr>
        <sz val="9"/>
        <rFont val="Cambria"/>
        <family val="1"/>
        <scheme val="major"/>
      </rPr>
      <t xml:space="preserve"> Treinamento Capacitação R$12,49 , alteração na proporção da material e equipamentos para 18 colaboradores, </t>
    </r>
    <r>
      <rPr>
        <b/>
        <sz val="9"/>
        <rFont val="Cambria"/>
        <family val="1"/>
        <scheme val="major"/>
      </rPr>
      <t xml:space="preserve"> alteração no SAT</t>
    </r>
  </si>
  <si>
    <t>2019/2019</t>
  </si>
  <si>
    <r>
      <t xml:space="preserve">Reajuste: Salarial de 3,43% -  Aux. Alimentação de R$34,84 para R$36,50 - Fundo de Aposentadoria R$14,00 - </t>
    </r>
    <r>
      <rPr>
        <b/>
        <sz val="9"/>
        <rFont val="Cambria"/>
        <family val="1"/>
        <scheme val="major"/>
      </rPr>
      <t>Seguro de Vida R$10,82 -</t>
    </r>
    <r>
      <rPr>
        <sz val="9"/>
        <rFont val="Cambria"/>
        <family val="1"/>
        <scheme val="major"/>
      </rPr>
      <t xml:space="preserve"> Treinamento Capacitação R$12,49 , alteração na proporção da material e equipamentos para 18 colaboradores, </t>
    </r>
    <r>
      <rPr>
        <b/>
        <sz val="9"/>
        <rFont val="Cambria"/>
        <family val="1"/>
        <scheme val="major"/>
      </rPr>
      <t xml:space="preserve"> alteração no SAT</t>
    </r>
  </si>
  <si>
    <r>
      <t xml:space="preserve">VALOR DOS SERVIÇOS A PARTIR DE </t>
    </r>
    <r>
      <rPr>
        <b/>
        <sz val="8.5"/>
        <color rgb="FFFF0000"/>
        <rFont val="Cambria"/>
        <family val="1"/>
        <scheme val="major"/>
      </rPr>
      <t>01/01/2019</t>
    </r>
    <r>
      <rPr>
        <b/>
        <sz val="8.5"/>
        <rFont val="Cambria"/>
        <family val="1"/>
        <scheme val="major"/>
      </rPr>
      <t xml:space="preserve"> até </t>
    </r>
    <r>
      <rPr>
        <b/>
        <sz val="8.5"/>
        <color rgb="FFFF0000"/>
        <rFont val="Cambria"/>
        <family val="1"/>
        <scheme val="major"/>
      </rPr>
      <t xml:space="preserve">10/04/2019 </t>
    </r>
    <r>
      <rPr>
        <b/>
        <sz val="8.5"/>
        <rFont val="Cambria"/>
        <family val="1"/>
        <scheme val="major"/>
      </rPr>
      <t>- 3ª REPACTUAÇÃO - 2º TERMO DE APOSTILAMENTO</t>
    </r>
  </si>
  <si>
    <t>11.04.2019 a 06/04/2020</t>
  </si>
  <si>
    <r>
      <t xml:space="preserve">Aparelho de radiocomunicação, com níveis de potência ajustáveis, com alcance mínimo de 20 km na transmissão, nível profissional, acompanhado de baterias carregáveis e carregado ou </t>
    </r>
    <r>
      <rPr>
        <b/>
        <sz val="8.5"/>
        <rFont val="Calibri"/>
        <family val="2"/>
        <scheme val="minor"/>
      </rPr>
      <t>aluguel mensal junto a uma operadora.</t>
    </r>
  </si>
  <si>
    <t>01.01.2019 a 10/04/2019</t>
  </si>
  <si>
    <t xml:space="preserve">Preço Total    </t>
  </si>
  <si>
    <t>Brasilia - DF</t>
  </si>
  <si>
    <t>NOVO alocado em 11/04/2019</t>
  </si>
  <si>
    <t>DIFERENÇA MENSAL  APÓS REPACTUAÇÃO*</t>
  </si>
  <si>
    <t xml:space="preserve">DIFERENÇAS DEVIDAS </t>
  </si>
  <si>
    <r>
      <t>*</t>
    </r>
    <r>
      <rPr>
        <b/>
        <sz val="10"/>
        <rFont val="Cambria"/>
        <family val="1"/>
        <scheme val="major"/>
      </rPr>
      <t xml:space="preserve">R$135.059,92 comparado com R$131.377,14 </t>
    </r>
    <r>
      <rPr>
        <sz val="10"/>
        <rFont val="Cambria"/>
        <family val="1"/>
        <scheme val="major"/>
      </rPr>
      <t xml:space="preserve">(valor do Contrato Repactuado) </t>
    </r>
  </si>
  <si>
    <t>SUBTOTAL DEVIDO</t>
  </si>
  <si>
    <t xml:space="preserve"> SUBTOTAL</t>
  </si>
  <si>
    <t xml:space="preserve">Maio a Dezembro/2019 </t>
  </si>
  <si>
    <t xml:space="preserve">Janeiro a Março/2019 </t>
  </si>
  <si>
    <t>Janeiro a Março/2020</t>
  </si>
  <si>
    <t>CCT/2019</t>
  </si>
  <si>
    <t xml:space="preserve">DIFERENÇA TOTAL DA REPACTUAÇÃO </t>
  </si>
  <si>
    <r>
      <t>*</t>
    </r>
    <r>
      <rPr>
        <b/>
        <sz val="10"/>
        <rFont val="Cambria"/>
        <family val="1"/>
        <scheme val="major"/>
      </rPr>
      <t>R$120.440,52 comparado com R$117.136,00</t>
    </r>
    <r>
      <rPr>
        <sz val="10"/>
        <rFont val="Cambria"/>
        <family val="1"/>
        <scheme val="major"/>
      </rPr>
      <t xml:space="preserve"> (valor do Contrato: 01/JAN/2019 até 10/ABR/2019) </t>
    </r>
  </si>
  <si>
    <r>
      <t xml:space="preserve">VALOR DOS SERVIÇOS A PARTIR DE </t>
    </r>
    <r>
      <rPr>
        <b/>
        <sz val="8.5"/>
        <color rgb="FFFF0000"/>
        <rFont val="Cambria"/>
        <family val="1"/>
        <scheme val="major"/>
      </rPr>
      <t>10/04/2019*</t>
    </r>
    <r>
      <rPr>
        <b/>
        <sz val="8.5"/>
        <rFont val="Cambria"/>
        <family val="1"/>
        <scheme val="major"/>
      </rPr>
      <t xml:space="preserve"> - 3ª REPACTUAÇÃO - 2º TERMO DE APOSTILAMENTO</t>
    </r>
  </si>
  <si>
    <t>NOVO alocado em 10/04/2019</t>
  </si>
  <si>
    <t>Para 01/janeiro de 2019 a 05de Abril de 2020</t>
  </si>
  <si>
    <t>1º a 9 de abril/2019</t>
  </si>
  <si>
    <t>10 a 30 de abril/2019</t>
  </si>
  <si>
    <t>1º a 05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</si>
</sst>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0.0000"/>
    <numFmt numFmtId="169" formatCode="&quot;R$ &quot;#,##0.00"/>
    <numFmt numFmtId="170" formatCode="0.000"/>
    <numFmt numFmtId="171" formatCode="&quot;R$&quot;\ #,##0.00"/>
    <numFmt numFmtId="172" formatCode="00"/>
    <numFmt numFmtId="173" formatCode="[$-F800]dddd\,\ mmmm\ dd\,\ yyyy"/>
    <numFmt numFmtId="174" formatCode="_-[$R$-416]\ * #,##0.00_-;\-[$R$-416]\ * #,##0.00_-;_-[$R$-416]\ * &quot;-&quot;??_-;_-@_-"/>
    <numFmt numFmtId="175" formatCode="&quot;R$&quot;#,##0.00"/>
  </numFmts>
  <fonts count="9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sz val="11"/>
      <name val="Calibri"/>
      <family val="2"/>
    </font>
    <font>
      <b/>
      <sz val="11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sz val="9"/>
      <color indexed="10"/>
      <name val="Cambria"/>
      <family val="1"/>
    </font>
    <font>
      <sz val="8"/>
      <color indexed="8"/>
      <name val="Calibri"/>
      <family val="2"/>
    </font>
    <font>
      <sz val="8"/>
      <color indexed="8"/>
      <name val="Cambria"/>
      <family val="1"/>
    </font>
    <font>
      <sz val="10"/>
      <name val="Arial Narrow"/>
      <family val="2"/>
    </font>
    <font>
      <sz val="8"/>
      <name val="Cambria"/>
      <family val="1"/>
    </font>
    <font>
      <b/>
      <sz val="8"/>
      <name val="Cambria"/>
      <family val="1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b/>
      <u/>
      <sz val="9"/>
      <color rgb="FFFF000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u/>
      <sz val="1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rgb="FFFF0000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indexed="10"/>
      <name val="Cambria"/>
      <family val="1"/>
      <scheme val="major"/>
    </font>
    <font>
      <b/>
      <sz val="9"/>
      <color indexed="10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color indexed="9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u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8.5"/>
      <name val="Cambria"/>
      <family val="1"/>
      <scheme val="major"/>
    </font>
    <font>
      <b/>
      <u/>
      <sz val="8.5"/>
      <name val="Cambria"/>
      <family val="1"/>
      <scheme val="major"/>
    </font>
    <font>
      <b/>
      <sz val="8.5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.5"/>
      <name val="Arial"/>
      <family val="2"/>
    </font>
    <font>
      <b/>
      <sz val="8.5"/>
      <color rgb="FF000000"/>
      <name val="Times New Roman"/>
      <family val="1"/>
    </font>
    <font>
      <b/>
      <sz val="8.5"/>
      <name val="Arial"/>
      <family val="2"/>
    </font>
    <font>
      <b/>
      <sz val="8.5"/>
      <color rgb="FFFF0000"/>
      <name val="Cambria"/>
      <family val="1"/>
      <scheme val="maj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66"/>
      <name val="Cambria"/>
      <family val="1"/>
      <scheme val="maj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u/>
      <sz val="8.5"/>
      <name val="Calibri"/>
      <family val="2"/>
      <scheme val="minor"/>
    </font>
    <font>
      <sz val="8.5"/>
      <color rgb="FFFF0000"/>
      <name val="Calibri"/>
      <family val="2"/>
      <scheme val="minor"/>
    </font>
    <font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26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341">
    <xf numFmtId="0" fontId="0" fillId="0" borderId="0" xfId="0"/>
    <xf numFmtId="0" fontId="3" fillId="0" borderId="0" xfId="8" applyFont="1" applyAlignment="1">
      <alignment vertical="center"/>
    </xf>
    <xf numFmtId="0" fontId="3" fillId="0" borderId="0" xfId="10" applyFont="1"/>
    <xf numFmtId="0" fontId="3" fillId="0" borderId="0" xfId="10" applyFont="1" applyBorder="1"/>
    <xf numFmtId="0" fontId="4" fillId="0" borderId="0" xfId="10" applyFont="1"/>
    <xf numFmtId="0" fontId="3" fillId="0" borderId="0" xfId="10"/>
    <xf numFmtId="0" fontId="7" fillId="0" borderId="0" xfId="10" applyFont="1" applyFill="1" applyAlignment="1">
      <alignment horizontal="center" vertical="center"/>
    </xf>
    <xf numFmtId="165" fontId="7" fillId="0" borderId="0" xfId="10" applyNumberFormat="1" applyFont="1" applyFill="1" applyAlignment="1">
      <alignment horizontal="center" vertical="center"/>
    </xf>
    <xf numFmtId="0" fontId="5" fillId="0" borderId="0" xfId="10" applyFont="1" applyFill="1" applyAlignment="1">
      <alignment vertical="center"/>
    </xf>
    <xf numFmtId="165" fontId="5" fillId="0" borderId="0" xfId="10" applyNumberFormat="1" applyFont="1" applyFill="1" applyAlignment="1">
      <alignment vertical="center"/>
    </xf>
    <xf numFmtId="0" fontId="3" fillId="0" borderId="0" xfId="10" applyAlignment="1">
      <alignment vertical="center"/>
    </xf>
    <xf numFmtId="0" fontId="3" fillId="0" borderId="0" xfId="10" applyFont="1" applyAlignment="1">
      <alignment horizontal="justify" vertical="justify"/>
    </xf>
    <xf numFmtId="0" fontId="8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43" fontId="5" fillId="0" borderId="0" xfId="10" applyNumberFormat="1" applyFont="1" applyFill="1" applyAlignment="1">
      <alignment vertical="center"/>
    </xf>
    <xf numFmtId="0" fontId="6" fillId="0" borderId="0" xfId="14" applyFont="1" applyAlignment="1">
      <alignment horizontal="center" vertical="center" wrapText="1"/>
    </xf>
    <xf numFmtId="0" fontId="3" fillId="0" borderId="0" xfId="10" applyFont="1" applyFill="1"/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/>
    <xf numFmtId="0" fontId="28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>
      <alignment horizontal="justify" vertical="center" wrapText="1"/>
    </xf>
    <xf numFmtId="10" fontId="28" fillId="0" borderId="0" xfId="0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>
      <alignment horizontal="center" vertical="center" wrapText="1"/>
    </xf>
    <xf numFmtId="0" fontId="28" fillId="0" borderId="0" xfId="14" applyFont="1" applyAlignment="1">
      <alignment vertical="center"/>
    </xf>
    <xf numFmtId="0" fontId="28" fillId="0" borderId="0" xfId="8" applyFont="1" applyAlignment="1">
      <alignment vertical="center"/>
    </xf>
    <xf numFmtId="0" fontId="28" fillId="0" borderId="0" xfId="8" applyFont="1"/>
    <xf numFmtId="0" fontId="25" fillId="0" borderId="0" xfId="13" applyAlignment="1">
      <alignment vertical="center"/>
    </xf>
    <xf numFmtId="0" fontId="30" fillId="0" borderId="0" xfId="13" applyFont="1" applyAlignment="1">
      <alignment vertical="center"/>
    </xf>
    <xf numFmtId="0" fontId="31" fillId="0" borderId="0" xfId="13" applyFont="1" applyAlignment="1">
      <alignment horizontal="center" vertical="center"/>
    </xf>
    <xf numFmtId="167" fontId="31" fillId="0" borderId="0" xfId="4" applyFont="1" applyAlignment="1">
      <alignment horizontal="center" vertical="center"/>
    </xf>
    <xf numFmtId="0" fontId="32" fillId="0" borderId="0" xfId="13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0" fontId="31" fillId="0" borderId="0" xfId="13" applyFont="1" applyAlignment="1">
      <alignment vertical="center"/>
    </xf>
    <xf numFmtId="0" fontId="3" fillId="0" borderId="0" xfId="8" applyFont="1" applyAlignment="1">
      <alignment vertical="center" wrapText="1"/>
    </xf>
    <xf numFmtId="0" fontId="3" fillId="0" borderId="0" xfId="8" applyAlignment="1">
      <alignment vertical="center" wrapText="1"/>
    </xf>
    <xf numFmtId="0" fontId="3" fillId="0" borderId="0" xfId="8" applyAlignment="1">
      <alignment vertical="center"/>
    </xf>
    <xf numFmtId="0" fontId="3" fillId="0" borderId="0" xfId="14" applyAlignment="1">
      <alignment vertical="center"/>
    </xf>
    <xf numFmtId="0" fontId="6" fillId="0" borderId="0" xfId="14" applyFont="1" applyAlignment="1">
      <alignment vertical="center"/>
    </xf>
    <xf numFmtId="0" fontId="3" fillId="0" borderId="0" xfId="14" applyBorder="1" applyAlignment="1">
      <alignment vertical="center"/>
    </xf>
    <xf numFmtId="0" fontId="33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0" fontId="28" fillId="0" borderId="0" xfId="0" applyFont="1" applyFill="1" applyAlignment="1"/>
    <xf numFmtId="0" fontId="28" fillId="0" borderId="0" xfId="0" applyFont="1" applyBorder="1" applyAlignment="1"/>
    <xf numFmtId="0" fontId="28" fillId="0" borderId="0" xfId="0" applyFont="1" applyAlignment="1">
      <alignment vertical="center"/>
    </xf>
    <xf numFmtId="0" fontId="29" fillId="0" borderId="0" xfId="0" applyFont="1" applyFill="1" applyAlignment="1"/>
    <xf numFmtId="0" fontId="3" fillId="0" borderId="0" xfId="8" applyFont="1" applyFill="1" applyAlignment="1">
      <alignment vertical="center"/>
    </xf>
    <xf numFmtId="0" fontId="28" fillId="0" borderId="0" xfId="14" applyFont="1" applyAlignment="1">
      <alignment horizontal="center" vertical="center" wrapText="1"/>
    </xf>
    <xf numFmtId="0" fontId="28" fillId="0" borderId="0" xfId="14" applyFont="1" applyBorder="1" applyAlignment="1">
      <alignment vertical="center"/>
    </xf>
    <xf numFmtId="167" fontId="31" fillId="0" borderId="0" xfId="4" applyFont="1" applyAlignment="1">
      <alignment vertical="center"/>
    </xf>
    <xf numFmtId="0" fontId="32" fillId="0" borderId="0" xfId="13" applyFont="1" applyAlignment="1">
      <alignment horizontal="center"/>
    </xf>
    <xf numFmtId="167" fontId="31" fillId="0" borderId="0" xfId="13" applyNumberFormat="1" applyFont="1" applyAlignment="1">
      <alignment horizontal="center" vertical="center"/>
    </xf>
    <xf numFmtId="0" fontId="34" fillId="0" borderId="0" xfId="8" applyFont="1" applyFill="1" applyBorder="1" applyAlignment="1">
      <alignment horizontal="center" vertical="center"/>
    </xf>
    <xf numFmtId="0" fontId="35" fillId="0" borderId="0" xfId="8" applyFont="1" applyFill="1" applyAlignment="1">
      <alignment vertical="center"/>
    </xf>
    <xf numFmtId="0" fontId="36" fillId="0" borderId="0" xfId="8" applyFont="1" applyFill="1" applyAlignment="1">
      <alignment vertical="center"/>
    </xf>
    <xf numFmtId="0" fontId="33" fillId="0" borderId="0" xfId="14" applyFont="1" applyAlignment="1">
      <alignment vertical="center"/>
    </xf>
    <xf numFmtId="0" fontId="33" fillId="0" borderId="0" xfId="14" applyFont="1" applyFill="1" applyAlignment="1">
      <alignment vertical="center"/>
    </xf>
    <xf numFmtId="0" fontId="33" fillId="0" borderId="0" xfId="14" applyFont="1" applyFill="1" applyAlignment="1">
      <alignment horizontal="center" vertical="center"/>
    </xf>
    <xf numFmtId="0" fontId="34" fillId="0" borderId="0" xfId="14" applyFont="1" applyAlignment="1">
      <alignment horizontal="center" vertical="center" wrapText="1"/>
    </xf>
    <xf numFmtId="167" fontId="36" fillId="0" borderId="0" xfId="4" applyFont="1" applyAlignment="1">
      <alignment horizontal="center" vertical="center" wrapText="1"/>
    </xf>
    <xf numFmtId="167" fontId="36" fillId="0" borderId="0" xfId="4" applyFont="1" applyAlignment="1">
      <alignment vertical="center"/>
    </xf>
    <xf numFmtId="167" fontId="36" fillId="0" borderId="0" xfId="4" applyFont="1" applyBorder="1" applyAlignment="1">
      <alignment vertical="center"/>
    </xf>
    <xf numFmtId="0" fontId="37" fillId="0" borderId="0" xfId="14" applyFont="1" applyAlignment="1">
      <alignment vertical="center"/>
    </xf>
    <xf numFmtId="0" fontId="37" fillId="0" borderId="0" xfId="14" applyFont="1" applyFill="1" applyAlignment="1">
      <alignment vertical="center"/>
    </xf>
    <xf numFmtId="0" fontId="37" fillId="0" borderId="0" xfId="14" applyFont="1" applyFill="1" applyAlignment="1">
      <alignment horizontal="center" vertical="center"/>
    </xf>
    <xf numFmtId="0" fontId="36" fillId="0" borderId="0" xfId="14" applyFont="1" applyAlignment="1">
      <alignment vertical="center"/>
    </xf>
    <xf numFmtId="1" fontId="36" fillId="0" borderId="3" xfId="6" applyNumberFormat="1" applyFont="1" applyFill="1" applyBorder="1" applyAlignment="1">
      <alignment horizontal="center" vertical="center" wrapText="1"/>
    </xf>
    <xf numFmtId="172" fontId="36" fillId="0" borderId="3" xfId="6" applyNumberFormat="1" applyFont="1" applyFill="1" applyBorder="1" applyAlignment="1">
      <alignment horizontal="center" vertical="center" wrapText="1"/>
    </xf>
    <xf numFmtId="165" fontId="36" fillId="0" borderId="4" xfId="6" applyFont="1" applyFill="1" applyBorder="1" applyAlignment="1">
      <alignment horizontal="center" vertical="center" wrapText="1"/>
    </xf>
    <xf numFmtId="165" fontId="36" fillId="0" borderId="3" xfId="6" applyFont="1" applyFill="1" applyBorder="1" applyAlignment="1">
      <alignment horizontal="center" vertical="center" wrapText="1"/>
    </xf>
    <xf numFmtId="0" fontId="36" fillId="0" borderId="3" xfId="9" applyFont="1" applyFill="1" applyBorder="1" applyAlignment="1">
      <alignment vertical="center" wrapText="1"/>
    </xf>
    <xf numFmtId="0" fontId="36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35" fillId="0" borderId="0" xfId="8" applyFont="1" applyAlignment="1">
      <alignment vertical="center"/>
    </xf>
    <xf numFmtId="0" fontId="36" fillId="0" borderId="0" xfId="8" quotePrefix="1" applyFont="1" applyAlignment="1">
      <alignment horizontal="justify" vertical="center" wrapText="1"/>
    </xf>
    <xf numFmtId="0" fontId="38" fillId="0" borderId="0" xfId="8" quotePrefix="1" applyFont="1" applyAlignment="1">
      <alignment horizontal="left" vertical="center"/>
    </xf>
    <xf numFmtId="0" fontId="39" fillId="0" borderId="0" xfId="8" applyFont="1" applyFill="1" applyBorder="1" applyAlignment="1">
      <alignment horizontal="center" vertical="center"/>
    </xf>
    <xf numFmtId="0" fontId="40" fillId="0" borderId="0" xfId="8" applyFont="1"/>
    <xf numFmtId="0" fontId="36" fillId="0" borderId="0" xfId="8" applyFont="1" applyFill="1"/>
    <xf numFmtId="0" fontId="36" fillId="0" borderId="0" xfId="0" applyFont="1" applyFill="1" applyAlignment="1">
      <alignment horizontal="left" indent="1"/>
    </xf>
    <xf numFmtId="0" fontId="36" fillId="0" borderId="0" xfId="8" applyNumberFormat="1" applyFont="1" applyFill="1" applyAlignment="1">
      <alignment horizontal="left" vertical="center"/>
    </xf>
    <xf numFmtId="0" fontId="36" fillId="0" borderId="0" xfId="8" applyFont="1" applyAlignment="1" applyProtection="1">
      <alignment horizontal="left" vertical="center"/>
      <protection hidden="1"/>
    </xf>
    <xf numFmtId="0" fontId="36" fillId="0" borderId="0" xfId="8" applyFont="1"/>
    <xf numFmtId="0" fontId="41" fillId="0" borderId="0" xfId="8" applyFont="1" applyAlignment="1"/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4" fillId="0" borderId="0" xfId="8" applyFont="1" applyBorder="1" applyAlignment="1">
      <alignment horizontal="left" vertical="center"/>
    </xf>
    <xf numFmtId="0" fontId="34" fillId="0" borderId="0" xfId="8" applyFont="1" applyBorder="1" applyAlignment="1">
      <alignment horizontal="center" vertical="center"/>
    </xf>
    <xf numFmtId="0" fontId="43" fillId="0" borderId="0" xfId="13" applyFont="1" applyAlignment="1">
      <alignment vertical="center"/>
    </xf>
    <xf numFmtId="0" fontId="34" fillId="0" borderId="0" xfId="8" applyFont="1" applyBorder="1" applyAlignment="1">
      <alignment vertical="center"/>
    </xf>
    <xf numFmtId="0" fontId="35" fillId="0" borderId="0" xfId="8" applyFont="1" applyBorder="1" applyAlignment="1">
      <alignment vertical="center"/>
    </xf>
    <xf numFmtId="167" fontId="35" fillId="0" borderId="0" xfId="5" applyFont="1" applyBorder="1" applyAlignment="1">
      <alignment horizontal="center" vertical="center"/>
    </xf>
    <xf numFmtId="167" fontId="34" fillId="0" borderId="0" xfId="5" applyFont="1" applyBorder="1" applyAlignment="1">
      <alignment horizontal="center" vertical="center"/>
    </xf>
    <xf numFmtId="3" fontId="36" fillId="0" borderId="5" xfId="8" quotePrefix="1" applyNumberFormat="1" applyFont="1" applyBorder="1" applyAlignment="1">
      <alignment horizontal="center" vertical="center"/>
    </xf>
    <xf numFmtId="0" fontId="36" fillId="0" borderId="0" xfId="8" applyFont="1" applyBorder="1" applyAlignment="1">
      <alignment vertical="center"/>
    </xf>
    <xf numFmtId="0" fontId="44" fillId="0" borderId="0" xfId="13" applyFont="1" applyAlignment="1">
      <alignment vertical="center"/>
    </xf>
    <xf numFmtId="0" fontId="36" fillId="0" borderId="6" xfId="8" applyFont="1" applyBorder="1" applyAlignment="1">
      <alignment vertical="center"/>
    </xf>
    <xf numFmtId="14" fontId="36" fillId="0" borderId="5" xfId="8" applyNumberFormat="1" applyFont="1" applyBorder="1" applyAlignment="1">
      <alignment horizontal="center" vertical="center"/>
    </xf>
    <xf numFmtId="172" fontId="36" fillId="0" borderId="5" xfId="8" applyNumberFormat="1" applyFont="1" applyBorder="1" applyAlignment="1">
      <alignment horizontal="center" vertical="center"/>
    </xf>
    <xf numFmtId="1" fontId="36" fillId="0" borderId="0" xfId="8" applyNumberFormat="1" applyFont="1" applyBorder="1" applyAlignment="1">
      <alignment horizontal="center" vertical="center"/>
    </xf>
    <xf numFmtId="17" fontId="36" fillId="0" borderId="5" xfId="8" quotePrefix="1" applyNumberFormat="1" applyFont="1" applyBorder="1" applyAlignment="1">
      <alignment horizontal="center" vertical="center"/>
    </xf>
    <xf numFmtId="17" fontId="36" fillId="0" borderId="0" xfId="8" quotePrefix="1" applyNumberFormat="1" applyFont="1" applyBorder="1" applyAlignment="1">
      <alignment vertical="center"/>
    </xf>
    <xf numFmtId="20" fontId="36" fillId="0" borderId="0" xfId="8" applyNumberFormat="1" applyFont="1" applyBorder="1" applyAlignment="1">
      <alignment horizontal="center" vertical="center"/>
    </xf>
    <xf numFmtId="0" fontId="36" fillId="0" borderId="0" xfId="8" applyFont="1" applyBorder="1" applyAlignment="1">
      <alignment horizontal="center" vertical="center"/>
    </xf>
    <xf numFmtId="20" fontId="36" fillId="0" borderId="5" xfId="8" applyNumberFormat="1" applyFont="1" applyBorder="1" applyAlignment="1">
      <alignment horizontal="center" vertical="center"/>
    </xf>
    <xf numFmtId="20" fontId="36" fillId="0" borderId="0" xfId="8" applyNumberFormat="1" applyFont="1" applyBorder="1" applyAlignment="1">
      <alignment vertical="center"/>
    </xf>
    <xf numFmtId="0" fontId="45" fillId="4" borderId="5" xfId="8" applyFont="1" applyFill="1" applyBorder="1" applyAlignment="1">
      <alignment horizontal="left" vertical="center"/>
    </xf>
    <xf numFmtId="0" fontId="36" fillId="0" borderId="0" xfId="8" applyFont="1" applyFill="1" applyBorder="1" applyAlignment="1">
      <alignment vertical="center"/>
    </xf>
    <xf numFmtId="0" fontId="36" fillId="0" borderId="7" xfId="8" applyFont="1" applyBorder="1" applyAlignment="1">
      <alignment vertical="center"/>
    </xf>
    <xf numFmtId="0" fontId="36" fillId="0" borderId="5" xfId="8" applyFont="1" applyBorder="1" applyAlignment="1">
      <alignment horizontal="center" vertical="center"/>
    </xf>
    <xf numFmtId="0" fontId="36" fillId="0" borderId="8" xfId="8" applyFont="1" applyBorder="1" applyAlignment="1">
      <alignment vertical="center"/>
    </xf>
    <xf numFmtId="172" fontId="36" fillId="0" borderId="0" xfId="8" applyNumberFormat="1" applyFont="1" applyBorder="1" applyAlignment="1">
      <alignment horizontal="center" vertical="center"/>
    </xf>
    <xf numFmtId="0" fontId="36" fillId="0" borderId="9" xfId="8" applyFont="1" applyBorder="1" applyAlignment="1">
      <alignment vertical="center"/>
    </xf>
    <xf numFmtId="0" fontId="36" fillId="0" borderId="10" xfId="8" applyFont="1" applyBorder="1" applyAlignment="1">
      <alignment vertical="center"/>
    </xf>
    <xf numFmtId="0" fontId="45" fillId="0" borderId="5" xfId="8" applyFont="1" applyBorder="1" applyAlignment="1">
      <alignment vertical="center"/>
    </xf>
    <xf numFmtId="2" fontId="34" fillId="0" borderId="0" xfId="8" applyNumberFormat="1" applyFont="1" applyBorder="1" applyAlignment="1">
      <alignment horizontal="center" vertical="center"/>
    </xf>
    <xf numFmtId="2" fontId="34" fillId="0" borderId="0" xfId="8" applyNumberFormat="1" applyFont="1" applyFill="1" applyBorder="1" applyAlignment="1">
      <alignment horizontal="center" vertical="center"/>
    </xf>
    <xf numFmtId="0" fontId="36" fillId="0" borderId="11" xfId="8" applyFont="1" applyBorder="1" applyAlignment="1">
      <alignment vertical="center"/>
    </xf>
    <xf numFmtId="0" fontId="36" fillId="0" borderId="12" xfId="8" applyFont="1" applyBorder="1" applyAlignment="1">
      <alignment horizontal="right" vertical="center" shrinkToFit="1"/>
    </xf>
    <xf numFmtId="167" fontId="45" fillId="4" borderId="13" xfId="4" applyFont="1" applyFill="1" applyBorder="1" applyAlignment="1">
      <alignment horizontal="left" vertical="center" shrinkToFit="1"/>
    </xf>
    <xf numFmtId="0" fontId="36" fillId="0" borderId="5" xfId="8" applyFont="1" applyBorder="1" applyAlignment="1">
      <alignment vertical="center"/>
    </xf>
    <xf numFmtId="0" fontId="45" fillId="0" borderId="0" xfId="13" applyFont="1" applyAlignment="1">
      <alignment horizontal="right" vertical="center"/>
    </xf>
    <xf numFmtId="0" fontId="43" fillId="0" borderId="0" xfId="13" applyFont="1" applyAlignment="1">
      <alignment horizontal="right" vertical="center"/>
    </xf>
    <xf numFmtId="39" fontId="36" fillId="0" borderId="9" xfId="6" applyNumberFormat="1" applyFont="1" applyBorder="1" applyAlignment="1">
      <alignment vertical="center"/>
    </xf>
    <xf numFmtId="0" fontId="36" fillId="0" borderId="14" xfId="8" applyFont="1" applyBorder="1" applyAlignment="1">
      <alignment vertical="center"/>
    </xf>
    <xf numFmtId="0" fontId="46" fillId="0" borderId="11" xfId="8" applyFont="1" applyBorder="1" applyAlignment="1">
      <alignment vertical="center"/>
    </xf>
    <xf numFmtId="0" fontId="45" fillId="0" borderId="0" xfId="8" applyFont="1" applyBorder="1" applyAlignment="1">
      <alignment vertical="center"/>
    </xf>
    <xf numFmtId="0" fontId="43" fillId="0" borderId="0" xfId="13" applyFont="1" applyBorder="1" applyAlignment="1">
      <alignment vertical="center"/>
    </xf>
    <xf numFmtId="0" fontId="36" fillId="0" borderId="0" xfId="8" applyFont="1" applyBorder="1" applyAlignment="1">
      <alignment horizontal="right" vertical="center"/>
    </xf>
    <xf numFmtId="167" fontId="45" fillId="0" borderId="0" xfId="4" applyFont="1" applyFill="1" applyBorder="1" applyAlignment="1">
      <alignment horizontal="left" vertical="center"/>
    </xf>
    <xf numFmtId="171" fontId="45" fillId="0" borderId="0" xfId="6" applyNumberFormat="1" applyFont="1" applyBorder="1" applyAlignment="1">
      <alignment horizontal="left" vertical="center"/>
    </xf>
    <xf numFmtId="39" fontId="36" fillId="0" borderId="15" xfId="6" applyNumberFormat="1" applyFont="1" applyBorder="1" applyAlignment="1">
      <alignment vertical="center"/>
    </xf>
    <xf numFmtId="0" fontId="36" fillId="0" borderId="16" xfId="8" applyFont="1" applyBorder="1" applyAlignment="1">
      <alignment vertical="center"/>
    </xf>
    <xf numFmtId="37" fontId="35" fillId="0" borderId="0" xfId="6" applyNumberFormat="1" applyFont="1" applyBorder="1" applyAlignment="1">
      <alignment vertical="center"/>
    </xf>
    <xf numFmtId="37" fontId="41" fillId="0" borderId="0" xfId="6" applyNumberFormat="1" applyFont="1" applyBorder="1" applyAlignment="1">
      <alignment vertical="center"/>
    </xf>
    <xf numFmtId="0" fontId="41" fillId="0" borderId="0" xfId="8" applyFont="1" applyBorder="1" applyAlignment="1">
      <alignment vertical="center"/>
    </xf>
    <xf numFmtId="0" fontId="43" fillId="0" borderId="8" xfId="13" applyFont="1" applyBorder="1" applyAlignment="1">
      <alignment vertical="center"/>
    </xf>
    <xf numFmtId="165" fontId="36" fillId="0" borderId="17" xfId="6" applyFont="1" applyBorder="1" applyAlignment="1">
      <alignment horizontal="right" vertical="center"/>
    </xf>
    <xf numFmtId="167" fontId="36" fillId="0" borderId="18" xfId="4" applyFont="1" applyBorder="1" applyAlignment="1">
      <alignment vertical="center"/>
    </xf>
    <xf numFmtId="165" fontId="36" fillId="0" borderId="19" xfId="6" applyFont="1" applyBorder="1" applyAlignment="1">
      <alignment horizontal="right" vertical="center"/>
    </xf>
    <xf numFmtId="167" fontId="36" fillId="0" borderId="20" xfId="4" applyFont="1" applyBorder="1" applyAlignment="1">
      <alignment vertical="center"/>
    </xf>
    <xf numFmtId="0" fontId="34" fillId="0" borderId="8" xfId="8" applyFont="1" applyBorder="1" applyAlignment="1">
      <alignment vertical="center"/>
    </xf>
    <xf numFmtId="0" fontId="35" fillId="0" borderId="0" xfId="8" applyFont="1" applyAlignment="1">
      <alignment horizontal="left" vertical="center"/>
    </xf>
    <xf numFmtId="2" fontId="34" fillId="0" borderId="0" xfId="8" applyNumberFormat="1" applyFont="1" applyFill="1" applyBorder="1" applyAlignment="1">
      <alignment vertical="center"/>
    </xf>
    <xf numFmtId="0" fontId="46" fillId="0" borderId="21" xfId="8" applyFont="1" applyBorder="1" applyAlignment="1">
      <alignment vertical="center"/>
    </xf>
    <xf numFmtId="0" fontId="45" fillId="0" borderId="5" xfId="6" applyNumberFormat="1" applyFont="1" applyBorder="1" applyAlignment="1">
      <alignment vertical="center"/>
    </xf>
    <xf numFmtId="0" fontId="45" fillId="0" borderId="0" xfId="6" applyNumberFormat="1" applyFont="1" applyBorder="1" applyAlignment="1">
      <alignment vertical="center"/>
    </xf>
    <xf numFmtId="0" fontId="46" fillId="0" borderId="5" xfId="8" applyFont="1" applyBorder="1" applyAlignment="1">
      <alignment vertical="center"/>
    </xf>
    <xf numFmtId="10" fontId="36" fillId="0" borderId="22" xfId="18" applyNumberFormat="1" applyFont="1" applyFill="1" applyBorder="1" applyAlignment="1">
      <alignment vertical="center"/>
    </xf>
    <xf numFmtId="0" fontId="34" fillId="0" borderId="23" xfId="8" applyFont="1" applyBorder="1" applyAlignment="1">
      <alignment horizontal="center" vertical="center" shrinkToFit="1"/>
    </xf>
    <xf numFmtId="0" fontId="45" fillId="0" borderId="0" xfId="6" applyNumberFormat="1" applyFont="1" applyBorder="1" applyAlignment="1">
      <alignment horizontal="center" vertical="center"/>
    </xf>
    <xf numFmtId="165" fontId="45" fillId="0" borderId="0" xfId="6" applyFont="1" applyBorder="1" applyAlignment="1">
      <alignment vertical="center"/>
    </xf>
    <xf numFmtId="0" fontId="45" fillId="0" borderId="0" xfId="6" applyNumberFormat="1" applyFont="1" applyBorder="1" applyAlignment="1">
      <alignment horizontal="left" vertical="center"/>
    </xf>
    <xf numFmtId="0" fontId="46" fillId="0" borderId="9" xfId="8" applyFont="1" applyBorder="1" applyAlignment="1">
      <alignment vertical="center"/>
    </xf>
    <xf numFmtId="0" fontId="46" fillId="0" borderId="24" xfId="8" applyFont="1" applyBorder="1" applyAlignment="1">
      <alignment vertical="center"/>
    </xf>
    <xf numFmtId="0" fontId="36" fillId="0" borderId="25" xfId="8" applyFont="1" applyBorder="1" applyAlignment="1">
      <alignment vertical="center"/>
    </xf>
    <xf numFmtId="0" fontId="46" fillId="0" borderId="26" xfId="8" applyFont="1" applyBorder="1" applyAlignment="1">
      <alignment vertical="center"/>
    </xf>
    <xf numFmtId="165" fontId="36" fillId="0" borderId="22" xfId="6" applyFont="1" applyFill="1" applyBorder="1" applyAlignment="1">
      <alignment vertical="center"/>
    </xf>
    <xf numFmtId="174" fontId="36" fillId="0" borderId="0" xfId="6" applyNumberFormat="1" applyFont="1" applyFill="1" applyBorder="1" applyAlignment="1">
      <alignment vertical="center"/>
    </xf>
    <xf numFmtId="165" fontId="36" fillId="0" borderId="0" xfId="6" applyFont="1" applyFill="1" applyBorder="1" applyAlignment="1">
      <alignment vertical="center"/>
    </xf>
    <xf numFmtId="165" fontId="36" fillId="0" borderId="27" xfId="6" applyFont="1" applyFill="1" applyBorder="1" applyAlignment="1">
      <alignment vertical="center"/>
    </xf>
    <xf numFmtId="0" fontId="45" fillId="0" borderId="28" xfId="8" applyFont="1" applyBorder="1" applyAlignment="1">
      <alignment horizontal="right" vertical="center"/>
    </xf>
    <xf numFmtId="165" fontId="36" fillId="0" borderId="29" xfId="6" applyFont="1" applyFill="1" applyBorder="1" applyAlignment="1">
      <alignment vertical="center" shrinkToFit="1"/>
    </xf>
    <xf numFmtId="0" fontId="36" fillId="0" borderId="11" xfId="8" applyFont="1" applyBorder="1" applyAlignment="1">
      <alignment horizontal="left" vertical="center"/>
    </xf>
    <xf numFmtId="0" fontId="45" fillId="0" borderId="6" xfId="8" applyFont="1" applyBorder="1" applyAlignment="1">
      <alignment horizontal="left" vertical="center"/>
    </xf>
    <xf numFmtId="0" fontId="45" fillId="0" borderId="19" xfId="8" applyFont="1" applyBorder="1" applyAlignment="1">
      <alignment horizontal="right" vertical="center"/>
    </xf>
    <xf numFmtId="165" fontId="36" fillId="0" borderId="30" xfId="6" applyFont="1" applyFill="1" applyBorder="1" applyAlignment="1">
      <alignment vertical="center" shrinkToFit="1"/>
    </xf>
    <xf numFmtId="0" fontId="36" fillId="0" borderId="31" xfId="8" applyFont="1" applyBorder="1" applyAlignment="1">
      <alignment vertical="center"/>
    </xf>
    <xf numFmtId="0" fontId="36" fillId="0" borderId="32" xfId="8" applyFont="1" applyBorder="1" applyAlignment="1">
      <alignment vertical="center"/>
    </xf>
    <xf numFmtId="165" fontId="36" fillId="0" borderId="33" xfId="6" applyFont="1" applyBorder="1" applyAlignment="1">
      <alignment vertical="center"/>
    </xf>
    <xf numFmtId="174" fontId="45" fillId="0" borderId="0" xfId="4" applyNumberFormat="1" applyFont="1" applyBorder="1" applyAlignment="1">
      <alignment horizontal="left" vertical="center"/>
    </xf>
    <xf numFmtId="10" fontId="36" fillId="0" borderId="0" xfId="8" applyNumberFormat="1" applyFont="1" applyBorder="1" applyAlignment="1">
      <alignment vertical="center"/>
    </xf>
    <xf numFmtId="0" fontId="36" fillId="0" borderId="0" xfId="19" applyNumberFormat="1" applyFont="1" applyBorder="1" applyAlignment="1">
      <alignment vertical="center"/>
    </xf>
    <xf numFmtId="0" fontId="46" fillId="0" borderId="0" xfId="8" applyFont="1" applyBorder="1" applyAlignment="1">
      <alignment vertical="center"/>
    </xf>
    <xf numFmtId="10" fontId="36" fillId="0" borderId="0" xfId="19" applyNumberFormat="1" applyFont="1" applyBorder="1" applyAlignment="1">
      <alignment vertical="center"/>
    </xf>
    <xf numFmtId="0" fontId="47" fillId="0" borderId="0" xfId="8" applyFont="1" applyBorder="1" applyAlignment="1">
      <alignment vertical="center"/>
    </xf>
    <xf numFmtId="0" fontId="35" fillId="0" borderId="0" xfId="8" applyFont="1" applyAlignment="1">
      <alignment horizontal="left" vertical="center" wrapText="1"/>
    </xf>
    <xf numFmtId="2" fontId="45" fillId="0" borderId="34" xfId="8" applyNumberFormat="1" applyFont="1" applyBorder="1" applyAlignment="1">
      <alignment horizontal="right" vertical="center"/>
    </xf>
    <xf numFmtId="165" fontId="36" fillId="0" borderId="34" xfId="6" applyFont="1" applyBorder="1" applyAlignment="1">
      <alignment vertical="center"/>
    </xf>
    <xf numFmtId="167" fontId="45" fillId="0" borderId="0" xfId="5" applyFont="1" applyBorder="1" applyAlignment="1">
      <alignment vertical="center"/>
    </xf>
    <xf numFmtId="2" fontId="45" fillId="0" borderId="35" xfId="8" applyNumberFormat="1" applyFont="1" applyBorder="1" applyAlignment="1">
      <alignment horizontal="right" vertical="center"/>
    </xf>
    <xf numFmtId="165" fontId="36" fillId="0" borderId="35" xfId="6" applyFont="1" applyBorder="1" applyAlignment="1">
      <alignment vertical="center"/>
    </xf>
    <xf numFmtId="167" fontId="45" fillId="0" borderId="0" xfId="4" applyFont="1" applyBorder="1" applyAlignment="1">
      <alignment vertical="center"/>
    </xf>
    <xf numFmtId="2" fontId="35" fillId="0" borderId="36" xfId="8" applyNumberFormat="1" applyFont="1" applyBorder="1" applyAlignment="1">
      <alignment horizontal="center" vertical="center"/>
    </xf>
    <xf numFmtId="165" fontId="36" fillId="0" borderId="36" xfId="6" applyFont="1" applyBorder="1" applyAlignment="1">
      <alignment vertical="center"/>
    </xf>
    <xf numFmtId="10" fontId="35" fillId="0" borderId="0" xfId="8" applyNumberFormat="1" applyFont="1" applyBorder="1" applyAlignment="1">
      <alignment horizontal="right" vertical="center"/>
    </xf>
    <xf numFmtId="167" fontId="35" fillId="0" borderId="0" xfId="4" applyFont="1" applyBorder="1" applyAlignment="1">
      <alignment vertical="center"/>
    </xf>
    <xf numFmtId="0" fontId="46" fillId="0" borderId="19" xfId="8" applyFont="1" applyFill="1" applyBorder="1" applyAlignment="1">
      <alignment vertical="center"/>
    </xf>
    <xf numFmtId="10" fontId="35" fillId="0" borderId="16" xfId="8" applyNumberFormat="1" applyFont="1" applyBorder="1" applyAlignment="1">
      <alignment horizontal="center" vertical="center"/>
    </xf>
    <xf numFmtId="165" fontId="36" fillId="0" borderId="16" xfId="6" applyFont="1" applyBorder="1" applyAlignment="1">
      <alignment vertical="center"/>
    </xf>
    <xf numFmtId="0" fontId="35" fillId="0" borderId="0" xfId="8" applyFont="1" applyBorder="1" applyAlignment="1">
      <alignment horizontal="center" vertical="center"/>
    </xf>
    <xf numFmtId="167" fontId="36" fillId="0" borderId="0" xfId="8" applyNumberFormat="1" applyFont="1" applyBorder="1" applyAlignment="1">
      <alignment vertical="center"/>
    </xf>
    <xf numFmtId="10" fontId="36" fillId="0" borderId="9" xfId="19" applyNumberFormat="1" applyFont="1" applyFill="1" applyBorder="1" applyAlignment="1">
      <alignment horizontal="center" vertical="center"/>
    </xf>
    <xf numFmtId="10" fontId="36" fillId="0" borderId="37" xfId="19" applyNumberFormat="1" applyFont="1" applyFill="1" applyBorder="1" applyAlignment="1">
      <alignment horizontal="center" vertical="center"/>
    </xf>
    <xf numFmtId="10" fontId="45" fillId="0" borderId="0" xfId="19" applyNumberFormat="1" applyFont="1" applyFill="1" applyBorder="1" applyAlignment="1">
      <alignment horizontal="center" vertical="center"/>
    </xf>
    <xf numFmtId="167" fontId="45" fillId="0" borderId="0" xfId="19" applyNumberFormat="1" applyFont="1" applyFill="1" applyBorder="1" applyAlignment="1">
      <alignment horizontal="center" vertical="center"/>
    </xf>
    <xf numFmtId="0" fontId="36" fillId="0" borderId="38" xfId="8" applyFont="1" applyBorder="1" applyAlignment="1">
      <alignment vertical="center"/>
    </xf>
    <xf numFmtId="10" fontId="36" fillId="0" borderId="15" xfId="19" applyNumberFormat="1" applyFont="1" applyFill="1" applyBorder="1" applyAlignment="1">
      <alignment horizontal="center" vertical="center"/>
    </xf>
    <xf numFmtId="165" fontId="43" fillId="0" borderId="0" xfId="13" applyNumberFormat="1" applyFont="1" applyAlignment="1">
      <alignment vertical="center"/>
    </xf>
    <xf numFmtId="0" fontId="45" fillId="0" borderId="0" xfId="13" applyFont="1" applyAlignment="1">
      <alignment horizontal="center" vertical="center"/>
    </xf>
    <xf numFmtId="0" fontId="43" fillId="0" borderId="0" xfId="13" applyFont="1" applyFill="1" applyAlignment="1">
      <alignment vertical="center"/>
    </xf>
    <xf numFmtId="0" fontId="43" fillId="0" borderId="0" xfId="13" applyFont="1" applyFill="1" applyBorder="1" applyAlignment="1">
      <alignment vertical="center"/>
    </xf>
    <xf numFmtId="0" fontId="34" fillId="0" borderId="0" xfId="8" applyFont="1" applyFill="1" applyBorder="1" applyAlignment="1">
      <alignment vertical="center"/>
    </xf>
    <xf numFmtId="0" fontId="34" fillId="5" borderId="17" xfId="8" applyFont="1" applyFill="1" applyBorder="1" applyAlignment="1">
      <alignment horizontal="right" vertical="center" shrinkToFit="1"/>
    </xf>
    <xf numFmtId="165" fontId="34" fillId="0" borderId="0" xfId="6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34" fillId="5" borderId="17" xfId="8" applyFont="1" applyFill="1" applyBorder="1" applyAlignment="1">
      <alignment horizontal="right" vertical="center"/>
    </xf>
    <xf numFmtId="0" fontId="34" fillId="5" borderId="19" xfId="8" applyFont="1" applyFill="1" applyBorder="1" applyAlignment="1">
      <alignment horizontal="right" vertical="center" shrinkToFit="1"/>
    </xf>
    <xf numFmtId="0" fontId="34" fillId="5" borderId="19" xfId="8" applyFont="1" applyFill="1" applyBorder="1" applyAlignment="1">
      <alignment horizontal="right" vertical="center"/>
    </xf>
    <xf numFmtId="165" fontId="34" fillId="0" borderId="0" xfId="6" applyFont="1" applyBorder="1" applyAlignment="1">
      <alignment vertical="center"/>
    </xf>
    <xf numFmtId="165" fontId="35" fillId="0" borderId="0" xfId="6" applyFont="1" applyFill="1" applyBorder="1" applyAlignment="1">
      <alignment vertical="center" wrapText="1"/>
    </xf>
    <xf numFmtId="165" fontId="34" fillId="0" borderId="39" xfId="6" applyFont="1" applyFill="1" applyBorder="1" applyAlignment="1">
      <alignment horizontal="center" vertical="center" shrinkToFit="1"/>
    </xf>
    <xf numFmtId="168" fontId="34" fillId="0" borderId="40" xfId="8" applyNumberFormat="1" applyFont="1" applyFill="1" applyBorder="1" applyAlignment="1">
      <alignment horizontal="center" vertical="center"/>
    </xf>
    <xf numFmtId="0" fontId="34" fillId="0" borderId="0" xfId="8" applyFont="1" applyAlignment="1">
      <alignment horizontal="left"/>
    </xf>
    <xf numFmtId="0" fontId="34" fillId="0" borderId="0" xfId="8" applyFont="1" applyAlignment="1">
      <alignment horizontal="center" vertical="center"/>
    </xf>
    <xf numFmtId="0" fontId="34" fillId="0" borderId="41" xfId="8" applyFont="1" applyBorder="1" applyAlignment="1">
      <alignment horizontal="center" vertical="center" wrapText="1"/>
    </xf>
    <xf numFmtId="0" fontId="34" fillId="0" borderId="13" xfId="8" applyFont="1" applyBorder="1" applyAlignment="1">
      <alignment horizontal="center" vertical="center" wrapText="1"/>
    </xf>
    <xf numFmtId="0" fontId="36" fillId="0" borderId="9" xfId="8" applyNumberFormat="1" applyFont="1" applyBorder="1" applyAlignment="1">
      <alignment horizontal="left" vertical="center"/>
    </xf>
    <xf numFmtId="0" fontId="34" fillId="0" borderId="0" xfId="8" applyFont="1" applyAlignment="1">
      <alignment horizontal="center" vertical="center" wrapText="1"/>
    </xf>
    <xf numFmtId="0" fontId="36" fillId="0" borderId="0" xfId="8" applyFont="1" applyAlignment="1">
      <alignment vertical="center" wrapText="1"/>
    </xf>
    <xf numFmtId="0" fontId="5" fillId="0" borderId="0" xfId="8" applyFont="1" applyAlignment="1">
      <alignment vertical="center" wrapText="1"/>
    </xf>
    <xf numFmtId="0" fontId="36" fillId="0" borderId="26" xfId="8" applyFont="1" applyFill="1" applyBorder="1" applyAlignment="1">
      <alignment vertical="center"/>
    </xf>
    <xf numFmtId="0" fontId="36" fillId="0" borderId="42" xfId="8" applyFont="1" applyFill="1" applyBorder="1" applyAlignment="1">
      <alignment vertical="center"/>
    </xf>
    <xf numFmtId="172" fontId="36" fillId="0" borderId="43" xfId="6" applyNumberFormat="1" applyFont="1" applyFill="1" applyBorder="1" applyAlignment="1">
      <alignment horizontal="center" vertical="center" wrapText="1"/>
    </xf>
    <xf numFmtId="165" fontId="36" fillId="0" borderId="36" xfId="6" applyFont="1" applyFill="1" applyBorder="1" applyAlignment="1">
      <alignment horizontal="center" vertical="center" wrapText="1"/>
    </xf>
    <xf numFmtId="0" fontId="36" fillId="0" borderId="11" xfId="8" applyNumberFormat="1" applyFont="1" applyBorder="1" applyAlignment="1">
      <alignment horizontal="left" vertical="center" wrapText="1"/>
    </xf>
    <xf numFmtId="0" fontId="36" fillId="0" borderId="6" xfId="8" applyFont="1" applyBorder="1" applyAlignment="1">
      <alignment vertical="center" wrapText="1"/>
    </xf>
    <xf numFmtId="10" fontId="36" fillId="0" borderId="44" xfId="28" applyNumberFormat="1" applyFont="1" applyBorder="1" applyAlignment="1">
      <alignment horizontal="center" vertical="center" wrapText="1"/>
    </xf>
    <xf numFmtId="0" fontId="36" fillId="0" borderId="4" xfId="8" applyFont="1" applyFill="1" applyBorder="1" applyAlignment="1">
      <alignment vertical="center"/>
    </xf>
    <xf numFmtId="0" fontId="36" fillId="0" borderId="5" xfId="8" applyNumberFormat="1" applyFont="1" applyBorder="1" applyAlignment="1">
      <alignment horizontal="left" vertical="center" wrapText="1"/>
    </xf>
    <xf numFmtId="0" fontId="36" fillId="0" borderId="0" xfId="8" applyFont="1" applyBorder="1" applyAlignment="1">
      <alignment vertical="center" wrapText="1"/>
    </xf>
    <xf numFmtId="10" fontId="36" fillId="0" borderId="45" xfId="28" applyNumberFormat="1" applyFont="1" applyBorder="1" applyAlignment="1">
      <alignment horizontal="center" vertical="center" wrapText="1"/>
    </xf>
    <xf numFmtId="10" fontId="34" fillId="0" borderId="20" xfId="8" applyNumberFormat="1" applyFont="1" applyBorder="1" applyAlignment="1">
      <alignment horizontal="center" vertical="center" wrapText="1"/>
    </xf>
    <xf numFmtId="172" fontId="34" fillId="0" borderId="41" xfId="8" applyNumberFormat="1" applyFont="1" applyFill="1" applyBorder="1" applyAlignment="1">
      <alignment horizontal="center" vertical="center" wrapText="1"/>
    </xf>
    <xf numFmtId="172" fontId="34" fillId="0" borderId="41" xfId="8" quotePrefix="1" applyNumberFormat="1" applyFont="1" applyFill="1" applyBorder="1" applyAlignment="1">
      <alignment horizontal="center" vertical="center" wrapText="1"/>
    </xf>
    <xf numFmtId="165" fontId="34" fillId="0" borderId="13" xfId="6" quotePrefix="1" applyFont="1" applyFill="1" applyBorder="1" applyAlignment="1">
      <alignment horizontal="center" vertical="center" wrapText="1"/>
    </xf>
    <xf numFmtId="10" fontId="34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vertical="center"/>
    </xf>
    <xf numFmtId="0" fontId="45" fillId="0" borderId="0" xfId="0" quotePrefix="1" applyFont="1" applyBorder="1" applyAlignment="1">
      <alignment vertical="center"/>
    </xf>
    <xf numFmtId="2" fontId="34" fillId="0" borderId="28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172" fontId="36" fillId="2" borderId="46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14" fontId="34" fillId="0" borderId="47" xfId="8" applyNumberFormat="1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8" fillId="0" borderId="0" xfId="8" applyFont="1" applyBorder="1" applyAlignment="1">
      <alignment vertical="center"/>
    </xf>
    <xf numFmtId="2" fontId="34" fillId="2" borderId="46" xfId="0" applyNumberFormat="1" applyFont="1" applyFill="1" applyBorder="1" applyAlignment="1">
      <alignment horizontal="center" vertical="center"/>
    </xf>
    <xf numFmtId="172" fontId="36" fillId="0" borderId="4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9" fillId="0" borderId="0" xfId="8" applyFont="1" applyBorder="1" applyAlignment="1">
      <alignment vertical="center"/>
    </xf>
    <xf numFmtId="0" fontId="45" fillId="0" borderId="0" xfId="8" quotePrefix="1" applyFont="1" applyAlignment="1">
      <alignment horizontal="left" vertical="center"/>
    </xf>
    <xf numFmtId="2" fontId="34" fillId="0" borderId="46" xfId="0" applyNumberFormat="1" applyFont="1" applyFill="1" applyBorder="1" applyAlignment="1">
      <alignment horizontal="center" vertical="center"/>
    </xf>
    <xf numFmtId="0" fontId="36" fillId="0" borderId="46" xfId="9" applyFont="1" applyFill="1" applyBorder="1" applyAlignment="1">
      <alignment horizontal="center" vertical="center"/>
    </xf>
    <xf numFmtId="0" fontId="34" fillId="0" borderId="0" xfId="9" applyFont="1" applyBorder="1" applyAlignment="1">
      <alignment vertical="center"/>
    </xf>
    <xf numFmtId="10" fontId="45" fillId="0" borderId="0" xfId="0" applyNumberFormat="1" applyFont="1" applyAlignment="1">
      <alignment vertical="center"/>
    </xf>
    <xf numFmtId="0" fontId="48" fillId="0" borderId="0" xfId="8" applyFont="1" applyAlignment="1">
      <alignment vertical="center"/>
    </xf>
    <xf numFmtId="0" fontId="45" fillId="0" borderId="0" xfId="0" applyFont="1" applyFill="1" applyBorder="1" applyAlignment="1">
      <alignment vertical="center"/>
    </xf>
    <xf numFmtId="0" fontId="34" fillId="0" borderId="0" xfId="8" quotePrefix="1" applyFont="1" applyBorder="1" applyAlignment="1">
      <alignment vertical="center"/>
    </xf>
    <xf numFmtId="0" fontId="36" fillId="2" borderId="46" xfId="9" applyFont="1" applyFill="1" applyBorder="1" applyAlignment="1">
      <alignment horizontal="center" vertical="center"/>
    </xf>
    <xf numFmtId="0" fontId="34" fillId="0" borderId="0" xfId="8" quotePrefix="1" applyFont="1" applyBorder="1" applyAlignment="1">
      <alignment horizontal="left" vertical="center"/>
    </xf>
    <xf numFmtId="0" fontId="36" fillId="0" borderId="46" xfId="9" applyFont="1" applyBorder="1" applyAlignment="1">
      <alignment horizontal="center" vertical="center"/>
    </xf>
    <xf numFmtId="10" fontId="45" fillId="0" borderId="0" xfId="0" applyNumberFormat="1" applyFont="1" applyFill="1" applyBorder="1" applyAlignment="1">
      <alignment vertical="center"/>
    </xf>
    <xf numFmtId="0" fontId="36" fillId="0" borderId="0" xfId="8" applyFont="1" applyBorder="1" applyAlignment="1">
      <alignment horizontal="left" vertical="center"/>
    </xf>
    <xf numFmtId="0" fontId="27" fillId="0" borderId="11" xfId="8" applyFont="1" applyBorder="1" applyAlignment="1">
      <alignment vertical="center"/>
    </xf>
    <xf numFmtId="0" fontId="27" fillId="0" borderId="9" xfId="8" applyFont="1" applyBorder="1" applyAlignment="1">
      <alignment vertical="center"/>
    </xf>
    <xf numFmtId="0" fontId="50" fillId="0" borderId="11" xfId="8" applyFont="1" applyBorder="1" applyAlignment="1">
      <alignment vertical="center"/>
    </xf>
    <xf numFmtId="0" fontId="51" fillId="0" borderId="38" xfId="13" applyFont="1" applyBorder="1" applyAlignment="1">
      <alignment vertical="center"/>
    </xf>
    <xf numFmtId="0" fontId="52" fillId="0" borderId="9" xfId="8" applyFont="1" applyBorder="1" applyAlignment="1">
      <alignment horizontal="left" vertical="center"/>
    </xf>
    <xf numFmtId="0" fontId="52" fillId="0" borderId="11" xfId="8" applyFont="1" applyBorder="1" applyAlignment="1">
      <alignment vertical="center"/>
    </xf>
    <xf numFmtId="0" fontId="52" fillId="0" borderId="11" xfId="8" applyFont="1" applyBorder="1" applyAlignment="1">
      <alignment horizontal="left" vertical="center"/>
    </xf>
    <xf numFmtId="0" fontId="52" fillId="0" borderId="26" xfId="8" applyFont="1" applyBorder="1" applyAlignment="1">
      <alignment horizontal="left" vertical="center"/>
    </xf>
    <xf numFmtId="0" fontId="52" fillId="0" borderId="38" xfId="8" applyFont="1" applyBorder="1" applyAlignment="1">
      <alignment horizontal="left" vertical="center"/>
    </xf>
    <xf numFmtId="0" fontId="34" fillId="0" borderId="0" xfId="8" applyFont="1" applyBorder="1" applyAlignment="1">
      <alignment horizontal="center" vertical="center" wrapText="1"/>
    </xf>
    <xf numFmtId="0" fontId="52" fillId="0" borderId="10" xfId="8" applyFont="1" applyBorder="1" applyAlignment="1">
      <alignment horizontal="center" vertical="center" wrapText="1"/>
    </xf>
    <xf numFmtId="0" fontId="27" fillId="0" borderId="6" xfId="8" applyFont="1" applyBorder="1" applyAlignment="1">
      <alignment vertical="center" wrapText="1"/>
    </xf>
    <xf numFmtId="0" fontId="52" fillId="0" borderId="6" xfId="8" applyFont="1" applyBorder="1" applyAlignment="1">
      <alignment horizontal="left" vertical="center" wrapText="1"/>
    </xf>
    <xf numFmtId="0" fontId="27" fillId="0" borderId="7" xfId="8" applyFont="1" applyBorder="1" applyAlignment="1">
      <alignment vertical="center" wrapText="1"/>
    </xf>
    <xf numFmtId="0" fontId="27" fillId="0" borderId="8" xfId="8" applyFont="1" applyBorder="1" applyAlignment="1">
      <alignment vertical="center" wrapText="1"/>
    </xf>
    <xf numFmtId="0" fontId="34" fillId="0" borderId="0" xfId="8" applyFont="1" applyFill="1" applyBorder="1" applyAlignment="1">
      <alignment horizontal="center" vertical="center" wrapText="1"/>
    </xf>
    <xf numFmtId="0" fontId="27" fillId="0" borderId="10" xfId="8" applyFont="1" applyBorder="1" applyAlignment="1">
      <alignment vertical="center" wrapText="1"/>
    </xf>
    <xf numFmtId="0" fontId="51" fillId="0" borderId="8" xfId="13" applyFont="1" applyBorder="1" applyAlignment="1">
      <alignment vertical="center" wrapText="1"/>
    </xf>
    <xf numFmtId="0" fontId="36" fillId="0" borderId="8" xfId="8" applyFont="1" applyBorder="1" applyAlignment="1">
      <alignment vertical="center" wrapText="1"/>
    </xf>
    <xf numFmtId="0" fontId="36" fillId="0" borderId="48" xfId="8" applyFont="1" applyBorder="1" applyAlignment="1">
      <alignment vertical="center" wrapText="1"/>
    </xf>
    <xf numFmtId="0" fontId="36" fillId="0" borderId="10" xfId="8" applyFont="1" applyBorder="1" applyAlignment="1">
      <alignment vertical="center" wrapText="1"/>
    </xf>
    <xf numFmtId="0" fontId="36" fillId="0" borderId="25" xfId="8" applyFont="1" applyBorder="1" applyAlignment="1">
      <alignment vertical="center" wrapText="1"/>
    </xf>
    <xf numFmtId="0" fontId="36" fillId="0" borderId="7" xfId="8" applyFont="1" applyBorder="1" applyAlignment="1">
      <alignment vertical="center" wrapText="1"/>
    </xf>
    <xf numFmtId="0" fontId="36" fillId="0" borderId="6" xfId="8" applyFont="1" applyBorder="1" applyAlignment="1">
      <alignment horizontal="left" vertical="center" wrapText="1"/>
    </xf>
    <xf numFmtId="165" fontId="36" fillId="0" borderId="32" xfId="6" applyFont="1" applyBorder="1" applyAlignment="1">
      <alignment vertical="center" wrapText="1"/>
    </xf>
    <xf numFmtId="9" fontId="36" fillId="0" borderId="49" xfId="19" applyFont="1" applyBorder="1" applyAlignment="1">
      <alignment vertical="center" wrapText="1"/>
    </xf>
    <xf numFmtId="0" fontId="43" fillId="0" borderId="0" xfId="13" applyFont="1" applyAlignment="1">
      <alignment vertical="center" wrapText="1"/>
    </xf>
    <xf numFmtId="0" fontId="43" fillId="0" borderId="0" xfId="13" applyFont="1" applyFill="1" applyAlignment="1">
      <alignment vertical="center" wrapText="1"/>
    </xf>
    <xf numFmtId="165" fontId="34" fillId="0" borderId="18" xfId="6" applyFont="1" applyFill="1" applyBorder="1" applyAlignment="1">
      <alignment vertical="center" wrapText="1"/>
    </xf>
    <xf numFmtId="165" fontId="34" fillId="0" borderId="20" xfId="6" applyFont="1" applyFill="1" applyBorder="1" applyAlignment="1">
      <alignment vertical="center" wrapText="1"/>
    </xf>
    <xf numFmtId="165" fontId="35" fillId="0" borderId="0" xfId="6" applyFont="1" applyBorder="1" applyAlignment="1">
      <alignment horizontal="left" vertical="center" wrapText="1"/>
    </xf>
    <xf numFmtId="165" fontId="34" fillId="0" borderId="0" xfId="6" applyFont="1" applyBorder="1" applyAlignment="1">
      <alignment horizontal="left" vertical="center" wrapText="1"/>
    </xf>
    <xf numFmtId="0" fontId="36" fillId="2" borderId="3" xfId="9" applyFont="1" applyFill="1" applyBorder="1" applyAlignment="1">
      <alignment vertical="center" wrapText="1"/>
    </xf>
    <xf numFmtId="0" fontId="36" fillId="0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0" fillId="0" borderId="0" xfId="13" applyFont="1" applyAlignment="1">
      <alignment vertical="center" wrapText="1"/>
    </xf>
    <xf numFmtId="0" fontId="34" fillId="0" borderId="0" xfId="8" applyFont="1" applyBorder="1" applyAlignment="1">
      <alignment vertical="center" wrapText="1"/>
    </xf>
    <xf numFmtId="14" fontId="36" fillId="0" borderId="0" xfId="8" applyNumberFormat="1" applyFont="1" applyBorder="1" applyAlignment="1">
      <alignment vertical="center" wrapText="1"/>
    </xf>
    <xf numFmtId="172" fontId="36" fillId="0" borderId="0" xfId="8" applyNumberFormat="1" applyFont="1" applyBorder="1" applyAlignment="1">
      <alignment horizontal="center" vertical="center" wrapText="1"/>
    </xf>
    <xf numFmtId="0" fontId="51" fillId="0" borderId="14" xfId="13" applyFont="1" applyBorder="1" applyAlignment="1">
      <alignment vertical="center" wrapText="1"/>
    </xf>
    <xf numFmtId="10" fontId="45" fillId="0" borderId="37" xfId="8" applyNumberFormat="1" applyFont="1" applyBorder="1" applyAlignment="1">
      <alignment horizontal="center" vertical="center" wrapText="1"/>
    </xf>
    <xf numFmtId="0" fontId="51" fillId="0" borderId="35" xfId="13" applyFont="1" applyBorder="1" applyAlignment="1">
      <alignment vertical="center" wrapText="1"/>
    </xf>
    <xf numFmtId="10" fontId="36" fillId="0" borderId="50" xfId="8" applyNumberFormat="1" applyFont="1" applyBorder="1" applyAlignment="1">
      <alignment horizontal="center" vertical="center" wrapText="1"/>
    </xf>
    <xf numFmtId="10" fontId="36" fillId="0" borderId="33" xfId="19" applyNumberFormat="1" applyFont="1" applyBorder="1" applyAlignment="1">
      <alignment horizontal="center" vertical="center" wrapText="1"/>
    </xf>
    <xf numFmtId="10" fontId="36" fillId="0" borderId="27" xfId="19" applyNumberFormat="1" applyFont="1" applyBorder="1" applyAlignment="1">
      <alignment horizontal="center" vertical="center" wrapText="1"/>
    </xf>
    <xf numFmtId="0" fontId="43" fillId="0" borderId="51" xfId="13" applyFont="1" applyBorder="1" applyAlignment="1">
      <alignment horizontal="center" vertical="center" wrapText="1"/>
    </xf>
    <xf numFmtId="0" fontId="43" fillId="0" borderId="48" xfId="13" applyFont="1" applyBorder="1" applyAlignment="1">
      <alignment vertical="center" wrapText="1"/>
    </xf>
    <xf numFmtId="0" fontId="43" fillId="0" borderId="4" xfId="13" applyFont="1" applyBorder="1" applyAlignment="1">
      <alignment vertical="center" wrapText="1"/>
    </xf>
    <xf numFmtId="0" fontId="36" fillId="0" borderId="10" xfId="8" applyFont="1" applyBorder="1" applyAlignment="1">
      <alignment horizontal="right" vertical="center" wrapText="1"/>
    </xf>
    <xf numFmtId="0" fontId="36" fillId="0" borderId="25" xfId="8" applyFont="1" applyBorder="1" applyAlignment="1">
      <alignment horizontal="right" vertical="center" wrapText="1"/>
    </xf>
    <xf numFmtId="0" fontId="36" fillId="0" borderId="32" xfId="8" applyFont="1" applyBorder="1" applyAlignment="1">
      <alignment vertical="center" wrapText="1"/>
    </xf>
    <xf numFmtId="2" fontId="35" fillId="0" borderId="23" xfId="8" applyNumberFormat="1" applyFont="1" applyBorder="1" applyAlignment="1">
      <alignment horizontal="center" vertical="center" wrapText="1"/>
    </xf>
    <xf numFmtId="2" fontId="35" fillId="0" borderId="27" xfId="8" applyNumberFormat="1" applyFont="1" applyBorder="1" applyAlignment="1">
      <alignment horizontal="center" vertical="center" wrapText="1"/>
    </xf>
    <xf numFmtId="2" fontId="35" fillId="0" borderId="22" xfId="8" applyNumberFormat="1" applyFont="1" applyBorder="1" applyAlignment="1">
      <alignment horizontal="center" vertical="center" wrapText="1"/>
    </xf>
    <xf numFmtId="0" fontId="36" fillId="0" borderId="16" xfId="8" applyFont="1" applyBorder="1" applyAlignment="1">
      <alignment vertical="center" wrapText="1"/>
    </xf>
    <xf numFmtId="10" fontId="35" fillId="0" borderId="51" xfId="8" applyNumberFormat="1" applyFont="1" applyBorder="1" applyAlignment="1">
      <alignment horizontal="center" vertical="center" wrapText="1"/>
    </xf>
    <xf numFmtId="0" fontId="43" fillId="0" borderId="10" xfId="13" applyFont="1" applyBorder="1" applyAlignment="1">
      <alignment vertical="center" wrapText="1"/>
    </xf>
    <xf numFmtId="10" fontId="45" fillId="0" borderId="10" xfId="19" applyNumberFormat="1" applyFont="1" applyFill="1" applyBorder="1" applyAlignment="1">
      <alignment horizontal="center" vertical="center" wrapText="1"/>
    </xf>
    <xf numFmtId="0" fontId="43" fillId="0" borderId="8" xfId="13" applyFont="1" applyBorder="1" applyAlignment="1">
      <alignment vertical="center" wrapText="1"/>
    </xf>
    <xf numFmtId="10" fontId="45" fillId="0" borderId="8" xfId="19" applyNumberFormat="1" applyFont="1" applyFill="1" applyBorder="1" applyAlignment="1">
      <alignment horizontal="center" vertical="center" wrapText="1"/>
    </xf>
    <xf numFmtId="0" fontId="45" fillId="0" borderId="0" xfId="13" applyFont="1" applyAlignment="1">
      <alignment horizontal="right" vertical="center" wrapText="1"/>
    </xf>
    <xf numFmtId="0" fontId="43" fillId="0" borderId="0" xfId="13" applyFont="1" applyFill="1" applyBorder="1" applyAlignment="1">
      <alignment vertical="center" wrapText="1"/>
    </xf>
    <xf numFmtId="0" fontId="34" fillId="0" borderId="0" xfId="8" applyFont="1" applyFill="1" applyBorder="1" applyAlignment="1">
      <alignment vertical="center" wrapText="1"/>
    </xf>
    <xf numFmtId="165" fontId="34" fillId="0" borderId="0" xfId="6" applyFont="1" applyFill="1" applyBorder="1" applyAlignment="1">
      <alignment vertical="center" wrapText="1"/>
    </xf>
    <xf numFmtId="165" fontId="34" fillId="0" borderId="0" xfId="6" applyFont="1" applyBorder="1" applyAlignment="1">
      <alignment vertical="center" wrapText="1"/>
    </xf>
    <xf numFmtId="10" fontId="36" fillId="0" borderId="47" xfId="28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10" fontId="36" fillId="2" borderId="44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10" fontId="45" fillId="2" borderId="44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 wrapText="1"/>
    </xf>
    <xf numFmtId="10" fontId="34" fillId="2" borderId="44" xfId="0" applyNumberFormat="1" applyFont="1" applyFill="1" applyBorder="1" applyAlignment="1">
      <alignment horizontal="center" vertical="center" wrapText="1"/>
    </xf>
    <xf numFmtId="10" fontId="45" fillId="0" borderId="44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10" fontId="34" fillId="0" borderId="44" xfId="0" applyNumberFormat="1" applyFont="1" applyFill="1" applyBorder="1" applyAlignment="1">
      <alignment horizontal="center" vertical="center" wrapText="1"/>
    </xf>
    <xf numFmtId="10" fontId="36" fillId="0" borderId="44" xfId="0" applyNumberFormat="1" applyFont="1" applyFill="1" applyBorder="1" applyAlignment="1">
      <alignment horizontal="center" vertical="center" wrapText="1"/>
    </xf>
    <xf numFmtId="10" fontId="36" fillId="0" borderId="52" xfId="19" applyNumberFormat="1" applyFont="1" applyFill="1" applyBorder="1" applyAlignment="1">
      <alignment horizontal="center" vertical="center" wrapText="1"/>
    </xf>
    <xf numFmtId="10" fontId="36" fillId="0" borderId="44" xfId="19" applyNumberFormat="1" applyFont="1" applyFill="1" applyBorder="1" applyAlignment="1">
      <alignment horizontal="center" vertical="center" wrapText="1"/>
    </xf>
    <xf numFmtId="10" fontId="45" fillId="0" borderId="52" xfId="19" applyNumberFormat="1" applyFont="1" applyFill="1" applyBorder="1" applyAlignment="1">
      <alignment horizontal="center" vertical="center" wrapText="1"/>
    </xf>
    <xf numFmtId="10" fontId="45" fillId="0" borderId="44" xfId="19" applyNumberFormat="1" applyFont="1" applyFill="1" applyBorder="1" applyAlignment="1">
      <alignment horizontal="center" vertical="center" wrapText="1"/>
    </xf>
    <xf numFmtId="10" fontId="36" fillId="4" borderId="44" xfId="19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10" fontId="36" fillId="2" borderId="44" xfId="19" applyNumberFormat="1" applyFont="1" applyFill="1" applyBorder="1" applyAlignment="1">
      <alignment horizontal="center" vertical="center" wrapText="1"/>
    </xf>
    <xf numFmtId="10" fontId="34" fillId="2" borderId="44" xfId="19" applyNumberFormat="1" applyFont="1" applyFill="1" applyBorder="1" applyAlignment="1">
      <alignment horizontal="center" vertical="center" wrapText="1"/>
    </xf>
    <xf numFmtId="10" fontId="36" fillId="0" borderId="44" xfId="19" applyNumberFormat="1" applyFont="1" applyBorder="1" applyAlignment="1">
      <alignment horizontal="center" vertical="center" wrapText="1"/>
    </xf>
    <xf numFmtId="10" fontId="34" fillId="0" borderId="44" xfId="0" applyNumberFormat="1" applyFont="1" applyBorder="1" applyAlignment="1">
      <alignment horizontal="center" vertical="center" wrapText="1"/>
    </xf>
    <xf numFmtId="10" fontId="34" fillId="0" borderId="20" xfId="0" applyNumberFormat="1" applyFont="1" applyBorder="1" applyAlignment="1">
      <alignment horizontal="center" vertical="center" wrapText="1"/>
    </xf>
    <xf numFmtId="10" fontId="45" fillId="0" borderId="0" xfId="0" applyNumberFormat="1" applyFont="1" applyFill="1" applyBorder="1" applyAlignment="1">
      <alignment vertical="center" wrapText="1"/>
    </xf>
    <xf numFmtId="0" fontId="34" fillId="0" borderId="0" xfId="8" applyFont="1" applyAlignment="1">
      <alignment vertical="center" wrapText="1"/>
    </xf>
    <xf numFmtId="0" fontId="34" fillId="0" borderId="0" xfId="9" applyFont="1" applyBorder="1" applyAlignment="1">
      <alignment vertical="center" wrapText="1"/>
    </xf>
    <xf numFmtId="0" fontId="21" fillId="0" borderId="0" xfId="10" applyFont="1" applyFill="1" applyAlignment="1">
      <alignment vertical="center"/>
    </xf>
    <xf numFmtId="0" fontId="45" fillId="6" borderId="0" xfId="8" applyFont="1" applyFill="1" applyAlignment="1">
      <alignment vertical="center" wrapText="1"/>
    </xf>
    <xf numFmtId="14" fontId="45" fillId="6" borderId="20" xfId="8" applyNumberFormat="1" applyFont="1" applyFill="1" applyBorder="1" applyAlignment="1">
      <alignment horizontal="center" vertical="center"/>
    </xf>
    <xf numFmtId="172" fontId="45" fillId="6" borderId="43" xfId="6" applyNumberFormat="1" applyFont="1" applyFill="1" applyBorder="1" applyAlignment="1">
      <alignment horizontal="center" vertical="center" wrapText="1"/>
    </xf>
    <xf numFmtId="0" fontId="39" fillId="0" borderId="0" xfId="14" applyFont="1" applyFill="1" applyAlignment="1">
      <alignment horizontal="center" vertical="center" wrapText="1"/>
    </xf>
    <xf numFmtId="0" fontId="28" fillId="0" borderId="3" xfId="0" applyFont="1" applyFill="1" applyBorder="1" applyAlignment="1">
      <alignment vertical="center" wrapText="1"/>
    </xf>
    <xf numFmtId="170" fontId="28" fillId="0" borderId="0" xfId="0" applyNumberFormat="1" applyFont="1" applyAlignment="1">
      <alignment vertical="center"/>
    </xf>
    <xf numFmtId="0" fontId="34" fillId="0" borderId="0" xfId="14" applyFont="1" applyFill="1" applyBorder="1" applyAlignment="1">
      <alignment horizontal="center" vertical="center"/>
    </xf>
    <xf numFmtId="0" fontId="52" fillId="0" borderId="3" xfId="14" applyFont="1" applyFill="1" applyBorder="1" applyAlignment="1">
      <alignment horizontal="center" vertical="center" wrapText="1"/>
    </xf>
    <xf numFmtId="1" fontId="27" fillId="0" borderId="3" xfId="6" applyNumberFormat="1" applyFont="1" applyFill="1" applyBorder="1" applyAlignment="1">
      <alignment horizontal="center" vertical="center" wrapText="1"/>
    </xf>
    <xf numFmtId="172" fontId="27" fillId="0" borderId="3" xfId="6" applyNumberFormat="1" applyFont="1" applyFill="1" applyBorder="1" applyAlignment="1">
      <alignment horizontal="center" vertical="center" wrapText="1"/>
    </xf>
    <xf numFmtId="165" fontId="27" fillId="0" borderId="4" xfId="6" applyFont="1" applyFill="1" applyBorder="1" applyAlignment="1">
      <alignment horizontal="center" vertical="center" wrapText="1"/>
    </xf>
    <xf numFmtId="165" fontId="27" fillId="0" borderId="3" xfId="6" applyFont="1" applyFill="1" applyBorder="1" applyAlignment="1">
      <alignment horizontal="center" vertical="center" wrapText="1"/>
    </xf>
    <xf numFmtId="165" fontId="52" fillId="0" borderId="3" xfId="14" applyNumberFormat="1" applyFont="1" applyFill="1" applyBorder="1" applyAlignment="1">
      <alignment vertical="center" wrapText="1"/>
    </xf>
    <xf numFmtId="164" fontId="52" fillId="0" borderId="3" xfId="14" applyNumberFormat="1" applyFont="1" applyFill="1" applyBorder="1" applyAlignment="1">
      <alignment vertical="center" wrapText="1"/>
    </xf>
    <xf numFmtId="0" fontId="34" fillId="0" borderId="3" xfId="14" applyFont="1" applyFill="1" applyBorder="1" applyAlignment="1">
      <alignment horizontal="center" vertical="center" wrapText="1"/>
    </xf>
    <xf numFmtId="165" fontId="34" fillId="0" borderId="3" xfId="14" applyNumberFormat="1" applyFont="1" applyFill="1" applyBorder="1" applyAlignment="1">
      <alignment vertical="center" wrapText="1"/>
    </xf>
    <xf numFmtId="164" fontId="34" fillId="0" borderId="3" xfId="14" applyNumberFormat="1" applyFont="1" applyFill="1" applyBorder="1" applyAlignment="1">
      <alignment vertical="center" wrapText="1"/>
    </xf>
    <xf numFmtId="0" fontId="5" fillId="0" borderId="0" xfId="8" applyFont="1" applyFill="1" applyAlignment="1">
      <alignment vertical="center"/>
    </xf>
    <xf numFmtId="172" fontId="36" fillId="7" borderId="43" xfId="6" applyNumberFormat="1" applyFont="1" applyFill="1" applyBorder="1" applyAlignment="1">
      <alignment horizontal="center" vertical="center" wrapText="1"/>
    </xf>
    <xf numFmtId="172" fontId="35" fillId="7" borderId="41" xfId="8" applyNumberFormat="1" applyFont="1" applyFill="1" applyBorder="1" applyAlignment="1">
      <alignment horizontal="center" vertical="center" wrapText="1"/>
    </xf>
    <xf numFmtId="0" fontId="60" fillId="0" borderId="0" xfId="14" applyFont="1" applyAlignment="1">
      <alignment horizontal="center" vertical="center" wrapText="1"/>
    </xf>
    <xf numFmtId="167" fontId="33" fillId="0" borderId="0" xfId="4" applyFont="1" applyAlignment="1">
      <alignment horizontal="center" vertical="center" wrapText="1"/>
    </xf>
    <xf numFmtId="167" fontId="33" fillId="0" borderId="0" xfId="4" applyFont="1" applyAlignment="1">
      <alignment vertical="center"/>
    </xf>
    <xf numFmtId="167" fontId="33" fillId="0" borderId="0" xfId="4" applyFont="1" applyBorder="1" applyAlignment="1">
      <alignment vertical="center"/>
    </xf>
    <xf numFmtId="0" fontId="33" fillId="0" borderId="0" xfId="14" applyFont="1" applyBorder="1" applyAlignment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43" fontId="33" fillId="0" borderId="0" xfId="0" applyNumberFormat="1" applyFont="1" applyAlignment="1"/>
    <xf numFmtId="43" fontId="28" fillId="0" borderId="0" xfId="0" applyNumberFormat="1" applyFont="1" applyFill="1" applyAlignment="1">
      <alignment horizontal="center" vertical="center"/>
    </xf>
    <xf numFmtId="0" fontId="28" fillId="10" borderId="0" xfId="0" applyFont="1" applyFill="1" applyAlignment="1"/>
    <xf numFmtId="43" fontId="28" fillId="0" borderId="0" xfId="0" applyNumberFormat="1" applyFont="1" applyAlignment="1"/>
    <xf numFmtId="175" fontId="3" fillId="0" borderId="0" xfId="8" applyNumberFormat="1" applyFont="1" applyAlignment="1">
      <alignment vertical="center"/>
    </xf>
    <xf numFmtId="0" fontId="1" fillId="0" borderId="0" xfId="8" applyFont="1" applyAlignment="1">
      <alignment vertical="center"/>
    </xf>
    <xf numFmtId="167" fontId="3" fillId="0" borderId="0" xfId="4" applyFont="1" applyAlignment="1">
      <alignment vertical="center"/>
    </xf>
    <xf numFmtId="43" fontId="3" fillId="0" borderId="0" xfId="8" applyNumberFormat="1" applyFont="1" applyAlignment="1">
      <alignment vertical="center"/>
    </xf>
    <xf numFmtId="0" fontId="68" fillId="0" borderId="3" xfId="0" applyFont="1" applyBorder="1" applyAlignment="1">
      <alignment horizontal="center" vertical="center" wrapText="1"/>
    </xf>
    <xf numFmtId="0" fontId="68" fillId="0" borderId="44" xfId="0" applyFont="1" applyFill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44" xfId="0" applyFont="1" applyFill="1" applyBorder="1" applyAlignment="1">
      <alignment horizontal="center" vertical="center" wrapText="1"/>
    </xf>
    <xf numFmtId="0" fontId="69" fillId="0" borderId="46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right" vertical="center" wrapText="1"/>
    </xf>
    <xf numFmtId="0" fontId="68" fillId="0" borderId="19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right" vertical="center" wrapText="1"/>
    </xf>
    <xf numFmtId="0" fontId="68" fillId="8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vertical="center" wrapText="1"/>
    </xf>
    <xf numFmtId="8" fontId="68" fillId="8" borderId="3" xfId="0" applyNumberFormat="1" applyFont="1" applyFill="1" applyBorder="1" applyAlignment="1">
      <alignment horizontal="right" vertical="center" wrapText="1"/>
    </xf>
    <xf numFmtId="175" fontId="68" fillId="8" borderId="30" xfId="0" applyNumberFormat="1" applyFont="1" applyFill="1" applyBorder="1" applyAlignment="1">
      <alignment horizontal="right" vertical="center" wrapText="1"/>
    </xf>
    <xf numFmtId="0" fontId="68" fillId="0" borderId="0" xfId="0" applyFont="1" applyFill="1" applyBorder="1" applyAlignment="1">
      <alignment horizontal="right" vertical="center" wrapText="1"/>
    </xf>
    <xf numFmtId="175" fontId="68" fillId="0" borderId="0" xfId="0" applyNumberFormat="1" applyFont="1" applyFill="1" applyBorder="1" applyAlignment="1">
      <alignment horizontal="right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175" fontId="66" fillId="0" borderId="3" xfId="0" applyNumberFormat="1" applyFont="1" applyBorder="1" applyAlignment="1">
      <alignment horizontal="right" vertical="center" wrapText="1"/>
    </xf>
    <xf numFmtId="175" fontId="66" fillId="0" borderId="3" xfId="27" applyNumberFormat="1" applyFont="1" applyBorder="1" applyAlignment="1">
      <alignment horizontal="right" vertical="center" wrapText="1"/>
    </xf>
    <xf numFmtId="0" fontId="70" fillId="0" borderId="19" xfId="0" applyFont="1" applyBorder="1" applyAlignment="1">
      <alignment horizontal="center" vertical="center" wrapText="1"/>
    </xf>
    <xf numFmtId="175" fontId="69" fillId="0" borderId="3" xfId="0" applyNumberFormat="1" applyFont="1" applyBorder="1" applyAlignment="1">
      <alignment horizontal="right" vertical="center" wrapText="1"/>
    </xf>
    <xf numFmtId="8" fontId="69" fillId="0" borderId="3" xfId="0" applyNumberFormat="1" applyFont="1" applyBorder="1" applyAlignment="1">
      <alignment horizontal="right" vertical="center" wrapText="1"/>
    </xf>
    <xf numFmtId="0" fontId="68" fillId="0" borderId="3" xfId="0" applyFont="1" applyBorder="1" applyAlignment="1">
      <alignment horizontal="right" vertical="center" wrapText="1"/>
    </xf>
    <xf numFmtId="0" fontId="73" fillId="8" borderId="29" xfId="0" applyFont="1" applyFill="1" applyBorder="1" applyAlignment="1">
      <alignment horizontal="center" vertical="center" wrapText="1"/>
    </xf>
    <xf numFmtId="8" fontId="73" fillId="8" borderId="3" xfId="0" applyNumberFormat="1" applyFont="1" applyFill="1" applyBorder="1" applyAlignment="1">
      <alignment horizontal="right" vertical="center" wrapText="1"/>
    </xf>
    <xf numFmtId="8" fontId="73" fillId="8" borderId="29" xfId="0" applyNumberFormat="1" applyFont="1" applyFill="1" applyBorder="1" applyAlignment="1">
      <alignment horizontal="center" vertical="center" wrapText="1"/>
    </xf>
    <xf numFmtId="9" fontId="73" fillId="8" borderId="3" xfId="0" applyNumberFormat="1" applyFont="1" applyFill="1" applyBorder="1" applyAlignment="1">
      <alignment horizontal="left" vertical="center" wrapText="1"/>
    </xf>
    <xf numFmtId="10" fontId="65" fillId="8" borderId="3" xfId="0" applyNumberFormat="1" applyFont="1" applyFill="1" applyBorder="1" applyAlignment="1">
      <alignment horizontal="right" vertical="center" wrapText="1"/>
    </xf>
    <xf numFmtId="8" fontId="74" fillId="8" borderId="3" xfId="0" applyNumberFormat="1" applyFont="1" applyFill="1" applyBorder="1" applyAlignment="1">
      <alignment horizontal="right" vertical="center" wrapText="1"/>
    </xf>
    <xf numFmtId="175" fontId="73" fillId="8" borderId="3" xfId="0" applyNumberFormat="1" applyFont="1" applyFill="1" applyBorder="1" applyAlignment="1">
      <alignment horizontal="right" vertical="center" wrapText="1"/>
    </xf>
    <xf numFmtId="10" fontId="73" fillId="8" borderId="3" xfId="0" applyNumberFormat="1" applyFont="1" applyFill="1" applyBorder="1" applyAlignment="1">
      <alignment horizontal="right" vertical="center" wrapText="1"/>
    </xf>
    <xf numFmtId="8" fontId="65" fillId="7" borderId="30" xfId="0" applyNumberFormat="1" applyFont="1" applyFill="1" applyBorder="1"/>
    <xf numFmtId="0" fontId="72" fillId="0" borderId="30" xfId="0" applyFont="1" applyBorder="1" applyAlignment="1">
      <alignment horizontal="right" vertical="center"/>
    </xf>
    <xf numFmtId="0" fontId="32" fillId="0" borderId="44" xfId="0" applyFont="1" applyBorder="1" applyAlignment="1">
      <alignment horizontal="center" vertical="center"/>
    </xf>
    <xf numFmtId="8" fontId="68" fillId="0" borderId="0" xfId="0" applyNumberFormat="1" applyFont="1" applyBorder="1" applyAlignment="1">
      <alignment horizontal="right" vertical="center" wrapText="1"/>
    </xf>
    <xf numFmtId="0" fontId="1" fillId="0" borderId="0" xfId="0" applyFont="1"/>
    <xf numFmtId="10" fontId="68" fillId="0" borderId="0" xfId="0" applyNumberFormat="1" applyFont="1" applyFill="1" applyBorder="1" applyAlignment="1">
      <alignment horizontal="center" vertical="center" wrapText="1"/>
    </xf>
    <xf numFmtId="0" fontId="76" fillId="0" borderId="77" xfId="0" applyFont="1" applyBorder="1" applyAlignment="1">
      <alignment horizontal="center" vertical="center" wrapText="1"/>
    </xf>
    <xf numFmtId="0" fontId="77" fillId="0" borderId="77" xfId="0" applyFont="1" applyBorder="1" applyAlignment="1">
      <alignment horizontal="center" vertical="center" wrapText="1"/>
    </xf>
    <xf numFmtId="0" fontId="77" fillId="0" borderId="78" xfId="0" applyFont="1" applyBorder="1" applyAlignment="1">
      <alignment horizontal="center" vertical="center" wrapText="1"/>
    </xf>
    <xf numFmtId="0" fontId="1" fillId="0" borderId="52" xfId="0" applyFont="1" applyBorder="1"/>
    <xf numFmtId="0" fontId="77" fillId="0" borderId="80" xfId="0" applyFont="1" applyBorder="1" applyAlignment="1">
      <alignment horizontal="center" vertical="center" wrapText="1"/>
    </xf>
    <xf numFmtId="0" fontId="77" fillId="0" borderId="84" xfId="0" applyFont="1" applyBorder="1" applyAlignment="1">
      <alignment horizontal="center" vertical="center" wrapText="1"/>
    </xf>
    <xf numFmtId="0" fontId="76" fillId="0" borderId="84" xfId="0" applyFont="1" applyBorder="1" applyAlignment="1">
      <alignment horizontal="center" vertical="center" wrapText="1"/>
    </xf>
    <xf numFmtId="175" fontId="67" fillId="0" borderId="3" xfId="0" applyNumberFormat="1" applyFont="1" applyBorder="1" applyAlignment="1">
      <alignment horizontal="right" vertical="center" wrapText="1"/>
    </xf>
    <xf numFmtId="4" fontId="68" fillId="0" borderId="3" xfId="0" applyNumberFormat="1" applyFont="1" applyBorder="1" applyAlignment="1">
      <alignment horizontal="right" vertical="center" wrapText="1"/>
    </xf>
    <xf numFmtId="0" fontId="78" fillId="0" borderId="0" xfId="8" applyFont="1" applyAlignment="1">
      <alignment vertical="center"/>
    </xf>
    <xf numFmtId="0" fontId="62" fillId="0" borderId="0" xfId="8" applyFont="1" applyFill="1" applyAlignment="1">
      <alignment horizontal="center" vertical="center"/>
    </xf>
    <xf numFmtId="0" fontId="63" fillId="0" borderId="3" xfId="10" applyFont="1" applyFill="1" applyBorder="1" applyAlignment="1">
      <alignment horizontal="center" vertical="center" wrapText="1"/>
    </xf>
    <xf numFmtId="0" fontId="80" fillId="0" borderId="0" xfId="8" applyFont="1" applyAlignment="1">
      <alignment vertical="center"/>
    </xf>
    <xf numFmtId="0" fontId="63" fillId="0" borderId="43" xfId="8" quotePrefix="1" applyFont="1" applyFill="1" applyBorder="1" applyAlignment="1">
      <alignment horizontal="center" vertical="center" wrapText="1"/>
    </xf>
    <xf numFmtId="0" fontId="63" fillId="0" borderId="43" xfId="10" applyFont="1" applyFill="1" applyBorder="1" applyAlignment="1">
      <alignment horizontal="center" vertical="center" wrapText="1"/>
    </xf>
    <xf numFmtId="172" fontId="63" fillId="0" borderId="3" xfId="8" applyNumberFormat="1" applyFont="1" applyFill="1" applyBorder="1" applyAlignment="1">
      <alignment horizontal="center" vertical="center"/>
    </xf>
    <xf numFmtId="167" fontId="61" fillId="0" borderId="3" xfId="4" applyFont="1" applyFill="1" applyBorder="1" applyAlignment="1">
      <alignment horizontal="center" vertical="center"/>
    </xf>
    <xf numFmtId="172" fontId="61" fillId="0" borderId="3" xfId="8" applyNumberFormat="1" applyFont="1" applyFill="1" applyBorder="1" applyAlignment="1">
      <alignment horizontal="center" vertical="center"/>
    </xf>
    <xf numFmtId="165" fontId="61" fillId="0" borderId="3" xfId="6" applyFont="1" applyFill="1" applyBorder="1" applyAlignment="1">
      <alignment horizontal="center" vertical="center"/>
    </xf>
    <xf numFmtId="0" fontId="80" fillId="0" borderId="0" xfId="8" applyFont="1" applyAlignment="1">
      <alignment vertical="center" wrapText="1"/>
    </xf>
    <xf numFmtId="0" fontId="63" fillId="0" borderId="4" xfId="8" applyFont="1" applyFill="1" applyBorder="1" applyAlignment="1">
      <alignment vertical="center"/>
    </xf>
    <xf numFmtId="165" fontId="63" fillId="0" borderId="3" xfId="8" applyNumberFormat="1" applyFont="1" applyFill="1" applyBorder="1" applyAlignment="1">
      <alignment horizontal="center" vertical="center"/>
    </xf>
    <xf numFmtId="0" fontId="63" fillId="0" borderId="6" xfId="8" applyFont="1" applyFill="1" applyBorder="1" applyAlignment="1">
      <alignment horizontal="center" vertical="center"/>
    </xf>
    <xf numFmtId="165" fontId="63" fillId="0" borderId="6" xfId="8" applyNumberFormat="1" applyFont="1" applyFill="1" applyBorder="1" applyAlignment="1">
      <alignment horizontal="center" vertical="center"/>
    </xf>
    <xf numFmtId="0" fontId="78" fillId="0" borderId="0" xfId="8" applyFont="1" applyFill="1" applyAlignment="1">
      <alignment vertical="center"/>
    </xf>
    <xf numFmtId="165" fontId="61" fillId="0" borderId="3" xfId="8" applyNumberFormat="1" applyFont="1" applyFill="1" applyBorder="1" applyAlignment="1">
      <alignment horizontal="center" vertical="center" wrapText="1"/>
    </xf>
    <xf numFmtId="172" fontId="61" fillId="0" borderId="3" xfId="8" applyNumberFormat="1" applyFont="1" applyFill="1" applyBorder="1" applyAlignment="1">
      <alignment horizontal="center" vertical="center" wrapText="1"/>
    </xf>
    <xf numFmtId="0" fontId="63" fillId="0" borderId="3" xfId="10" applyFont="1" applyFill="1" applyBorder="1" applyAlignment="1">
      <alignment horizontal="center" vertical="center"/>
    </xf>
    <xf numFmtId="172" fontId="81" fillId="7" borderId="3" xfId="8" applyNumberFormat="1" applyFont="1" applyFill="1" applyBorder="1" applyAlignment="1">
      <alignment horizontal="center" vertical="center"/>
    </xf>
    <xf numFmtId="0" fontId="63" fillId="0" borderId="54" xfId="8" applyFont="1" applyFill="1" applyBorder="1" applyAlignment="1">
      <alignment horizontal="left" vertical="center"/>
    </xf>
    <xf numFmtId="0" fontId="63" fillId="0" borderId="6" xfId="8" applyFont="1" applyFill="1" applyBorder="1" applyAlignment="1">
      <alignment horizontal="left" vertical="center"/>
    </xf>
    <xf numFmtId="0" fontId="61" fillId="0" borderId="0" xfId="8" applyFont="1" applyFill="1" applyAlignment="1">
      <alignment vertical="center"/>
    </xf>
    <xf numFmtId="175" fontId="78" fillId="0" borderId="0" xfId="8" applyNumberFormat="1" applyFont="1" applyAlignment="1">
      <alignment vertical="center"/>
    </xf>
    <xf numFmtId="167" fontId="78" fillId="0" borderId="0" xfId="4" applyFont="1" applyAlignment="1">
      <alignment vertical="center"/>
    </xf>
    <xf numFmtId="0" fontId="63" fillId="12" borderId="0" xfId="8" applyFont="1" applyFill="1" applyAlignment="1">
      <alignment vertical="center"/>
    </xf>
    <xf numFmtId="0" fontId="61" fillId="12" borderId="0" xfId="8" applyFont="1" applyFill="1" applyAlignment="1">
      <alignment vertical="center"/>
    </xf>
    <xf numFmtId="0" fontId="82" fillId="0" borderId="3" xfId="8" applyFont="1" applyFill="1" applyBorder="1" applyAlignment="1">
      <alignment vertical="center" wrapText="1"/>
    </xf>
    <xf numFmtId="172" fontId="83" fillId="0" borderId="3" xfId="8" applyNumberFormat="1" applyFont="1" applyFill="1" applyBorder="1" applyAlignment="1">
      <alignment vertical="center"/>
    </xf>
    <xf numFmtId="167" fontId="83" fillId="0" borderId="3" xfId="8" applyNumberFormat="1" applyFont="1" applyFill="1" applyBorder="1" applyAlignment="1">
      <alignment vertical="center"/>
    </xf>
    <xf numFmtId="165" fontId="83" fillId="0" borderId="3" xfId="8" applyNumberFormat="1" applyFont="1" applyFill="1" applyBorder="1" applyAlignment="1">
      <alignment vertical="center"/>
    </xf>
    <xf numFmtId="167" fontId="83" fillId="0" borderId="3" xfId="8" applyNumberFormat="1" applyFont="1" applyBorder="1" applyAlignment="1">
      <alignment vertical="center"/>
    </xf>
    <xf numFmtId="165" fontId="83" fillId="0" borderId="3" xfId="8" applyNumberFormat="1" applyFont="1" applyBorder="1" applyAlignment="1">
      <alignment vertical="center"/>
    </xf>
    <xf numFmtId="172" fontId="83" fillId="0" borderId="3" xfId="8" applyNumberFormat="1" applyFont="1" applyBorder="1" applyAlignment="1">
      <alignment vertical="center"/>
    </xf>
    <xf numFmtId="165" fontId="82" fillId="0" borderId="3" xfId="8" applyNumberFormat="1" applyFont="1" applyFill="1" applyBorder="1" applyAlignment="1">
      <alignment vertical="center"/>
    </xf>
    <xf numFmtId="44" fontId="83" fillId="0" borderId="3" xfId="8" applyNumberFormat="1" applyFont="1" applyBorder="1" applyAlignment="1">
      <alignment vertical="center"/>
    </xf>
    <xf numFmtId="165" fontId="82" fillId="0" borderId="3" xfId="8" applyNumberFormat="1" applyFont="1" applyBorder="1" applyAlignment="1">
      <alignment vertical="center"/>
    </xf>
    <xf numFmtId="44" fontId="82" fillId="0" borderId="3" xfId="8" applyNumberFormat="1" applyFont="1" applyBorder="1" applyAlignment="1">
      <alignment vertic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67" fillId="0" borderId="0" xfId="1" applyFont="1" applyFill="1" applyAlignment="1">
      <alignment vertical="center"/>
    </xf>
    <xf numFmtId="0" fontId="66" fillId="0" borderId="0" xfId="1" applyFont="1" applyFill="1" applyAlignment="1">
      <alignment vertical="center"/>
    </xf>
    <xf numFmtId="0" fontId="66" fillId="0" borderId="0" xfId="1" applyFont="1" applyFill="1" applyAlignment="1">
      <alignment horizontal="left" vertical="center"/>
    </xf>
    <xf numFmtId="0" fontId="66" fillId="0" borderId="0" xfId="1" applyFont="1" applyFill="1" applyAlignment="1">
      <alignment horizontal="justify" vertical="center"/>
    </xf>
    <xf numFmtId="172" fontId="67" fillId="5" borderId="3" xfId="1" applyNumberFormat="1" applyFont="1" applyFill="1" applyBorder="1" applyAlignment="1">
      <alignment horizontal="center" vertical="center"/>
    </xf>
    <xf numFmtId="167" fontId="67" fillId="5" borderId="3" xfId="1" quotePrefix="1" applyNumberFormat="1" applyFont="1" applyFill="1" applyBorder="1" applyAlignment="1">
      <alignment horizontal="center" vertical="center"/>
    </xf>
    <xf numFmtId="167" fontId="67" fillId="5" borderId="3" xfId="1" applyNumberFormat="1" applyFont="1" applyFill="1" applyBorder="1" applyAlignment="1">
      <alignment horizontal="center" vertical="center"/>
    </xf>
    <xf numFmtId="165" fontId="67" fillId="5" borderId="3" xfId="1" applyNumberFormat="1" applyFont="1" applyFill="1" applyBorder="1" applyAlignment="1">
      <alignment vertical="center"/>
    </xf>
    <xf numFmtId="0" fontId="65" fillId="5" borderId="53" xfId="1" applyFont="1" applyFill="1" applyBorder="1" applyAlignment="1">
      <alignment horizontal="center" vertical="center" wrapText="1"/>
    </xf>
    <xf numFmtId="0" fontId="65" fillId="5" borderId="43" xfId="1" quotePrefix="1" applyFont="1" applyFill="1" applyBorder="1" applyAlignment="1">
      <alignment horizontal="center" vertical="center" wrapText="1"/>
    </xf>
    <xf numFmtId="0" fontId="65" fillId="5" borderId="43" xfId="1" applyFont="1" applyFill="1" applyBorder="1" applyAlignment="1">
      <alignment horizontal="center" vertical="center" wrapText="1"/>
    </xf>
    <xf numFmtId="0" fontId="84" fillId="0" borderId="3" xfId="1" applyFont="1" applyFill="1" applyBorder="1" applyAlignment="1">
      <alignment horizontal="center" vertical="center"/>
    </xf>
    <xf numFmtId="172" fontId="84" fillId="0" borderId="3" xfId="1" applyNumberFormat="1" applyFont="1" applyFill="1" applyBorder="1" applyAlignment="1">
      <alignment horizontal="center" vertical="center"/>
    </xf>
    <xf numFmtId="167" fontId="84" fillId="0" borderId="3" xfId="1" applyNumberFormat="1" applyFont="1" applyFill="1" applyBorder="1" applyAlignment="1">
      <alignment horizontal="center" vertical="center"/>
    </xf>
    <xf numFmtId="165" fontId="84" fillId="0" borderId="3" xfId="1" applyNumberFormat="1" applyFont="1" applyFill="1" applyBorder="1" applyAlignment="1">
      <alignment vertical="center"/>
    </xf>
    <xf numFmtId="0" fontId="85" fillId="0" borderId="0" xfId="1" applyFont="1" applyFill="1" applyAlignment="1">
      <alignment vertical="center"/>
    </xf>
    <xf numFmtId="0" fontId="85" fillId="0" borderId="0" xfId="1" applyFont="1" applyFill="1" applyAlignment="1">
      <alignment horizontal="left" vertical="center"/>
    </xf>
    <xf numFmtId="0" fontId="85" fillId="0" borderId="0" xfId="1" applyFont="1" applyFill="1" applyAlignment="1">
      <alignment horizontal="justify" vertical="center"/>
    </xf>
    <xf numFmtId="0" fontId="85" fillId="0" borderId="0" xfId="1" applyFont="1" applyFill="1" applyAlignment="1"/>
    <xf numFmtId="0" fontId="85" fillId="0" borderId="0" xfId="1" applyFont="1" applyFill="1"/>
    <xf numFmtId="0" fontId="85" fillId="0" borderId="0" xfId="1" applyFont="1" applyFill="1" applyAlignment="1" applyProtection="1">
      <alignment vertical="center"/>
    </xf>
    <xf numFmtId="0" fontId="85" fillId="0" borderId="0" xfId="1" applyFont="1" applyFill="1" applyAlignment="1">
      <alignment horizontal="justify" vertical="center" wrapText="1"/>
    </xf>
    <xf numFmtId="0" fontId="86" fillId="0" borderId="0" xfId="1" applyFont="1" applyFill="1" applyAlignment="1">
      <alignment vertical="center"/>
    </xf>
    <xf numFmtId="0" fontId="86" fillId="0" borderId="0" xfId="1" applyFont="1" applyFill="1" applyAlignment="1">
      <alignment horizontal="center" vertical="center"/>
    </xf>
    <xf numFmtId="0" fontId="86" fillId="0" borderId="0" xfId="1" applyFont="1" applyFill="1" applyAlignment="1">
      <alignment horizontal="left" vertical="center"/>
    </xf>
    <xf numFmtId="0" fontId="87" fillId="0" borderId="0" xfId="1" applyFont="1" applyFill="1" applyAlignment="1">
      <alignment vertical="center"/>
    </xf>
    <xf numFmtId="0" fontId="29" fillId="0" borderId="8" xfId="0" applyFont="1" applyFill="1" applyBorder="1" applyAlignment="1">
      <alignment vertical="center"/>
    </xf>
    <xf numFmtId="0" fontId="28" fillId="0" borderId="8" xfId="0" applyFont="1" applyFill="1" applyBorder="1" applyAlignment="1"/>
    <xf numFmtId="0" fontId="28" fillId="0" borderId="8" xfId="0" applyFont="1" applyFill="1" applyBorder="1" applyAlignment="1" applyProtection="1">
      <alignment vertical="center" wrapText="1"/>
      <protection locked="0"/>
    </xf>
    <xf numFmtId="0" fontId="28" fillId="0" borderId="8" xfId="0" applyFont="1" applyBorder="1" applyAlignment="1"/>
    <xf numFmtId="0" fontId="28" fillId="0" borderId="65" xfId="0" applyFont="1" applyFill="1" applyBorder="1" applyAlignment="1"/>
    <xf numFmtId="173" fontId="86" fillId="0" borderId="0" xfId="1" applyNumberFormat="1" applyFont="1" applyFill="1" applyAlignment="1">
      <alignment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vertical="center"/>
    </xf>
    <xf numFmtId="10" fontId="28" fillId="0" borderId="4" xfId="0" applyNumberFormat="1" applyFont="1" applyFill="1" applyBorder="1" applyAlignment="1">
      <alignment horizontal="center" vertical="center" wrapText="1"/>
    </xf>
    <xf numFmtId="10" fontId="28" fillId="0" borderId="4" xfId="0" applyNumberFormat="1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vertical="center" wrapText="1"/>
    </xf>
    <xf numFmtId="167" fontId="54" fillId="0" borderId="4" xfId="4" applyFont="1" applyFill="1" applyBorder="1" applyAlignment="1">
      <alignment horizontal="center" vertical="center"/>
    </xf>
    <xf numFmtId="10" fontId="28" fillId="0" borderId="4" xfId="0" applyNumberFormat="1" applyFont="1" applyFill="1" applyBorder="1" applyAlignment="1" applyProtection="1">
      <alignment horizontal="center" vertical="center"/>
    </xf>
    <xf numFmtId="167" fontId="54" fillId="10" borderId="4" xfId="4" applyFont="1" applyFill="1" applyBorder="1" applyAlignment="1">
      <alignment horizontal="center" vertical="center"/>
    </xf>
    <xf numFmtId="167" fontId="29" fillId="0" borderId="4" xfId="0" applyNumberFormat="1" applyFont="1" applyFill="1" applyBorder="1" applyAlignment="1">
      <alignment horizontal="center" vertical="center" wrapText="1"/>
    </xf>
    <xf numFmtId="167" fontId="28" fillId="0" borderId="4" xfId="0" applyNumberFormat="1" applyFont="1" applyFill="1" applyBorder="1" applyAlignment="1">
      <alignment horizontal="center" vertical="center" wrapText="1"/>
    </xf>
    <xf numFmtId="167" fontId="28" fillId="0" borderId="4" xfId="0" applyNumberFormat="1" applyFont="1" applyFill="1" applyBorder="1" applyAlignment="1" applyProtection="1">
      <alignment horizontal="center" vertical="center"/>
      <protection locked="0"/>
    </xf>
    <xf numFmtId="167" fontId="29" fillId="0" borderId="4" xfId="0" applyNumberFormat="1" applyFont="1" applyFill="1" applyBorder="1" applyAlignment="1">
      <alignment horizontal="center" vertical="center"/>
    </xf>
    <xf numFmtId="10" fontId="28" fillId="0" borderId="4" xfId="0" applyNumberFormat="1" applyFont="1" applyFill="1" applyBorder="1" applyAlignment="1" applyProtection="1">
      <alignment horizontal="center" vertical="center" wrapText="1"/>
    </xf>
    <xf numFmtId="10" fontId="29" fillId="0" borderId="4" xfId="0" applyNumberFormat="1" applyFont="1" applyFill="1" applyBorder="1" applyAlignment="1">
      <alignment horizontal="center" vertical="center" wrapText="1"/>
    </xf>
    <xf numFmtId="10" fontId="28" fillId="6" borderId="4" xfId="0" applyNumberFormat="1" applyFont="1" applyFill="1" applyBorder="1" applyAlignment="1" applyProtection="1">
      <alignment horizontal="center" vertical="center" wrapText="1"/>
    </xf>
    <xf numFmtId="167" fontId="29" fillId="0" borderId="4" xfId="4" applyFont="1" applyFill="1" applyBorder="1" applyAlignment="1">
      <alignment horizontal="center" vertical="center" wrapText="1"/>
    </xf>
    <xf numFmtId="167" fontId="58" fillId="8" borderId="4" xfId="0" applyNumberFormat="1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55" fillId="0" borderId="44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167" fontId="29" fillId="0" borderId="44" xfId="0" applyNumberFormat="1" applyFont="1" applyFill="1" applyBorder="1" applyAlignment="1" applyProtection="1">
      <alignment horizontal="left" vertical="center"/>
    </xf>
    <xf numFmtId="167" fontId="28" fillId="0" borderId="44" xfId="0" applyNumberFormat="1" applyFont="1" applyFill="1" applyBorder="1" applyAlignment="1" applyProtection="1">
      <alignment horizontal="left" vertical="center"/>
    </xf>
    <xf numFmtId="167" fontId="28" fillId="0" borderId="44" xfId="0" applyNumberFormat="1" applyFont="1" applyFill="1" applyBorder="1" applyAlignment="1" applyProtection="1">
      <alignment horizontal="left" vertical="center"/>
      <protection locked="0"/>
    </xf>
    <xf numFmtId="10" fontId="29" fillId="0" borderId="46" xfId="0" applyNumberFormat="1" applyFont="1" applyFill="1" applyBorder="1" applyAlignment="1">
      <alignment horizontal="left" vertical="center"/>
    </xf>
    <xf numFmtId="167" fontId="28" fillId="0" borderId="44" xfId="0" applyNumberFormat="1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 applyProtection="1">
      <alignment horizontal="center" vertical="center"/>
      <protection locked="0"/>
    </xf>
    <xf numFmtId="167" fontId="28" fillId="0" borderId="44" xfId="0" applyNumberFormat="1" applyFont="1" applyFill="1" applyBorder="1" applyAlignment="1">
      <alignment horizontal="center" vertical="center"/>
    </xf>
    <xf numFmtId="167" fontId="28" fillId="10" borderId="44" xfId="0" applyNumberFormat="1" applyFont="1" applyFill="1" applyBorder="1" applyAlignment="1" applyProtection="1">
      <alignment horizontal="center" vertical="center"/>
      <protection locked="0"/>
    </xf>
    <xf numFmtId="167" fontId="29" fillId="0" borderId="44" xfId="0" applyNumberFormat="1" applyFont="1" applyFill="1" applyBorder="1" applyAlignment="1">
      <alignment horizontal="center" vertical="center" wrapText="1"/>
    </xf>
    <xf numFmtId="167" fontId="29" fillId="0" borderId="44" xfId="0" applyNumberFormat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vertical="center"/>
    </xf>
    <xf numFmtId="0" fontId="42" fillId="0" borderId="46" xfId="0" applyFont="1" applyFill="1" applyBorder="1" applyAlignment="1">
      <alignment horizontal="left" vertical="center" wrapText="1"/>
    </xf>
    <xf numFmtId="0" fontId="29" fillId="0" borderId="46" xfId="0" applyFont="1" applyFill="1" applyBorder="1" applyAlignment="1">
      <alignment horizontal="left" vertical="center" wrapText="1"/>
    </xf>
    <xf numFmtId="0" fontId="42" fillId="0" borderId="46" xfId="0" applyFont="1" applyFill="1" applyBorder="1" applyAlignment="1">
      <alignment vertical="center" wrapText="1"/>
    </xf>
    <xf numFmtId="167" fontId="28" fillId="0" borderId="44" xfId="4" applyFont="1" applyFill="1" applyBorder="1" applyAlignment="1">
      <alignment horizontal="center" vertical="center"/>
    </xf>
    <xf numFmtId="167" fontId="28" fillId="0" borderId="44" xfId="4" applyFont="1" applyFill="1" applyBorder="1" applyAlignment="1">
      <alignment horizontal="right" vertical="center"/>
    </xf>
    <xf numFmtId="167" fontId="28" fillId="0" borderId="44" xfId="4" applyFont="1" applyFill="1" applyBorder="1" applyAlignment="1">
      <alignment horizontal="center" vertical="center" wrapText="1"/>
    </xf>
    <xf numFmtId="167" fontId="29" fillId="0" borderId="44" xfId="4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justify" vertical="center" wrapText="1"/>
    </xf>
    <xf numFmtId="0" fontId="29" fillId="0" borderId="44" xfId="0" applyFont="1" applyFill="1" applyBorder="1" applyAlignment="1">
      <alignment horizontal="center" vertical="center" wrapText="1"/>
    </xf>
    <xf numFmtId="167" fontId="58" fillId="5" borderId="20" xfId="0" applyNumberFormat="1" applyFont="1" applyFill="1" applyBorder="1" applyAlignment="1">
      <alignment horizontal="center" vertical="center" wrapText="1"/>
    </xf>
    <xf numFmtId="167" fontId="28" fillId="0" borderId="4" xfId="4" applyFont="1" applyFill="1" applyBorder="1" applyAlignment="1">
      <alignment horizontal="center" vertical="center"/>
    </xf>
    <xf numFmtId="166" fontId="28" fillId="0" borderId="4" xfId="27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vertical="center" wrapText="1"/>
    </xf>
    <xf numFmtId="0" fontId="29" fillId="0" borderId="46" xfId="0" applyFont="1" applyFill="1" applyBorder="1" applyAlignment="1">
      <alignment vertical="center"/>
    </xf>
    <xf numFmtId="0" fontId="29" fillId="0" borderId="44" xfId="0" applyFont="1" applyFill="1" applyBorder="1" applyAlignment="1">
      <alignment horizontal="left" vertical="center" wrapText="1"/>
    </xf>
    <xf numFmtId="0" fontId="29" fillId="8" borderId="46" xfId="0" applyFont="1" applyFill="1" applyBorder="1" applyAlignment="1">
      <alignment vertical="center" wrapText="1"/>
    </xf>
    <xf numFmtId="10" fontId="28" fillId="0" borderId="46" xfId="0" applyNumberFormat="1" applyFont="1" applyFill="1" applyBorder="1" applyAlignment="1">
      <alignment horizontal="center" vertical="center"/>
    </xf>
    <xf numFmtId="166" fontId="28" fillId="0" borderId="46" xfId="27" applyFont="1" applyFill="1" applyBorder="1" applyAlignment="1">
      <alignment horizontal="center" vertical="center"/>
    </xf>
    <xf numFmtId="167" fontId="28" fillId="0" borderId="46" xfId="4" applyFont="1" applyFill="1" applyBorder="1" applyAlignment="1">
      <alignment horizontal="center" vertical="center"/>
    </xf>
    <xf numFmtId="10" fontId="28" fillId="0" borderId="46" xfId="0" applyNumberFormat="1" applyFont="1" applyFill="1" applyBorder="1" applyAlignment="1" applyProtection="1">
      <alignment horizontal="center" vertical="center"/>
    </xf>
    <xf numFmtId="10" fontId="28" fillId="0" borderId="46" xfId="0" applyNumberFormat="1" applyFont="1" applyFill="1" applyBorder="1" applyAlignment="1">
      <alignment horizontal="center" vertical="center" wrapText="1"/>
    </xf>
    <xf numFmtId="10" fontId="28" fillId="0" borderId="46" xfId="0" applyNumberFormat="1" applyFont="1" applyFill="1" applyBorder="1" applyAlignment="1" applyProtection="1">
      <alignment horizontal="center" vertical="center" wrapText="1"/>
    </xf>
    <xf numFmtId="10" fontId="29" fillId="0" borderId="46" xfId="0" applyNumberFormat="1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vertical="center"/>
    </xf>
    <xf numFmtId="0" fontId="29" fillId="8" borderId="46" xfId="0" applyFont="1" applyFill="1" applyBorder="1" applyAlignment="1">
      <alignment horizontal="left" vertical="center" wrapText="1"/>
    </xf>
    <xf numFmtId="0" fontId="29" fillId="8" borderId="44" xfId="0" applyFont="1" applyFill="1" applyBorder="1" applyAlignment="1">
      <alignment horizontal="left" vertical="center" wrapText="1"/>
    </xf>
    <xf numFmtId="167" fontId="29" fillId="0" borderId="46" xfId="0" applyNumberFormat="1" applyFont="1" applyFill="1" applyBorder="1" applyAlignment="1">
      <alignment horizontal="center" vertical="center" wrapText="1"/>
    </xf>
    <xf numFmtId="167" fontId="29" fillId="0" borderId="46" xfId="0" applyNumberFormat="1" applyFont="1" applyFill="1" applyBorder="1" applyAlignment="1">
      <alignment horizontal="center" vertical="center"/>
    </xf>
    <xf numFmtId="10" fontId="28" fillId="6" borderId="46" xfId="0" applyNumberFormat="1" applyFont="1" applyFill="1" applyBorder="1" applyAlignment="1" applyProtection="1">
      <alignment horizontal="center" vertical="center" wrapText="1"/>
    </xf>
    <xf numFmtId="167" fontId="29" fillId="0" borderId="46" xfId="4" applyFont="1" applyFill="1" applyBorder="1" applyAlignment="1">
      <alignment horizontal="center" vertical="center" wrapText="1"/>
    </xf>
    <xf numFmtId="167" fontId="28" fillId="0" borderId="46" xfId="0" applyNumberFormat="1" applyFont="1" applyFill="1" applyBorder="1" applyAlignment="1">
      <alignment horizontal="center" vertical="center" wrapText="1"/>
    </xf>
    <xf numFmtId="167" fontId="58" fillId="8" borderId="19" xfId="0" applyNumberFormat="1" applyFont="1" applyFill="1" applyBorder="1" applyAlignment="1">
      <alignment horizontal="center" vertical="center" wrapText="1"/>
    </xf>
    <xf numFmtId="167" fontId="29" fillId="0" borderId="54" xfId="0" applyNumberFormat="1" applyFont="1" applyFill="1" applyBorder="1" applyAlignment="1" applyProtection="1">
      <alignment horizontal="left" vertical="center"/>
    </xf>
    <xf numFmtId="167" fontId="28" fillId="0" borderId="54" xfId="0" applyNumberFormat="1" applyFont="1" applyFill="1" applyBorder="1" applyAlignment="1" applyProtection="1">
      <alignment horizontal="left" vertical="center"/>
    </xf>
    <xf numFmtId="167" fontId="28" fillId="0" borderId="54" xfId="0" applyNumberFormat="1" applyFont="1" applyFill="1" applyBorder="1" applyAlignment="1" applyProtection="1">
      <alignment horizontal="left" vertical="center"/>
      <protection locked="0"/>
    </xf>
    <xf numFmtId="167" fontId="55" fillId="10" borderId="54" xfId="0" applyNumberFormat="1" applyFont="1" applyFill="1" applyBorder="1" applyAlignment="1" applyProtection="1">
      <alignment horizontal="left" vertical="center"/>
      <protection locked="0"/>
    </xf>
    <xf numFmtId="167" fontId="28" fillId="0" borderId="54" xfId="0" applyNumberFormat="1" applyFont="1" applyFill="1" applyBorder="1" applyAlignment="1" applyProtection="1">
      <alignment horizontal="center" vertical="center"/>
      <protection locked="0"/>
    </xf>
    <xf numFmtId="167" fontId="28" fillId="0" borderId="54" xfId="0" applyNumberFormat="1" applyFont="1" applyFill="1" applyBorder="1" applyAlignment="1">
      <alignment horizontal="center" vertical="center"/>
    </xf>
    <xf numFmtId="167" fontId="28" fillId="0" borderId="54" xfId="0" applyNumberFormat="1" applyFont="1" applyFill="1" applyBorder="1" applyAlignment="1">
      <alignment horizontal="center" vertical="center" wrapText="1"/>
    </xf>
    <xf numFmtId="167" fontId="29" fillId="0" borderId="54" xfId="0" applyNumberFormat="1" applyFont="1" applyFill="1" applyBorder="1" applyAlignment="1">
      <alignment horizontal="center" vertical="center" wrapText="1"/>
    </xf>
    <xf numFmtId="167" fontId="29" fillId="0" borderId="54" xfId="0" applyNumberFormat="1" applyFont="1" applyFill="1" applyBorder="1" applyAlignment="1">
      <alignment horizontal="center" vertical="center"/>
    </xf>
    <xf numFmtId="167" fontId="28" fillId="0" borderId="54" xfId="4" applyFont="1" applyFill="1" applyBorder="1" applyAlignment="1">
      <alignment horizontal="center" vertical="center"/>
    </xf>
    <xf numFmtId="167" fontId="28" fillId="0" borderId="54" xfId="4" applyFont="1" applyFill="1" applyBorder="1" applyAlignment="1">
      <alignment horizontal="right" vertical="center"/>
    </xf>
    <xf numFmtId="167" fontId="28" fillId="0" borderId="54" xfId="4" applyFont="1" applyFill="1" applyBorder="1" applyAlignment="1">
      <alignment horizontal="center" vertical="center" wrapText="1"/>
    </xf>
    <xf numFmtId="167" fontId="29" fillId="0" borderId="54" xfId="4" applyFont="1" applyFill="1" applyBorder="1" applyAlignment="1">
      <alignment horizontal="center" vertical="center" wrapText="1"/>
    </xf>
    <xf numFmtId="167" fontId="58" fillId="5" borderId="54" xfId="0" applyNumberFormat="1" applyFont="1" applyFill="1" applyBorder="1" applyAlignment="1">
      <alignment horizontal="center" vertical="center" wrapText="1"/>
    </xf>
    <xf numFmtId="167" fontId="56" fillId="5" borderId="4" xfId="0" applyNumberFormat="1" applyFont="1" applyFill="1" applyBorder="1" applyAlignment="1">
      <alignment horizontal="left" vertical="center"/>
    </xf>
    <xf numFmtId="10" fontId="28" fillId="10" borderId="46" xfId="0" applyNumberFormat="1" applyFont="1" applyFill="1" applyBorder="1" applyAlignment="1">
      <alignment horizontal="center" vertical="center"/>
    </xf>
    <xf numFmtId="167" fontId="28" fillId="10" borderId="44" xfId="0" applyNumberFormat="1" applyFont="1" applyFill="1" applyBorder="1" applyAlignment="1" applyProtection="1">
      <alignment horizontal="left" vertical="center"/>
      <protection locked="0"/>
    </xf>
    <xf numFmtId="10" fontId="29" fillId="0" borderId="46" xfId="0" applyNumberFormat="1" applyFont="1" applyFill="1" applyBorder="1" applyAlignment="1" applyProtection="1">
      <alignment horizontal="center" vertical="center" wrapText="1"/>
    </xf>
    <xf numFmtId="0" fontId="54" fillId="0" borderId="46" xfId="0" applyFont="1" applyFill="1" applyBorder="1" applyAlignment="1">
      <alignment horizontal="center" vertical="center" wrapText="1"/>
    </xf>
    <xf numFmtId="167" fontId="56" fillId="5" borderId="46" xfId="0" applyNumberFormat="1" applyFont="1" applyFill="1" applyBorder="1" applyAlignment="1">
      <alignment horizontal="left" vertical="center"/>
    </xf>
    <xf numFmtId="167" fontId="56" fillId="5" borderId="44" xfId="0" applyNumberFormat="1" applyFont="1" applyFill="1" applyBorder="1" applyAlignment="1">
      <alignment horizontal="left" vertical="center"/>
    </xf>
    <xf numFmtId="167" fontId="54" fillId="0" borderId="46" xfId="4" applyFont="1" applyFill="1" applyBorder="1" applyAlignment="1">
      <alignment horizontal="center" vertical="center"/>
    </xf>
    <xf numFmtId="167" fontId="54" fillId="10" borderId="46" xfId="4" applyFont="1" applyFill="1" applyBorder="1" applyAlignment="1">
      <alignment horizontal="center" vertical="center"/>
    </xf>
    <xf numFmtId="10" fontId="55" fillId="6" borderId="46" xfId="0" applyNumberFormat="1" applyFont="1" applyFill="1" applyBorder="1" applyAlignment="1" applyProtection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166" fontId="54" fillId="0" borderId="46" xfId="27" applyFont="1" applyFill="1" applyBorder="1" applyAlignment="1">
      <alignment horizontal="center" vertical="center"/>
    </xf>
    <xf numFmtId="167" fontId="28" fillId="10" borderId="54" xfId="0" applyNumberFormat="1" applyFont="1" applyFill="1" applyBorder="1" applyAlignment="1" applyProtection="1">
      <alignment horizontal="center" vertical="center"/>
      <protection locked="0"/>
    </xf>
    <xf numFmtId="167" fontId="28" fillId="0" borderId="49" xfId="0" applyNumberFormat="1" applyFont="1" applyFill="1" applyBorder="1" applyAlignment="1">
      <alignment horizontal="center" vertical="center" wrapText="1"/>
    </xf>
    <xf numFmtId="167" fontId="58" fillId="5" borderId="67" xfId="0" applyNumberFormat="1" applyFont="1" applyFill="1" applyBorder="1" applyAlignment="1">
      <alignment horizontal="center" vertical="center" wrapText="1"/>
    </xf>
    <xf numFmtId="167" fontId="55" fillId="10" borderId="44" xfId="0" applyNumberFormat="1" applyFont="1" applyFill="1" applyBorder="1" applyAlignment="1">
      <alignment horizontal="center" vertical="center"/>
    </xf>
    <xf numFmtId="167" fontId="55" fillId="0" borderId="44" xfId="0" applyNumberFormat="1" applyFont="1" applyFill="1" applyBorder="1" applyAlignment="1">
      <alignment horizontal="center" vertical="center"/>
    </xf>
    <xf numFmtId="167" fontId="28" fillId="10" borderId="54" xfId="0" applyNumberFormat="1" applyFont="1" applyFill="1" applyBorder="1" applyAlignment="1">
      <alignment horizontal="center" vertical="center"/>
    </xf>
    <xf numFmtId="167" fontId="58" fillId="5" borderId="49" xfId="0" applyNumberFormat="1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10" fontId="90" fillId="6" borderId="46" xfId="0" applyNumberFormat="1" applyFont="1" applyFill="1" applyBorder="1" applyAlignment="1" applyProtection="1">
      <alignment horizontal="center" vertical="center" wrapText="1"/>
    </xf>
    <xf numFmtId="0" fontId="29" fillId="5" borderId="46" xfId="0" applyFont="1" applyFill="1" applyBorder="1" applyAlignment="1">
      <alignment horizontal="center" vertical="center" wrapText="1"/>
    </xf>
    <xf numFmtId="0" fontId="29" fillId="5" borderId="44" xfId="0" applyFont="1" applyFill="1" applyBorder="1" applyAlignment="1">
      <alignment horizontal="center" vertical="center" wrapText="1"/>
    </xf>
    <xf numFmtId="172" fontId="59" fillId="5" borderId="46" xfId="0" applyNumberFormat="1" applyFont="1" applyFill="1" applyBorder="1" applyAlignment="1" applyProtection="1">
      <alignment horizontal="center" vertical="center" wrapText="1"/>
      <protection locked="0"/>
    </xf>
    <xf numFmtId="172" fontId="59" fillId="5" borderId="44" xfId="0" applyNumberFormat="1" applyFont="1" applyFill="1" applyBorder="1" applyAlignment="1" applyProtection="1">
      <alignment horizontal="center" vertical="center" wrapText="1"/>
      <protection locked="0"/>
    </xf>
    <xf numFmtId="167" fontId="28" fillId="6" borderId="44" xfId="0" applyNumberFormat="1" applyFont="1" applyFill="1" applyBorder="1" applyAlignment="1" applyProtection="1">
      <alignment horizontal="center" vertical="center"/>
      <protection locked="0"/>
    </xf>
    <xf numFmtId="167" fontId="28" fillId="6" borderId="44" xfId="0" applyNumberFormat="1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left" vertical="center" wrapText="1"/>
    </xf>
    <xf numFmtId="0" fontId="29" fillId="5" borderId="54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/>
    </xf>
    <xf numFmtId="0" fontId="29" fillId="5" borderId="46" xfId="0" applyFont="1" applyFill="1" applyBorder="1" applyAlignment="1">
      <alignment horizontal="center" vertical="center"/>
    </xf>
    <xf numFmtId="0" fontId="29" fillId="5" borderId="44" xfId="0" applyFont="1" applyFill="1" applyBorder="1" applyAlignment="1">
      <alignment horizontal="center" vertical="center"/>
    </xf>
    <xf numFmtId="167" fontId="29" fillId="5" borderId="44" xfId="0" applyNumberFormat="1" applyFont="1" applyFill="1" applyBorder="1" applyAlignment="1">
      <alignment horizontal="left" vertical="center"/>
    </xf>
    <xf numFmtId="167" fontId="58" fillId="9" borderId="20" xfId="0" applyNumberFormat="1" applyFont="1" applyFill="1" applyBorder="1" applyAlignment="1">
      <alignment horizontal="center" vertical="center" wrapText="1"/>
    </xf>
    <xf numFmtId="167" fontId="29" fillId="0" borderId="44" xfId="0" applyNumberFormat="1" applyFont="1" applyFill="1" applyBorder="1" applyAlignment="1">
      <alignment horizontal="right" vertical="center"/>
    </xf>
    <xf numFmtId="167" fontId="58" fillId="9" borderId="19" xfId="0" applyNumberFormat="1" applyFont="1" applyFill="1" applyBorder="1" applyAlignment="1">
      <alignment horizontal="center" vertical="center" wrapText="1"/>
    </xf>
    <xf numFmtId="10" fontId="55" fillId="7" borderId="46" xfId="0" applyNumberFormat="1" applyFont="1" applyFill="1" applyBorder="1" applyAlignment="1" applyProtection="1">
      <alignment horizontal="center" vertical="center" wrapText="1"/>
    </xf>
    <xf numFmtId="0" fontId="29" fillId="5" borderId="46" xfId="0" applyFont="1" applyFill="1" applyBorder="1" applyAlignment="1">
      <alignment vertical="center"/>
    </xf>
    <xf numFmtId="167" fontId="28" fillId="0" borderId="66" xfId="0" applyNumberFormat="1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vertical="center" wrapText="1"/>
    </xf>
    <xf numFmtId="167" fontId="58" fillId="5" borderId="42" xfId="0" applyNumberFormat="1" applyFont="1" applyFill="1" applyBorder="1" applyAlignment="1">
      <alignment horizontal="center" vertical="center" wrapText="1"/>
    </xf>
    <xf numFmtId="167" fontId="58" fillId="5" borderId="19" xfId="0" applyNumberFormat="1" applyFont="1" applyFill="1" applyBorder="1" applyAlignment="1">
      <alignment horizontal="center" vertical="center" wrapText="1"/>
    </xf>
    <xf numFmtId="0" fontId="29" fillId="5" borderId="54" xfId="0" applyFont="1" applyFill="1" applyBorder="1" applyAlignment="1">
      <alignment horizontal="center" vertical="center"/>
    </xf>
    <xf numFmtId="167" fontId="56" fillId="5" borderId="54" xfId="0" applyNumberFormat="1" applyFont="1" applyFill="1" applyBorder="1" applyAlignment="1">
      <alignment horizontal="left" vertical="center"/>
    </xf>
    <xf numFmtId="172" fontId="29" fillId="5" borderId="46" xfId="0" applyNumberFormat="1" applyFont="1" applyFill="1" applyBorder="1" applyAlignment="1" applyProtection="1">
      <alignment horizontal="center" vertical="center" wrapText="1"/>
      <protection locked="0"/>
    </xf>
    <xf numFmtId="172" fontId="29" fillId="5" borderId="44" xfId="0" applyNumberFormat="1" applyFont="1" applyFill="1" applyBorder="1" applyAlignment="1" applyProtection="1">
      <alignment horizontal="center" vertical="center" wrapText="1"/>
      <protection locked="0"/>
    </xf>
    <xf numFmtId="172" fontId="29" fillId="5" borderId="4" xfId="0" applyNumberFormat="1" applyFont="1" applyFill="1" applyBorder="1" applyAlignment="1" applyProtection="1">
      <alignment horizontal="center" vertical="center" wrapText="1"/>
      <protection locked="0"/>
    </xf>
    <xf numFmtId="172" fontId="29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54" xfId="0" applyFont="1" applyFill="1" applyBorder="1" applyAlignment="1">
      <alignment horizontal="center" vertical="center" wrapText="1"/>
    </xf>
    <xf numFmtId="167" fontId="28" fillId="0" borderId="54" xfId="0" applyNumberFormat="1" applyFont="1" applyFill="1" applyBorder="1" applyAlignment="1">
      <alignment horizontal="center" vertical="center"/>
    </xf>
    <xf numFmtId="0" fontId="63" fillId="0" borderId="54" xfId="8" applyFont="1" applyFill="1" applyBorder="1" applyAlignment="1">
      <alignment horizontal="left" vertical="center"/>
    </xf>
    <xf numFmtId="0" fontId="63" fillId="0" borderId="6" xfId="8" applyFont="1" applyFill="1" applyBorder="1" applyAlignment="1">
      <alignment horizontal="left" vertical="center"/>
    </xf>
    <xf numFmtId="0" fontId="63" fillId="0" borderId="3" xfId="10" applyFont="1" applyFill="1" applyBorder="1" applyAlignment="1">
      <alignment horizontal="center" vertical="center"/>
    </xf>
    <xf numFmtId="0" fontId="63" fillId="0" borderId="3" xfId="10" applyFont="1" applyFill="1" applyBorder="1" applyAlignment="1">
      <alignment horizontal="center" vertical="center" wrapText="1"/>
    </xf>
    <xf numFmtId="0" fontId="63" fillId="0" borderId="6" xfId="8" applyFont="1" applyFill="1" applyBorder="1" applyAlignment="1">
      <alignment horizontal="center" vertical="center"/>
    </xf>
    <xf numFmtId="167" fontId="28" fillId="0" borderId="44" xfId="0" applyNumberFormat="1" applyFont="1" applyFill="1" applyBorder="1" applyAlignment="1">
      <alignment horizontal="center" vertical="center"/>
    </xf>
    <xf numFmtId="10" fontId="28" fillId="0" borderId="46" xfId="0" applyNumberFormat="1" applyFont="1" applyFill="1" applyBorder="1" applyAlignment="1">
      <alignment horizontal="center" vertical="center" wrapText="1"/>
    </xf>
    <xf numFmtId="167" fontId="28" fillId="0" borderId="46" xfId="0" applyNumberFormat="1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>
      <alignment horizontal="center" vertical="center" wrapText="1"/>
    </xf>
    <xf numFmtId="0" fontId="83" fillId="0" borderId="0" xfId="8" applyFont="1" applyAlignment="1">
      <alignment horizontal="center" vertical="center"/>
    </xf>
    <xf numFmtId="0" fontId="68" fillId="0" borderId="3" xfId="0" applyFont="1" applyBorder="1" applyAlignment="1">
      <alignment horizontal="center" vertical="center" wrapText="1"/>
    </xf>
    <xf numFmtId="0" fontId="69" fillId="0" borderId="46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67" fontId="28" fillId="0" borderId="3" xfId="0" applyNumberFormat="1" applyFont="1" applyFill="1" applyBorder="1" applyAlignment="1" applyProtection="1">
      <alignment horizontal="center" vertical="center"/>
      <protection locked="0"/>
    </xf>
    <xf numFmtId="167" fontId="29" fillId="0" borderId="3" xfId="0" applyNumberFormat="1" applyFont="1" applyFill="1" applyBorder="1" applyAlignment="1">
      <alignment horizontal="center" vertical="center"/>
    </xf>
    <xf numFmtId="172" fontId="29" fillId="6" borderId="4" xfId="0" applyNumberFormat="1" applyFont="1" applyFill="1" applyBorder="1" applyAlignment="1" applyProtection="1">
      <alignment horizontal="center" vertical="center" wrapText="1"/>
      <protection locked="0"/>
    </xf>
    <xf numFmtId="172" fontId="29" fillId="6" borderId="5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>
      <alignment horizontal="center" vertical="center" wrapText="1"/>
    </xf>
    <xf numFmtId="0" fontId="59" fillId="0" borderId="46" xfId="0" applyFont="1" applyFill="1" applyBorder="1" applyAlignment="1">
      <alignment horizontal="left" vertical="center" wrapText="1"/>
    </xf>
    <xf numFmtId="0" fontId="59" fillId="0" borderId="44" xfId="0" applyFont="1" applyFill="1" applyBorder="1" applyAlignment="1">
      <alignment horizontal="left" vertical="center" wrapText="1"/>
    </xf>
    <xf numFmtId="0" fontId="83" fillId="0" borderId="0" xfId="8" applyFont="1" applyBorder="1" applyAlignment="1">
      <alignment horizontal="center" vertical="center"/>
    </xf>
    <xf numFmtId="0" fontId="82" fillId="0" borderId="0" xfId="8" applyFont="1" applyFill="1" applyBorder="1" applyAlignment="1">
      <alignment horizontal="left" vertical="center"/>
    </xf>
    <xf numFmtId="44" fontId="82" fillId="0" borderId="0" xfId="8" applyNumberFormat="1" applyFont="1" applyBorder="1" applyAlignment="1">
      <alignment vertical="center"/>
    </xf>
    <xf numFmtId="172" fontId="81" fillId="0" borderId="3" xfId="8" applyNumberFormat="1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54" fillId="0" borderId="46" xfId="0" applyFont="1" applyFill="1" applyBorder="1" applyAlignment="1">
      <alignment horizontal="center" vertical="center" wrapText="1"/>
    </xf>
    <xf numFmtId="10" fontId="28" fillId="0" borderId="46" xfId="0" applyNumberFormat="1" applyFont="1" applyFill="1" applyBorder="1" applyAlignment="1">
      <alignment horizontal="center" vertical="center" wrapText="1"/>
    </xf>
    <xf numFmtId="167" fontId="28" fillId="0" borderId="46" xfId="0" applyNumberFormat="1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left" vertical="center" wrapText="1"/>
    </xf>
    <xf numFmtId="0" fontId="63" fillId="0" borderId="3" xfId="10" applyFont="1" applyFill="1" applyBorder="1" applyAlignment="1">
      <alignment horizontal="center" vertical="center" wrapText="1"/>
    </xf>
    <xf numFmtId="0" fontId="84" fillId="0" borderId="0" xfId="14" applyFont="1" applyAlignment="1">
      <alignment vertical="center"/>
    </xf>
    <xf numFmtId="0" fontId="84" fillId="0" borderId="0" xfId="14" applyFont="1" applyFill="1" applyAlignment="1">
      <alignment vertical="center"/>
    </xf>
    <xf numFmtId="0" fontId="84" fillId="0" borderId="0" xfId="14" applyFont="1" applyFill="1" applyAlignment="1">
      <alignment horizontal="center" vertical="center"/>
    </xf>
    <xf numFmtId="0" fontId="92" fillId="0" borderId="0" xfId="14" applyFont="1" applyAlignment="1">
      <alignment vertical="center"/>
    </xf>
    <xf numFmtId="0" fontId="92" fillId="0" borderId="0" xfId="14" applyFont="1" applyFill="1" applyAlignment="1">
      <alignment vertical="center"/>
    </xf>
    <xf numFmtId="0" fontId="92" fillId="0" borderId="0" xfId="14" applyFont="1" applyFill="1" applyAlignment="1">
      <alignment horizontal="center" vertical="center"/>
    </xf>
    <xf numFmtId="0" fontId="83" fillId="0" borderId="0" xfId="14" applyFont="1" applyAlignment="1">
      <alignment vertical="center"/>
    </xf>
    <xf numFmtId="0" fontId="93" fillId="0" borderId="0" xfId="14" applyFont="1" applyFill="1" applyAlignment="1">
      <alignment horizontal="center" vertical="center" wrapText="1"/>
    </xf>
    <xf numFmtId="0" fontId="83" fillId="0" borderId="3" xfId="14" applyFont="1" applyFill="1" applyBorder="1" applyAlignment="1">
      <alignment horizontal="center" vertical="center" wrapText="1"/>
    </xf>
    <xf numFmtId="1" fontId="83" fillId="0" borderId="3" xfId="6" applyNumberFormat="1" applyFont="1" applyFill="1" applyBorder="1" applyAlignment="1">
      <alignment horizontal="center" vertical="center" wrapText="1"/>
    </xf>
    <xf numFmtId="172" fontId="83" fillId="0" borderId="3" xfId="6" applyNumberFormat="1" applyFont="1" applyFill="1" applyBorder="1" applyAlignment="1">
      <alignment horizontal="center" vertical="center" wrapText="1"/>
    </xf>
    <xf numFmtId="172" fontId="83" fillId="0" borderId="4" xfId="6" applyNumberFormat="1" applyFont="1" applyFill="1" applyBorder="1" applyAlignment="1">
      <alignment horizontal="center" vertical="center" wrapText="1"/>
    </xf>
    <xf numFmtId="165" fontId="83" fillId="0" borderId="4" xfId="6" applyFont="1" applyFill="1" applyBorder="1" applyAlignment="1">
      <alignment horizontal="center" vertical="center" wrapText="1"/>
    </xf>
    <xf numFmtId="165" fontId="83" fillId="0" borderId="3" xfId="6" applyFont="1" applyFill="1" applyBorder="1" applyAlignment="1">
      <alignment horizontal="center" vertical="center" wrapText="1"/>
    </xf>
    <xf numFmtId="165" fontId="82" fillId="8" borderId="3" xfId="14" applyNumberFormat="1" applyFont="1" applyFill="1" applyBorder="1" applyAlignment="1">
      <alignment vertical="center" wrapText="1"/>
    </xf>
    <xf numFmtId="164" fontId="82" fillId="8" borderId="3" xfId="14" applyNumberFormat="1" applyFont="1" applyFill="1" applyBorder="1" applyAlignment="1">
      <alignment vertical="center" wrapText="1"/>
    </xf>
    <xf numFmtId="0" fontId="83" fillId="0" borderId="0" xfId="14" applyFont="1" applyFill="1" applyAlignment="1">
      <alignment vertical="center"/>
    </xf>
    <xf numFmtId="0" fontId="83" fillId="0" borderId="0" xfId="14" applyFont="1" applyFill="1" applyAlignment="1">
      <alignment horizontal="center" vertical="center"/>
    </xf>
    <xf numFmtId="0" fontId="82" fillId="0" borderId="0" xfId="14" applyFont="1" applyFill="1" applyBorder="1" applyAlignment="1">
      <alignment horizontal="center" vertical="center" wrapText="1"/>
    </xf>
    <xf numFmtId="164" fontId="82" fillId="8" borderId="0" xfId="14" applyNumberFormat="1" applyFont="1" applyFill="1" applyBorder="1" applyAlignment="1">
      <alignment vertical="center" wrapText="1"/>
    </xf>
    <xf numFmtId="167" fontId="55" fillId="0" borderId="44" xfId="0" applyNumberFormat="1" applyFont="1" applyFill="1" applyBorder="1" applyAlignment="1">
      <alignment horizontal="center" vertical="center" wrapText="1"/>
    </xf>
    <xf numFmtId="10" fontId="28" fillId="10" borderId="46" xfId="4" applyNumberFormat="1" applyFont="1" applyFill="1" applyBorder="1" applyAlignment="1">
      <alignment horizontal="center" vertical="center"/>
    </xf>
    <xf numFmtId="10" fontId="29" fillId="6" borderId="46" xfId="0" applyNumberFormat="1" applyFont="1" applyFill="1" applyBorder="1" applyAlignment="1" applyProtection="1">
      <alignment horizontal="center" vertical="center" wrapText="1"/>
    </xf>
    <xf numFmtId="167" fontId="29" fillId="6" borderId="44" xfId="0" applyNumberFormat="1" applyFont="1" applyFill="1" applyBorder="1" applyAlignment="1" applyProtection="1">
      <alignment horizontal="center" vertical="center"/>
      <protection locked="0"/>
    </xf>
    <xf numFmtId="167" fontId="29" fillId="10" borderId="44" xfId="0" applyNumberFormat="1" applyFont="1" applyFill="1" applyBorder="1" applyAlignment="1" applyProtection="1">
      <alignment horizontal="center" vertical="center"/>
      <protection locked="0"/>
    </xf>
    <xf numFmtId="10" fontId="28" fillId="6" borderId="46" xfId="0" applyNumberFormat="1" applyFont="1" applyFill="1" applyBorder="1" applyAlignment="1">
      <alignment horizontal="center" vertical="center"/>
    </xf>
    <xf numFmtId="0" fontId="63" fillId="0" borderId="3" xfId="8" quotePrefix="1" applyFont="1" applyFill="1" applyBorder="1" applyAlignment="1">
      <alignment horizontal="center" vertical="center" wrapText="1"/>
    </xf>
    <xf numFmtId="0" fontId="63" fillId="0" borderId="7" xfId="8" applyFont="1" applyFill="1" applyBorder="1" applyAlignment="1">
      <alignment horizontal="center" vertical="center"/>
    </xf>
    <xf numFmtId="0" fontId="63" fillId="0" borderId="67" xfId="8" applyFont="1" applyFill="1" applyBorder="1" applyAlignment="1">
      <alignment horizontal="left" vertical="center"/>
    </xf>
    <xf numFmtId="0" fontId="63" fillId="0" borderId="7" xfId="8" applyFont="1" applyFill="1" applyBorder="1" applyAlignment="1">
      <alignment horizontal="left" vertical="center"/>
    </xf>
    <xf numFmtId="165" fontId="63" fillId="0" borderId="7" xfId="8" applyNumberFormat="1" applyFont="1" applyFill="1" applyBorder="1" applyAlignment="1">
      <alignment horizontal="center" vertical="center"/>
    </xf>
    <xf numFmtId="0" fontId="63" fillId="0" borderId="44" xfId="10" applyFont="1" applyFill="1" applyBorder="1" applyAlignment="1">
      <alignment horizontal="center" vertical="center" wrapText="1"/>
    </xf>
    <xf numFmtId="0" fontId="63" fillId="0" borderId="44" xfId="8" quotePrefix="1" applyFont="1" applyFill="1" applyBorder="1" applyAlignment="1">
      <alignment horizontal="center" vertical="center" wrapText="1"/>
    </xf>
    <xf numFmtId="172" fontId="63" fillId="0" borderId="46" xfId="8" applyNumberFormat="1" applyFont="1" applyFill="1" applyBorder="1" applyAlignment="1">
      <alignment horizontal="center" vertical="center"/>
    </xf>
    <xf numFmtId="165" fontId="61" fillId="0" borderId="44" xfId="6" applyFont="1" applyFill="1" applyBorder="1" applyAlignment="1">
      <alignment horizontal="center" vertical="center"/>
    </xf>
    <xf numFmtId="0" fontId="78" fillId="0" borderId="46" xfId="8" applyFont="1" applyBorder="1" applyAlignment="1">
      <alignment vertical="center"/>
    </xf>
    <xf numFmtId="165" fontId="63" fillId="0" borderId="44" xfId="8" applyNumberFormat="1" applyFont="1" applyFill="1" applyBorder="1" applyAlignment="1">
      <alignment horizontal="center" vertical="center"/>
    </xf>
    <xf numFmtId="0" fontId="63" fillId="0" borderId="19" xfId="8" applyFont="1" applyFill="1" applyBorder="1" applyAlignment="1">
      <alignment horizontal="center" vertical="center"/>
    </xf>
    <xf numFmtId="0" fontId="63" fillId="0" borderId="30" xfId="8" applyFont="1" applyFill="1" applyBorder="1" applyAlignment="1">
      <alignment horizontal="center" vertical="center"/>
    </xf>
    <xf numFmtId="165" fontId="63" fillId="0" borderId="20" xfId="8" applyNumberFormat="1" applyFont="1" applyFill="1" applyBorder="1" applyAlignment="1">
      <alignment horizontal="center" vertical="center"/>
    </xf>
    <xf numFmtId="44" fontId="3" fillId="0" borderId="0" xfId="8" applyNumberFormat="1" applyFont="1" applyAlignment="1">
      <alignment vertical="center"/>
    </xf>
    <xf numFmtId="0" fontId="63" fillId="0" borderId="0" xfId="10" applyFont="1" applyFill="1" applyBorder="1" applyAlignment="1">
      <alignment horizontal="center" vertical="center"/>
    </xf>
    <xf numFmtId="0" fontId="63" fillId="0" borderId="0" xfId="8" applyFont="1" applyFill="1" applyBorder="1" applyAlignment="1">
      <alignment horizontal="left" vertical="center"/>
    </xf>
    <xf numFmtId="171" fontId="63" fillId="0" borderId="0" xfId="8" applyNumberFormat="1" applyFont="1" applyFill="1" applyBorder="1" applyAlignment="1">
      <alignment horizontal="right" vertical="center"/>
    </xf>
    <xf numFmtId="44" fontId="94" fillId="0" borderId="0" xfId="8" applyNumberFormat="1" applyFont="1" applyFill="1" applyBorder="1" applyAlignment="1">
      <alignment vertical="center"/>
    </xf>
    <xf numFmtId="44" fontId="66" fillId="0" borderId="3" xfId="8" applyNumberFormat="1" applyFont="1" applyFill="1" applyBorder="1" applyAlignment="1">
      <alignment vertical="center"/>
    </xf>
    <xf numFmtId="44" fontId="89" fillId="6" borderId="3" xfId="8" applyNumberFormat="1" applyFont="1" applyFill="1" applyBorder="1" applyAlignment="1">
      <alignment vertical="center"/>
    </xf>
    <xf numFmtId="44" fontId="89" fillId="4" borderId="51" xfId="8" applyNumberFormat="1" applyFont="1" applyFill="1" applyBorder="1" applyAlignment="1">
      <alignment vertical="center"/>
    </xf>
    <xf numFmtId="0" fontId="56" fillId="4" borderId="37" xfId="8" applyFont="1" applyFill="1" applyBorder="1" applyAlignment="1">
      <alignment horizontal="center" vertical="center"/>
    </xf>
    <xf numFmtId="172" fontId="63" fillId="7" borderId="3" xfId="8" applyNumberFormat="1" applyFont="1" applyFill="1" applyBorder="1" applyAlignment="1">
      <alignment horizontal="center" vertical="center"/>
    </xf>
    <xf numFmtId="172" fontId="35" fillId="0" borderId="48" xfId="0" applyNumberFormat="1" applyFont="1" applyBorder="1" applyAlignment="1">
      <alignment horizontal="center" vertical="center" wrapText="1"/>
    </xf>
    <xf numFmtId="172" fontId="35" fillId="0" borderId="0" xfId="0" applyNumberFormat="1" applyFont="1" applyBorder="1" applyAlignment="1">
      <alignment horizontal="center" vertical="center" wrapText="1"/>
    </xf>
    <xf numFmtId="0" fontId="34" fillId="0" borderId="21" xfId="8" applyFont="1" applyBorder="1" applyAlignment="1">
      <alignment horizontal="center" vertical="center"/>
    </xf>
    <xf numFmtId="0" fontId="34" fillId="0" borderId="48" xfId="8" applyFont="1" applyBorder="1" applyAlignment="1">
      <alignment horizontal="center" vertical="center"/>
    </xf>
    <xf numFmtId="0" fontId="34" fillId="0" borderId="34" xfId="8" applyFont="1" applyBorder="1" applyAlignment="1">
      <alignment horizontal="center" vertical="center"/>
    </xf>
    <xf numFmtId="0" fontId="34" fillId="5" borderId="12" xfId="8" applyFont="1" applyFill="1" applyBorder="1" applyAlignment="1">
      <alignment horizontal="center" vertical="center"/>
    </xf>
    <xf numFmtId="0" fontId="34" fillId="5" borderId="56" xfId="8" applyFont="1" applyFill="1" applyBorder="1" applyAlignment="1">
      <alignment horizontal="center" vertical="center"/>
    </xf>
    <xf numFmtId="0" fontId="34" fillId="5" borderId="57" xfId="8" applyFont="1" applyFill="1" applyBorder="1" applyAlignment="1">
      <alignment horizontal="center" vertical="center"/>
    </xf>
    <xf numFmtId="165" fontId="34" fillId="0" borderId="67" xfId="6" applyFont="1" applyFill="1" applyBorder="1" applyAlignment="1">
      <alignment horizontal="center" vertical="center"/>
    </xf>
    <xf numFmtId="165" fontId="34" fillId="0" borderId="36" xfId="6" applyFont="1" applyFill="1" applyBorder="1" applyAlignment="1">
      <alignment horizontal="center" vertical="center"/>
    </xf>
    <xf numFmtId="0" fontId="35" fillId="0" borderId="0" xfId="13" applyFont="1" applyFill="1" applyAlignment="1">
      <alignment horizontal="right" vertical="center"/>
    </xf>
    <xf numFmtId="167" fontId="35" fillId="0" borderId="8" xfId="4" applyFont="1" applyFill="1" applyBorder="1" applyAlignment="1">
      <alignment horizontal="center" vertical="center"/>
    </xf>
    <xf numFmtId="10" fontId="36" fillId="0" borderId="33" xfId="19" applyNumberFormat="1" applyFont="1" applyBorder="1" applyAlignment="1">
      <alignment horizontal="center" vertical="center" wrapText="1"/>
    </xf>
    <xf numFmtId="10" fontId="36" fillId="0" borderId="22" xfId="19" applyNumberFormat="1" applyFont="1" applyBorder="1" applyAlignment="1">
      <alignment horizontal="center" vertical="center" wrapText="1"/>
    </xf>
    <xf numFmtId="0" fontId="34" fillId="0" borderId="11" xfId="8" applyFont="1" applyBorder="1" applyAlignment="1">
      <alignment horizontal="center" vertical="center"/>
    </xf>
    <xf numFmtId="0" fontId="34" fillId="0" borderId="6" xfId="8" applyFont="1" applyBorder="1" applyAlignment="1">
      <alignment horizontal="center" vertical="center"/>
    </xf>
    <xf numFmtId="0" fontId="34" fillId="0" borderId="35" xfId="8" applyFont="1" applyBorder="1" applyAlignment="1">
      <alignment horizontal="center" vertical="center"/>
    </xf>
    <xf numFmtId="0" fontId="34" fillId="0" borderId="12" xfId="8" applyFont="1" applyBorder="1" applyAlignment="1">
      <alignment horizontal="center" vertical="center"/>
    </xf>
    <xf numFmtId="0" fontId="34" fillId="0" borderId="55" xfId="8" applyFont="1" applyBorder="1" applyAlignment="1">
      <alignment horizontal="center" vertical="center"/>
    </xf>
    <xf numFmtId="0" fontId="34" fillId="0" borderId="12" xfId="8" applyFont="1" applyFill="1" applyBorder="1" applyAlignment="1">
      <alignment horizontal="center" vertical="center"/>
    </xf>
    <xf numFmtId="0" fontId="34" fillId="0" borderId="55" xfId="8" applyFont="1" applyFill="1" applyBorder="1" applyAlignment="1">
      <alignment horizontal="center" vertical="center"/>
    </xf>
    <xf numFmtId="0" fontId="34" fillId="0" borderId="5" xfId="8" applyFont="1" applyBorder="1" applyAlignment="1">
      <alignment horizontal="center" vertical="center"/>
    </xf>
    <xf numFmtId="0" fontId="34" fillId="0" borderId="0" xfId="8" applyFont="1" applyBorder="1" applyAlignment="1">
      <alignment horizontal="center" vertical="center"/>
    </xf>
    <xf numFmtId="0" fontId="34" fillId="0" borderId="52" xfId="8" applyFont="1" applyBorder="1" applyAlignment="1">
      <alignment horizontal="center" vertical="center"/>
    </xf>
    <xf numFmtId="0" fontId="45" fillId="0" borderId="0" xfId="0" quotePrefix="1" applyFont="1" applyBorder="1" applyAlignment="1">
      <alignment horizontal="justify" vertical="center" wrapText="1"/>
    </xf>
    <xf numFmtId="0" fontId="34" fillId="0" borderId="28" xfId="8" applyFont="1" applyBorder="1" applyAlignment="1">
      <alignment horizontal="center" vertical="center"/>
    </xf>
    <xf numFmtId="0" fontId="34" fillId="0" borderId="29" xfId="8" applyFont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0" borderId="8" xfId="8" applyFont="1" applyBorder="1" applyAlignment="1">
      <alignment horizontal="center" vertical="center"/>
    </xf>
    <xf numFmtId="172" fontId="34" fillId="0" borderId="46" xfId="0" applyNumberFormat="1" applyFont="1" applyFill="1" applyBorder="1" applyAlignment="1">
      <alignment horizontal="center" vertical="center"/>
    </xf>
    <xf numFmtId="172" fontId="34" fillId="0" borderId="3" xfId="0" applyNumberFormat="1" applyFont="1" applyFill="1" applyBorder="1" applyAlignment="1">
      <alignment horizontal="center" vertical="center"/>
    </xf>
    <xf numFmtId="167" fontId="34" fillId="0" borderId="0" xfId="5" applyFont="1" applyBorder="1" applyAlignment="1">
      <alignment horizontal="center" vertical="center"/>
    </xf>
    <xf numFmtId="14" fontId="36" fillId="0" borderId="54" xfId="8" applyNumberFormat="1" applyFont="1" applyFill="1" applyBorder="1" applyAlignment="1">
      <alignment horizontal="center" vertical="center" wrapText="1"/>
    </xf>
    <xf numFmtId="14" fontId="36" fillId="0" borderId="35" xfId="8" applyNumberFormat="1" applyFont="1" applyFill="1" applyBorder="1" applyAlignment="1">
      <alignment horizontal="center" vertical="center" wrapText="1"/>
    </xf>
    <xf numFmtId="14" fontId="36" fillId="0" borderId="54" xfId="8" applyNumberFormat="1" applyFont="1" applyBorder="1" applyAlignment="1">
      <alignment horizontal="center" vertical="center" wrapText="1"/>
    </xf>
    <xf numFmtId="14" fontId="36" fillId="0" borderId="35" xfId="8" applyNumberFormat="1" applyFont="1" applyBorder="1" applyAlignment="1">
      <alignment horizontal="center" vertical="center" wrapText="1"/>
    </xf>
    <xf numFmtId="172" fontId="36" fillId="0" borderId="54" xfId="8" applyNumberFormat="1" applyFont="1" applyBorder="1" applyAlignment="1">
      <alignment horizontal="center" vertical="center" wrapText="1"/>
    </xf>
    <xf numFmtId="172" fontId="36" fillId="0" borderId="35" xfId="8" applyNumberFormat="1" applyFont="1" applyBorder="1" applyAlignment="1">
      <alignment horizontal="center" vertical="center" wrapText="1"/>
    </xf>
    <xf numFmtId="1" fontId="36" fillId="0" borderId="54" xfId="8" quotePrefix="1" applyNumberFormat="1" applyFont="1" applyBorder="1" applyAlignment="1">
      <alignment horizontal="center" vertical="center" wrapText="1"/>
    </xf>
    <xf numFmtId="1" fontId="36" fillId="0" borderId="35" xfId="8" quotePrefix="1" applyNumberFormat="1" applyFont="1" applyBorder="1" applyAlignment="1">
      <alignment horizontal="center" vertical="center" wrapText="1"/>
    </xf>
    <xf numFmtId="3" fontId="36" fillId="0" borderId="61" xfId="8" quotePrefix="1" applyNumberFormat="1" applyFont="1" applyFill="1" applyBorder="1" applyAlignment="1">
      <alignment horizontal="center" vertical="center" wrapText="1"/>
    </xf>
    <xf numFmtId="3" fontId="36" fillId="0" borderId="14" xfId="8" quotePrefix="1" applyNumberFormat="1" applyFont="1" applyFill="1" applyBorder="1" applyAlignment="1">
      <alignment horizontal="center" vertical="center" wrapText="1"/>
    </xf>
    <xf numFmtId="20" fontId="36" fillId="0" borderId="54" xfId="8" applyNumberFormat="1" applyFont="1" applyBorder="1" applyAlignment="1">
      <alignment horizontal="center" vertical="center" wrapText="1"/>
    </xf>
    <xf numFmtId="20" fontId="36" fillId="0" borderId="35" xfId="8" applyNumberFormat="1" applyFont="1" applyBorder="1" applyAlignment="1">
      <alignment horizontal="center" vertical="center" wrapText="1"/>
    </xf>
    <xf numFmtId="172" fontId="36" fillId="0" borderId="64" xfId="8" applyNumberFormat="1" applyFont="1" applyBorder="1" applyAlignment="1">
      <alignment horizontal="center" vertical="center" wrapText="1"/>
    </xf>
    <xf numFmtId="172" fontId="36" fillId="0" borderId="65" xfId="8" applyNumberFormat="1" applyFont="1" applyBorder="1" applyAlignment="1">
      <alignment horizontal="center" vertical="center" wrapText="1"/>
    </xf>
    <xf numFmtId="172" fontId="34" fillId="0" borderId="15" xfId="8" applyNumberFormat="1" applyFont="1" applyBorder="1" applyAlignment="1">
      <alignment horizontal="center" vertical="center" wrapText="1"/>
    </xf>
    <xf numFmtId="172" fontId="34" fillId="0" borderId="66" xfId="8" applyNumberFormat="1" applyFont="1" applyBorder="1" applyAlignment="1">
      <alignment horizontal="center" vertical="center" wrapText="1"/>
    </xf>
    <xf numFmtId="0" fontId="45" fillId="4" borderId="54" xfId="8" applyFont="1" applyFill="1" applyBorder="1" applyAlignment="1">
      <alignment horizontal="center" vertical="center" wrapText="1"/>
    </xf>
    <xf numFmtId="0" fontId="45" fillId="4" borderId="35" xfId="8" applyFont="1" applyFill="1" applyBorder="1" applyAlignment="1">
      <alignment horizontal="center" vertical="center" wrapText="1"/>
    </xf>
    <xf numFmtId="0" fontId="36" fillId="0" borderId="67" xfId="8" applyFont="1" applyBorder="1" applyAlignment="1">
      <alignment horizontal="center" vertical="center" wrapText="1"/>
    </xf>
    <xf numFmtId="0" fontId="36" fillId="0" borderId="36" xfId="8" applyFont="1" applyBorder="1" applyAlignment="1">
      <alignment horizontal="center" vertical="center" wrapText="1"/>
    </xf>
    <xf numFmtId="0" fontId="34" fillId="0" borderId="15" xfId="8" applyFont="1" applyFill="1" applyBorder="1" applyAlignment="1">
      <alignment horizontal="center" vertical="center"/>
    </xf>
    <xf numFmtId="0" fontId="34" fillId="0" borderId="68" xfId="8" applyFont="1" applyFill="1" applyBorder="1" applyAlignment="1">
      <alignment horizontal="center" vertical="center"/>
    </xf>
    <xf numFmtId="0" fontId="34" fillId="0" borderId="16" xfId="8" applyFont="1" applyFill="1" applyBorder="1" applyAlignment="1">
      <alignment horizontal="center" vertical="center"/>
    </xf>
    <xf numFmtId="165" fontId="34" fillId="0" borderId="49" xfId="6" applyFont="1" applyFill="1" applyBorder="1" applyAlignment="1">
      <alignment horizontal="center" vertical="center"/>
    </xf>
    <xf numFmtId="165" fontId="34" fillId="0" borderId="16" xfId="6" applyFont="1" applyFill="1" applyBorder="1" applyAlignment="1">
      <alignment horizontal="center" vertical="center"/>
    </xf>
    <xf numFmtId="17" fontId="36" fillId="0" borderId="54" xfId="8" quotePrefix="1" applyNumberFormat="1" applyFont="1" applyBorder="1" applyAlignment="1">
      <alignment horizontal="center" vertical="center" wrapText="1"/>
    </xf>
    <xf numFmtId="17" fontId="36" fillId="0" borderId="35" xfId="8" quotePrefix="1" applyNumberFormat="1" applyFont="1" applyBorder="1" applyAlignment="1">
      <alignment horizontal="center" vertical="center" wrapText="1"/>
    </xf>
    <xf numFmtId="165" fontId="35" fillId="0" borderId="0" xfId="6" applyFont="1" applyFill="1" applyBorder="1" applyAlignment="1">
      <alignment horizontal="center" vertical="top" wrapText="1"/>
    </xf>
    <xf numFmtId="165" fontId="35" fillId="0" borderId="8" xfId="6" applyFont="1" applyFill="1" applyBorder="1" applyAlignment="1">
      <alignment horizontal="center" vertical="top" wrapText="1"/>
    </xf>
    <xf numFmtId="0" fontId="47" fillId="0" borderId="21" xfId="8" applyFont="1" applyBorder="1" applyAlignment="1">
      <alignment horizontal="center" vertical="center"/>
    </xf>
    <xf numFmtId="0" fontId="47" fillId="0" borderId="48" xfId="8" applyFont="1" applyBorder="1" applyAlignment="1">
      <alignment horizontal="center" vertical="center"/>
    </xf>
    <xf numFmtId="165" fontId="34" fillId="0" borderId="12" xfId="6" applyFont="1" applyBorder="1" applyAlignment="1">
      <alignment horizontal="center" vertical="center"/>
    </xf>
    <xf numFmtId="165" fontId="34" fillId="0" borderId="57" xfId="6" applyFont="1" applyBorder="1" applyAlignment="1">
      <alignment horizontal="center" vertical="center"/>
    </xf>
    <xf numFmtId="0" fontId="46" fillId="0" borderId="17" xfId="8" applyFont="1" applyBorder="1" applyAlignment="1">
      <alignment horizontal="left" vertical="center"/>
    </xf>
    <xf numFmtId="0" fontId="46" fillId="0" borderId="43" xfId="8" applyFont="1" applyBorder="1" applyAlignment="1">
      <alignment horizontal="left" vertical="center"/>
    </xf>
    <xf numFmtId="0" fontId="46" fillId="0" borderId="67" xfId="8" applyFont="1" applyBorder="1" applyAlignment="1">
      <alignment horizontal="left" vertical="center"/>
    </xf>
    <xf numFmtId="0" fontId="46" fillId="0" borderId="46" xfId="8" applyFont="1" applyBorder="1" applyAlignment="1">
      <alignment horizontal="left" vertical="center"/>
    </xf>
    <xf numFmtId="0" fontId="46" fillId="0" borderId="3" xfId="8" applyFont="1" applyBorder="1" applyAlignment="1">
      <alignment horizontal="left" vertical="center"/>
    </xf>
    <xf numFmtId="0" fontId="46" fillId="0" borderId="54" xfId="8" applyFont="1" applyBorder="1" applyAlignment="1">
      <alignment horizontal="left" vertical="center"/>
    </xf>
    <xf numFmtId="165" fontId="45" fillId="0" borderId="22" xfId="6" applyFont="1" applyFill="1" applyBorder="1" applyAlignment="1">
      <alignment horizontal="center" vertical="center"/>
    </xf>
    <xf numFmtId="165" fontId="45" fillId="0" borderId="27" xfId="6" applyFont="1" applyFill="1" applyBorder="1" applyAlignment="1">
      <alignment horizontal="center" vertical="center"/>
    </xf>
    <xf numFmtId="0" fontId="36" fillId="0" borderId="19" xfId="8" applyFont="1" applyBorder="1" applyAlignment="1">
      <alignment horizontal="center" vertical="center"/>
    </xf>
    <xf numFmtId="0" fontId="36" fillId="0" borderId="30" xfId="8" applyFont="1" applyBorder="1" applyAlignment="1">
      <alignment horizontal="center" vertical="center"/>
    </xf>
    <xf numFmtId="0" fontId="34" fillId="0" borderId="61" xfId="8" applyFont="1" applyBorder="1" applyAlignment="1">
      <alignment horizontal="center" vertical="center"/>
    </xf>
    <xf numFmtId="0" fontId="34" fillId="0" borderId="10" xfId="8" applyFont="1" applyBorder="1" applyAlignment="1">
      <alignment horizontal="center" vertical="center"/>
    </xf>
    <xf numFmtId="0" fontId="34" fillId="0" borderId="62" xfId="8" applyFont="1" applyBorder="1" applyAlignment="1">
      <alignment horizontal="center" vertical="center"/>
    </xf>
    <xf numFmtId="165" fontId="36" fillId="0" borderId="37" xfId="6" applyFont="1" applyFill="1" applyBorder="1" applyAlignment="1">
      <alignment horizontal="center" vertical="center"/>
    </xf>
    <xf numFmtId="165" fontId="36" fillId="0" borderId="63" xfId="6" applyFont="1" applyFill="1" applyBorder="1" applyAlignment="1">
      <alignment horizontal="center" vertical="center"/>
    </xf>
    <xf numFmtId="0" fontId="45" fillId="6" borderId="49" xfId="8" applyFont="1" applyFill="1" applyBorder="1" applyAlignment="1">
      <alignment horizontal="center" vertical="center"/>
    </xf>
    <xf numFmtId="0" fontId="45" fillId="6" borderId="68" xfId="8" applyFont="1" applyFill="1" applyBorder="1" applyAlignment="1">
      <alignment horizontal="center" vertical="center"/>
    </xf>
    <xf numFmtId="0" fontId="45" fillId="6" borderId="66" xfId="8" applyFont="1" applyFill="1" applyBorder="1" applyAlignment="1">
      <alignment horizontal="center" vertical="center"/>
    </xf>
    <xf numFmtId="0" fontId="45" fillId="0" borderId="0" xfId="8" applyNumberFormat="1" applyFont="1" applyBorder="1" applyAlignment="1">
      <alignment horizontal="justify" vertical="center" wrapText="1"/>
    </xf>
    <xf numFmtId="0" fontId="36" fillId="0" borderId="58" xfId="8" applyFont="1" applyBorder="1" applyAlignment="1">
      <alignment horizontal="center" vertical="center" wrapText="1"/>
    </xf>
    <xf numFmtId="0" fontId="36" fillId="0" borderId="40" xfId="8" applyFont="1" applyBorder="1" applyAlignment="1">
      <alignment horizontal="center" vertical="center" wrapText="1"/>
    </xf>
    <xf numFmtId="0" fontId="46" fillId="0" borderId="19" xfId="8" applyFont="1" applyBorder="1" applyAlignment="1">
      <alignment horizontal="left" vertical="center"/>
    </xf>
    <xf numFmtId="0" fontId="46" fillId="0" borderId="30" xfId="8" applyFont="1" applyBorder="1" applyAlignment="1">
      <alignment horizontal="left" vertical="center"/>
    </xf>
    <xf numFmtId="0" fontId="46" fillId="0" borderId="49" xfId="8" applyFont="1" applyBorder="1" applyAlignment="1">
      <alignment horizontal="left" vertical="center"/>
    </xf>
    <xf numFmtId="165" fontId="45" fillId="0" borderId="51" xfId="6" applyFont="1" applyFill="1" applyBorder="1" applyAlignment="1">
      <alignment horizontal="center" vertical="center"/>
    </xf>
    <xf numFmtId="0" fontId="36" fillId="0" borderId="21" xfId="8" applyFont="1" applyBorder="1" applyAlignment="1">
      <alignment horizontal="left" vertical="center"/>
    </xf>
    <xf numFmtId="0" fontId="36" fillId="0" borderId="48" xfId="8" applyFont="1" applyBorder="1" applyAlignment="1">
      <alignment horizontal="left" vertical="center"/>
    </xf>
    <xf numFmtId="0" fontId="36" fillId="0" borderId="34" xfId="8" applyFont="1" applyBorder="1" applyAlignment="1">
      <alignment horizontal="left" vertical="center"/>
    </xf>
    <xf numFmtId="0" fontId="36" fillId="0" borderId="11" xfId="8" applyFont="1" applyBorder="1" applyAlignment="1">
      <alignment horizontal="left" vertical="center"/>
    </xf>
    <xf numFmtId="0" fontId="36" fillId="0" borderId="6" xfId="8" applyFont="1" applyBorder="1" applyAlignment="1">
      <alignment horizontal="left" vertical="center"/>
    </xf>
    <xf numFmtId="0" fontId="36" fillId="0" borderId="35" xfId="8" applyFont="1" applyBorder="1" applyAlignment="1">
      <alignment horizontal="left" vertical="center"/>
    </xf>
    <xf numFmtId="2" fontId="34" fillId="0" borderId="19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2" fontId="34" fillId="0" borderId="47" xfId="0" applyNumberFormat="1" applyFont="1" applyBorder="1" applyAlignment="1">
      <alignment horizontal="center" vertical="center"/>
    </xf>
    <xf numFmtId="172" fontId="34" fillId="2" borderId="46" xfId="0" applyNumberFormat="1" applyFont="1" applyFill="1" applyBorder="1" applyAlignment="1">
      <alignment horizontal="center" vertical="center"/>
    </xf>
    <xf numFmtId="172" fontId="34" fillId="2" borderId="3" xfId="0" applyNumberFormat="1" applyFont="1" applyFill="1" applyBorder="1" applyAlignment="1">
      <alignment horizontal="center" vertical="center"/>
    </xf>
    <xf numFmtId="2" fontId="34" fillId="2" borderId="3" xfId="0" applyNumberFormat="1" applyFont="1" applyFill="1" applyBorder="1" applyAlignment="1">
      <alignment horizontal="center" vertical="center"/>
    </xf>
    <xf numFmtId="2" fontId="34" fillId="2" borderId="44" xfId="0" applyNumberFormat="1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172" fontId="34" fillId="0" borderId="11" xfId="0" applyNumberFormat="1" applyFont="1" applyBorder="1" applyAlignment="1">
      <alignment horizontal="center" vertical="center"/>
    </xf>
    <xf numFmtId="172" fontId="34" fillId="0" borderId="4" xfId="0" applyNumberFormat="1" applyFont="1" applyBorder="1" applyAlignment="1">
      <alignment horizontal="center" vertical="center"/>
    </xf>
    <xf numFmtId="2" fontId="34" fillId="0" borderId="54" xfId="0" applyNumberFormat="1" applyFont="1" applyFill="1" applyBorder="1" applyAlignment="1">
      <alignment horizontal="left" vertical="center"/>
    </xf>
    <xf numFmtId="2" fontId="34" fillId="0" borderId="35" xfId="0" applyNumberFormat="1" applyFont="1" applyFill="1" applyBorder="1" applyAlignment="1">
      <alignment horizontal="left" vertical="center"/>
    </xf>
    <xf numFmtId="2" fontId="34" fillId="0" borderId="3" xfId="0" applyNumberFormat="1" applyFont="1" applyFill="1" applyBorder="1" applyAlignment="1">
      <alignment horizontal="center" vertical="center"/>
    </xf>
    <xf numFmtId="2" fontId="34" fillId="0" borderId="44" xfId="0" applyNumberFormat="1" applyFont="1" applyFill="1" applyBorder="1" applyAlignment="1">
      <alignment horizontal="center" vertical="center"/>
    </xf>
    <xf numFmtId="0" fontId="50" fillId="0" borderId="11" xfId="8" applyFont="1" applyBorder="1" applyAlignment="1">
      <alignment horizontal="left" vertical="center" wrapText="1"/>
    </xf>
    <xf numFmtId="0" fontId="50" fillId="0" borderId="6" xfId="8" applyFont="1" applyBorder="1" applyAlignment="1">
      <alignment horizontal="left" vertical="center" wrapText="1"/>
    </xf>
    <xf numFmtId="0" fontId="50" fillId="0" borderId="35" xfId="8" applyFont="1" applyBorder="1" applyAlignment="1">
      <alignment horizontal="left" vertical="center" wrapText="1"/>
    </xf>
    <xf numFmtId="0" fontId="34" fillId="0" borderId="0" xfId="9" applyFont="1" applyBorder="1" applyAlignment="1">
      <alignment horizontal="justify" vertical="center" wrapText="1"/>
    </xf>
    <xf numFmtId="0" fontId="64" fillId="6" borderId="12" xfId="13" applyFont="1" applyFill="1" applyBorder="1" applyAlignment="1">
      <alignment horizontal="left" vertical="center"/>
    </xf>
    <xf numFmtId="0" fontId="64" fillId="6" borderId="56" xfId="13" applyFont="1" applyFill="1" applyBorder="1" applyAlignment="1">
      <alignment horizontal="left" vertical="center"/>
    </xf>
    <xf numFmtId="0" fontId="64" fillId="6" borderId="57" xfId="13" applyFont="1" applyFill="1" applyBorder="1" applyAlignment="1">
      <alignment horizontal="left" vertical="center"/>
    </xf>
    <xf numFmtId="165" fontId="36" fillId="0" borderId="23" xfId="6" applyFont="1" applyFill="1" applyBorder="1" applyAlignment="1">
      <alignment horizontal="center" vertical="center"/>
    </xf>
    <xf numFmtId="165" fontId="36" fillId="0" borderId="22" xfId="6" applyFont="1" applyFill="1" applyBorder="1" applyAlignment="1">
      <alignment horizontal="center" vertical="center"/>
    </xf>
    <xf numFmtId="165" fontId="45" fillId="0" borderId="58" xfId="6" applyFont="1" applyBorder="1" applyAlignment="1">
      <alignment horizontal="center" vertical="center"/>
    </xf>
    <xf numFmtId="165" fontId="45" fillId="0" borderId="18" xfId="6" applyFont="1" applyBorder="1" applyAlignment="1">
      <alignment horizontal="center" vertical="center"/>
    </xf>
    <xf numFmtId="0" fontId="46" fillId="9" borderId="59" xfId="8" applyFont="1" applyFill="1" applyBorder="1" applyAlignment="1">
      <alignment horizontal="center" vertical="center"/>
    </xf>
    <xf numFmtId="0" fontId="46" fillId="9" borderId="41" xfId="8" applyFont="1" applyFill="1" applyBorder="1" applyAlignment="1">
      <alignment horizontal="center" vertical="center"/>
    </xf>
    <xf numFmtId="0" fontId="46" fillId="9" borderId="13" xfId="8" applyFont="1" applyFill="1" applyBorder="1" applyAlignment="1">
      <alignment horizontal="center" vertical="center"/>
    </xf>
    <xf numFmtId="0" fontId="36" fillId="0" borderId="23" xfId="8" applyFont="1" applyBorder="1" applyAlignment="1">
      <alignment horizontal="center" vertical="center" wrapText="1"/>
    </xf>
    <xf numFmtId="0" fontId="36" fillId="0" borderId="60" xfId="8" applyFont="1" applyBorder="1" applyAlignment="1">
      <alignment horizontal="center" vertical="center" wrapText="1"/>
    </xf>
    <xf numFmtId="0" fontId="45" fillId="0" borderId="0" xfId="6" applyNumberFormat="1" applyFont="1" applyFill="1" applyBorder="1" applyAlignment="1">
      <alignment horizontal="justify" vertical="center" wrapText="1"/>
    </xf>
    <xf numFmtId="0" fontId="84" fillId="0" borderId="0" xfId="1" applyFont="1" applyFill="1" applyAlignment="1">
      <alignment horizontal="left" vertical="center"/>
    </xf>
    <xf numFmtId="0" fontId="84" fillId="0" borderId="0" xfId="1" applyFont="1" applyFill="1" applyAlignment="1">
      <alignment horizontal="justify" vertical="center"/>
    </xf>
    <xf numFmtId="0" fontId="84" fillId="0" borderId="54" xfId="1" applyFont="1" applyFill="1" applyBorder="1" applyAlignment="1">
      <alignment horizontal="justify" vertical="center" wrapText="1"/>
    </xf>
    <xf numFmtId="0" fontId="84" fillId="0" borderId="6" xfId="1" applyFont="1" applyFill="1" applyBorder="1" applyAlignment="1">
      <alignment horizontal="justify" vertical="center" wrapText="1"/>
    </xf>
    <xf numFmtId="0" fontId="67" fillId="8" borderId="3" xfId="1" applyFont="1" applyFill="1" applyBorder="1" applyAlignment="1">
      <alignment horizontal="center" vertical="center"/>
    </xf>
    <xf numFmtId="0" fontId="66" fillId="0" borderId="54" xfId="1" applyFont="1" applyFill="1" applyBorder="1" applyAlignment="1">
      <alignment horizontal="center" vertical="center"/>
    </xf>
    <xf numFmtId="0" fontId="66" fillId="0" borderId="6" xfId="1" applyFont="1" applyFill="1" applyBorder="1" applyAlignment="1">
      <alignment horizontal="center" vertical="center"/>
    </xf>
    <xf numFmtId="0" fontId="66" fillId="0" borderId="4" xfId="1" applyFont="1" applyFill="1" applyBorder="1" applyAlignment="1">
      <alignment horizontal="center" vertical="center"/>
    </xf>
    <xf numFmtId="0" fontId="65" fillId="5" borderId="53" xfId="1" applyFont="1" applyFill="1" applyBorder="1" applyAlignment="1">
      <alignment horizontal="center" vertical="center" wrapText="1"/>
    </xf>
    <xf numFmtId="0" fontId="65" fillId="5" borderId="43" xfId="1" applyFont="1" applyFill="1" applyBorder="1" applyAlignment="1">
      <alignment horizontal="center" vertical="center" wrapText="1"/>
    </xf>
    <xf numFmtId="0" fontId="65" fillId="5" borderId="69" xfId="1" applyFont="1" applyFill="1" applyBorder="1" applyAlignment="1">
      <alignment horizontal="center" vertical="center"/>
    </xf>
    <xf numFmtId="0" fontId="65" fillId="5" borderId="32" xfId="1" applyFont="1" applyFill="1" applyBorder="1" applyAlignment="1">
      <alignment horizontal="center" vertical="center"/>
    </xf>
    <xf numFmtId="0" fontId="65" fillId="5" borderId="67" xfId="1" applyFont="1" applyFill="1" applyBorder="1" applyAlignment="1">
      <alignment horizontal="center" vertical="center"/>
    </xf>
    <xf numFmtId="0" fontId="86" fillId="0" borderId="0" xfId="1" applyFont="1" applyFill="1" applyAlignment="1">
      <alignment horizontal="center" vertical="center"/>
    </xf>
    <xf numFmtId="0" fontId="86" fillId="0" borderId="0" xfId="1" applyFont="1" applyFill="1" applyAlignment="1">
      <alignment horizontal="center" vertical="center" wrapText="1"/>
    </xf>
    <xf numFmtId="0" fontId="85" fillId="0" borderId="0" xfId="1" applyFont="1" applyFill="1" applyAlignment="1">
      <alignment horizontal="justify" vertical="center" wrapText="1"/>
    </xf>
    <xf numFmtId="0" fontId="85" fillId="0" borderId="0" xfId="1" applyFont="1" applyFill="1" applyAlignment="1">
      <alignment horizontal="justify" vertical="justify" wrapText="1"/>
    </xf>
    <xf numFmtId="0" fontId="65" fillId="5" borderId="43" xfId="1" applyFont="1" applyFill="1" applyBorder="1" applyAlignment="1">
      <alignment horizontal="center" vertical="center"/>
    </xf>
    <xf numFmtId="0" fontId="67" fillId="5" borderId="3" xfId="1" applyFont="1" applyFill="1" applyBorder="1" applyAlignment="1">
      <alignment horizontal="center" vertical="center"/>
    </xf>
    <xf numFmtId="0" fontId="67" fillId="5" borderId="54" xfId="1" applyFont="1" applyFill="1" applyBorder="1" applyAlignment="1">
      <alignment horizontal="right" vertical="center"/>
    </xf>
    <xf numFmtId="0" fontId="67" fillId="5" borderId="6" xfId="1" applyFont="1" applyFill="1" applyBorder="1" applyAlignment="1">
      <alignment horizontal="right" vertical="center"/>
    </xf>
    <xf numFmtId="0" fontId="67" fillId="5" borderId="4" xfId="1" applyFont="1" applyFill="1" applyBorder="1" applyAlignment="1">
      <alignment horizontal="right" vertical="center"/>
    </xf>
    <xf numFmtId="0" fontId="85" fillId="0" borderId="0" xfId="1" applyFont="1" applyFill="1" applyAlignment="1">
      <alignment horizontal="left" vertical="center"/>
    </xf>
    <xf numFmtId="167" fontId="28" fillId="0" borderId="46" xfId="0" applyNumberFormat="1" applyFont="1" applyFill="1" applyBorder="1" applyAlignment="1">
      <alignment horizontal="center" vertical="center"/>
    </xf>
    <xf numFmtId="167" fontId="28" fillId="0" borderId="54" xfId="0" applyNumberFormat="1" applyFont="1" applyFill="1" applyBorder="1" applyAlignment="1">
      <alignment horizontal="center" vertical="center"/>
    </xf>
    <xf numFmtId="167" fontId="28" fillId="0" borderId="44" xfId="0" applyNumberFormat="1" applyFont="1" applyFill="1" applyBorder="1" applyAlignment="1">
      <alignment horizontal="center" vertical="center"/>
    </xf>
    <xf numFmtId="10" fontId="28" fillId="0" borderId="11" xfId="0" applyNumberFormat="1" applyFont="1" applyFill="1" applyBorder="1" applyAlignment="1">
      <alignment horizontal="center" vertical="center" wrapText="1"/>
    </xf>
    <xf numFmtId="10" fontId="28" fillId="0" borderId="35" xfId="0" applyNumberFormat="1" applyFont="1" applyFill="1" applyBorder="1" applyAlignment="1">
      <alignment horizontal="center" vertical="center" wrapText="1"/>
    </xf>
    <xf numFmtId="10" fontId="28" fillId="0" borderId="6" xfId="0" applyNumberFormat="1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67" fillId="0" borderId="56" xfId="0" applyFont="1" applyFill="1" applyBorder="1" applyAlignment="1">
      <alignment horizontal="center" vertical="center" wrapText="1"/>
    </xf>
    <xf numFmtId="0" fontId="67" fillId="0" borderId="57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167" fontId="28" fillId="0" borderId="4" xfId="0" applyNumberFormat="1" applyFont="1" applyFill="1" applyBorder="1" applyAlignment="1">
      <alignment horizontal="center" vertical="center"/>
    </xf>
    <xf numFmtId="167" fontId="28" fillId="5" borderId="4" xfId="0" applyNumberFormat="1" applyFont="1" applyFill="1" applyBorder="1" applyAlignment="1">
      <alignment horizontal="center" vertical="center"/>
    </xf>
    <xf numFmtId="167" fontId="28" fillId="5" borderId="54" xfId="0" applyNumberFormat="1" applyFont="1" applyFill="1" applyBorder="1" applyAlignment="1">
      <alignment horizontal="center" vertical="center"/>
    </xf>
    <xf numFmtId="167" fontId="28" fillId="0" borderId="4" xfId="0" applyNumberFormat="1" applyFont="1" applyFill="1" applyBorder="1" applyAlignment="1">
      <alignment horizontal="center" vertical="center" wrapText="1"/>
    </xf>
    <xf numFmtId="167" fontId="28" fillId="0" borderId="54" xfId="0" applyNumberFormat="1" applyFont="1" applyFill="1" applyBorder="1" applyAlignment="1">
      <alignment horizontal="center" vertical="center" wrapText="1"/>
    </xf>
    <xf numFmtId="10" fontId="28" fillId="0" borderId="46" xfId="0" applyNumberFormat="1" applyFont="1" applyFill="1" applyBorder="1" applyAlignment="1">
      <alignment horizontal="center" vertical="center" wrapText="1"/>
    </xf>
    <xf numFmtId="10" fontId="28" fillId="0" borderId="44" xfId="0" applyNumberFormat="1" applyFont="1" applyFill="1" applyBorder="1" applyAlignment="1">
      <alignment horizontal="center" vertical="center" wrapText="1"/>
    </xf>
    <xf numFmtId="10" fontId="28" fillId="0" borderId="54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10" fontId="28" fillId="0" borderId="11" xfId="0" applyNumberFormat="1" applyFont="1" applyFill="1" applyBorder="1" applyAlignment="1">
      <alignment horizontal="center" vertical="center"/>
    </xf>
    <xf numFmtId="10" fontId="28" fillId="0" borderId="35" xfId="0" applyNumberFormat="1" applyFont="1" applyFill="1" applyBorder="1" applyAlignment="1">
      <alignment horizontal="center" vertical="center"/>
    </xf>
    <xf numFmtId="10" fontId="28" fillId="0" borderId="6" xfId="0" applyNumberFormat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 wrapText="1"/>
    </xf>
    <xf numFmtId="169" fontId="56" fillId="5" borderId="46" xfId="0" applyNumberFormat="1" applyFont="1" applyFill="1" applyBorder="1" applyAlignment="1" applyProtection="1">
      <alignment horizontal="center" vertical="center" wrapText="1"/>
      <protection locked="0"/>
    </xf>
    <xf numFmtId="169" fontId="56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Font="1" applyFill="1" applyBorder="1" applyAlignment="1" applyProtection="1">
      <alignment horizontal="center" vertical="center" wrapText="1"/>
      <protection locked="0"/>
    </xf>
    <xf numFmtId="0" fontId="29" fillId="0" borderId="44" xfId="0" applyFont="1" applyFill="1" applyBorder="1" applyAlignment="1" applyProtection="1">
      <alignment horizontal="center" vertical="center" wrapText="1"/>
      <protection locked="0"/>
    </xf>
    <xf numFmtId="14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>
      <alignment horizontal="left" vertical="center"/>
    </xf>
    <xf numFmtId="14" fontId="84" fillId="5" borderId="59" xfId="0" applyNumberFormat="1" applyFont="1" applyFill="1" applyBorder="1" applyAlignment="1" applyProtection="1">
      <alignment horizontal="center" vertical="center" wrapText="1"/>
      <protection locked="0"/>
    </xf>
    <xf numFmtId="14" fontId="84" fillId="5" borderId="8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54" xfId="0" applyFont="1" applyFill="1" applyBorder="1" applyAlignment="1" applyProtection="1">
      <alignment horizontal="center" vertical="center" wrapText="1"/>
      <protection locked="0"/>
    </xf>
    <xf numFmtId="14" fontId="29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67" fillId="5" borderId="86" xfId="0" applyFont="1" applyFill="1" applyBorder="1" applyAlignment="1">
      <alignment horizontal="center" vertical="center" wrapText="1"/>
    </xf>
    <xf numFmtId="0" fontId="67" fillId="5" borderId="64" xfId="0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1" xfId="0" applyFont="1" applyFill="1" applyBorder="1" applyAlignment="1" applyProtection="1">
      <alignment horizontal="center" vertical="center" wrapText="1"/>
      <protection locked="0"/>
    </xf>
    <xf numFmtId="14" fontId="2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54" xfId="0" applyFont="1" applyFill="1" applyBorder="1" applyAlignment="1" applyProtection="1">
      <alignment horizontal="center" vertical="center" wrapText="1"/>
      <protection locked="0"/>
    </xf>
    <xf numFmtId="0" fontId="28" fillId="0" borderId="46" xfId="0" applyFont="1" applyFill="1" applyBorder="1" applyAlignment="1" applyProtection="1">
      <alignment horizontal="center" vertical="center" wrapText="1"/>
      <protection locked="0"/>
    </xf>
    <xf numFmtId="169" fontId="56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4" xfId="0" applyFont="1" applyFill="1" applyBorder="1" applyAlignment="1">
      <alignment horizontal="center" vertical="center" wrapText="1"/>
    </xf>
    <xf numFmtId="0" fontId="55" fillId="0" borderId="54" xfId="0" applyFont="1" applyFill="1" applyBorder="1" applyAlignment="1">
      <alignment horizontal="center" vertical="center" wrapText="1"/>
    </xf>
    <xf numFmtId="0" fontId="54" fillId="0" borderId="46" xfId="0" applyFont="1" applyFill="1" applyBorder="1" applyAlignment="1">
      <alignment horizontal="center" vertical="center" wrapText="1"/>
    </xf>
    <xf numFmtId="0" fontId="54" fillId="0" borderId="44" xfId="0" applyFont="1" applyFill="1" applyBorder="1" applyAlignment="1">
      <alignment horizontal="center" vertical="center" wrapText="1"/>
    </xf>
    <xf numFmtId="0" fontId="54" fillId="0" borderId="54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/>
    </xf>
    <xf numFmtId="0" fontId="28" fillId="0" borderId="54" xfId="0" applyFont="1" applyFill="1" applyBorder="1" applyAlignment="1">
      <alignment horizontal="left" vertical="center"/>
    </xf>
    <xf numFmtId="0" fontId="28" fillId="0" borderId="44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>
      <alignment horizontal="left" vertical="center" wrapText="1"/>
    </xf>
    <xf numFmtId="0" fontId="28" fillId="0" borderId="54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28" fillId="10" borderId="54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justify" vertical="center" wrapText="1"/>
    </xf>
    <xf numFmtId="0" fontId="28" fillId="0" borderId="54" xfId="0" applyFont="1" applyFill="1" applyBorder="1" applyAlignment="1">
      <alignment horizontal="justify" vertical="center" wrapText="1"/>
    </xf>
    <xf numFmtId="0" fontId="88" fillId="0" borderId="59" xfId="0" applyFont="1" applyFill="1" applyBorder="1" applyAlignment="1">
      <alignment horizontal="center" vertical="center" wrapText="1"/>
    </xf>
    <xf numFmtId="0" fontId="88" fillId="0" borderId="41" xfId="0" applyFont="1" applyFill="1" applyBorder="1" applyAlignment="1">
      <alignment horizontal="center" vertical="center" wrapText="1"/>
    </xf>
    <xf numFmtId="0" fontId="88" fillId="0" borderId="88" xfId="0" applyFont="1" applyFill="1" applyBorder="1" applyAlignment="1">
      <alignment horizontal="center" vertical="center" wrapText="1"/>
    </xf>
    <xf numFmtId="0" fontId="67" fillId="5" borderId="59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14" fontId="28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>
      <alignment horizontal="left" vertical="center"/>
    </xf>
    <xf numFmtId="0" fontId="29" fillId="0" borderId="54" xfId="0" applyFont="1" applyFill="1" applyBorder="1" applyAlignment="1">
      <alignment horizontal="left" vertical="center"/>
    </xf>
    <xf numFmtId="0" fontId="28" fillId="0" borderId="3" xfId="0" applyFont="1" applyFill="1" applyBorder="1" applyAlignment="1" applyProtection="1">
      <alignment horizontal="justify" vertical="center" wrapText="1"/>
      <protection locked="0"/>
    </xf>
    <xf numFmtId="0" fontId="28" fillId="0" borderId="54" xfId="0" applyFont="1" applyFill="1" applyBorder="1" applyAlignment="1" applyProtection="1">
      <alignment horizontal="justify" vertical="center" wrapText="1"/>
      <protection locked="0"/>
    </xf>
    <xf numFmtId="0" fontId="29" fillId="0" borderId="3" xfId="0" applyFont="1" applyFill="1" applyBorder="1" applyAlignment="1">
      <alignment horizontal="left" vertical="center" wrapText="1"/>
    </xf>
    <xf numFmtId="0" fontId="29" fillId="0" borderId="54" xfId="0" applyFont="1" applyFill="1" applyBorder="1" applyAlignment="1">
      <alignment horizontal="left" vertical="center" wrapText="1"/>
    </xf>
    <xf numFmtId="0" fontId="29" fillId="0" borderId="46" xfId="0" applyFont="1" applyFill="1" applyBorder="1" applyAlignment="1">
      <alignment horizontal="left" vertical="center"/>
    </xf>
    <xf numFmtId="0" fontId="29" fillId="0" borderId="46" xfId="0" applyFont="1" applyFill="1" applyBorder="1" applyAlignment="1">
      <alignment horizontal="right" vertical="center" wrapText="1"/>
    </xf>
    <xf numFmtId="0" fontId="29" fillId="0" borderId="3" xfId="0" applyFont="1" applyFill="1" applyBorder="1" applyAlignment="1">
      <alignment horizontal="right" vertical="center" wrapText="1"/>
    </xf>
    <xf numFmtId="0" fontId="29" fillId="0" borderId="54" xfId="0" applyFont="1" applyFill="1" applyBorder="1" applyAlignment="1">
      <alignment horizontal="right" vertical="center" wrapText="1"/>
    </xf>
    <xf numFmtId="0" fontId="28" fillId="0" borderId="3" xfId="0" applyFont="1" applyFill="1" applyBorder="1" applyAlignment="1" applyProtection="1">
      <alignment horizontal="left" vertical="center"/>
      <protection locked="0"/>
    </xf>
    <xf numFmtId="0" fontId="28" fillId="0" borderId="54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69" fontId="56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>
      <alignment horizontal="right" vertical="center"/>
    </xf>
    <xf numFmtId="0" fontId="29" fillId="0" borderId="54" xfId="0" applyFont="1" applyFill="1" applyBorder="1" applyAlignment="1">
      <alignment horizontal="right" vertical="center"/>
    </xf>
    <xf numFmtId="0" fontId="56" fillId="13" borderId="12" xfId="0" applyFont="1" applyFill="1" applyBorder="1" applyAlignment="1" applyProtection="1">
      <alignment horizontal="center" vertical="center" wrapText="1"/>
      <protection locked="0"/>
    </xf>
    <xf numFmtId="0" fontId="56" fillId="13" borderId="56" xfId="0" applyFont="1" applyFill="1" applyBorder="1" applyAlignment="1" applyProtection="1">
      <alignment horizontal="center" vertical="center" wrapText="1"/>
      <protection locked="0"/>
    </xf>
    <xf numFmtId="0" fontId="56" fillId="13" borderId="57" xfId="0" applyFont="1" applyFill="1" applyBorder="1" applyAlignment="1" applyProtection="1">
      <alignment horizontal="center" vertical="center" wrapText="1"/>
      <protection locked="0"/>
    </xf>
    <xf numFmtId="14" fontId="36" fillId="13" borderId="12" xfId="0" applyNumberFormat="1" applyFont="1" applyFill="1" applyBorder="1" applyAlignment="1" applyProtection="1">
      <alignment horizontal="center" vertical="center" wrapText="1"/>
      <protection locked="0"/>
    </xf>
    <xf numFmtId="14" fontId="36" fillId="13" borderId="56" xfId="0" applyNumberFormat="1" applyFont="1" applyFill="1" applyBorder="1" applyAlignment="1" applyProtection="1">
      <alignment horizontal="center" vertical="center" wrapText="1"/>
      <protection locked="0"/>
    </xf>
    <xf numFmtId="14" fontId="36" fillId="13" borderId="57" xfId="0" applyNumberFormat="1" applyFont="1" applyFill="1" applyBorder="1" applyAlignment="1" applyProtection="1">
      <alignment horizontal="center" vertical="center" wrapText="1"/>
      <protection locked="0"/>
    </xf>
    <xf numFmtId="0" fontId="89" fillId="5" borderId="59" xfId="0" applyFont="1" applyFill="1" applyBorder="1" applyAlignment="1" applyProtection="1">
      <alignment horizontal="center" vertical="center" wrapText="1"/>
      <protection locked="0"/>
    </xf>
    <xf numFmtId="0" fontId="89" fillId="5" borderId="41" xfId="0" applyFont="1" applyFill="1" applyBorder="1" applyAlignment="1" applyProtection="1">
      <alignment horizontal="center" vertical="center" wrapText="1"/>
      <protection locked="0"/>
    </xf>
    <xf numFmtId="0" fontId="89" fillId="5" borderId="88" xfId="0" applyFont="1" applyFill="1" applyBorder="1" applyAlignment="1" applyProtection="1">
      <alignment horizontal="center" vertical="center" wrapText="1"/>
      <protection locked="0"/>
    </xf>
    <xf numFmtId="14" fontId="8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67" fillId="5" borderId="39" xfId="0" applyFont="1" applyFill="1" applyBorder="1" applyAlignment="1">
      <alignment horizontal="center" vertical="center" wrapText="1"/>
    </xf>
    <xf numFmtId="0" fontId="67" fillId="5" borderId="40" xfId="0" applyFont="1" applyFill="1" applyBorder="1" applyAlignment="1">
      <alignment horizontal="center" vertical="center" wrapText="1"/>
    </xf>
    <xf numFmtId="14" fontId="2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 applyProtection="1">
      <alignment horizontal="center" vertical="center" wrapText="1"/>
      <protection locked="0"/>
    </xf>
    <xf numFmtId="0" fontId="89" fillId="5" borderId="13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 wrapText="1"/>
      <protection locked="0"/>
    </xf>
    <xf numFmtId="169" fontId="56" fillId="6" borderId="46" xfId="0" applyNumberFormat="1" applyFont="1" applyFill="1" applyBorder="1" applyAlignment="1" applyProtection="1">
      <alignment horizontal="center" vertical="center" wrapText="1"/>
      <protection locked="0"/>
    </xf>
    <xf numFmtId="169" fontId="56" fillId="6" borderId="44" xfId="0" applyNumberFormat="1" applyFont="1" applyFill="1" applyBorder="1" applyAlignment="1" applyProtection="1">
      <alignment horizontal="center" vertical="center" wrapText="1"/>
      <protection locked="0"/>
    </xf>
    <xf numFmtId="14" fontId="5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8" xfId="0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Fill="1" applyBorder="1" applyAlignment="1">
      <alignment horizontal="center" vertical="center"/>
    </xf>
    <xf numFmtId="0" fontId="29" fillId="0" borderId="7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center" vertical="center" wrapText="1"/>
    </xf>
    <xf numFmtId="0" fontId="57" fillId="0" borderId="54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/>
    </xf>
    <xf numFmtId="0" fontId="67" fillId="0" borderId="56" xfId="0" applyFont="1" applyFill="1" applyBorder="1" applyAlignment="1">
      <alignment horizontal="center" vertical="center"/>
    </xf>
    <xf numFmtId="0" fontId="67" fillId="0" borderId="57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28" fillId="0" borderId="54" xfId="0" applyFont="1" applyFill="1" applyBorder="1" applyAlignment="1">
      <alignment vertical="center"/>
    </xf>
    <xf numFmtId="0" fontId="67" fillId="5" borderId="55" xfId="0" applyFont="1" applyFill="1" applyBorder="1" applyAlignment="1">
      <alignment horizontal="center" vertical="center" wrapText="1"/>
    </xf>
    <xf numFmtId="0" fontId="67" fillId="5" borderId="88" xfId="0" applyFont="1" applyFill="1" applyBorder="1" applyAlignment="1">
      <alignment horizontal="center" vertical="center" wrapText="1"/>
    </xf>
    <xf numFmtId="14" fontId="28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7" xfId="0" applyFont="1" applyFill="1" applyBorder="1" applyAlignment="1" applyProtection="1">
      <alignment horizontal="center" vertical="center" wrapText="1"/>
      <protection locked="0"/>
    </xf>
    <xf numFmtId="14" fontId="2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>
      <alignment horizontal="center" vertical="center"/>
    </xf>
    <xf numFmtId="20" fontId="88" fillId="5" borderId="21" xfId="0" applyNumberFormat="1" applyFont="1" applyFill="1" applyBorder="1" applyAlignment="1" applyProtection="1">
      <alignment horizontal="center" vertical="center" wrapText="1"/>
      <protection locked="0"/>
    </xf>
    <xf numFmtId="20" fontId="88" fillId="5" borderId="34" xfId="0" applyNumberFormat="1" applyFont="1" applyFill="1" applyBorder="1" applyAlignment="1" applyProtection="1">
      <alignment horizontal="center" vertical="center" wrapText="1"/>
      <protection locked="0"/>
    </xf>
    <xf numFmtId="20" fontId="88" fillId="5" borderId="38" xfId="0" applyNumberFormat="1" applyFont="1" applyFill="1" applyBorder="1" applyAlignment="1" applyProtection="1">
      <alignment horizontal="center" vertical="center" wrapText="1"/>
      <protection locked="0"/>
    </xf>
    <xf numFmtId="20" fontId="88" fillId="5" borderId="65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center"/>
    </xf>
    <xf numFmtId="0" fontId="28" fillId="0" borderId="35" xfId="0" applyFont="1" applyFill="1" applyBorder="1" applyAlignment="1">
      <alignment horizontal="center"/>
    </xf>
    <xf numFmtId="167" fontId="28" fillId="0" borderId="46" xfId="0" applyNumberFormat="1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60" fillId="13" borderId="12" xfId="0" applyFont="1" applyFill="1" applyBorder="1" applyAlignment="1">
      <alignment horizontal="center" vertical="center" wrapText="1"/>
    </xf>
    <xf numFmtId="0" fontId="60" fillId="13" borderId="56" xfId="0" applyFont="1" applyFill="1" applyBorder="1" applyAlignment="1">
      <alignment horizontal="center" vertical="center" wrapText="1"/>
    </xf>
    <xf numFmtId="0" fontId="60" fillId="13" borderId="57" xfId="0" applyFont="1" applyFill="1" applyBorder="1" applyAlignment="1">
      <alignment horizontal="center" vertical="center" wrapText="1"/>
    </xf>
    <xf numFmtId="0" fontId="56" fillId="13" borderId="9" xfId="0" applyFont="1" applyFill="1" applyBorder="1" applyAlignment="1" applyProtection="1">
      <alignment horizontal="center" vertical="center" wrapText="1"/>
      <protection locked="0"/>
    </xf>
    <xf numFmtId="0" fontId="56" fillId="13" borderId="10" xfId="0" applyFont="1" applyFill="1" applyBorder="1" applyAlignment="1" applyProtection="1">
      <alignment horizontal="center" vertical="center" wrapText="1"/>
      <protection locked="0"/>
    </xf>
    <xf numFmtId="0" fontId="56" fillId="13" borderId="14" xfId="0" applyFont="1" applyFill="1" applyBorder="1" applyAlignment="1" applyProtection="1">
      <alignment horizontal="center" vertical="center" wrapText="1"/>
      <protection locked="0"/>
    </xf>
    <xf numFmtId="14" fontId="36" fillId="13" borderId="15" xfId="0" applyNumberFormat="1" applyFont="1" applyFill="1" applyBorder="1" applyAlignment="1" applyProtection="1">
      <alignment horizontal="center" vertical="center" wrapText="1"/>
      <protection locked="0"/>
    </xf>
    <xf numFmtId="14" fontId="36" fillId="13" borderId="68" xfId="0" applyNumberFormat="1" applyFont="1" applyFill="1" applyBorder="1" applyAlignment="1" applyProtection="1">
      <alignment horizontal="center" vertical="center" wrapText="1"/>
      <protection locked="0"/>
    </xf>
    <xf numFmtId="14" fontId="36" fillId="13" borderId="16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1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0" fontId="60" fillId="13" borderId="39" xfId="0" applyFont="1" applyFill="1" applyBorder="1" applyAlignment="1">
      <alignment horizontal="center" vertical="center" wrapText="1"/>
    </xf>
    <xf numFmtId="0" fontId="60" fillId="13" borderId="40" xfId="0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28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 applyProtection="1">
      <alignment horizontal="center" vertical="center" wrapText="1"/>
      <protection locked="0"/>
    </xf>
    <xf numFmtId="0" fontId="29" fillId="0" borderId="35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35" xfId="0" applyFont="1" applyFill="1" applyBorder="1" applyAlignment="1">
      <alignment horizontal="left" vertical="center"/>
    </xf>
    <xf numFmtId="0" fontId="28" fillId="0" borderId="35" xfId="0" applyFont="1" applyFill="1" applyBorder="1" applyAlignment="1">
      <alignment horizontal="left" vertical="center"/>
    </xf>
    <xf numFmtId="0" fontId="28" fillId="0" borderId="44" xfId="0" applyFont="1" applyFill="1" applyBorder="1" applyAlignment="1">
      <alignment horizontal="justify" vertical="center" wrapText="1"/>
    </xf>
    <xf numFmtId="0" fontId="29" fillId="0" borderId="44" xfId="0" applyFont="1" applyFill="1" applyBorder="1" applyAlignment="1">
      <alignment horizontal="right" vertical="center" wrapText="1"/>
    </xf>
    <xf numFmtId="0" fontId="29" fillId="0" borderId="44" xfId="0" applyFont="1" applyFill="1" applyBorder="1" applyAlignment="1">
      <alignment horizontal="left" vertical="center" wrapText="1"/>
    </xf>
    <xf numFmtId="167" fontId="28" fillId="10" borderId="11" xfId="4" applyFont="1" applyFill="1" applyBorder="1" applyAlignment="1">
      <alignment horizontal="center" vertical="center"/>
    </xf>
    <xf numFmtId="167" fontId="28" fillId="10" borderId="35" xfId="4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left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28" fillId="0" borderId="44" xfId="0" applyFont="1" applyFill="1" applyBorder="1" applyAlignment="1">
      <alignment horizontal="left" vertical="center"/>
    </xf>
    <xf numFmtId="0" fontId="28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35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 wrapText="1"/>
    </xf>
    <xf numFmtId="0" fontId="29" fillId="0" borderId="3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 applyProtection="1">
      <alignment horizontal="justify" vertical="center" wrapText="1"/>
      <protection locked="0"/>
    </xf>
    <xf numFmtId="0" fontId="28" fillId="0" borderId="35" xfId="0" applyFont="1" applyFill="1" applyBorder="1" applyAlignment="1" applyProtection="1">
      <alignment horizontal="justify" vertical="center" wrapText="1"/>
      <protection locked="0"/>
    </xf>
    <xf numFmtId="0" fontId="29" fillId="0" borderId="11" xfId="0" applyFont="1" applyFill="1" applyBorder="1" applyAlignment="1">
      <alignment horizontal="right" vertical="center" wrapText="1"/>
    </xf>
    <xf numFmtId="0" fontId="29" fillId="0" borderId="6" xfId="0" applyFont="1" applyFill="1" applyBorder="1" applyAlignment="1">
      <alignment horizontal="right" vertical="center" wrapText="1"/>
    </xf>
    <xf numFmtId="0" fontId="29" fillId="0" borderId="35" xfId="0" applyFont="1" applyFill="1" applyBorder="1" applyAlignment="1">
      <alignment horizontal="right" vertical="center" wrapText="1"/>
    </xf>
    <xf numFmtId="0" fontId="29" fillId="0" borderId="44" xfId="0" applyFont="1" applyFill="1" applyBorder="1" applyAlignment="1">
      <alignment horizontal="right" vertical="center"/>
    </xf>
    <xf numFmtId="0" fontId="28" fillId="0" borderId="6" xfId="0" applyFont="1" applyFill="1" applyBorder="1" applyAlignment="1">
      <alignment horizontal="justify" vertical="center" wrapText="1"/>
    </xf>
    <xf numFmtId="0" fontId="28" fillId="0" borderId="35" xfId="0" applyFont="1" applyFill="1" applyBorder="1" applyAlignment="1">
      <alignment horizontal="justify" vertical="center" wrapText="1"/>
    </xf>
    <xf numFmtId="0" fontId="29" fillId="0" borderId="44" xfId="0" applyFont="1" applyFill="1" applyBorder="1" applyAlignment="1">
      <alignment horizontal="center" vertical="center"/>
    </xf>
    <xf numFmtId="0" fontId="29" fillId="0" borderId="8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 applyProtection="1">
      <alignment horizontal="left" vertical="center"/>
      <protection locked="0"/>
    </xf>
    <xf numFmtId="0" fontId="28" fillId="0" borderId="35" xfId="0" applyFont="1" applyFill="1" applyBorder="1" applyAlignment="1" applyProtection="1">
      <alignment horizontal="left" vertical="center"/>
      <protection locked="0"/>
    </xf>
    <xf numFmtId="14" fontId="29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13" xfId="0" applyFont="1" applyFill="1" applyBorder="1" applyAlignment="1">
      <alignment horizontal="center" vertical="center" wrapText="1"/>
    </xf>
    <xf numFmtId="0" fontId="67" fillId="5" borderId="12" xfId="0" applyFont="1" applyFill="1" applyBorder="1" applyAlignment="1">
      <alignment horizontal="center" vertical="center"/>
    </xf>
    <xf numFmtId="0" fontId="67" fillId="5" borderId="56" xfId="0" applyFont="1" applyFill="1" applyBorder="1" applyAlignment="1">
      <alignment horizontal="center" vertical="center"/>
    </xf>
    <xf numFmtId="0" fontId="67" fillId="5" borderId="57" xfId="0" applyFont="1" applyFill="1" applyBorder="1" applyAlignment="1">
      <alignment horizontal="center" vertical="center"/>
    </xf>
    <xf numFmtId="14" fontId="2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28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84" fillId="5" borderId="86" xfId="0" applyNumberFormat="1" applyFont="1" applyFill="1" applyBorder="1" applyAlignment="1" applyProtection="1">
      <alignment horizontal="center" vertical="center" wrapText="1"/>
      <protection locked="0"/>
    </xf>
    <xf numFmtId="14" fontId="84" fillId="5" borderId="6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7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36" xfId="0" applyFont="1" applyFill="1" applyBorder="1" applyAlignment="1">
      <alignment horizontal="left" vertical="center"/>
    </xf>
    <xf numFmtId="0" fontId="67" fillId="5" borderId="12" xfId="0" applyFont="1" applyFill="1" applyBorder="1" applyAlignment="1">
      <alignment horizontal="center" vertical="center" wrapText="1"/>
    </xf>
    <xf numFmtId="0" fontId="67" fillId="5" borderId="56" xfId="0" applyFont="1" applyFill="1" applyBorder="1" applyAlignment="1">
      <alignment horizontal="center" vertical="center" wrapText="1"/>
    </xf>
    <xf numFmtId="0" fontId="67" fillId="5" borderId="57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68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left" vertical="center" wrapText="1"/>
    </xf>
    <xf numFmtId="169" fontId="29" fillId="5" borderId="46" xfId="0" applyNumberFormat="1" applyFont="1" applyFill="1" applyBorder="1" applyAlignment="1" applyProtection="1">
      <alignment horizontal="center" vertical="center" wrapText="1"/>
      <protection locked="0"/>
    </xf>
    <xf numFmtId="169" fontId="29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4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right" vertical="center"/>
    </xf>
    <xf numFmtId="0" fontId="29" fillId="0" borderId="35" xfId="0" applyFont="1" applyFill="1" applyBorder="1" applyAlignment="1">
      <alignment horizontal="right" vertical="center"/>
    </xf>
    <xf numFmtId="0" fontId="28" fillId="10" borderId="6" xfId="0" applyFont="1" applyFill="1" applyBorder="1" applyAlignment="1">
      <alignment horizontal="left" vertical="center" wrapText="1"/>
    </xf>
    <xf numFmtId="0" fontId="28" fillId="10" borderId="35" xfId="0" applyFont="1" applyFill="1" applyBorder="1" applyAlignment="1">
      <alignment horizontal="left" vertical="center" wrapText="1"/>
    </xf>
    <xf numFmtId="167" fontId="28" fillId="10" borderId="6" xfId="4" applyFont="1" applyFill="1" applyBorder="1" applyAlignment="1">
      <alignment horizontal="center" vertical="center"/>
    </xf>
    <xf numFmtId="169" fontId="5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11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14" fontId="84" fillId="5" borderId="39" xfId="0" applyNumberFormat="1" applyFont="1" applyFill="1" applyBorder="1" applyAlignment="1" applyProtection="1">
      <alignment horizontal="center" vertical="center" wrapText="1"/>
      <protection locked="0"/>
    </xf>
    <xf numFmtId="14" fontId="84" fillId="5" borderId="85" xfId="0" applyNumberFormat="1" applyFont="1" applyFill="1" applyBorder="1" applyAlignment="1" applyProtection="1">
      <alignment horizontal="center" vertical="center" wrapText="1"/>
      <protection locked="0"/>
    </xf>
    <xf numFmtId="14" fontId="84" fillId="5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4" xfId="0" applyFont="1" applyFill="1" applyBorder="1" applyAlignment="1" applyProtection="1">
      <alignment horizontal="justify" vertical="center" wrapText="1"/>
      <protection locked="0"/>
    </xf>
    <xf numFmtId="0" fontId="29" fillId="5" borderId="46" xfId="0" applyFont="1" applyFill="1" applyBorder="1" applyAlignment="1" applyProtection="1">
      <alignment horizontal="center" vertical="center" wrapText="1"/>
      <protection locked="0"/>
    </xf>
    <xf numFmtId="0" fontId="29" fillId="5" borderId="44" xfId="0" applyFont="1" applyFill="1" applyBorder="1" applyAlignment="1" applyProtection="1">
      <alignment horizontal="center" vertical="center" wrapText="1"/>
      <protection locked="0"/>
    </xf>
    <xf numFmtId="0" fontId="28" fillId="0" borderId="54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8" fillId="0" borderId="35" xfId="0" applyFont="1" applyFill="1" applyBorder="1" applyAlignment="1">
      <alignment vertical="center" wrapText="1"/>
    </xf>
    <xf numFmtId="0" fontId="28" fillId="0" borderId="5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34" fillId="0" borderId="54" xfId="14" applyFont="1" applyFill="1" applyBorder="1" applyAlignment="1">
      <alignment horizontal="center" vertical="center" wrapText="1"/>
    </xf>
    <xf numFmtId="0" fontId="34" fillId="0" borderId="6" xfId="14" applyFont="1" applyFill="1" applyBorder="1" applyAlignment="1">
      <alignment horizontal="center" vertical="center" wrapText="1"/>
    </xf>
    <xf numFmtId="0" fontId="34" fillId="0" borderId="4" xfId="14" applyFont="1" applyFill="1" applyBorder="1" applyAlignment="1">
      <alignment horizontal="center" vertical="center" wrapText="1"/>
    </xf>
    <xf numFmtId="0" fontId="34" fillId="0" borderId="3" xfId="14" applyFont="1" applyFill="1" applyBorder="1" applyAlignment="1">
      <alignment horizontal="center" vertical="center" wrapText="1"/>
    </xf>
    <xf numFmtId="0" fontId="39" fillId="0" borderId="0" xfId="14" applyFont="1" applyFill="1" applyAlignment="1">
      <alignment horizontal="center" vertical="center"/>
    </xf>
    <xf numFmtId="0" fontId="39" fillId="0" borderId="0" xfId="14" applyFont="1" applyFill="1" applyAlignment="1">
      <alignment horizontal="center" vertical="center" wrapText="1"/>
    </xf>
    <xf numFmtId="0" fontId="34" fillId="0" borderId="0" xfId="14" applyFont="1" applyFill="1" applyBorder="1" applyAlignment="1">
      <alignment horizontal="center" vertical="center"/>
    </xf>
    <xf numFmtId="0" fontId="36" fillId="10" borderId="3" xfId="14" applyFont="1" applyFill="1" applyBorder="1" applyAlignment="1">
      <alignment horizontal="justify" vertical="center" wrapText="1"/>
    </xf>
    <xf numFmtId="0" fontId="52" fillId="0" borderId="54" xfId="14" applyFont="1" applyFill="1" applyBorder="1" applyAlignment="1">
      <alignment horizontal="center" vertical="center" wrapText="1"/>
    </xf>
    <xf numFmtId="0" fontId="52" fillId="0" borderId="6" xfId="14" applyFont="1" applyFill="1" applyBorder="1" applyAlignment="1">
      <alignment horizontal="center" vertical="center" wrapText="1"/>
    </xf>
    <xf numFmtId="0" fontId="52" fillId="0" borderId="4" xfId="14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27" fillId="10" borderId="3" xfId="14" applyFont="1" applyFill="1" applyBorder="1" applyAlignment="1">
      <alignment horizontal="justify" vertical="center" wrapText="1"/>
    </xf>
    <xf numFmtId="0" fontId="52" fillId="7" borderId="3" xfId="0" applyFont="1" applyFill="1" applyBorder="1" applyAlignment="1">
      <alignment horizontal="center" vertical="center" wrapText="1"/>
    </xf>
    <xf numFmtId="0" fontId="52" fillId="0" borderId="3" xfId="14" applyFont="1" applyFill="1" applyBorder="1" applyAlignment="1">
      <alignment horizontal="center" vertical="center" wrapText="1"/>
    </xf>
    <xf numFmtId="0" fontId="82" fillId="8" borderId="3" xfId="14" applyFont="1" applyFill="1" applyBorder="1" applyAlignment="1">
      <alignment horizontal="center" vertical="center"/>
    </xf>
    <xf numFmtId="0" fontId="82" fillId="8" borderId="3" xfId="14" applyFont="1" applyFill="1" applyBorder="1" applyAlignment="1">
      <alignment horizontal="center" vertical="center" wrapText="1"/>
    </xf>
    <xf numFmtId="0" fontId="91" fillId="0" borderId="0" xfId="14" applyFont="1" applyFill="1" applyAlignment="1">
      <alignment horizontal="center" vertical="center"/>
    </xf>
    <xf numFmtId="0" fontId="93" fillId="0" borderId="0" xfId="14" applyFont="1" applyFill="1" applyAlignment="1">
      <alignment horizontal="center" vertical="center" wrapText="1"/>
    </xf>
    <xf numFmtId="0" fontId="82" fillId="0" borderId="54" xfId="14" applyFont="1" applyFill="1" applyBorder="1" applyAlignment="1">
      <alignment horizontal="center" vertical="center" wrapText="1"/>
    </xf>
    <xf numFmtId="0" fontId="82" fillId="0" borderId="6" xfId="14" applyFont="1" applyFill="1" applyBorder="1" applyAlignment="1">
      <alignment horizontal="center" vertical="center" wrapText="1"/>
    </xf>
    <xf numFmtId="0" fontId="82" fillId="0" borderId="4" xfId="14" applyFont="1" applyFill="1" applyBorder="1" applyAlignment="1">
      <alignment horizontal="center" vertical="center" wrapText="1"/>
    </xf>
    <xf numFmtId="0" fontId="83" fillId="10" borderId="3" xfId="14" applyFont="1" applyFill="1" applyBorder="1" applyAlignment="1">
      <alignment horizontal="justify" vertical="center" wrapText="1"/>
    </xf>
    <xf numFmtId="0" fontId="82" fillId="8" borderId="54" xfId="14" applyFont="1" applyFill="1" applyBorder="1" applyAlignment="1">
      <alignment horizontal="center" vertical="center" wrapText="1"/>
    </xf>
    <xf numFmtId="0" fontId="82" fillId="8" borderId="4" xfId="14" applyFont="1" applyFill="1" applyBorder="1" applyAlignment="1">
      <alignment horizontal="center" vertical="center" wrapText="1"/>
    </xf>
    <xf numFmtId="0" fontId="84" fillId="10" borderId="3" xfId="14" applyFont="1" applyFill="1" applyBorder="1" applyAlignment="1">
      <alignment horizontal="justify" vertical="center" wrapText="1"/>
    </xf>
    <xf numFmtId="0" fontId="82" fillId="8" borderId="67" xfId="14" applyFont="1" applyFill="1" applyBorder="1" applyAlignment="1">
      <alignment horizontal="center" vertical="center" wrapText="1"/>
    </xf>
    <xf numFmtId="0" fontId="82" fillId="8" borderId="7" xfId="14" applyFont="1" applyFill="1" applyBorder="1" applyAlignment="1">
      <alignment horizontal="center" vertical="center" wrapText="1"/>
    </xf>
    <xf numFmtId="0" fontId="82" fillId="11" borderId="0" xfId="14" applyFont="1" applyFill="1" applyBorder="1" applyAlignment="1">
      <alignment horizontal="center" vertical="center" wrapText="1"/>
    </xf>
    <xf numFmtId="0" fontId="82" fillId="8" borderId="43" xfId="14" applyFont="1" applyFill="1" applyBorder="1" applyAlignment="1">
      <alignment horizontal="center" vertical="center" wrapText="1"/>
    </xf>
    <xf numFmtId="0" fontId="83" fillId="0" borderId="54" xfId="8" applyFont="1" applyFill="1" applyBorder="1" applyAlignment="1">
      <alignment horizontal="left" vertical="center" wrapText="1"/>
    </xf>
    <xf numFmtId="0" fontId="83" fillId="0" borderId="4" xfId="8" applyFont="1" applyFill="1" applyBorder="1" applyAlignment="1">
      <alignment horizontal="left" vertical="center" wrapText="1"/>
    </xf>
    <xf numFmtId="0" fontId="95" fillId="0" borderId="0" xfId="8" applyFont="1" applyFill="1" applyBorder="1" applyAlignment="1">
      <alignment horizontal="center" vertical="center"/>
    </xf>
    <xf numFmtId="0" fontId="95" fillId="0" borderId="0" xfId="8" applyFont="1" applyFill="1" applyAlignment="1">
      <alignment horizontal="center" vertical="center"/>
    </xf>
    <xf numFmtId="0" fontId="63" fillId="14" borderId="3" xfId="8" applyFont="1" applyFill="1" applyBorder="1" applyAlignment="1">
      <alignment horizontal="center" vertical="center"/>
    </xf>
    <xf numFmtId="0" fontId="95" fillId="6" borderId="0" xfId="8" applyFont="1" applyFill="1" applyBorder="1" applyAlignment="1">
      <alignment horizontal="center" vertical="center"/>
    </xf>
    <xf numFmtId="0" fontId="95" fillId="6" borderId="0" xfId="8" applyFont="1" applyFill="1" applyAlignment="1">
      <alignment horizontal="center" vertical="center"/>
    </xf>
    <xf numFmtId="0" fontId="69" fillId="0" borderId="46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0" fontId="69" fillId="0" borderId="44" xfId="0" applyFont="1" applyBorder="1" applyAlignment="1">
      <alignment horizontal="left" vertical="center" wrapText="1"/>
    </xf>
    <xf numFmtId="0" fontId="32" fillId="0" borderId="46" xfId="0" applyFont="1" applyFill="1" applyBorder="1" applyAlignment="1">
      <alignment horizontal="left"/>
    </xf>
    <xf numFmtId="0" fontId="32" fillId="0" borderId="3" xfId="0" applyFont="1" applyFill="1" applyBorder="1" applyAlignment="1">
      <alignment horizontal="left"/>
    </xf>
    <xf numFmtId="0" fontId="32" fillId="0" borderId="44" xfId="0" applyFont="1" applyFill="1" applyBorder="1" applyAlignment="1">
      <alignment horizontal="left"/>
    </xf>
    <xf numFmtId="0" fontId="68" fillId="0" borderId="46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9" fillId="0" borderId="46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3" fillId="0" borderId="54" xfId="8" applyFont="1" applyFill="1" applyBorder="1" applyAlignment="1">
      <alignment horizontal="left" vertical="center"/>
    </xf>
    <xf numFmtId="0" fontId="63" fillId="0" borderId="6" xfId="8" applyFont="1" applyFill="1" applyBorder="1" applyAlignment="1">
      <alignment horizontal="left" vertical="center"/>
    </xf>
    <xf numFmtId="0" fontId="63" fillId="0" borderId="6" xfId="8" applyFont="1" applyFill="1" applyBorder="1" applyAlignment="1">
      <alignment horizontal="center" vertical="center"/>
    </xf>
    <xf numFmtId="0" fontId="63" fillId="0" borderId="3" xfId="8" applyFont="1" applyFill="1" applyBorder="1" applyAlignment="1">
      <alignment horizontal="center" vertical="center"/>
    </xf>
    <xf numFmtId="0" fontId="82" fillId="0" borderId="3" xfId="8" applyFont="1" applyFill="1" applyBorder="1" applyAlignment="1">
      <alignment horizontal="left" vertical="center"/>
    </xf>
    <xf numFmtId="0" fontId="68" fillId="0" borderId="46" xfId="0" applyFont="1" applyBorder="1" applyAlignment="1">
      <alignment horizontal="right" vertical="center" wrapText="1"/>
    </xf>
    <xf numFmtId="0" fontId="68" fillId="0" borderId="3" xfId="0" applyFont="1" applyBorder="1" applyAlignment="1">
      <alignment horizontal="right" vertical="center" wrapText="1"/>
    </xf>
    <xf numFmtId="171" fontId="63" fillId="0" borderId="3" xfId="8" applyNumberFormat="1" applyFont="1" applyFill="1" applyBorder="1" applyAlignment="1">
      <alignment horizontal="right" vertical="center"/>
    </xf>
    <xf numFmtId="0" fontId="63" fillId="0" borderId="3" xfId="10" applyFont="1" applyFill="1" applyBorder="1" applyAlignment="1">
      <alignment horizontal="center" vertical="center"/>
    </xf>
    <xf numFmtId="0" fontId="63" fillId="0" borderId="3" xfId="10" applyFont="1" applyFill="1" applyBorder="1" applyAlignment="1">
      <alignment horizontal="center" vertical="center" wrapText="1"/>
    </xf>
    <xf numFmtId="0" fontId="61" fillId="0" borderId="54" xfId="8" applyFont="1" applyFill="1" applyBorder="1" applyAlignment="1">
      <alignment horizontal="left" vertical="center" wrapText="1"/>
    </xf>
    <xf numFmtId="0" fontId="61" fillId="0" borderId="6" xfId="8" applyFont="1" applyFill="1" applyBorder="1" applyAlignment="1">
      <alignment horizontal="left" vertical="center" wrapText="1"/>
    </xf>
    <xf numFmtId="0" fontId="61" fillId="0" borderId="4" xfId="8" applyFont="1" applyFill="1" applyBorder="1" applyAlignment="1">
      <alignment horizontal="left" vertical="center" wrapText="1"/>
    </xf>
    <xf numFmtId="171" fontId="61" fillId="0" borderId="54" xfId="8" applyNumberFormat="1" applyFont="1" applyFill="1" applyBorder="1" applyAlignment="1">
      <alignment horizontal="right" vertical="center"/>
    </xf>
    <xf numFmtId="171" fontId="61" fillId="0" borderId="4" xfId="8" applyNumberFormat="1" applyFont="1" applyFill="1" applyBorder="1" applyAlignment="1">
      <alignment horizontal="right" vertical="center"/>
    </xf>
    <xf numFmtId="0" fontId="32" fillId="7" borderId="72" xfId="0" applyFont="1" applyFill="1" applyBorder="1" applyAlignment="1">
      <alignment horizontal="center" vertical="center"/>
    </xf>
    <xf numFmtId="0" fontId="32" fillId="7" borderId="40" xfId="0" applyFont="1" applyFill="1" applyBorder="1" applyAlignment="1">
      <alignment horizontal="center" vertical="center"/>
    </xf>
    <xf numFmtId="0" fontId="68" fillId="0" borderId="30" xfId="0" applyFont="1" applyBorder="1" applyAlignment="1">
      <alignment horizontal="right" vertical="center" wrapText="1"/>
    </xf>
    <xf numFmtId="8" fontId="68" fillId="0" borderId="30" xfId="0" applyNumberFormat="1" applyFont="1" applyBorder="1" applyAlignment="1">
      <alignment horizontal="right" vertical="center" wrapText="1"/>
    </xf>
    <xf numFmtId="0" fontId="63" fillId="0" borderId="4" xfId="8" applyFont="1" applyFill="1" applyBorder="1" applyAlignment="1">
      <alignment horizontal="left" vertical="center"/>
    </xf>
    <xf numFmtId="0" fontId="63" fillId="0" borderId="67" xfId="10" applyFont="1" applyFill="1" applyBorder="1" applyAlignment="1">
      <alignment horizontal="center" vertical="center"/>
    </xf>
    <xf numFmtId="0" fontId="63" fillId="0" borderId="7" xfId="10" applyFont="1" applyFill="1" applyBorder="1" applyAlignment="1">
      <alignment horizontal="center" vertical="center"/>
    </xf>
    <xf numFmtId="0" fontId="63" fillId="0" borderId="42" xfId="1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/>
    </xf>
    <xf numFmtId="0" fontId="32" fillId="5" borderId="29" xfId="0" applyFont="1" applyFill="1" applyBorder="1" applyAlignment="1">
      <alignment horizontal="center"/>
    </xf>
    <xf numFmtId="0" fontId="32" fillId="5" borderId="47" xfId="0" applyFont="1" applyFill="1" applyBorder="1" applyAlignment="1">
      <alignment horizontal="center"/>
    </xf>
    <xf numFmtId="0" fontId="68" fillId="5" borderId="46" xfId="0" applyFont="1" applyFill="1" applyBorder="1" applyAlignment="1">
      <alignment horizontal="center"/>
    </xf>
    <xf numFmtId="0" fontId="68" fillId="5" borderId="3" xfId="0" applyFont="1" applyFill="1" applyBorder="1" applyAlignment="1">
      <alignment horizontal="center"/>
    </xf>
    <xf numFmtId="0" fontId="68" fillId="5" borderId="44" xfId="0" applyFont="1" applyFill="1" applyBorder="1" applyAlignment="1">
      <alignment horizontal="center"/>
    </xf>
    <xf numFmtId="0" fontId="68" fillId="0" borderId="46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left" vertical="center" wrapText="1"/>
    </xf>
    <xf numFmtId="0" fontId="68" fillId="0" borderId="44" xfId="0" applyFont="1" applyBorder="1" applyAlignment="1">
      <alignment horizontal="left" vertical="center" wrapText="1"/>
    </xf>
    <xf numFmtId="0" fontId="82" fillId="0" borderId="3" xfId="8" applyFont="1" applyFill="1" applyBorder="1" applyAlignment="1">
      <alignment horizontal="center" vertical="center"/>
    </xf>
    <xf numFmtId="0" fontId="82" fillId="0" borderId="54" xfId="8" applyFont="1" applyFill="1" applyBorder="1" applyAlignment="1">
      <alignment horizontal="center" vertical="center"/>
    </xf>
    <xf numFmtId="0" fontId="82" fillId="0" borderId="6" xfId="8" applyFont="1" applyFill="1" applyBorder="1" applyAlignment="1">
      <alignment horizontal="center" vertical="center"/>
    </xf>
    <xf numFmtId="0" fontId="82" fillId="0" borderId="4" xfId="8" applyFont="1" applyFill="1" applyBorder="1" applyAlignment="1">
      <alignment horizontal="center" vertical="center"/>
    </xf>
    <xf numFmtId="0" fontId="82" fillId="0" borderId="54" xfId="8" applyFont="1" applyFill="1" applyBorder="1" applyAlignment="1">
      <alignment horizontal="left" vertical="center"/>
    </xf>
    <xf numFmtId="0" fontId="82" fillId="0" borderId="6" xfId="8" applyFont="1" applyFill="1" applyBorder="1" applyAlignment="1">
      <alignment horizontal="left" vertical="center"/>
    </xf>
    <xf numFmtId="0" fontId="82" fillId="0" borderId="4" xfId="8" applyFont="1" applyFill="1" applyBorder="1" applyAlignment="1">
      <alignment horizontal="left" vertical="center"/>
    </xf>
    <xf numFmtId="0" fontId="83" fillId="0" borderId="32" xfId="8" applyFont="1" applyBorder="1" applyAlignment="1">
      <alignment horizontal="center" vertical="center"/>
    </xf>
    <xf numFmtId="0" fontId="83" fillId="0" borderId="7" xfId="8" applyFont="1" applyBorder="1" applyAlignment="1">
      <alignment horizontal="center" vertical="center"/>
    </xf>
    <xf numFmtId="0" fontId="82" fillId="0" borderId="32" xfId="8" applyFont="1" applyFill="1" applyBorder="1" applyAlignment="1">
      <alignment horizontal="center" vertical="center"/>
    </xf>
    <xf numFmtId="0" fontId="82" fillId="0" borderId="70" xfId="8" applyFont="1" applyFill="1" applyBorder="1" applyAlignment="1">
      <alignment horizontal="center" vertical="center"/>
    </xf>
    <xf numFmtId="0" fontId="82" fillId="0" borderId="7" xfId="8" applyFont="1" applyFill="1" applyBorder="1" applyAlignment="1">
      <alignment horizontal="center" vertical="center"/>
    </xf>
    <xf numFmtId="0" fontId="82" fillId="0" borderId="42" xfId="8" applyFont="1" applyFill="1" applyBorder="1" applyAlignment="1">
      <alignment horizontal="center" vertical="center"/>
    </xf>
    <xf numFmtId="0" fontId="83" fillId="0" borderId="54" xfId="8" applyFont="1" applyFill="1" applyBorder="1" applyAlignment="1">
      <alignment horizontal="center" vertical="center" wrapText="1"/>
    </xf>
    <xf numFmtId="0" fontId="83" fillId="0" borderId="4" xfId="8" applyFont="1" applyFill="1" applyBorder="1" applyAlignment="1">
      <alignment horizontal="center" vertical="center" wrapText="1"/>
    </xf>
    <xf numFmtId="0" fontId="83" fillId="0" borderId="70" xfId="8" applyFont="1" applyBorder="1" applyAlignment="1">
      <alignment horizontal="center" vertical="center"/>
    </xf>
    <xf numFmtId="0" fontId="83" fillId="0" borderId="0" xfId="8" applyFont="1" applyAlignment="1">
      <alignment horizontal="center" vertical="center"/>
    </xf>
    <xf numFmtId="0" fontId="83" fillId="0" borderId="71" xfId="8" applyFont="1" applyBorder="1" applyAlignment="1">
      <alignment horizontal="center" vertical="center"/>
    </xf>
    <xf numFmtId="0" fontId="61" fillId="0" borderId="3" xfId="8" applyFont="1" applyFill="1" applyBorder="1" applyAlignment="1">
      <alignment horizontal="justify" vertical="center" wrapText="1"/>
    </xf>
    <xf numFmtId="0" fontId="63" fillId="5" borderId="3" xfId="8" applyFont="1" applyFill="1" applyBorder="1" applyAlignment="1">
      <alignment horizontal="center" vertical="center"/>
    </xf>
    <xf numFmtId="0" fontId="63" fillId="0" borderId="54" xfId="10" applyFont="1" applyFill="1" applyBorder="1" applyAlignment="1">
      <alignment horizontal="center" vertical="center" wrapText="1"/>
    </xf>
    <xf numFmtId="0" fontId="63" fillId="0" borderId="6" xfId="10" applyFont="1" applyFill="1" applyBorder="1" applyAlignment="1">
      <alignment horizontal="center" vertical="center" wrapText="1"/>
    </xf>
    <xf numFmtId="0" fontId="63" fillId="0" borderId="4" xfId="10" applyFont="1" applyFill="1" applyBorder="1" applyAlignment="1">
      <alignment horizontal="center" vertical="center" wrapText="1"/>
    </xf>
    <xf numFmtId="0" fontId="63" fillId="0" borderId="54" xfId="10" applyFont="1" applyFill="1" applyBorder="1" applyAlignment="1">
      <alignment horizontal="center" vertical="center"/>
    </xf>
    <xf numFmtId="0" fontId="63" fillId="0" borderId="6" xfId="10" applyFont="1" applyFill="1" applyBorder="1" applyAlignment="1">
      <alignment horizontal="center" vertical="center"/>
    </xf>
    <xf numFmtId="0" fontId="63" fillId="0" borderId="4" xfId="10" applyFont="1" applyFill="1" applyBorder="1" applyAlignment="1">
      <alignment horizontal="center" vertical="center"/>
    </xf>
    <xf numFmtId="171" fontId="63" fillId="0" borderId="3" xfId="8" applyNumberFormat="1" applyFont="1" applyFill="1" applyBorder="1" applyAlignment="1">
      <alignment horizontal="center" vertical="center"/>
    </xf>
    <xf numFmtId="171" fontId="61" fillId="0" borderId="54" xfId="8" applyNumberFormat="1" applyFont="1" applyFill="1" applyBorder="1" applyAlignment="1">
      <alignment horizontal="center" vertical="center"/>
    </xf>
    <xf numFmtId="171" fontId="61" fillId="0" borderId="4" xfId="8" applyNumberFormat="1" applyFont="1" applyFill="1" applyBorder="1" applyAlignment="1">
      <alignment horizontal="center" vertical="center"/>
    </xf>
    <xf numFmtId="0" fontId="62" fillId="0" borderId="0" xfId="8" applyFont="1" applyFill="1" applyAlignment="1">
      <alignment horizontal="center" vertical="center"/>
    </xf>
    <xf numFmtId="0" fontId="79" fillId="0" borderId="7" xfId="0" applyFont="1" applyBorder="1" applyAlignment="1">
      <alignment horizontal="center" vertical="center"/>
    </xf>
    <xf numFmtId="0" fontId="63" fillId="6" borderId="28" xfId="8" applyFont="1" applyFill="1" applyBorder="1" applyAlignment="1">
      <alignment horizontal="center" vertical="center"/>
    </xf>
    <xf numFmtId="0" fontId="63" fillId="6" borderId="29" xfId="8" applyFont="1" applyFill="1" applyBorder="1" applyAlignment="1">
      <alignment horizontal="center" vertical="center"/>
    </xf>
    <xf numFmtId="0" fontId="63" fillId="6" borderId="47" xfId="8" applyFont="1" applyFill="1" applyBorder="1" applyAlignment="1">
      <alignment horizontal="center" vertical="center"/>
    </xf>
    <xf numFmtId="0" fontId="63" fillId="0" borderId="46" xfId="10" applyFont="1" applyFill="1" applyBorder="1" applyAlignment="1">
      <alignment horizontal="center" vertical="center"/>
    </xf>
    <xf numFmtId="0" fontId="83" fillId="0" borderId="3" xfId="8" applyFont="1" applyFill="1" applyBorder="1" applyAlignment="1">
      <alignment horizontal="left" vertical="center" wrapText="1"/>
    </xf>
    <xf numFmtId="0" fontId="63" fillId="0" borderId="3" xfId="8" applyFont="1" applyFill="1" applyBorder="1" applyAlignment="1">
      <alignment horizontal="left" vertical="center"/>
    </xf>
    <xf numFmtId="0" fontId="63" fillId="0" borderId="30" xfId="8" applyFont="1" applyFill="1" applyBorder="1" applyAlignment="1">
      <alignment horizontal="left" vertical="center"/>
    </xf>
    <xf numFmtId="0" fontId="67" fillId="0" borderId="3" xfId="8" applyFont="1" applyFill="1" applyBorder="1" applyAlignment="1">
      <alignment horizontal="right" vertical="center"/>
    </xf>
    <xf numFmtId="0" fontId="56" fillId="4" borderId="28" xfId="8" applyFont="1" applyFill="1" applyBorder="1" applyAlignment="1">
      <alignment horizontal="center" vertical="center"/>
    </xf>
    <xf numFmtId="0" fontId="56" fillId="4" borderId="29" xfId="8" applyFont="1" applyFill="1" applyBorder="1" applyAlignment="1">
      <alignment horizontal="center" vertical="center"/>
    </xf>
    <xf numFmtId="0" fontId="56" fillId="4" borderId="61" xfId="8" applyFont="1" applyFill="1" applyBorder="1" applyAlignment="1">
      <alignment horizontal="center" vertical="center"/>
    </xf>
    <xf numFmtId="0" fontId="56" fillId="4" borderId="19" xfId="8" applyFont="1" applyFill="1" applyBorder="1" applyAlignment="1">
      <alignment horizontal="center" vertical="center"/>
    </xf>
    <xf numFmtId="0" fontId="56" fillId="4" borderId="30" xfId="8" applyFont="1" applyFill="1" applyBorder="1" applyAlignment="1">
      <alignment horizontal="center" vertical="center"/>
    </xf>
    <xf numFmtId="0" fontId="56" fillId="4" borderId="49" xfId="8" applyFont="1" applyFill="1" applyBorder="1" applyAlignment="1">
      <alignment horizontal="center" vertical="center"/>
    </xf>
    <xf numFmtId="44" fontId="66" fillId="6" borderId="3" xfId="8" applyNumberFormat="1" applyFont="1" applyFill="1" applyBorder="1" applyAlignment="1">
      <alignment horizontal="center" vertical="center"/>
    </xf>
    <xf numFmtId="0" fontId="66" fillId="6" borderId="3" xfId="8" applyFont="1" applyFill="1" applyBorder="1" applyAlignment="1">
      <alignment horizontal="right" vertical="center"/>
    </xf>
    <xf numFmtId="0" fontId="33" fillId="6" borderId="3" xfId="8" applyFont="1" applyFill="1" applyBorder="1" applyAlignment="1">
      <alignment horizontal="right" vertical="center"/>
    </xf>
    <xf numFmtId="0" fontId="60" fillId="5" borderId="3" xfId="8" applyFont="1" applyFill="1" applyBorder="1" applyAlignment="1">
      <alignment horizontal="center" vertical="center"/>
    </xf>
    <xf numFmtId="0" fontId="67" fillId="6" borderId="3" xfId="8" applyFont="1" applyFill="1" applyBorder="1" applyAlignment="1">
      <alignment horizontal="center" vertical="center"/>
    </xf>
    <xf numFmtId="0" fontId="68" fillId="0" borderId="11" xfId="0" applyFont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0" fontId="68" fillId="0" borderId="35" xfId="0" applyFont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68" fillId="4" borderId="11" xfId="0" applyFont="1" applyFill="1" applyBorder="1" applyAlignment="1">
      <alignment horizontal="center"/>
    </xf>
    <xf numFmtId="0" fontId="68" fillId="4" borderId="6" xfId="0" applyFont="1" applyFill="1" applyBorder="1" applyAlignment="1">
      <alignment horizontal="center"/>
    </xf>
    <xf numFmtId="0" fontId="68" fillId="4" borderId="35" xfId="0" applyFont="1" applyFill="1" applyBorder="1" applyAlignment="1">
      <alignment horizontal="center"/>
    </xf>
    <xf numFmtId="0" fontId="69" fillId="0" borderId="11" xfId="0" applyFont="1" applyBorder="1" applyAlignment="1">
      <alignment horizontal="left" vertical="center" wrapText="1"/>
    </xf>
    <xf numFmtId="0" fontId="69" fillId="0" borderId="6" xfId="0" applyFont="1" applyBorder="1" applyAlignment="1">
      <alignment horizontal="left" vertical="center" wrapText="1"/>
    </xf>
    <xf numFmtId="0" fontId="69" fillId="0" borderId="35" xfId="0" applyFont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/>
    </xf>
    <xf numFmtId="0" fontId="32" fillId="0" borderId="6" xfId="0" applyFont="1" applyFill="1" applyBorder="1" applyAlignment="1">
      <alignment horizontal="left"/>
    </xf>
    <xf numFmtId="0" fontId="32" fillId="0" borderId="35" xfId="0" applyFont="1" applyFill="1" applyBorder="1" applyAlignment="1">
      <alignment horizontal="left"/>
    </xf>
    <xf numFmtId="0" fontId="68" fillId="0" borderId="0" xfId="0" applyFont="1" applyBorder="1" applyAlignment="1">
      <alignment horizontal="center" vertical="center" wrapText="1"/>
    </xf>
    <xf numFmtId="0" fontId="68" fillId="8" borderId="28" xfId="0" applyFont="1" applyFill="1" applyBorder="1" applyAlignment="1">
      <alignment horizontal="center" vertical="center" wrapText="1"/>
    </xf>
    <xf numFmtId="0" fontId="68" fillId="8" borderId="29" xfId="0" applyFont="1" applyFill="1" applyBorder="1" applyAlignment="1">
      <alignment horizontal="center" vertical="center" wrapText="1"/>
    </xf>
    <xf numFmtId="8" fontId="68" fillId="8" borderId="29" xfId="0" applyNumberFormat="1" applyFont="1" applyFill="1" applyBorder="1" applyAlignment="1">
      <alignment horizontal="center" vertical="center" wrapText="1"/>
    </xf>
    <xf numFmtId="8" fontId="68" fillId="8" borderId="47" xfId="0" applyNumberFormat="1" applyFont="1" applyFill="1" applyBorder="1" applyAlignment="1">
      <alignment horizontal="center" vertical="center" wrapText="1"/>
    </xf>
    <xf numFmtId="8" fontId="68" fillId="8" borderId="3" xfId="0" applyNumberFormat="1" applyFont="1" applyFill="1" applyBorder="1" applyAlignment="1">
      <alignment horizontal="center" vertical="center" wrapText="1"/>
    </xf>
    <xf numFmtId="0" fontId="68" fillId="8" borderId="30" xfId="0" applyFont="1" applyFill="1" applyBorder="1" applyAlignment="1">
      <alignment horizontal="center" vertical="center" wrapText="1"/>
    </xf>
    <xf numFmtId="10" fontId="68" fillId="8" borderId="3" xfId="0" applyNumberFormat="1" applyFont="1" applyFill="1" applyBorder="1" applyAlignment="1">
      <alignment horizontal="center" vertical="center" wrapText="1"/>
    </xf>
    <xf numFmtId="10" fontId="68" fillId="8" borderId="44" xfId="0" applyNumberFormat="1" applyFont="1" applyFill="1" applyBorder="1" applyAlignment="1">
      <alignment horizontal="center" vertical="center" wrapText="1"/>
    </xf>
    <xf numFmtId="10" fontId="68" fillId="8" borderId="30" xfId="0" applyNumberFormat="1" applyFont="1" applyFill="1" applyBorder="1" applyAlignment="1">
      <alignment horizontal="center" vertical="center" wrapText="1"/>
    </xf>
    <xf numFmtId="10" fontId="68" fillId="8" borderId="20" xfId="0" applyNumberFormat="1" applyFont="1" applyFill="1" applyBorder="1" applyAlignment="1">
      <alignment horizontal="center" vertical="center" wrapText="1"/>
    </xf>
    <xf numFmtId="0" fontId="68" fillId="8" borderId="19" xfId="0" applyFont="1" applyFill="1" applyBorder="1" applyAlignment="1">
      <alignment horizontal="right" vertical="center" wrapText="1"/>
    </xf>
    <xf numFmtId="0" fontId="68" fillId="8" borderId="30" xfId="0" applyFont="1" applyFill="1" applyBorder="1" applyAlignment="1">
      <alignment horizontal="right" vertical="center" wrapText="1"/>
    </xf>
    <xf numFmtId="0" fontId="70" fillId="0" borderId="11" xfId="0" applyFont="1" applyFill="1" applyBorder="1" applyAlignment="1">
      <alignment horizontal="left"/>
    </xf>
    <xf numFmtId="8" fontId="68" fillId="8" borderId="46" xfId="0" applyNumberFormat="1" applyFont="1" applyFill="1" applyBorder="1" applyAlignment="1">
      <alignment horizontal="right" vertical="center" wrapText="1"/>
    </xf>
    <xf numFmtId="8" fontId="68" fillId="8" borderId="3" xfId="0" applyNumberFormat="1" applyFont="1" applyFill="1" applyBorder="1" applyAlignment="1">
      <alignment horizontal="right" vertical="center" wrapText="1"/>
    </xf>
    <xf numFmtId="0" fontId="75" fillId="0" borderId="31" xfId="0" applyFont="1" applyBorder="1" applyAlignment="1">
      <alignment horizontal="center" vertical="center" wrapText="1"/>
    </xf>
    <xf numFmtId="0" fontId="75" fillId="0" borderId="32" xfId="0" applyFont="1" applyBorder="1" applyAlignment="1">
      <alignment horizontal="center" vertical="center" wrapText="1"/>
    </xf>
    <xf numFmtId="0" fontId="75" fillId="0" borderId="73" xfId="0" applyFont="1" applyBorder="1" applyAlignment="1">
      <alignment horizontal="center" vertical="center" wrapText="1"/>
    </xf>
    <xf numFmtId="0" fontId="76" fillId="0" borderId="74" xfId="0" applyFont="1" applyBorder="1" applyAlignment="1">
      <alignment horizontal="center" vertical="center" wrapText="1"/>
    </xf>
    <xf numFmtId="0" fontId="76" fillId="0" borderId="75" xfId="0" applyFont="1" applyBorder="1" applyAlignment="1">
      <alignment horizontal="center" vertical="center" wrapText="1"/>
    </xf>
    <xf numFmtId="0" fontId="76" fillId="0" borderId="76" xfId="0" applyFont="1" applyBorder="1" applyAlignment="1">
      <alignment horizontal="center" vertical="center" wrapText="1"/>
    </xf>
    <xf numFmtId="0" fontId="77" fillId="0" borderId="79" xfId="0" applyFont="1" applyBorder="1" applyAlignment="1">
      <alignment horizontal="left" vertical="center" wrapText="1"/>
    </xf>
    <xf numFmtId="0" fontId="77" fillId="0" borderId="76" xfId="0" applyFont="1" applyBorder="1" applyAlignment="1">
      <alignment horizontal="left" vertical="center" wrapText="1"/>
    </xf>
    <xf numFmtId="0" fontId="76" fillId="0" borderId="79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52" xfId="0" applyFont="1" applyBorder="1" applyAlignment="1">
      <alignment horizontal="center" vertical="center" wrapText="1"/>
    </xf>
    <xf numFmtId="0" fontId="77" fillId="0" borderId="74" xfId="0" applyFont="1" applyBorder="1" applyAlignment="1">
      <alignment horizontal="center" vertical="center" wrapText="1"/>
    </xf>
    <xf numFmtId="0" fontId="77" fillId="0" borderId="75" xfId="0" applyFont="1" applyBorder="1" applyAlignment="1">
      <alignment horizontal="center" vertical="center" wrapText="1"/>
    </xf>
    <xf numFmtId="0" fontId="77" fillId="0" borderId="76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76" fillId="0" borderId="81" xfId="0" applyFont="1" applyBorder="1" applyAlignment="1">
      <alignment horizontal="center" vertical="center" wrapText="1"/>
    </xf>
    <xf numFmtId="0" fontId="76" fillId="0" borderId="82" xfId="0" applyFont="1" applyBorder="1" applyAlignment="1">
      <alignment horizontal="center" vertical="center" wrapText="1"/>
    </xf>
    <xf numFmtId="0" fontId="76" fillId="0" borderId="83" xfId="0" applyFont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/>
    </xf>
    <xf numFmtId="0" fontId="32" fillId="4" borderId="29" xfId="0" applyFont="1" applyFill="1" applyBorder="1" applyAlignment="1">
      <alignment horizontal="center"/>
    </xf>
    <xf numFmtId="0" fontId="32" fillId="4" borderId="47" xfId="0" applyFont="1" applyFill="1" applyBorder="1" applyAlignment="1">
      <alignment horizontal="center"/>
    </xf>
    <xf numFmtId="0" fontId="68" fillId="4" borderId="46" xfId="0" applyFont="1" applyFill="1" applyBorder="1" applyAlignment="1">
      <alignment horizontal="center"/>
    </xf>
    <xf numFmtId="0" fontId="68" fillId="4" borderId="3" xfId="0" applyFont="1" applyFill="1" applyBorder="1" applyAlignment="1">
      <alignment horizontal="center"/>
    </xf>
    <xf numFmtId="0" fontId="68" fillId="4" borderId="44" xfId="0" applyFont="1" applyFill="1" applyBorder="1" applyAlignment="1">
      <alignment horizontal="center"/>
    </xf>
    <xf numFmtId="0" fontId="67" fillId="0" borderId="46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left" vertical="center" wrapText="1"/>
    </xf>
    <xf numFmtId="0" fontId="67" fillId="0" borderId="46" xfId="0" applyFont="1" applyBorder="1" applyAlignment="1">
      <alignment horizontal="right" vertical="center" wrapText="1"/>
    </xf>
    <xf numFmtId="0" fontId="67" fillId="0" borderId="3" xfId="0" applyFont="1" applyBorder="1" applyAlignment="1">
      <alignment horizontal="right" vertical="center" wrapText="1"/>
    </xf>
    <xf numFmtId="0" fontId="67" fillId="0" borderId="30" xfId="0" applyFont="1" applyBorder="1" applyAlignment="1">
      <alignment horizontal="right" vertical="center" wrapText="1"/>
    </xf>
    <xf numFmtId="8" fontId="67" fillId="0" borderId="30" xfId="0" applyNumberFormat="1" applyFont="1" applyBorder="1" applyAlignment="1">
      <alignment horizontal="right" vertical="center" wrapText="1"/>
    </xf>
    <xf numFmtId="8" fontId="73" fillId="8" borderId="46" xfId="0" applyNumberFormat="1" applyFont="1" applyFill="1" applyBorder="1" applyAlignment="1">
      <alignment horizontal="right" vertical="center" wrapText="1"/>
    </xf>
    <xf numFmtId="8" fontId="73" fillId="8" borderId="3" xfId="0" applyNumberFormat="1" applyFont="1" applyFill="1" applyBorder="1" applyAlignment="1">
      <alignment horizontal="right" vertical="center" wrapText="1"/>
    </xf>
    <xf numFmtId="10" fontId="67" fillId="0" borderId="69" xfId="0" applyNumberFormat="1" applyFont="1" applyFill="1" applyBorder="1" applyAlignment="1">
      <alignment horizontal="center" vertical="center" wrapText="1"/>
    </xf>
    <xf numFmtId="10" fontId="67" fillId="0" borderId="73" xfId="0" applyNumberFormat="1" applyFont="1" applyFill="1" applyBorder="1" applyAlignment="1">
      <alignment horizontal="center" vertical="center" wrapText="1"/>
    </xf>
    <xf numFmtId="10" fontId="67" fillId="0" borderId="2" xfId="0" applyNumberFormat="1" applyFont="1" applyFill="1" applyBorder="1" applyAlignment="1">
      <alignment horizontal="center" vertical="center" wrapText="1"/>
    </xf>
    <xf numFmtId="10" fontId="67" fillId="0" borderId="52" xfId="0" applyNumberFormat="1" applyFont="1" applyFill="1" applyBorder="1" applyAlignment="1">
      <alignment horizontal="center" vertical="center" wrapText="1"/>
    </xf>
    <xf numFmtId="10" fontId="67" fillId="0" borderId="64" xfId="0" applyNumberFormat="1" applyFont="1" applyFill="1" applyBorder="1" applyAlignment="1">
      <alignment horizontal="center" vertical="center" wrapText="1"/>
    </xf>
    <xf numFmtId="10" fontId="67" fillId="0" borderId="65" xfId="0" applyNumberFormat="1" applyFont="1" applyFill="1" applyBorder="1" applyAlignment="1">
      <alignment horizontal="center" vertical="center" wrapText="1"/>
    </xf>
    <xf numFmtId="0" fontId="72" fillId="8" borderId="15" xfId="0" applyFont="1" applyFill="1" applyBorder="1" applyAlignment="1">
      <alignment horizontal="center"/>
    </xf>
    <xf numFmtId="0" fontId="72" fillId="8" borderId="68" xfId="0" applyFont="1" applyFill="1" applyBorder="1" applyAlignment="1">
      <alignment horizontal="center"/>
    </xf>
    <xf numFmtId="0" fontId="72" fillId="8" borderId="66" xfId="0" applyFont="1" applyFill="1" applyBorder="1" applyAlignment="1">
      <alignment horizontal="center"/>
    </xf>
    <xf numFmtId="0" fontId="73" fillId="8" borderId="46" xfId="0" applyFont="1" applyFill="1" applyBorder="1" applyAlignment="1">
      <alignment horizontal="right" vertical="center" wrapText="1"/>
    </xf>
    <xf numFmtId="0" fontId="73" fillId="8" borderId="3" xfId="0" applyFont="1" applyFill="1" applyBorder="1" applyAlignment="1">
      <alignment horizontal="right" vertical="center" wrapText="1"/>
    </xf>
    <xf numFmtId="0" fontId="73" fillId="8" borderId="28" xfId="0" applyFont="1" applyFill="1" applyBorder="1" applyAlignment="1">
      <alignment horizontal="center" vertical="center" wrapText="1"/>
    </xf>
    <xf numFmtId="0" fontId="73" fillId="8" borderId="29" xfId="0" applyFont="1" applyFill="1" applyBorder="1" applyAlignment="1">
      <alignment horizontal="center" vertical="center" wrapText="1"/>
    </xf>
    <xf numFmtId="0" fontId="39" fillId="0" borderId="0" xfId="8" applyFont="1" applyAlignment="1">
      <alignment horizontal="center" vertical="center"/>
    </xf>
    <xf numFmtId="0" fontId="39" fillId="0" borderId="0" xfId="8" applyFont="1" applyFill="1" applyBorder="1" applyAlignment="1">
      <alignment horizontal="center" vertical="center"/>
    </xf>
    <xf numFmtId="0" fontId="36" fillId="0" borderId="0" xfId="8" quotePrefix="1" applyFont="1" applyAlignment="1">
      <alignment horizontal="justify" vertical="center" wrapText="1"/>
    </xf>
  </cellXfs>
  <cellStyles count="29">
    <cellStyle name="Bom" xfId="1" builtinId="26"/>
    <cellStyle name="Hiperlink 2" xfId="2"/>
    <cellStyle name="Hiperlink 2 2" xfId="3"/>
    <cellStyle name="Moeda" xfId="4" builtinId="4"/>
    <cellStyle name="Moeda 2" xfId="5"/>
    <cellStyle name="Moeda 2 2" xfId="6"/>
    <cellStyle name="Moeda 3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Porcentagem 2" xfId="18"/>
    <cellStyle name="Porcentagem 2 2" xfId="19"/>
    <cellStyle name="Porcentagem 3" xfId="20"/>
    <cellStyle name="Porcentagem 4" xfId="21"/>
    <cellStyle name="Separador de milhares 2" xfId="22"/>
    <cellStyle name="Separador de milhares 3" xfId="23"/>
    <cellStyle name="Separador de milhares 4" xfId="24"/>
    <cellStyle name="Título 1 1" xfId="25"/>
    <cellStyle name="Título 1 1 1" xfId="26"/>
    <cellStyle name="Vírgula" xfId="27" builtinId="3"/>
    <cellStyle name="Vírgula 2" xfId="28"/>
  </cellStyles>
  <dxfs count="0"/>
  <tableStyles count="0" defaultTableStyle="TableStyleMedium9" defaultPivotStyle="PivotStyleLight16"/>
  <colors>
    <mruColors>
      <color rgb="FFFFFF99"/>
      <color rgb="FFFFFF66"/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9</xdr:col>
          <xdr:colOff>190500</xdr:colOff>
          <xdr:row>36</xdr:row>
          <xdr:rowOff>47625</xdr:rowOff>
        </xdr:to>
        <xdr:pic>
          <xdr:nvPicPr>
            <xdr:cNvPr id="3" name="Imagem 2"/>
            <xdr:cNvPicPr>
              <a:picLocks noChangeAspect="1" noChangeArrowheads="1"/>
              <a:extLst>
                <a:ext uri="{84589F7E-364E-4C9E-8A38-B11213B215E9}">
                  <a14:cameraTool cellRange="[3]RESUMO!$A$1:$H$33" spid="_x0000_s54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9600" y="0"/>
              <a:ext cx="8096250" cy="58769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lma\Documents\029%20INICIAL%20LANCE%20FINAL%20-%20arredondamento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DO%20SETOR%20DE%20CONTRATOS\A2%20-%20REPACTUA&#199;&#213;ES\BRASFORT%20-%20CT%2012-2017-MME%20(VIGIL&#194;NCIA)\4%20-%20REPACTUACAO%20CCT%202019%20-%20ESPELH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DO%20SETOR%20DE%20CONTRATOS\A2%20-%20REPACTUA&#199;&#213;ES\BRASFORT%20-%20CT%2012-2017-MME%20(VIGIL&#194;NCIA)\REPACTS%20ANTERIORES\1%20-%20LANCE%20FINAL%20-%20Proposta%20Homolog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io"/>
      <sheetName val="AVISO"/>
      <sheetName val="Dados"/>
      <sheetName val="Proposta"/>
      <sheetName val="Dados Contratação"/>
      <sheetName val="Dados Proponente"/>
      <sheetName val="Insumos"/>
      <sheetName val="Vig Armada - Diurno"/>
      <sheetName val="Vig Armada - Noturno"/>
      <sheetName val="Valor Global"/>
      <sheetName val="Memória VT e VA"/>
      <sheetName val="Memória Desp.Adm"/>
      <sheetName val="Mem. encargos"/>
      <sheetName val="Resumo"/>
      <sheetName val="k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ROPOSTA INICIAL"/>
      <sheetName val="SUPERVISOR - DIURNO - 44h"/>
      <sheetName val="VIGILANTE - DIURNO 12x36 DD"/>
      <sheetName val="VIGILANTE - NOTURNO 12x36 ND"/>
      <sheetName val="UNIFORMES"/>
      <sheetName val="MAT e EQUIPS"/>
      <sheetName val="RESUMO"/>
      <sheetName val="MEMÓRIA ACRÉSCIMOS - REPACTUAÇÕ"/>
      <sheetName val="SÚMULA 444"/>
    </sheetNames>
    <sheetDataSet>
      <sheetData sheetId="0">
        <row r="4">
          <cell r="C4">
            <v>42788</v>
          </cell>
        </row>
        <row r="5">
          <cell r="C5" t="str">
            <v>Brasília - DF</v>
          </cell>
        </row>
        <row r="11">
          <cell r="C11" t="str">
            <v>2016/2016</v>
          </cell>
        </row>
        <row r="13">
          <cell r="C13">
            <v>12</v>
          </cell>
        </row>
        <row r="22">
          <cell r="A22" t="str">
            <v>Reserva Técnica</v>
          </cell>
        </row>
        <row r="23">
          <cell r="A23" t="str">
            <v>Encargos Sociais</v>
          </cell>
        </row>
        <row r="24">
          <cell r="A24" t="str">
            <v>Adicional Noturno - Cláusula 49ª da CCT/2016</v>
          </cell>
        </row>
        <row r="25">
          <cell r="A25" t="str">
            <v>Adicional de Periculosidade/Risco de Vida - (Lei nº 12.740/2012 e Cláusula 3ª § 4º da CCT/2016)</v>
          </cell>
        </row>
        <row r="82">
          <cell r="H82" t="str">
            <v>SINDESV/SINDESP-DF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roposta"/>
      <sheetName val="SUPERVISOR DIURNO - 44h"/>
      <sheetName val="VIGILANTE DIURNO 12x36 DD"/>
      <sheetName val="VIGILANTE NOTURNO 12x36 ND"/>
      <sheetName val="UNIFORMES"/>
      <sheetName val="MAT e EQUIPS"/>
      <sheetName val="RESUMO"/>
      <sheetName val="SÚMULA 444"/>
      <sheetName val="MEMÓRIA VT e VA"/>
      <sheetName val="MEM. ENCARGOS"/>
      <sheetName val="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 tint="0.79998168889431442"/>
  </sheetPr>
  <dimension ref="A1:II121"/>
  <sheetViews>
    <sheetView view="pageBreakPreview" topLeftCell="A52" zoomScale="90" zoomScaleNormal="100" zoomScaleSheetLayoutView="90" workbookViewId="0">
      <selection activeCell="H74" sqref="H74"/>
    </sheetView>
  </sheetViews>
  <sheetFormatPr defaultRowHeight="15.75" x14ac:dyDescent="0.2"/>
  <cols>
    <col min="1" max="1" width="14.28515625" style="31" customWidth="1"/>
    <col min="2" max="2" width="38.140625" style="305" customWidth="1"/>
    <col min="3" max="3" width="29.7109375" style="305" customWidth="1"/>
    <col min="4" max="4" width="19.140625" style="305" customWidth="1"/>
    <col min="5" max="5" width="11.85546875" style="31" customWidth="1"/>
    <col min="6" max="6" width="19" style="31" customWidth="1"/>
    <col min="7" max="7" width="11.7109375" style="31" customWidth="1"/>
    <col min="8" max="8" width="17.7109375" style="31" customWidth="1"/>
    <col min="9" max="9" width="73.42578125" style="31" customWidth="1"/>
    <col min="10" max="11" width="11.85546875" style="31" customWidth="1"/>
    <col min="12" max="12" width="21" style="31" bestFit="1" customWidth="1"/>
    <col min="13" max="13" width="16.5703125" style="31" customWidth="1"/>
    <col min="14" max="14" width="14.42578125" style="36" customWidth="1"/>
    <col min="15" max="15" width="14.140625" style="36" bestFit="1" customWidth="1"/>
    <col min="16" max="16" width="13.140625" style="36" bestFit="1" customWidth="1"/>
    <col min="17" max="39" width="9.140625" style="36"/>
    <col min="40" max="16384" width="9.140625" style="30"/>
  </cols>
  <sheetData>
    <row r="1" spans="1:13" ht="15" x14ac:dyDescent="0.2">
      <c r="A1" s="90" t="s">
        <v>324</v>
      </c>
      <c r="B1" s="279"/>
      <c r="C1" s="223"/>
      <c r="D1" s="296"/>
      <c r="E1" s="93"/>
      <c r="F1" s="756" t="s">
        <v>377</v>
      </c>
      <c r="G1" s="756"/>
      <c r="H1" s="756"/>
      <c r="I1" s="756"/>
      <c r="J1" s="93"/>
      <c r="K1" s="93"/>
      <c r="L1" s="766"/>
      <c r="M1" s="766"/>
    </row>
    <row r="2" spans="1:13" thickBot="1" x14ac:dyDescent="0.25">
      <c r="A2" s="90"/>
      <c r="B2" s="279"/>
      <c r="C2" s="223"/>
      <c r="D2" s="306"/>
      <c r="E2" s="93"/>
      <c r="F2" s="93"/>
      <c r="G2" s="93"/>
      <c r="H2" s="93"/>
      <c r="I2" s="93"/>
      <c r="J2" s="94" t="s">
        <v>369</v>
      </c>
      <c r="K2" s="94"/>
      <c r="L2" s="95">
        <v>1281417.21</v>
      </c>
      <c r="M2" s="96">
        <f>L67-L2</f>
        <v>38370.629999999997</v>
      </c>
    </row>
    <row r="3" spans="1:13" ht="15" x14ac:dyDescent="0.2">
      <c r="A3" s="274" t="s">
        <v>295</v>
      </c>
      <c r="B3" s="280"/>
      <c r="C3" s="775" t="s">
        <v>220</v>
      </c>
      <c r="D3" s="776"/>
      <c r="E3" s="97"/>
      <c r="F3" s="98"/>
      <c r="G3" s="98"/>
      <c r="H3" s="99"/>
      <c r="I3" s="99"/>
      <c r="J3" s="99"/>
      <c r="K3" s="99"/>
      <c r="L3" s="99"/>
      <c r="M3" s="99"/>
    </row>
    <row r="4" spans="1:13" ht="15" x14ac:dyDescent="0.2">
      <c r="A4" s="275" t="s">
        <v>36</v>
      </c>
      <c r="B4" s="281"/>
      <c r="C4" s="767">
        <v>42788</v>
      </c>
      <c r="D4" s="768"/>
      <c r="E4" s="101">
        <v>42809</v>
      </c>
      <c r="F4" s="91"/>
      <c r="G4" s="91"/>
      <c r="H4" s="99"/>
      <c r="I4" s="99"/>
      <c r="J4" s="99"/>
      <c r="K4" s="99"/>
      <c r="L4" s="99"/>
      <c r="M4" s="99"/>
    </row>
    <row r="5" spans="1:13" ht="15" x14ac:dyDescent="0.2">
      <c r="A5" s="275" t="s">
        <v>38</v>
      </c>
      <c r="B5" s="281"/>
      <c r="C5" s="769" t="s">
        <v>39</v>
      </c>
      <c r="D5" s="770"/>
      <c r="E5" s="101"/>
      <c r="F5" s="91"/>
      <c r="G5" s="91"/>
      <c r="H5" s="99"/>
      <c r="I5" s="99"/>
      <c r="J5" s="99"/>
      <c r="K5" s="99"/>
      <c r="L5" s="99"/>
      <c r="M5" s="99"/>
    </row>
    <row r="6" spans="1:13" ht="15" x14ac:dyDescent="0.2">
      <c r="A6" s="275" t="s">
        <v>41</v>
      </c>
      <c r="B6" s="281"/>
      <c r="C6" s="769" t="s">
        <v>200</v>
      </c>
      <c r="D6" s="770"/>
      <c r="E6" s="101"/>
      <c r="F6" s="91"/>
      <c r="G6" s="91"/>
      <c r="H6" s="99"/>
      <c r="I6" s="99"/>
      <c r="J6" s="99"/>
      <c r="K6" s="99"/>
      <c r="L6" s="99"/>
      <c r="M6" s="99"/>
    </row>
    <row r="7" spans="1:13" ht="15" x14ac:dyDescent="0.2">
      <c r="A7" s="275" t="s">
        <v>43</v>
      </c>
      <c r="B7" s="281"/>
      <c r="C7" s="771">
        <f>J76</f>
        <v>8</v>
      </c>
      <c r="D7" s="772"/>
      <c r="E7" s="102"/>
      <c r="F7" s="103"/>
      <c r="G7" s="103"/>
      <c r="H7" s="99"/>
      <c r="I7" s="99"/>
      <c r="J7" s="99"/>
      <c r="K7" s="99"/>
      <c r="L7" s="99"/>
      <c r="M7" s="99"/>
    </row>
    <row r="8" spans="1:13" ht="15" x14ac:dyDescent="0.2">
      <c r="A8" s="275" t="s">
        <v>94</v>
      </c>
      <c r="B8" s="282" t="s">
        <v>294</v>
      </c>
      <c r="C8" s="792" t="s">
        <v>201</v>
      </c>
      <c r="D8" s="793"/>
      <c r="E8" s="104"/>
      <c r="F8" s="105"/>
      <c r="G8" s="105"/>
      <c r="H8" s="90"/>
      <c r="I8" s="106"/>
      <c r="J8" s="106"/>
      <c r="K8" s="107"/>
      <c r="L8" s="107"/>
      <c r="M8" s="107"/>
    </row>
    <row r="9" spans="1:13" ht="15" x14ac:dyDescent="0.2">
      <c r="A9" s="275" t="s">
        <v>202</v>
      </c>
      <c r="B9" s="281"/>
      <c r="C9" s="773">
        <v>320004</v>
      </c>
      <c r="D9" s="774"/>
      <c r="E9" s="104"/>
      <c r="F9" s="105"/>
      <c r="G9" s="105"/>
      <c r="H9" s="90"/>
      <c r="I9" s="106"/>
      <c r="J9" s="106"/>
      <c r="K9" s="107"/>
      <c r="L9" s="107"/>
      <c r="M9" s="107"/>
    </row>
    <row r="10" spans="1:13" ht="15" x14ac:dyDescent="0.2">
      <c r="A10" s="276" t="s">
        <v>37</v>
      </c>
      <c r="B10" s="281"/>
      <c r="C10" s="777">
        <v>0.41666666666666702</v>
      </c>
      <c r="D10" s="778"/>
      <c r="E10" s="108"/>
      <c r="F10" s="109"/>
      <c r="G10" s="109"/>
      <c r="H10" s="90"/>
      <c r="I10" s="106"/>
      <c r="J10" s="106"/>
      <c r="K10" s="107"/>
      <c r="L10" s="107"/>
      <c r="M10" s="107"/>
    </row>
    <row r="11" spans="1:13" ht="15" x14ac:dyDescent="0.2">
      <c r="A11" s="276" t="s">
        <v>40</v>
      </c>
      <c r="B11" s="281"/>
      <c r="C11" s="783" t="s">
        <v>150</v>
      </c>
      <c r="D11" s="784"/>
      <c r="E11" s="110" t="s">
        <v>203</v>
      </c>
      <c r="F11" s="111"/>
      <c r="G11" s="111"/>
      <c r="H11" s="90"/>
      <c r="I11" s="106"/>
      <c r="J11" s="106"/>
      <c r="K11" s="107"/>
      <c r="L11" s="107"/>
      <c r="M11" s="107"/>
    </row>
    <row r="12" spans="1:13" ht="15" x14ac:dyDescent="0.2">
      <c r="A12" s="277" t="s">
        <v>42</v>
      </c>
      <c r="B12" s="283"/>
      <c r="C12" s="785" t="s">
        <v>93</v>
      </c>
      <c r="D12" s="786"/>
      <c r="E12" s="113"/>
      <c r="F12" s="98"/>
      <c r="G12" s="98"/>
      <c r="H12" s="90"/>
      <c r="I12" s="106"/>
      <c r="J12" s="106"/>
      <c r="K12" s="107"/>
      <c r="L12" s="107"/>
      <c r="M12" s="107"/>
    </row>
    <row r="13" spans="1:13" thickBot="1" x14ac:dyDescent="0.25">
      <c r="A13" s="278" t="s">
        <v>44</v>
      </c>
      <c r="B13" s="284"/>
      <c r="C13" s="779">
        <v>12</v>
      </c>
      <c r="D13" s="780"/>
      <c r="E13" s="113"/>
      <c r="F13" s="98"/>
      <c r="G13" s="98"/>
      <c r="H13" s="90"/>
      <c r="I13" s="106"/>
      <c r="J13" s="106"/>
      <c r="K13" s="107"/>
      <c r="L13" s="107"/>
      <c r="M13" s="107"/>
    </row>
    <row r="14" spans="1:13" ht="15" x14ac:dyDescent="0.2">
      <c r="A14" s="93"/>
      <c r="B14" s="234"/>
      <c r="C14" s="307"/>
      <c r="D14" s="308"/>
      <c r="E14" s="115"/>
      <c r="F14" s="103"/>
      <c r="G14" s="103"/>
      <c r="H14" s="90"/>
      <c r="I14" s="106"/>
      <c r="J14" s="106"/>
      <c r="K14" s="107"/>
      <c r="L14" s="107"/>
      <c r="M14" s="107"/>
    </row>
    <row r="15" spans="1:13" thickBot="1" x14ac:dyDescent="0.25">
      <c r="A15" s="91"/>
      <c r="B15" s="279"/>
      <c r="C15" s="279"/>
      <c r="D15" s="279"/>
      <c r="E15" s="91"/>
      <c r="F15" s="91"/>
      <c r="G15" s="91"/>
      <c r="H15" s="91"/>
      <c r="I15" s="91"/>
      <c r="J15" s="91"/>
      <c r="K15" s="91"/>
      <c r="L15" s="91"/>
      <c r="M15" s="98"/>
    </row>
    <row r="16" spans="1:13" ht="15" x14ac:dyDescent="0.2">
      <c r="A16" s="736" t="s">
        <v>204</v>
      </c>
      <c r="B16" s="737"/>
      <c r="C16" s="737"/>
      <c r="D16" s="737"/>
      <c r="E16" s="737"/>
      <c r="F16" s="737"/>
      <c r="G16" s="737"/>
      <c r="H16" s="737"/>
      <c r="I16" s="737"/>
      <c r="J16" s="737"/>
      <c r="K16" s="737"/>
      <c r="L16" s="737"/>
      <c r="M16" s="738"/>
    </row>
    <row r="17" spans="1:13" ht="15" x14ac:dyDescent="0.2">
      <c r="A17" s="748" t="s">
        <v>296</v>
      </c>
      <c r="B17" s="749"/>
      <c r="C17" s="749"/>
      <c r="D17" s="749"/>
      <c r="E17" s="749"/>
      <c r="F17" s="749"/>
      <c r="G17" s="749"/>
      <c r="H17" s="749"/>
      <c r="I17" s="749"/>
      <c r="J17" s="749"/>
      <c r="K17" s="749"/>
      <c r="L17" s="749"/>
      <c r="M17" s="750"/>
    </row>
    <row r="18" spans="1:13" ht="15" x14ac:dyDescent="0.2">
      <c r="A18" s="755" t="s">
        <v>205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57"/>
    </row>
    <row r="19" spans="1:13" thickBot="1" x14ac:dyDescent="0.25">
      <c r="A19" s="787" t="s">
        <v>206</v>
      </c>
      <c r="B19" s="788"/>
      <c r="C19" s="788"/>
      <c r="D19" s="788"/>
      <c r="E19" s="788"/>
      <c r="F19" s="788"/>
      <c r="G19" s="788"/>
      <c r="H19" s="788"/>
      <c r="I19" s="788"/>
      <c r="J19" s="788"/>
      <c r="K19" s="788"/>
      <c r="L19" s="788"/>
      <c r="M19" s="789"/>
    </row>
    <row r="20" spans="1:13" ht="15" x14ac:dyDescent="0.2">
      <c r="A20" s="56"/>
      <c r="B20" s="285"/>
      <c r="C20" s="285"/>
      <c r="D20" s="285"/>
      <c r="E20" s="56"/>
      <c r="F20" s="56"/>
      <c r="G20" s="56"/>
      <c r="H20" s="56"/>
      <c r="I20" s="56"/>
      <c r="J20" s="56"/>
      <c r="K20" s="111" t="s">
        <v>46</v>
      </c>
      <c r="L20" s="111"/>
      <c r="M20" s="111"/>
    </row>
    <row r="21" spans="1:13" thickBot="1" x14ac:dyDescent="0.25">
      <c r="A21" s="56"/>
      <c r="B21" s="285"/>
      <c r="C21" s="285"/>
      <c r="D21" s="285"/>
      <c r="E21" s="56"/>
      <c r="F21" s="75"/>
      <c r="G21" s="75"/>
      <c r="H21" s="75"/>
      <c r="I21" s="75"/>
      <c r="J21" s="75"/>
      <c r="K21" s="111"/>
      <c r="L21" s="111"/>
      <c r="M21" s="111"/>
    </row>
    <row r="22" spans="1:13" thickBot="1" x14ac:dyDescent="0.25">
      <c r="A22" s="271" t="s">
        <v>45</v>
      </c>
      <c r="B22" s="286"/>
      <c r="C22" s="309"/>
      <c r="D22" s="310">
        <v>0</v>
      </c>
      <c r="E22" s="118"/>
      <c r="F22" s="98"/>
      <c r="G22" s="98"/>
      <c r="H22" s="119"/>
      <c r="I22" s="119"/>
      <c r="J22" s="120"/>
      <c r="K22" s="111"/>
      <c r="L22" s="111"/>
      <c r="M22" s="111"/>
    </row>
    <row r="23" spans="1:13" thickBot="1" x14ac:dyDescent="0.25">
      <c r="A23" s="270" t="s">
        <v>47</v>
      </c>
      <c r="B23" s="281"/>
      <c r="C23" s="311"/>
      <c r="D23" s="312">
        <f>C118</f>
        <v>0.73460000000000003</v>
      </c>
      <c r="E23" s="118" t="s">
        <v>286</v>
      </c>
      <c r="F23" s="122" t="s">
        <v>285</v>
      </c>
      <c r="G23" s="123">
        <v>1888.29</v>
      </c>
      <c r="H23" s="124"/>
      <c r="I23" s="92"/>
      <c r="J23" s="125" t="s">
        <v>282</v>
      </c>
      <c r="K23" s="126" t="s">
        <v>235</v>
      </c>
      <c r="L23" s="127">
        <v>15.5</v>
      </c>
      <c r="M23" s="128" t="s">
        <v>48</v>
      </c>
    </row>
    <row r="24" spans="1:13" thickBot="1" x14ac:dyDescent="0.25">
      <c r="A24" s="272" t="s">
        <v>306</v>
      </c>
      <c r="B24" s="281"/>
      <c r="C24" s="311"/>
      <c r="D24" s="313">
        <v>0.2</v>
      </c>
      <c r="E24" s="130"/>
      <c r="F24" s="131"/>
      <c r="G24" s="132"/>
      <c r="H24" s="133"/>
      <c r="I24" s="134"/>
      <c r="J24" s="125" t="s">
        <v>283</v>
      </c>
      <c r="K24" s="126" t="s">
        <v>284</v>
      </c>
      <c r="L24" s="135">
        <v>20.5</v>
      </c>
      <c r="M24" s="136" t="s">
        <v>48</v>
      </c>
    </row>
    <row r="25" spans="1:13" ht="15" x14ac:dyDescent="0.2">
      <c r="A25" s="272" t="s">
        <v>305</v>
      </c>
      <c r="B25" s="281"/>
      <c r="C25" s="311"/>
      <c r="D25" s="314">
        <v>0.3</v>
      </c>
      <c r="E25" s="98"/>
      <c r="F25" s="98"/>
      <c r="G25" s="98"/>
      <c r="H25" s="119"/>
      <c r="I25" s="119"/>
      <c r="J25" s="120"/>
      <c r="K25" s="111"/>
      <c r="L25" s="137" t="s">
        <v>272</v>
      </c>
      <c r="M25" s="94"/>
    </row>
    <row r="26" spans="1:13" ht="15" x14ac:dyDescent="0.2">
      <c r="A26" s="272" t="s">
        <v>173</v>
      </c>
      <c r="B26" s="281"/>
      <c r="C26" s="311"/>
      <c r="D26" s="314">
        <v>0.1</v>
      </c>
      <c r="E26" s="98"/>
      <c r="F26" s="98"/>
      <c r="G26" s="98"/>
      <c r="H26" s="119"/>
      <c r="I26" s="119"/>
      <c r="J26" s="119"/>
      <c r="K26" s="98"/>
      <c r="L26" s="138"/>
      <c r="M26" s="139"/>
    </row>
    <row r="27" spans="1:13" ht="23.25" customHeight="1" x14ac:dyDescent="0.2">
      <c r="A27" s="847" t="s">
        <v>385</v>
      </c>
      <c r="B27" s="848"/>
      <c r="C27" s="849"/>
      <c r="D27" s="746">
        <v>1.5</v>
      </c>
      <c r="E27" s="98"/>
      <c r="F27" s="98"/>
      <c r="G27" s="98"/>
      <c r="H27" s="119"/>
      <c r="I27" s="119"/>
      <c r="J27" s="119"/>
      <c r="K27" s="98"/>
      <c r="L27" s="138"/>
      <c r="M27" s="139"/>
    </row>
    <row r="28" spans="1:13" thickBot="1" x14ac:dyDescent="0.25">
      <c r="A28" s="272" t="s">
        <v>386</v>
      </c>
      <c r="B28" s="281"/>
      <c r="C28" s="311"/>
      <c r="D28" s="747"/>
      <c r="E28" s="98"/>
      <c r="F28" s="98"/>
      <c r="G28" s="98"/>
      <c r="H28" s="119"/>
      <c r="I28" s="119"/>
      <c r="J28" s="119"/>
      <c r="K28" s="98"/>
      <c r="L28" s="138"/>
      <c r="M28" s="139"/>
    </row>
    <row r="29" spans="1:13" thickBot="1" x14ac:dyDescent="0.25">
      <c r="A29" s="273" t="s">
        <v>217</v>
      </c>
      <c r="B29" s="287"/>
      <c r="C29" s="287"/>
      <c r="D29" s="315">
        <v>9</v>
      </c>
      <c r="E29" s="130" t="s">
        <v>354</v>
      </c>
      <c r="F29" s="98"/>
      <c r="G29" s="98"/>
      <c r="H29" s="119"/>
      <c r="I29" s="119"/>
      <c r="J29" s="119"/>
      <c r="K29" s="98"/>
      <c r="L29" s="798" t="s">
        <v>169</v>
      </c>
      <c r="M29" s="799"/>
    </row>
    <row r="30" spans="1:13" ht="15" x14ac:dyDescent="0.2">
      <c r="A30" s="98"/>
      <c r="B30" s="234"/>
      <c r="C30" s="234"/>
      <c r="D30" s="234"/>
      <c r="E30" s="98"/>
      <c r="F30" s="98"/>
      <c r="G30" s="98"/>
      <c r="H30" s="119"/>
      <c r="I30" s="119"/>
      <c r="J30" s="119"/>
      <c r="K30" s="98"/>
      <c r="L30" s="141" t="s">
        <v>170</v>
      </c>
      <c r="M30" s="142">
        <v>5</v>
      </c>
    </row>
    <row r="31" spans="1:13" thickBot="1" x14ac:dyDescent="0.25">
      <c r="A31" s="98"/>
      <c r="B31" s="234"/>
      <c r="C31" s="234"/>
      <c r="D31" s="234"/>
      <c r="E31" s="98"/>
      <c r="F31" s="98"/>
      <c r="G31" s="98"/>
      <c r="H31" s="119"/>
      <c r="I31" s="119"/>
      <c r="J31" s="119"/>
      <c r="K31" s="98"/>
      <c r="L31" s="143" t="s">
        <v>171</v>
      </c>
      <c r="M31" s="144">
        <v>0</v>
      </c>
    </row>
    <row r="32" spans="1:13" thickBot="1" x14ac:dyDescent="0.25">
      <c r="A32" s="145" t="s">
        <v>49</v>
      </c>
      <c r="B32" s="288"/>
      <c r="C32" s="288"/>
      <c r="D32" s="288"/>
      <c r="E32" s="114"/>
      <c r="F32" s="140"/>
      <c r="G32" s="91"/>
      <c r="H32" s="146"/>
      <c r="I32" s="147"/>
      <c r="J32" s="147"/>
      <c r="K32" s="147"/>
      <c r="L32" s="137" t="s">
        <v>272</v>
      </c>
      <c r="M32" s="92"/>
    </row>
    <row r="33" spans="1:16" ht="15.75" customHeight="1" x14ac:dyDescent="0.2">
      <c r="A33" s="148" t="s">
        <v>370</v>
      </c>
      <c r="B33" s="289"/>
      <c r="C33" s="289"/>
      <c r="D33" s="316"/>
      <c r="E33" s="856">
        <f>M30+M31</f>
        <v>5</v>
      </c>
      <c r="F33" s="854">
        <f>E33*2</f>
        <v>10</v>
      </c>
      <c r="G33" s="149" t="s">
        <v>215</v>
      </c>
      <c r="H33" s="150"/>
      <c r="I33" s="150"/>
      <c r="J33" s="150"/>
      <c r="K33" s="150"/>
      <c r="L33" s="92"/>
      <c r="M33" s="92"/>
    </row>
    <row r="34" spans="1:16" ht="15.75" customHeight="1" x14ac:dyDescent="0.2">
      <c r="A34" s="129" t="s">
        <v>371</v>
      </c>
      <c r="B34" s="230"/>
      <c r="C34" s="230"/>
      <c r="D34" s="317"/>
      <c r="E34" s="857"/>
      <c r="F34" s="855"/>
      <c r="G34" s="149"/>
      <c r="H34" s="150"/>
      <c r="I34" s="150"/>
      <c r="J34" s="150"/>
      <c r="K34" s="150"/>
      <c r="L34" s="92"/>
      <c r="M34" s="92"/>
    </row>
    <row r="35" spans="1:16" thickBot="1" x14ac:dyDescent="0.25">
      <c r="A35" s="151" t="s">
        <v>50</v>
      </c>
      <c r="B35" s="234"/>
      <c r="C35" s="234"/>
      <c r="D35" s="234"/>
      <c r="E35" s="98"/>
      <c r="F35" s="152">
        <v>0.06</v>
      </c>
      <c r="G35" s="149"/>
      <c r="H35" s="150"/>
      <c r="I35" s="150"/>
      <c r="J35" s="150"/>
      <c r="K35" s="150"/>
      <c r="L35" s="92"/>
      <c r="M35" s="92"/>
    </row>
    <row r="36" spans="1:16" thickBot="1" x14ac:dyDescent="0.25">
      <c r="A36" s="796" t="s">
        <v>155</v>
      </c>
      <c r="B36" s="797"/>
      <c r="C36" s="797"/>
      <c r="D36" s="797"/>
      <c r="E36" s="797"/>
      <c r="F36" s="153" t="str">
        <f>H82</f>
        <v>SINDESV/SINDESP-DF</v>
      </c>
      <c r="G36" s="154"/>
      <c r="H36" s="92"/>
      <c r="I36" s="155"/>
      <c r="J36" s="155"/>
      <c r="K36" s="156"/>
      <c r="L36" s="92"/>
      <c r="M36" s="92"/>
    </row>
    <row r="37" spans="1:16" ht="15" x14ac:dyDescent="0.2">
      <c r="A37" s="157" t="s">
        <v>278</v>
      </c>
      <c r="B37" s="290"/>
      <c r="C37" s="318"/>
      <c r="D37" s="290"/>
      <c r="E37" s="117"/>
      <c r="F37" s="813">
        <v>32</v>
      </c>
      <c r="G37" s="154"/>
      <c r="H37" s="92"/>
      <c r="I37" s="155"/>
      <c r="J37" s="155"/>
      <c r="K37" s="156"/>
      <c r="L37" s="92"/>
      <c r="M37" s="92"/>
    </row>
    <row r="38" spans="1:16" thickBot="1" x14ac:dyDescent="0.25">
      <c r="A38" s="158" t="s">
        <v>311</v>
      </c>
      <c r="B38" s="291"/>
      <c r="C38" s="319"/>
      <c r="D38" s="291"/>
      <c r="E38" s="159"/>
      <c r="F38" s="814"/>
      <c r="G38" s="154"/>
      <c r="H38" s="92"/>
      <c r="I38" s="155"/>
      <c r="J38" s="155"/>
      <c r="K38" s="156"/>
      <c r="L38" s="92"/>
      <c r="M38" s="92"/>
    </row>
    <row r="39" spans="1:16" ht="16.5" thickTop="1" thickBot="1" x14ac:dyDescent="0.25">
      <c r="A39" s="160" t="s">
        <v>310</v>
      </c>
      <c r="B39" s="292"/>
      <c r="C39" s="292"/>
      <c r="D39" s="292"/>
      <c r="E39" s="112"/>
      <c r="F39" s="161">
        <v>14</v>
      </c>
      <c r="G39" s="162"/>
      <c r="H39" s="92"/>
      <c r="I39" s="163"/>
      <c r="J39" s="163"/>
      <c r="K39" s="98"/>
      <c r="L39" s="92"/>
      <c r="M39" s="92"/>
    </row>
    <row r="40" spans="1:16" ht="15.75" customHeight="1" x14ac:dyDescent="0.2">
      <c r="A40" s="121" t="s">
        <v>275</v>
      </c>
      <c r="B40" s="230"/>
      <c r="C40" s="230"/>
      <c r="D40" s="230"/>
      <c r="E40" s="100"/>
      <c r="F40" s="164"/>
      <c r="G40" s="150" t="s">
        <v>276</v>
      </c>
      <c r="H40" s="92"/>
      <c r="I40" s="163"/>
      <c r="J40" s="861" t="s">
        <v>279</v>
      </c>
      <c r="K40" s="165" t="s">
        <v>194</v>
      </c>
      <c r="L40" s="166">
        <v>10.25</v>
      </c>
      <c r="M40" s="819" t="s">
        <v>277</v>
      </c>
    </row>
    <row r="41" spans="1:16" thickBot="1" x14ac:dyDescent="0.25">
      <c r="A41" s="167" t="s">
        <v>274</v>
      </c>
      <c r="B41" s="293"/>
      <c r="C41" s="293"/>
      <c r="D41" s="293"/>
      <c r="E41" s="168"/>
      <c r="F41" s="164">
        <v>1.8</v>
      </c>
      <c r="G41" s="150" t="s">
        <v>280</v>
      </c>
      <c r="H41" s="92"/>
      <c r="I41" s="163"/>
      <c r="J41" s="862"/>
      <c r="K41" s="169" t="s">
        <v>193</v>
      </c>
      <c r="L41" s="170">
        <v>12.22</v>
      </c>
      <c r="M41" s="820"/>
    </row>
    <row r="42" spans="1:16" thickBot="1" x14ac:dyDescent="0.25">
      <c r="A42" s="171" t="s">
        <v>313</v>
      </c>
      <c r="B42" s="294"/>
      <c r="C42" s="320"/>
      <c r="D42" s="320"/>
      <c r="E42" s="172"/>
      <c r="F42" s="173">
        <v>12.08</v>
      </c>
      <c r="G42" s="150" t="s">
        <v>281</v>
      </c>
      <c r="H42" s="174"/>
      <c r="I42" s="175"/>
      <c r="J42" s="175"/>
      <c r="K42" s="175"/>
      <c r="L42" s="98"/>
      <c r="M42" s="98"/>
    </row>
    <row r="43" spans="1:16" ht="8.25" customHeight="1" thickBot="1" x14ac:dyDescent="0.25">
      <c r="A43" s="858"/>
      <c r="B43" s="859"/>
      <c r="C43" s="859"/>
      <c r="D43" s="859"/>
      <c r="E43" s="859"/>
      <c r="F43" s="860"/>
      <c r="G43" s="176"/>
      <c r="H43" s="175"/>
      <c r="I43" s="175"/>
      <c r="J43" s="175"/>
      <c r="K43" s="175"/>
      <c r="L43" s="98"/>
      <c r="M43" s="98"/>
      <c r="N43" s="32"/>
      <c r="O43" s="32"/>
      <c r="P43" s="32"/>
    </row>
    <row r="44" spans="1:16" ht="15" x14ac:dyDescent="0.2">
      <c r="A44" s="800" t="s">
        <v>523</v>
      </c>
      <c r="B44" s="801"/>
      <c r="C44" s="801"/>
      <c r="D44" s="801"/>
      <c r="E44" s="802"/>
      <c r="F44" s="806">
        <v>0</v>
      </c>
      <c r="G44" s="818" t="s">
        <v>273</v>
      </c>
      <c r="H44" s="818"/>
      <c r="I44" s="818"/>
      <c r="J44" s="818"/>
      <c r="K44" s="818"/>
      <c r="L44" s="818"/>
      <c r="M44" s="818"/>
      <c r="N44" s="32"/>
      <c r="O44" s="32"/>
      <c r="P44" s="32"/>
    </row>
    <row r="45" spans="1:16" ht="15" x14ac:dyDescent="0.2">
      <c r="A45" s="803"/>
      <c r="B45" s="804"/>
      <c r="C45" s="804"/>
      <c r="D45" s="804"/>
      <c r="E45" s="805"/>
      <c r="F45" s="807"/>
      <c r="G45" s="818"/>
      <c r="H45" s="818"/>
      <c r="I45" s="818"/>
      <c r="J45" s="818"/>
      <c r="K45" s="818"/>
      <c r="L45" s="818"/>
      <c r="M45" s="818"/>
      <c r="N45" s="32"/>
      <c r="O45" s="32"/>
      <c r="P45" s="32"/>
    </row>
    <row r="46" spans="1:16" ht="15" x14ac:dyDescent="0.2">
      <c r="A46" s="803" t="s">
        <v>309</v>
      </c>
      <c r="B46" s="804"/>
      <c r="C46" s="804"/>
      <c r="D46" s="804"/>
      <c r="E46" s="805"/>
      <c r="F46" s="807">
        <v>0</v>
      </c>
      <c r="G46" s="863" t="s">
        <v>287</v>
      </c>
      <c r="H46" s="863"/>
      <c r="I46" s="863"/>
      <c r="J46" s="863"/>
      <c r="K46" s="863"/>
      <c r="L46" s="863"/>
      <c r="M46" s="863"/>
      <c r="N46" s="32"/>
      <c r="O46" s="32"/>
      <c r="P46" s="32"/>
    </row>
    <row r="47" spans="1:16" ht="15" x14ac:dyDescent="0.2">
      <c r="A47" s="803"/>
      <c r="B47" s="804"/>
      <c r="C47" s="804"/>
      <c r="D47" s="804"/>
      <c r="E47" s="805"/>
      <c r="F47" s="807"/>
      <c r="G47" s="863"/>
      <c r="H47" s="863"/>
      <c r="I47" s="863"/>
      <c r="J47" s="863"/>
      <c r="K47" s="863"/>
      <c r="L47" s="863"/>
      <c r="M47" s="863"/>
      <c r="N47" s="32"/>
      <c r="O47" s="32"/>
      <c r="P47" s="32"/>
    </row>
    <row r="48" spans="1:16" thickBot="1" x14ac:dyDescent="0.25">
      <c r="A48" s="821"/>
      <c r="B48" s="822"/>
      <c r="C48" s="822"/>
      <c r="D48" s="822"/>
      <c r="E48" s="823"/>
      <c r="F48" s="824"/>
      <c r="G48" s="863"/>
      <c r="H48" s="863"/>
      <c r="I48" s="863"/>
      <c r="J48" s="863"/>
      <c r="K48" s="863"/>
      <c r="L48" s="863"/>
      <c r="M48" s="863"/>
      <c r="N48" s="32"/>
      <c r="O48" s="32"/>
      <c r="P48" s="32"/>
    </row>
    <row r="49" spans="1:16" ht="15" x14ac:dyDescent="0.2">
      <c r="A49" s="177"/>
      <c r="B49" s="234"/>
      <c r="C49" s="234"/>
      <c r="D49" s="234"/>
      <c r="E49" s="98"/>
      <c r="F49" s="178"/>
      <c r="G49" s="176"/>
      <c r="H49" s="175"/>
      <c r="I49" s="175"/>
      <c r="J49" s="175"/>
      <c r="K49" s="175"/>
      <c r="L49" s="98"/>
      <c r="M49" s="98"/>
      <c r="N49" s="32"/>
      <c r="O49" s="32"/>
      <c r="P49" s="32"/>
    </row>
    <row r="50" spans="1:16" ht="15" x14ac:dyDescent="0.2">
      <c r="A50" s="177"/>
      <c r="B50" s="234"/>
      <c r="C50" s="234"/>
      <c r="D50" s="234"/>
      <c r="E50" s="98"/>
      <c r="F50" s="178"/>
      <c r="G50" s="176"/>
      <c r="H50" s="175"/>
      <c r="I50" s="175"/>
      <c r="J50" s="175"/>
      <c r="K50" s="175"/>
      <c r="L50" s="98"/>
      <c r="M50" s="98"/>
      <c r="N50" s="32"/>
      <c r="O50" s="32"/>
      <c r="P50" s="32"/>
    </row>
    <row r="51" spans="1:16" ht="15" x14ac:dyDescent="0.2">
      <c r="A51" s="177"/>
      <c r="B51" s="234"/>
      <c r="C51" s="234"/>
      <c r="D51" s="234"/>
      <c r="E51" s="98"/>
      <c r="F51" s="178"/>
      <c r="G51" s="176"/>
      <c r="H51" s="175"/>
      <c r="I51" s="175"/>
      <c r="J51" s="175"/>
      <c r="K51" s="175"/>
      <c r="L51" s="99"/>
      <c r="M51" s="98"/>
      <c r="N51" s="32"/>
      <c r="O51" s="32"/>
      <c r="P51" s="32"/>
    </row>
    <row r="52" spans="1:16" thickBot="1" x14ac:dyDescent="0.25">
      <c r="A52" s="179" t="s">
        <v>51</v>
      </c>
      <c r="B52" s="234"/>
      <c r="C52" s="234"/>
      <c r="D52" s="234"/>
      <c r="E52" s="98"/>
      <c r="F52" s="178"/>
      <c r="G52" s="176"/>
      <c r="H52" s="180"/>
      <c r="I52" s="175"/>
      <c r="J52" s="99"/>
      <c r="K52" s="99"/>
      <c r="L52" s="99"/>
      <c r="M52" s="98"/>
      <c r="N52" s="33"/>
      <c r="O52" s="33"/>
      <c r="P52" s="33"/>
    </row>
    <row r="53" spans="1:16" ht="15" x14ac:dyDescent="0.2">
      <c r="A53" s="825" t="s">
        <v>119</v>
      </c>
      <c r="B53" s="826"/>
      <c r="C53" s="827"/>
      <c r="D53" s="321">
        <v>1.59</v>
      </c>
      <c r="E53" s="181"/>
      <c r="F53" s="182">
        <f>UNIFORMES!G22</f>
        <v>240.13</v>
      </c>
      <c r="G53" s="150" t="s">
        <v>288</v>
      </c>
      <c r="H53" s="183"/>
      <c r="I53" s="183"/>
      <c r="J53" s="99"/>
      <c r="K53" s="99"/>
      <c r="L53" s="99"/>
      <c r="M53" s="98"/>
    </row>
    <row r="54" spans="1:16" ht="15" x14ac:dyDescent="0.2">
      <c r="A54" s="828" t="s">
        <v>315</v>
      </c>
      <c r="B54" s="829"/>
      <c r="C54" s="830"/>
      <c r="D54" s="322">
        <v>1</v>
      </c>
      <c r="E54" s="184"/>
      <c r="F54" s="185">
        <f>'MAT e EQUIPS'!H19</f>
        <v>8.5299999999999994</v>
      </c>
      <c r="G54" s="150" t="s">
        <v>290</v>
      </c>
      <c r="H54" s="183"/>
      <c r="I54" s="155"/>
      <c r="J54" s="155"/>
      <c r="K54" s="186"/>
      <c r="L54" s="130"/>
      <c r="M54" s="98"/>
      <c r="N54" s="32"/>
      <c r="O54" s="55">
        <f>M2</f>
        <v>38370.629999999997</v>
      </c>
      <c r="P54" s="32"/>
    </row>
    <row r="55" spans="1:16" ht="15" x14ac:dyDescent="0.2">
      <c r="A55" s="828" t="s">
        <v>314</v>
      </c>
      <c r="B55" s="829"/>
      <c r="C55" s="830"/>
      <c r="D55" s="323">
        <v>1</v>
      </c>
      <c r="E55" s="187"/>
      <c r="F55" s="188">
        <f>'MAT e EQUIPS'!H30</f>
        <v>27.13</v>
      </c>
      <c r="G55" s="150" t="s">
        <v>291</v>
      </c>
      <c r="H55" s="183"/>
      <c r="I55" s="155"/>
      <c r="J55" s="155"/>
      <c r="K55" s="189"/>
      <c r="L55" s="190"/>
      <c r="M55" s="190"/>
      <c r="N55" s="33"/>
      <c r="O55" s="33"/>
      <c r="P55" s="33"/>
    </row>
    <row r="56" spans="1:16" thickBot="1" x14ac:dyDescent="0.25">
      <c r="A56" s="191" t="s">
        <v>158</v>
      </c>
      <c r="B56" s="295"/>
      <c r="C56" s="324"/>
      <c r="D56" s="325">
        <v>0.1</v>
      </c>
      <c r="E56" s="192"/>
      <c r="F56" s="193"/>
      <c r="G56" s="150" t="s">
        <v>289</v>
      </c>
      <c r="H56" s="98"/>
      <c r="I56" s="98"/>
      <c r="J56" s="98"/>
      <c r="K56" s="175"/>
      <c r="L56" s="98"/>
      <c r="M56" s="98"/>
    </row>
    <row r="57" spans="1:16" ht="15" x14ac:dyDescent="0.2">
      <c r="A57" s="75"/>
      <c r="B57" s="223"/>
      <c r="C57" s="223"/>
      <c r="D57" s="234"/>
      <c r="E57" s="98"/>
      <c r="F57" s="98"/>
      <c r="G57" s="98"/>
      <c r="H57" s="175"/>
      <c r="I57" s="175"/>
      <c r="J57" s="175"/>
      <c r="K57" s="175"/>
      <c r="L57" s="98"/>
      <c r="M57" s="98"/>
      <c r="N57" s="32"/>
      <c r="O57" s="32"/>
      <c r="P57" s="32"/>
    </row>
    <row r="58" spans="1:16" ht="15" x14ac:dyDescent="0.2">
      <c r="A58" s="75"/>
      <c r="B58" s="223"/>
      <c r="C58" s="223"/>
      <c r="D58" s="234"/>
      <c r="E58" s="98"/>
      <c r="F58" s="98"/>
      <c r="G58" s="98"/>
      <c r="H58" s="175"/>
      <c r="I58" s="175"/>
      <c r="J58" s="175"/>
      <c r="K58" s="175"/>
      <c r="L58" s="98"/>
      <c r="M58" s="98"/>
      <c r="N58" s="32"/>
      <c r="O58" s="32"/>
      <c r="P58" s="32"/>
    </row>
    <row r="59" spans="1:16" thickBot="1" x14ac:dyDescent="0.25">
      <c r="A59" s="75"/>
      <c r="B59" s="223"/>
      <c r="C59" s="223"/>
      <c r="D59" s="234"/>
      <c r="E59" s="194" t="s">
        <v>193</v>
      </c>
      <c r="F59" s="194" t="s">
        <v>230</v>
      </c>
      <c r="G59" s="194" t="s">
        <v>189</v>
      </c>
      <c r="H59" s="175"/>
      <c r="I59" s="175"/>
      <c r="J59" s="175"/>
      <c r="K59" s="175"/>
      <c r="L59" s="195"/>
      <c r="M59" s="98"/>
      <c r="N59" s="33"/>
      <c r="O59" s="33"/>
      <c r="P59" s="33"/>
    </row>
    <row r="60" spans="1:16" ht="15" x14ac:dyDescent="0.2">
      <c r="A60" s="116" t="s">
        <v>52</v>
      </c>
      <c r="B60" s="290"/>
      <c r="C60" s="326"/>
      <c r="D60" s="327"/>
      <c r="E60" s="196">
        <v>6.9000000000000006E-2</v>
      </c>
      <c r="F60" s="196">
        <v>6.9000000000000006E-2</v>
      </c>
      <c r="G60" s="197">
        <v>6.9000000000000006E-2</v>
      </c>
      <c r="H60" s="150" t="s">
        <v>292</v>
      </c>
      <c r="I60" s="198"/>
      <c r="J60" s="198"/>
      <c r="K60" s="131"/>
      <c r="L60" s="92"/>
      <c r="M60" s="199">
        <f>M2</f>
        <v>38370.629999999997</v>
      </c>
      <c r="O60" s="37">
        <f>M73/M74</f>
        <v>1.1994767752834601</v>
      </c>
    </row>
    <row r="61" spans="1:16" thickBot="1" x14ac:dyDescent="0.25">
      <c r="A61" s="200" t="s">
        <v>20</v>
      </c>
      <c r="B61" s="288"/>
      <c r="C61" s="328"/>
      <c r="D61" s="329"/>
      <c r="E61" s="201">
        <v>3.85E-2</v>
      </c>
      <c r="F61" s="201">
        <v>3.85E-2</v>
      </c>
      <c r="G61" s="201">
        <v>3.85E-2</v>
      </c>
      <c r="H61" s="150" t="s">
        <v>293</v>
      </c>
      <c r="I61" s="198"/>
      <c r="J61" s="198"/>
      <c r="K61" s="131"/>
      <c r="L61" s="202"/>
      <c r="M61" s="198"/>
    </row>
    <row r="62" spans="1:16" ht="15" x14ac:dyDescent="0.2">
      <c r="A62" s="92"/>
      <c r="B62" s="296"/>
      <c r="C62" s="296"/>
      <c r="D62" s="330"/>
      <c r="E62" s="203"/>
      <c r="F62" s="203"/>
      <c r="G62" s="203"/>
      <c r="H62" s="92"/>
      <c r="I62" s="92"/>
      <c r="J62" s="92"/>
      <c r="K62" s="92"/>
      <c r="L62" s="92"/>
      <c r="M62" s="92"/>
      <c r="N62" s="34" t="s">
        <v>190</v>
      </c>
      <c r="O62" s="34" t="s">
        <v>191</v>
      </c>
      <c r="P62" s="34" t="s">
        <v>192</v>
      </c>
    </row>
    <row r="63" spans="1:16" ht="15" x14ac:dyDescent="0.2">
      <c r="A63" s="92"/>
      <c r="B63" s="296"/>
      <c r="C63" s="296"/>
      <c r="D63" s="330"/>
      <c r="E63" s="203"/>
      <c r="F63" s="203"/>
      <c r="G63" s="203"/>
      <c r="H63" s="92"/>
      <c r="I63" s="92"/>
      <c r="J63" s="92"/>
      <c r="K63" s="92"/>
      <c r="L63" s="92"/>
      <c r="M63" s="92"/>
      <c r="N63" s="33">
        <f>RESUMO!F8</f>
        <v>7922.18</v>
      </c>
      <c r="O63" s="33">
        <f>(O64/2)*$O$60</f>
        <v>9056.3700000000008</v>
      </c>
      <c r="P63" s="53">
        <f>N63-O63</f>
        <v>-1134.19</v>
      </c>
    </row>
    <row r="64" spans="1:16" thickBot="1" x14ac:dyDescent="0.25">
      <c r="A64" s="92"/>
      <c r="B64" s="297"/>
      <c r="C64" s="297"/>
      <c r="D64" s="297"/>
      <c r="E64" s="204"/>
      <c r="F64" s="92"/>
      <c r="G64" s="92"/>
      <c r="H64" s="92"/>
      <c r="I64" s="744" t="s">
        <v>297</v>
      </c>
      <c r="J64" s="744"/>
      <c r="K64" s="744"/>
      <c r="L64" s="745">
        <v>996836.64</v>
      </c>
      <c r="M64" s="745"/>
      <c r="N64" s="33">
        <f>RESUMO!F9</f>
        <v>14327.52</v>
      </c>
      <c r="O64" s="33">
        <v>15100.54</v>
      </c>
      <c r="P64" s="53">
        <f>N64-O64</f>
        <v>-773.02</v>
      </c>
    </row>
    <row r="65" spans="1:39" ht="15" customHeight="1" thickBot="1" x14ac:dyDescent="0.25">
      <c r="A65" s="739" t="s">
        <v>151</v>
      </c>
      <c r="B65" s="741"/>
      <c r="C65" s="331"/>
      <c r="D65" s="332"/>
      <c r="E65" s="206"/>
      <c r="F65" s="206"/>
      <c r="G65" s="206"/>
      <c r="H65" s="205"/>
      <c r="I65" s="206"/>
      <c r="J65" s="206"/>
      <c r="K65" s="739" t="s">
        <v>152</v>
      </c>
      <c r="L65" s="740"/>
      <c r="M65" s="741"/>
      <c r="N65" s="33">
        <f>RESUMO!F10</f>
        <v>16095.02</v>
      </c>
      <c r="O65" s="33">
        <v>16451.59</v>
      </c>
      <c r="P65" s="53">
        <f>N65-O65</f>
        <v>-356.57</v>
      </c>
    </row>
    <row r="66" spans="1:39" ht="15" customHeight="1" x14ac:dyDescent="0.2">
      <c r="A66" s="207" t="s">
        <v>216</v>
      </c>
      <c r="B66" s="298">
        <f>B67/C13</f>
        <v>116825.85</v>
      </c>
      <c r="C66" s="331"/>
      <c r="D66" s="333"/>
      <c r="E66" s="208"/>
      <c r="F66" s="209" t="s">
        <v>0</v>
      </c>
      <c r="G66" s="209"/>
      <c r="H66" s="205"/>
      <c r="I66" s="208"/>
      <c r="J66" s="208"/>
      <c r="K66" s="210" t="s">
        <v>216</v>
      </c>
      <c r="L66" s="742">
        <f>L67/12</f>
        <v>109982.32</v>
      </c>
      <c r="M66" s="743"/>
      <c r="N66" s="37"/>
      <c r="O66" s="37"/>
      <c r="P66" s="37"/>
    </row>
    <row r="67" spans="1:39" thickBot="1" x14ac:dyDescent="0.25">
      <c r="A67" s="211" t="s">
        <v>179</v>
      </c>
      <c r="B67" s="299">
        <v>1401910.2</v>
      </c>
      <c r="C67" s="333"/>
      <c r="D67" s="333"/>
      <c r="E67" s="208"/>
      <c r="F67" s="91"/>
      <c r="G67" s="91"/>
      <c r="H67" s="205"/>
      <c r="I67" s="208"/>
      <c r="J67" s="208"/>
      <c r="K67" s="212" t="s">
        <v>179</v>
      </c>
      <c r="L67" s="790">
        <f>'PROPOSTA INICIAL'!H22</f>
        <v>1319787.8400000001</v>
      </c>
      <c r="M67" s="791"/>
      <c r="N67" s="34" t="s">
        <v>190</v>
      </c>
      <c r="O67" s="34" t="s">
        <v>191</v>
      </c>
      <c r="P67" s="34" t="s">
        <v>192</v>
      </c>
    </row>
    <row r="68" spans="1:39" thickBot="1" x14ac:dyDescent="0.25">
      <c r="A68" s="91"/>
      <c r="B68" s="300"/>
      <c r="C68" s="334"/>
      <c r="D68" s="334"/>
      <c r="E68" s="213"/>
      <c r="F68" s="91"/>
      <c r="G68" s="91"/>
      <c r="H68" s="214"/>
      <c r="I68" s="214"/>
      <c r="J68" s="214"/>
      <c r="K68" s="214"/>
      <c r="L68" s="215" t="s">
        <v>196</v>
      </c>
      <c r="M68" s="216">
        <f>L67/B67</f>
        <v>0.94140000000000001</v>
      </c>
      <c r="N68" s="33">
        <f>N63</f>
        <v>7922.18</v>
      </c>
      <c r="O68" s="33">
        <f>(O69/2)*$O$60</f>
        <v>9716.74</v>
      </c>
      <c r="P68" s="53">
        <f>N68-O68</f>
        <v>-1794.56</v>
      </c>
    </row>
    <row r="69" spans="1:39" ht="15" customHeight="1" x14ac:dyDescent="0.2">
      <c r="A69" s="91"/>
      <c r="B69" s="301"/>
      <c r="C69" s="334"/>
      <c r="D69" s="334"/>
      <c r="E69" s="213"/>
      <c r="F69" s="91"/>
      <c r="G69" s="91"/>
      <c r="H69" s="794" t="s">
        <v>237</v>
      </c>
      <c r="I69" s="794"/>
      <c r="J69" s="794"/>
      <c r="K69" s="794"/>
      <c r="L69" s="794"/>
      <c r="M69" s="794"/>
      <c r="N69" s="33">
        <f>N64</f>
        <v>14327.52</v>
      </c>
      <c r="O69" s="33">
        <v>16201.63</v>
      </c>
      <c r="P69" s="53">
        <f>N69-O69</f>
        <v>-1874.11</v>
      </c>
    </row>
    <row r="70" spans="1:39" ht="15.75" customHeight="1" x14ac:dyDescent="0.2">
      <c r="A70" s="91"/>
      <c r="B70" s="301"/>
      <c r="C70" s="334"/>
      <c r="D70" s="334"/>
      <c r="E70" s="213"/>
      <c r="F70" s="91"/>
      <c r="G70" s="91"/>
      <c r="H70" s="794"/>
      <c r="I70" s="794"/>
      <c r="J70" s="794"/>
      <c r="K70" s="794"/>
      <c r="L70" s="794"/>
      <c r="M70" s="794"/>
      <c r="N70" s="33">
        <f>N65</f>
        <v>16095.02</v>
      </c>
      <c r="O70" s="33">
        <v>18025.95</v>
      </c>
      <c r="P70" s="53">
        <f>N70-O70</f>
        <v>-1930.93</v>
      </c>
    </row>
    <row r="71" spans="1:39" thickBot="1" x14ac:dyDescent="0.25">
      <c r="A71" s="91"/>
      <c r="B71" s="301"/>
      <c r="C71" s="334"/>
      <c r="D71" s="334"/>
      <c r="E71" s="213"/>
      <c r="F71" s="91"/>
      <c r="G71" s="91"/>
      <c r="H71" s="795"/>
      <c r="I71" s="795"/>
      <c r="J71" s="795"/>
      <c r="K71" s="795"/>
      <c r="L71" s="795"/>
      <c r="M71" s="795"/>
      <c r="N71" s="37"/>
      <c r="O71" s="37"/>
      <c r="P71" s="37"/>
    </row>
    <row r="72" spans="1:39" s="38" customFormat="1" ht="24.75" thickBot="1" x14ac:dyDescent="0.25">
      <c r="A72" s="217" t="s">
        <v>219</v>
      </c>
      <c r="B72" s="223"/>
      <c r="C72" s="223"/>
      <c r="D72" s="222"/>
      <c r="E72" s="218"/>
      <c r="F72" s="92"/>
      <c r="G72" s="92"/>
      <c r="H72" s="751" t="s">
        <v>55</v>
      </c>
      <c r="I72" s="752"/>
      <c r="J72" s="219" t="s">
        <v>300</v>
      </c>
      <c r="K72" s="219" t="s">
        <v>218</v>
      </c>
      <c r="L72" s="219" t="s">
        <v>299</v>
      </c>
      <c r="M72" s="220" t="s">
        <v>56</v>
      </c>
      <c r="N72" s="54" t="s">
        <v>190</v>
      </c>
      <c r="O72" s="54" t="s">
        <v>356</v>
      </c>
      <c r="P72" s="54" t="s">
        <v>192</v>
      </c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s="38" customFormat="1" ht="12.75" x14ac:dyDescent="0.2">
      <c r="A73" s="221" t="s">
        <v>53</v>
      </c>
      <c r="B73" s="290"/>
      <c r="C73" s="335">
        <v>0.05</v>
      </c>
      <c r="D73" s="222"/>
      <c r="E73" s="222"/>
      <c r="F73" s="223"/>
      <c r="G73" s="224"/>
      <c r="H73" s="225" t="s">
        <v>388</v>
      </c>
      <c r="I73" s="226"/>
      <c r="J73" s="227">
        <v>1</v>
      </c>
      <c r="K73" s="227">
        <v>1</v>
      </c>
      <c r="L73" s="227">
        <f>J73*K73</f>
        <v>1</v>
      </c>
      <c r="M73" s="228">
        <v>2264.96</v>
      </c>
      <c r="N73" s="33">
        <f>N68</f>
        <v>7922.18</v>
      </c>
      <c r="O73" s="33">
        <v>8263.73</v>
      </c>
      <c r="P73" s="53">
        <f>N73-O73</f>
        <v>-341.55</v>
      </c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s="38" customFormat="1" ht="12.75" x14ac:dyDescent="0.2">
      <c r="A74" s="229" t="s">
        <v>22</v>
      </c>
      <c r="B74" s="230"/>
      <c r="C74" s="231">
        <v>0.03</v>
      </c>
      <c r="D74" s="222"/>
      <c r="E74" s="222"/>
      <c r="F74" s="223"/>
      <c r="G74" s="224"/>
      <c r="H74" s="225" t="s">
        <v>228</v>
      </c>
      <c r="I74" s="232"/>
      <c r="J74" s="227">
        <v>6</v>
      </c>
      <c r="K74" s="227">
        <v>2</v>
      </c>
      <c r="L74" s="227">
        <f>J74*K74</f>
        <v>12</v>
      </c>
      <c r="M74" s="228">
        <v>1888.29</v>
      </c>
      <c r="N74" s="33">
        <f>N69</f>
        <v>14327.52</v>
      </c>
      <c r="O74" s="33">
        <v>15249.44</v>
      </c>
      <c r="P74" s="53">
        <f>N74-O74</f>
        <v>-921.92</v>
      </c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s="38" customFormat="1" ht="13.5" thickBot="1" x14ac:dyDescent="0.25">
      <c r="A75" s="233" t="s">
        <v>21</v>
      </c>
      <c r="B75" s="234"/>
      <c r="C75" s="235">
        <v>6.4999999999999997E-3</v>
      </c>
      <c r="D75" s="222"/>
      <c r="E75" s="222"/>
      <c r="F75" s="223"/>
      <c r="G75" s="224"/>
      <c r="H75" s="225" t="s">
        <v>229</v>
      </c>
      <c r="I75" s="232"/>
      <c r="J75" s="227">
        <v>1</v>
      </c>
      <c r="K75" s="227">
        <v>2</v>
      </c>
      <c r="L75" s="227">
        <f>J75*K75</f>
        <v>2</v>
      </c>
      <c r="M75" s="228">
        <v>1888.29</v>
      </c>
      <c r="N75" s="33">
        <f>N70</f>
        <v>16095.02</v>
      </c>
      <c r="O75" s="33">
        <v>17065.48</v>
      </c>
      <c r="P75" s="53">
        <f>N75-O75</f>
        <v>-970.46</v>
      </c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s="38" customFormat="1" ht="13.5" customHeight="1" thickBot="1" x14ac:dyDescent="0.25">
      <c r="A76" s="781" t="s">
        <v>54</v>
      </c>
      <c r="B76" s="782"/>
      <c r="C76" s="236">
        <f>SUM(C73:C75)</f>
        <v>8.6499999999999994E-2</v>
      </c>
      <c r="D76" s="222"/>
      <c r="E76" s="222"/>
      <c r="F76" s="223"/>
      <c r="G76" s="224"/>
      <c r="H76" s="753" t="s">
        <v>57</v>
      </c>
      <c r="I76" s="754"/>
      <c r="J76" s="237">
        <f>SUM(J73:J75)</f>
        <v>8</v>
      </c>
      <c r="K76" s="238" t="s">
        <v>79</v>
      </c>
      <c r="L76" s="237">
        <f>SUM(L73:L75)</f>
        <v>15</v>
      </c>
      <c r="M76" s="239" t="s">
        <v>79</v>
      </c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s="38" customFormat="1" ht="15.75" customHeight="1" x14ac:dyDescent="0.2">
      <c r="A77" s="224"/>
      <c r="B77" s="223"/>
      <c r="C77" s="240">
        <f>(100%-C76)</f>
        <v>0.91349999999999998</v>
      </c>
      <c r="D77" s="222"/>
      <c r="E77" s="222"/>
      <c r="F77" s="223"/>
      <c r="G77" s="224"/>
      <c r="H77" s="77" t="s">
        <v>298</v>
      </c>
      <c r="I77" s="241"/>
      <c r="J77" s="224"/>
      <c r="K77" s="224"/>
      <c r="L77" s="224"/>
      <c r="M77" s="224"/>
      <c r="N77" s="36"/>
      <c r="O77" s="36"/>
      <c r="P77" s="36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s="38" customFormat="1" ht="15.75" customHeight="1" x14ac:dyDescent="0.2">
      <c r="A78" s="223"/>
      <c r="B78" s="223"/>
      <c r="C78" s="223"/>
      <c r="D78" s="222"/>
      <c r="E78" s="222"/>
      <c r="F78" s="223"/>
      <c r="G78" s="224"/>
      <c r="H78" s="224"/>
      <c r="I78" s="75"/>
      <c r="J78" s="75"/>
      <c r="K78" s="75"/>
      <c r="L78" s="75"/>
      <c r="M78" s="224"/>
      <c r="N78" s="36"/>
      <c r="O78" s="36"/>
      <c r="P78" s="36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s="38" customFormat="1" ht="15.75" customHeight="1" thickBot="1" x14ac:dyDescent="0.25">
      <c r="A79" s="223"/>
      <c r="B79" s="223"/>
      <c r="C79" s="223"/>
      <c r="D79" s="222"/>
      <c r="E79" s="222"/>
      <c r="F79" s="223"/>
      <c r="G79" s="75"/>
      <c r="H79" s="242"/>
      <c r="I79" s="242"/>
      <c r="J79" s="242"/>
      <c r="K79" s="242"/>
      <c r="L79" s="242"/>
      <c r="M79" s="224"/>
      <c r="N79" s="36"/>
      <c r="O79" s="36"/>
      <c r="P79" s="36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s="38" customFormat="1" ht="15.75" customHeight="1" thickBot="1" x14ac:dyDescent="0.25">
      <c r="A80" s="243" t="s">
        <v>58</v>
      </c>
      <c r="B80" s="833" t="s">
        <v>59</v>
      </c>
      <c r="C80" s="834"/>
      <c r="D80" s="336"/>
      <c r="E80" s="244"/>
      <c r="F80" s="223"/>
      <c r="G80" s="224"/>
      <c r="H80" s="763" t="s">
        <v>60</v>
      </c>
      <c r="I80" s="763"/>
      <c r="J80" s="763"/>
      <c r="K80" s="763"/>
      <c r="L80" s="763"/>
      <c r="M80" s="763"/>
      <c r="N80" s="36"/>
      <c r="O80" s="36"/>
      <c r="P80" s="36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s="38" customFormat="1" ht="15.75" customHeight="1" x14ac:dyDescent="0.2">
      <c r="A81" s="245" t="s">
        <v>1</v>
      </c>
      <c r="B81" s="302" t="s">
        <v>14</v>
      </c>
      <c r="C81" s="337">
        <v>0.2</v>
      </c>
      <c r="D81" s="338"/>
      <c r="E81" s="246"/>
      <c r="F81" s="76"/>
      <c r="G81" s="224"/>
      <c r="H81" s="759" t="s">
        <v>61</v>
      </c>
      <c r="I81" s="760"/>
      <c r="J81" s="810" t="s">
        <v>62</v>
      </c>
      <c r="K81" s="811"/>
      <c r="L81" s="812"/>
      <c r="M81" s="247" t="s">
        <v>63</v>
      </c>
      <c r="N81" s="36"/>
      <c r="O81" s="36"/>
      <c r="P81" s="36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s="38" customFormat="1" ht="15.75" customHeight="1" thickBot="1" x14ac:dyDescent="0.25">
      <c r="A82" s="245" t="s">
        <v>2</v>
      </c>
      <c r="B82" s="302" t="s">
        <v>15</v>
      </c>
      <c r="C82" s="337">
        <v>1.4999999999999999E-2</v>
      </c>
      <c r="D82" s="338"/>
      <c r="E82" s="246"/>
      <c r="F82" s="76"/>
      <c r="G82" s="224"/>
      <c r="H82" s="808" t="s">
        <v>64</v>
      </c>
      <c r="I82" s="809"/>
      <c r="J82" s="815" t="s">
        <v>153</v>
      </c>
      <c r="K82" s="816"/>
      <c r="L82" s="817"/>
      <c r="M82" s="363" t="s">
        <v>303</v>
      </c>
      <c r="N82" s="36"/>
      <c r="O82" s="36"/>
      <c r="P82" s="36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s="38" customFormat="1" ht="15.75" customHeight="1" x14ac:dyDescent="0.2">
      <c r="A83" s="245" t="s">
        <v>4</v>
      </c>
      <c r="B83" s="302" t="s">
        <v>16</v>
      </c>
      <c r="C83" s="337">
        <v>0.01</v>
      </c>
      <c r="D83" s="338"/>
      <c r="E83" s="246"/>
      <c r="F83" s="76"/>
      <c r="G83" s="224"/>
      <c r="H83" s="362" t="s">
        <v>203</v>
      </c>
      <c r="I83" s="92"/>
      <c r="J83" s="92"/>
      <c r="K83" s="92"/>
      <c r="L83" s="92"/>
      <c r="M83" s="92"/>
      <c r="N83" s="36"/>
      <c r="O83" s="36"/>
      <c r="P83" s="36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5.75" customHeight="1" x14ac:dyDescent="0.2">
      <c r="A84" s="245" t="s">
        <v>5</v>
      </c>
      <c r="B84" s="302" t="s">
        <v>17</v>
      </c>
      <c r="C84" s="337">
        <v>2E-3</v>
      </c>
      <c r="D84" s="338"/>
      <c r="E84" s="246"/>
      <c r="F84" s="76" t="s">
        <v>188</v>
      </c>
      <c r="G84" s="76"/>
      <c r="H84" s="242"/>
      <c r="I84" s="242"/>
      <c r="J84" s="242"/>
      <c r="K84" s="242"/>
      <c r="L84" s="242"/>
      <c r="M84" s="242"/>
    </row>
    <row r="85" spans="1:39" ht="15.75" customHeight="1" x14ac:dyDescent="0.2">
      <c r="A85" s="245" t="s">
        <v>6</v>
      </c>
      <c r="B85" s="302" t="s">
        <v>114</v>
      </c>
      <c r="C85" s="337">
        <v>2.5000000000000001E-2</v>
      </c>
      <c r="D85" s="338"/>
      <c r="E85" s="246"/>
      <c r="F85" s="223"/>
      <c r="G85" s="223"/>
      <c r="H85" s="248" t="s">
        <v>149</v>
      </c>
      <c r="I85" s="242"/>
      <c r="J85" s="242"/>
      <c r="K85" s="242"/>
      <c r="L85" s="242"/>
      <c r="M85" s="242"/>
    </row>
    <row r="86" spans="1:39" ht="15.75" customHeight="1" x14ac:dyDescent="0.2">
      <c r="A86" s="245" t="s">
        <v>7</v>
      </c>
      <c r="B86" s="302" t="s">
        <v>18</v>
      </c>
      <c r="C86" s="337">
        <v>0.08</v>
      </c>
      <c r="D86" s="338"/>
      <c r="E86" s="246"/>
      <c r="F86" s="223"/>
      <c r="G86" s="223"/>
      <c r="H86" s="242" t="s">
        <v>231</v>
      </c>
      <c r="I86" s="249"/>
      <c r="J86" s="249"/>
      <c r="K86" s="249"/>
      <c r="L86" s="249"/>
      <c r="M86" s="249"/>
    </row>
    <row r="87" spans="1:39" ht="15.75" customHeight="1" x14ac:dyDescent="0.2">
      <c r="A87" s="245" t="s">
        <v>8</v>
      </c>
      <c r="B87" s="302" t="s">
        <v>143</v>
      </c>
      <c r="C87" s="339">
        <v>2.1299999999999999E-2</v>
      </c>
      <c r="D87" s="340"/>
      <c r="E87" s="251" t="s">
        <v>320</v>
      </c>
      <c r="F87" s="252"/>
      <c r="G87" s="252"/>
      <c r="H87" s="242" t="s">
        <v>233</v>
      </c>
      <c r="I87" s="242"/>
      <c r="J87" s="242"/>
      <c r="K87" s="242"/>
      <c r="L87" s="242"/>
      <c r="M87" s="242"/>
    </row>
    <row r="88" spans="1:39" ht="15.75" customHeight="1" x14ac:dyDescent="0.2">
      <c r="A88" s="245" t="s">
        <v>9</v>
      </c>
      <c r="B88" s="302" t="s">
        <v>19</v>
      </c>
      <c r="C88" s="337">
        <v>6.0000000000000001E-3</v>
      </c>
      <c r="D88" s="340"/>
      <c r="E88" s="250"/>
      <c r="F88" s="92"/>
      <c r="G88" s="92"/>
      <c r="H88" s="758" t="s">
        <v>234</v>
      </c>
      <c r="I88" s="758"/>
      <c r="J88" s="758"/>
      <c r="K88" s="758"/>
      <c r="L88" s="758"/>
      <c r="M88" s="758"/>
    </row>
    <row r="89" spans="1:39" ht="15.75" customHeight="1" x14ac:dyDescent="0.2">
      <c r="A89" s="835" t="s">
        <v>57</v>
      </c>
      <c r="B89" s="836"/>
      <c r="C89" s="341">
        <f>SUM(C81:C88)</f>
        <v>0.35930000000000001</v>
      </c>
      <c r="D89" s="340"/>
      <c r="E89" s="250"/>
      <c r="F89" s="92"/>
      <c r="G89" s="92"/>
      <c r="H89" s="758"/>
      <c r="I89" s="758"/>
      <c r="J89" s="758"/>
      <c r="K89" s="758"/>
      <c r="L89" s="758"/>
      <c r="M89" s="758"/>
    </row>
    <row r="90" spans="1:39" ht="15.75" customHeight="1" thickBot="1" x14ac:dyDescent="0.25">
      <c r="A90" s="253" t="s">
        <v>65</v>
      </c>
      <c r="B90" s="837" t="s">
        <v>142</v>
      </c>
      <c r="C90" s="838"/>
      <c r="D90" s="340"/>
      <c r="E90" s="250"/>
      <c r="F90" s="92"/>
      <c r="G90" s="92"/>
      <c r="H90" s="758"/>
      <c r="I90" s="758"/>
      <c r="J90" s="758"/>
      <c r="K90" s="758"/>
      <c r="L90" s="758"/>
      <c r="M90" s="758"/>
    </row>
    <row r="91" spans="1:39" ht="15.75" customHeight="1" thickBot="1" x14ac:dyDescent="0.25">
      <c r="A91" s="254" t="s">
        <v>1</v>
      </c>
      <c r="B91" s="303" t="s">
        <v>115</v>
      </c>
      <c r="C91" s="342">
        <v>8.3299999999999999E-2</v>
      </c>
      <c r="D91" s="343" t="s">
        <v>232</v>
      </c>
      <c r="E91" s="255"/>
      <c r="F91" s="256"/>
      <c r="G91" s="256"/>
      <c r="H91" s="851" t="s">
        <v>389</v>
      </c>
      <c r="I91" s="852"/>
      <c r="J91" s="852"/>
      <c r="K91" s="852"/>
      <c r="L91" s="852"/>
      <c r="M91" s="853"/>
    </row>
    <row r="92" spans="1:39" ht="23.25" customHeight="1" thickBot="1" x14ac:dyDescent="0.25">
      <c r="A92" s="254" t="s">
        <v>2</v>
      </c>
      <c r="B92" s="303" t="s">
        <v>372</v>
      </c>
      <c r="C92" s="342">
        <v>2.7799999999999998E-2</v>
      </c>
      <c r="D92" s="343"/>
      <c r="E92" s="255"/>
      <c r="F92" s="256"/>
      <c r="G92" s="256"/>
      <c r="H92" s="751" t="s">
        <v>55</v>
      </c>
      <c r="I92" s="752"/>
      <c r="J92" s="219" t="s">
        <v>300</v>
      </c>
      <c r="K92" s="219" t="s">
        <v>218</v>
      </c>
      <c r="L92" s="219" t="s">
        <v>299</v>
      </c>
      <c r="M92" s="220" t="s">
        <v>56</v>
      </c>
    </row>
    <row r="93" spans="1:39" ht="15.75" customHeight="1" x14ac:dyDescent="0.2">
      <c r="A93" s="839" t="s">
        <v>66</v>
      </c>
      <c r="B93" s="840"/>
      <c r="C93" s="344">
        <f>SUM(C91:C92)</f>
        <v>0.1111</v>
      </c>
      <c r="D93" s="343"/>
      <c r="E93" s="255"/>
      <c r="F93" s="92"/>
      <c r="G93" s="92"/>
      <c r="H93" s="225" t="s">
        <v>388</v>
      </c>
      <c r="I93" s="226"/>
      <c r="J93" s="364">
        <v>1</v>
      </c>
      <c r="K93" s="364">
        <v>1</v>
      </c>
      <c r="L93" s="227">
        <f>J93*K93</f>
        <v>1</v>
      </c>
      <c r="M93" s="228">
        <v>2413.9899999999998</v>
      </c>
    </row>
    <row r="94" spans="1:39" ht="21.75" customHeight="1" x14ac:dyDescent="0.2">
      <c r="A94" s="254" t="s">
        <v>2</v>
      </c>
      <c r="B94" s="303" t="s">
        <v>144</v>
      </c>
      <c r="C94" s="345">
        <f>C89*C93</f>
        <v>3.9899999999999998E-2</v>
      </c>
      <c r="D94" s="343"/>
      <c r="E94" s="255"/>
      <c r="F94" s="257"/>
      <c r="G94" s="257"/>
      <c r="H94" s="225" t="s">
        <v>228</v>
      </c>
      <c r="I94" s="232"/>
      <c r="J94" s="227">
        <v>6</v>
      </c>
      <c r="K94" s="227">
        <v>2</v>
      </c>
      <c r="L94" s="227">
        <f>J94*K94</f>
        <v>12</v>
      </c>
      <c r="M94" s="228">
        <v>2012.54</v>
      </c>
    </row>
    <row r="95" spans="1:39" ht="15.75" customHeight="1" thickBot="1" x14ac:dyDescent="0.25">
      <c r="A95" s="764" t="s">
        <v>57</v>
      </c>
      <c r="B95" s="765"/>
      <c r="C95" s="344">
        <f>C93+C94</f>
        <v>0.151</v>
      </c>
      <c r="D95" s="343"/>
      <c r="E95" s="255"/>
      <c r="F95" s="257"/>
      <c r="G95" s="257"/>
      <c r="H95" s="225" t="s">
        <v>229</v>
      </c>
      <c r="I95" s="232"/>
      <c r="J95" s="227">
        <v>1</v>
      </c>
      <c r="K95" s="227">
        <v>2</v>
      </c>
      <c r="L95" s="227">
        <f>J95*K95</f>
        <v>2</v>
      </c>
      <c r="M95" s="228">
        <v>2012.54</v>
      </c>
    </row>
    <row r="96" spans="1:39" ht="15.75" customHeight="1" thickBot="1" x14ac:dyDescent="0.25">
      <c r="A96" s="258" t="s">
        <v>67</v>
      </c>
      <c r="B96" s="845" t="s">
        <v>68</v>
      </c>
      <c r="C96" s="846"/>
      <c r="D96" s="343"/>
      <c r="E96" s="255"/>
      <c r="F96" s="257"/>
      <c r="G96" s="257"/>
      <c r="H96" s="753" t="s">
        <v>57</v>
      </c>
      <c r="I96" s="754"/>
      <c r="J96" s="237">
        <f>SUM(J93:J95)</f>
        <v>8</v>
      </c>
      <c r="K96" s="238" t="s">
        <v>79</v>
      </c>
      <c r="L96" s="237">
        <f>SUM(L93:L95)</f>
        <v>15</v>
      </c>
      <c r="M96" s="239" t="s">
        <v>79</v>
      </c>
    </row>
    <row r="97" spans="1:16" ht="15.75" customHeight="1" x14ac:dyDescent="0.2">
      <c r="A97" s="254" t="s">
        <v>1</v>
      </c>
      <c r="B97" s="303" t="s">
        <v>26</v>
      </c>
      <c r="C97" s="346">
        <v>0</v>
      </c>
      <c r="D97" s="343" t="s">
        <v>317</v>
      </c>
      <c r="E97" s="255"/>
      <c r="F97" s="257"/>
      <c r="G97" s="92"/>
      <c r="H97" s="57"/>
      <c r="I97" s="241"/>
      <c r="J97" s="224"/>
      <c r="K97" s="224"/>
      <c r="L97" s="224"/>
      <c r="M97" s="224"/>
    </row>
    <row r="98" spans="1:16" ht="24.75" customHeight="1" thickBot="1" x14ac:dyDescent="0.25">
      <c r="A98" s="254" t="s">
        <v>2</v>
      </c>
      <c r="B98" s="303" t="s">
        <v>145</v>
      </c>
      <c r="C98" s="345">
        <f>C89*C97</f>
        <v>0</v>
      </c>
      <c r="D98" s="343"/>
      <c r="E98" s="255"/>
      <c r="F98" s="257"/>
      <c r="G98" s="92"/>
      <c r="H98" s="360"/>
      <c r="I98" s="360"/>
      <c r="J98" s="360"/>
      <c r="K98" s="360"/>
      <c r="L98" s="360"/>
      <c r="M98" s="360"/>
    </row>
    <row r="99" spans="1:16" ht="15.75" customHeight="1" thickBot="1" x14ac:dyDescent="0.25">
      <c r="A99" s="764" t="s">
        <v>57</v>
      </c>
      <c r="B99" s="765"/>
      <c r="C99" s="344">
        <f>SUM(C97:C98)</f>
        <v>0</v>
      </c>
      <c r="D99" s="343"/>
      <c r="E99" s="255"/>
      <c r="F99" s="257"/>
      <c r="G99" s="92"/>
      <c r="H99" s="851" t="s">
        <v>390</v>
      </c>
      <c r="I99" s="852"/>
      <c r="J99" s="852"/>
      <c r="K99" s="852"/>
      <c r="L99" s="852"/>
      <c r="M99" s="853"/>
    </row>
    <row r="100" spans="1:16" ht="25.5" customHeight="1" thickBot="1" x14ac:dyDescent="0.25">
      <c r="A100" s="258" t="s">
        <v>69</v>
      </c>
      <c r="B100" s="845" t="s">
        <v>70</v>
      </c>
      <c r="C100" s="846"/>
      <c r="D100" s="343"/>
      <c r="E100" s="255"/>
      <c r="F100" s="257"/>
      <c r="G100" s="92"/>
      <c r="H100" s="751" t="s">
        <v>55</v>
      </c>
      <c r="I100" s="752"/>
      <c r="J100" s="219" t="s">
        <v>300</v>
      </c>
      <c r="K100" s="219" t="s">
        <v>218</v>
      </c>
      <c r="L100" s="219" t="s">
        <v>299</v>
      </c>
      <c r="M100" s="220" t="s">
        <v>56</v>
      </c>
    </row>
    <row r="101" spans="1:16" ht="15.75" customHeight="1" x14ac:dyDescent="0.2">
      <c r="A101" s="259" t="s">
        <v>1</v>
      </c>
      <c r="B101" s="74" t="s">
        <v>71</v>
      </c>
      <c r="C101" s="347">
        <v>4.1999999999999997E-3</v>
      </c>
      <c r="D101" s="343"/>
      <c r="E101" s="251" t="s">
        <v>318</v>
      </c>
      <c r="F101" s="92"/>
      <c r="G101" s="92"/>
      <c r="H101" s="225" t="s">
        <v>388</v>
      </c>
      <c r="I101" s="226"/>
      <c r="J101" s="380">
        <v>2</v>
      </c>
      <c r="K101" s="380">
        <v>1</v>
      </c>
      <c r="L101" s="227">
        <f>J101*K101</f>
        <v>2</v>
      </c>
      <c r="M101" s="228">
        <v>2413.9899999999998</v>
      </c>
    </row>
    <row r="102" spans="1:16" ht="24" x14ac:dyDescent="0.2">
      <c r="A102" s="259" t="s">
        <v>2</v>
      </c>
      <c r="B102" s="74" t="s">
        <v>326</v>
      </c>
      <c r="C102" s="347">
        <f>C89*C101</f>
        <v>1.5E-3</v>
      </c>
      <c r="D102" s="343" t="s">
        <v>325</v>
      </c>
      <c r="E102" s="251"/>
      <c r="F102" s="257"/>
      <c r="G102" s="257"/>
      <c r="H102" s="225" t="s">
        <v>228</v>
      </c>
      <c r="I102" s="232"/>
      <c r="J102" s="227">
        <v>6</v>
      </c>
      <c r="K102" s="227">
        <v>2</v>
      </c>
      <c r="L102" s="227">
        <f>J102*K102</f>
        <v>12</v>
      </c>
      <c r="M102" s="228">
        <v>2012.54</v>
      </c>
    </row>
    <row r="103" spans="1:16" ht="24.75" customHeight="1" thickBot="1" x14ac:dyDescent="0.25">
      <c r="A103" s="259" t="s">
        <v>4</v>
      </c>
      <c r="B103" s="74" t="s">
        <v>327</v>
      </c>
      <c r="C103" s="348">
        <v>4.3499999999999997E-2</v>
      </c>
      <c r="D103" s="343" t="s">
        <v>375</v>
      </c>
      <c r="E103" s="251"/>
      <c r="F103" s="257"/>
      <c r="G103" s="257"/>
      <c r="H103" s="225" t="s">
        <v>229</v>
      </c>
      <c r="I103" s="232"/>
      <c r="J103" s="227">
        <v>1</v>
      </c>
      <c r="K103" s="227">
        <v>2</v>
      </c>
      <c r="L103" s="227">
        <f>J103*K103</f>
        <v>2</v>
      </c>
      <c r="M103" s="228">
        <v>2012.54</v>
      </c>
    </row>
    <row r="104" spans="1:16" ht="15.75" customHeight="1" thickBot="1" x14ac:dyDescent="0.25">
      <c r="A104" s="259" t="s">
        <v>5</v>
      </c>
      <c r="B104" s="74" t="s">
        <v>146</v>
      </c>
      <c r="C104" s="347">
        <v>1.9400000000000001E-2</v>
      </c>
      <c r="D104" s="343"/>
      <c r="E104" s="251"/>
      <c r="F104" s="257"/>
      <c r="G104" s="257"/>
      <c r="H104" s="753" t="s">
        <v>57</v>
      </c>
      <c r="I104" s="754"/>
      <c r="J104" s="237">
        <f>SUM(J101:J103)</f>
        <v>9</v>
      </c>
      <c r="K104" s="238" t="s">
        <v>79</v>
      </c>
      <c r="L104" s="381">
        <f>SUM(L101:L103)</f>
        <v>16</v>
      </c>
      <c r="M104" s="239" t="s">
        <v>79</v>
      </c>
    </row>
    <row r="105" spans="1:16" ht="24" customHeight="1" x14ac:dyDescent="0.2">
      <c r="A105" s="259" t="s">
        <v>6</v>
      </c>
      <c r="B105" s="74" t="s">
        <v>147</v>
      </c>
      <c r="C105" s="347">
        <f>C104*C89</f>
        <v>7.0000000000000001E-3</v>
      </c>
      <c r="D105" s="343"/>
      <c r="E105" s="261">
        <f>C103+C106</f>
        <v>0.05</v>
      </c>
      <c r="F105" s="257"/>
      <c r="G105" s="257"/>
      <c r="H105" s="57"/>
      <c r="I105" s="379"/>
      <c r="J105" s="224"/>
      <c r="K105" s="224"/>
      <c r="L105" s="224"/>
      <c r="M105" s="224"/>
    </row>
    <row r="106" spans="1:16" ht="28.5" customHeight="1" x14ac:dyDescent="0.2">
      <c r="A106" s="259" t="s">
        <v>7</v>
      </c>
      <c r="B106" s="74" t="s">
        <v>328</v>
      </c>
      <c r="C106" s="348">
        <v>6.4999999999999997E-3</v>
      </c>
      <c r="D106" s="343" t="s">
        <v>232</v>
      </c>
      <c r="E106" s="251"/>
      <c r="F106" s="257"/>
      <c r="G106" s="257"/>
      <c r="H106" s="260"/>
      <c r="I106" s="92"/>
      <c r="J106" s="92"/>
      <c r="K106" s="92"/>
      <c r="L106" s="92"/>
      <c r="M106" s="92"/>
    </row>
    <row r="107" spans="1:16" ht="15.75" customHeight="1" x14ac:dyDescent="0.2">
      <c r="A107" s="764" t="s">
        <v>57</v>
      </c>
      <c r="B107" s="765"/>
      <c r="C107" s="344">
        <f>SUM(C101:C106)</f>
        <v>8.2100000000000006E-2</v>
      </c>
      <c r="D107" s="343"/>
      <c r="E107" s="251"/>
      <c r="F107" s="257"/>
      <c r="G107" s="257"/>
      <c r="H107" s="260"/>
      <c r="I107" s="92"/>
      <c r="J107" s="92"/>
      <c r="K107" s="92"/>
      <c r="L107" s="92"/>
      <c r="M107" s="92"/>
    </row>
    <row r="108" spans="1:16" ht="15.75" customHeight="1" x14ac:dyDescent="0.2">
      <c r="A108" s="258" t="s">
        <v>72</v>
      </c>
      <c r="B108" s="843" t="s">
        <v>73</v>
      </c>
      <c r="C108" s="844"/>
      <c r="D108" s="343"/>
      <c r="E108" s="251"/>
      <c r="F108" s="257"/>
      <c r="G108" s="257"/>
      <c r="H108" s="260"/>
      <c r="I108" s="92"/>
      <c r="J108" s="92"/>
      <c r="K108" s="92"/>
      <c r="L108" s="92"/>
      <c r="M108" s="92"/>
      <c r="N108" s="1"/>
      <c r="O108" s="1"/>
      <c r="P108" s="1"/>
    </row>
    <row r="109" spans="1:16" ht="15.75" customHeight="1" x14ac:dyDescent="0.2">
      <c r="A109" s="259" t="s">
        <v>1</v>
      </c>
      <c r="B109" s="74" t="s">
        <v>373</v>
      </c>
      <c r="C109" s="349">
        <v>8.3299999999999999E-2</v>
      </c>
      <c r="D109" s="343" t="s">
        <v>232</v>
      </c>
      <c r="E109" s="251" t="s">
        <v>319</v>
      </c>
      <c r="F109" s="262"/>
      <c r="G109" s="262"/>
      <c r="H109" s="850" t="s">
        <v>383</v>
      </c>
      <c r="I109" s="850"/>
      <c r="J109" s="850"/>
      <c r="K109" s="850"/>
      <c r="L109" s="850"/>
      <c r="M109" s="850"/>
      <c r="N109" s="1"/>
      <c r="O109" s="1"/>
      <c r="P109" s="1"/>
    </row>
    <row r="110" spans="1:16" ht="15.75" customHeight="1" x14ac:dyDescent="0.2">
      <c r="A110" s="259" t="s">
        <v>2</v>
      </c>
      <c r="B110" s="74" t="s">
        <v>27</v>
      </c>
      <c r="C110" s="350">
        <v>1.3899999999999999E-2</v>
      </c>
      <c r="D110" s="351"/>
      <c r="E110" s="251" t="s">
        <v>321</v>
      </c>
      <c r="F110" s="92"/>
      <c r="G110" s="92"/>
      <c r="H110" s="850"/>
      <c r="I110" s="850"/>
      <c r="J110" s="850"/>
      <c r="K110" s="850"/>
      <c r="L110" s="850"/>
      <c r="M110" s="850"/>
      <c r="N110" s="1"/>
      <c r="O110" s="1"/>
      <c r="P110" s="1"/>
    </row>
    <row r="111" spans="1:16" ht="15.75" customHeight="1" x14ac:dyDescent="0.2">
      <c r="A111" s="259" t="s">
        <v>4</v>
      </c>
      <c r="B111" s="74" t="s">
        <v>74</v>
      </c>
      <c r="C111" s="350">
        <v>1.2999999999999999E-3</v>
      </c>
      <c r="D111" s="351"/>
      <c r="E111" s="251" t="s">
        <v>322</v>
      </c>
      <c r="F111" s="264"/>
      <c r="G111" s="264"/>
      <c r="H111" s="850"/>
      <c r="I111" s="850"/>
      <c r="J111" s="850"/>
      <c r="K111" s="850"/>
      <c r="L111" s="850"/>
      <c r="M111" s="850"/>
    </row>
    <row r="112" spans="1:16" ht="15.75" customHeight="1" x14ac:dyDescent="0.2">
      <c r="A112" s="259" t="s">
        <v>5</v>
      </c>
      <c r="B112" s="74" t="s">
        <v>28</v>
      </c>
      <c r="C112" s="350">
        <v>2.8E-3</v>
      </c>
      <c r="D112" s="352"/>
      <c r="E112" s="251" t="s">
        <v>322</v>
      </c>
      <c r="F112" s="98"/>
      <c r="G112" s="98"/>
      <c r="H112" s="850"/>
      <c r="I112" s="850"/>
      <c r="J112" s="850"/>
      <c r="K112" s="850"/>
      <c r="L112" s="850"/>
      <c r="M112" s="850"/>
    </row>
    <row r="113" spans="1:243" ht="15.75" customHeight="1" x14ac:dyDescent="0.2">
      <c r="A113" s="259" t="s">
        <v>6</v>
      </c>
      <c r="B113" s="74" t="s">
        <v>75</v>
      </c>
      <c r="C113" s="350">
        <v>3.3E-3</v>
      </c>
      <c r="D113" s="352"/>
      <c r="E113" s="251"/>
      <c r="F113" s="75"/>
      <c r="G113" s="75"/>
      <c r="H113" s="850" t="s">
        <v>384</v>
      </c>
      <c r="I113" s="850"/>
      <c r="J113" s="850"/>
      <c r="K113" s="850"/>
      <c r="L113" s="850"/>
      <c r="M113" s="850"/>
    </row>
    <row r="114" spans="1:243" ht="15.75" customHeight="1" x14ac:dyDescent="0.2">
      <c r="A114" s="265" t="s">
        <v>7</v>
      </c>
      <c r="B114" s="302" t="s">
        <v>76</v>
      </c>
      <c r="C114" s="353">
        <v>0</v>
      </c>
      <c r="D114" s="352"/>
      <c r="E114" s="263"/>
      <c r="F114" s="266"/>
      <c r="G114" s="266"/>
      <c r="H114" s="850"/>
      <c r="I114" s="850"/>
      <c r="J114" s="850"/>
      <c r="K114" s="850"/>
      <c r="L114" s="850"/>
      <c r="M114" s="850"/>
    </row>
    <row r="115" spans="1:243" ht="15.75" customHeight="1" x14ac:dyDescent="0.2">
      <c r="A115" s="761" t="s">
        <v>66</v>
      </c>
      <c r="B115" s="762"/>
      <c r="C115" s="354">
        <f>SUM(C109:C114)</f>
        <v>0.1046</v>
      </c>
      <c r="D115" s="352"/>
      <c r="E115" s="263"/>
      <c r="F115" s="92"/>
      <c r="G115" s="92"/>
      <c r="H115" s="850"/>
      <c r="I115" s="850"/>
      <c r="J115" s="850"/>
      <c r="K115" s="850"/>
      <c r="L115" s="850"/>
      <c r="M115" s="850"/>
    </row>
    <row r="116" spans="1:243" ht="33.75" customHeight="1" x14ac:dyDescent="0.2">
      <c r="A116" s="267" t="s">
        <v>8</v>
      </c>
      <c r="B116" s="304" t="s">
        <v>148</v>
      </c>
      <c r="C116" s="355">
        <f>C115*C89</f>
        <v>3.7600000000000001E-2</v>
      </c>
      <c r="D116" s="352"/>
      <c r="E116" s="263"/>
      <c r="F116" s="98"/>
      <c r="G116" s="98"/>
      <c r="H116" s="260" t="s">
        <v>365</v>
      </c>
      <c r="I116" s="92"/>
      <c r="J116" s="92"/>
      <c r="K116" s="92"/>
      <c r="L116" s="92"/>
      <c r="M116" s="92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</row>
    <row r="117" spans="1:243" ht="15.75" customHeight="1" x14ac:dyDescent="0.2">
      <c r="A117" s="841" t="s">
        <v>57</v>
      </c>
      <c r="B117" s="842"/>
      <c r="C117" s="356">
        <f>C115+C116</f>
        <v>0.14219999999999999</v>
      </c>
      <c r="D117" s="352"/>
      <c r="E117" s="263"/>
      <c r="F117" s="98"/>
      <c r="G117" s="98"/>
      <c r="H117" s="260" t="s">
        <v>227</v>
      </c>
      <c r="I117" s="92"/>
      <c r="J117" s="92"/>
      <c r="K117" s="92"/>
      <c r="L117" s="92"/>
      <c r="M117" s="92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</row>
    <row r="118" spans="1:243" ht="15.75" customHeight="1" thickBot="1" x14ac:dyDescent="0.25">
      <c r="A118" s="831" t="s">
        <v>77</v>
      </c>
      <c r="B118" s="832"/>
      <c r="C118" s="357">
        <f>TRUNC(C89+C95+C99+C107+C117,4)</f>
        <v>0.73460000000000003</v>
      </c>
      <c r="D118" s="358" t="s">
        <v>286</v>
      </c>
      <c r="E118" s="268"/>
      <c r="F118" s="269"/>
      <c r="G118" s="269"/>
      <c r="H118" s="260" t="s">
        <v>236</v>
      </c>
      <c r="I118" s="92"/>
      <c r="J118" s="92"/>
      <c r="K118" s="92"/>
      <c r="L118" s="92"/>
      <c r="M118" s="9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</row>
    <row r="119" spans="1:243" ht="15.75" customHeight="1" x14ac:dyDescent="0.2">
      <c r="A119" s="734" t="s">
        <v>316</v>
      </c>
      <c r="B119" s="734"/>
      <c r="C119" s="734"/>
      <c r="D119" s="223"/>
      <c r="E119" s="75"/>
      <c r="F119" s="75"/>
      <c r="G119" s="75"/>
      <c r="H119" s="260" t="s">
        <v>361</v>
      </c>
      <c r="I119" s="92"/>
      <c r="J119" s="92"/>
      <c r="K119" s="92"/>
      <c r="L119" s="92"/>
      <c r="M119" s="9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  <c r="II119" s="39"/>
    </row>
    <row r="120" spans="1:243" ht="24" x14ac:dyDescent="0.2">
      <c r="A120" s="735"/>
      <c r="B120" s="735"/>
      <c r="C120" s="735"/>
      <c r="D120" s="359" t="s">
        <v>376</v>
      </c>
      <c r="E120" s="75"/>
      <c r="F120" s="75"/>
      <c r="G120" s="75"/>
      <c r="H120" s="260" t="s">
        <v>366</v>
      </c>
      <c r="I120" s="92"/>
      <c r="J120" s="92"/>
      <c r="K120" s="92"/>
      <c r="L120" s="92"/>
      <c r="M120" s="92"/>
    </row>
    <row r="121" spans="1:243" ht="15" x14ac:dyDescent="0.2">
      <c r="A121" s="92"/>
      <c r="B121" s="296"/>
      <c r="C121" s="296"/>
      <c r="D121" s="296"/>
      <c r="E121" s="92"/>
      <c r="F121" s="92"/>
      <c r="G121" s="92"/>
      <c r="H121" s="260" t="s">
        <v>367</v>
      </c>
      <c r="I121" s="92"/>
      <c r="J121" s="92"/>
      <c r="K121" s="92"/>
      <c r="L121" s="92"/>
      <c r="M121" s="92"/>
    </row>
  </sheetData>
  <mergeCells count="74">
    <mergeCell ref="A27:C27"/>
    <mergeCell ref="F1:I1"/>
    <mergeCell ref="H109:M112"/>
    <mergeCell ref="H113:M115"/>
    <mergeCell ref="H92:I92"/>
    <mergeCell ref="H96:I96"/>
    <mergeCell ref="H100:I100"/>
    <mergeCell ref="H104:I104"/>
    <mergeCell ref="H91:M91"/>
    <mergeCell ref="H99:M99"/>
    <mergeCell ref="F33:F34"/>
    <mergeCell ref="E33:E34"/>
    <mergeCell ref="A43:F43"/>
    <mergeCell ref="J40:J41"/>
    <mergeCell ref="A55:C55"/>
    <mergeCell ref="G46:M48"/>
    <mergeCell ref="A118:B118"/>
    <mergeCell ref="B80:C80"/>
    <mergeCell ref="A89:B89"/>
    <mergeCell ref="B90:C90"/>
    <mergeCell ref="A93:B93"/>
    <mergeCell ref="A117:B117"/>
    <mergeCell ref="B108:C108"/>
    <mergeCell ref="B96:C96"/>
    <mergeCell ref="A95:B95"/>
    <mergeCell ref="B100:C100"/>
    <mergeCell ref="H82:I82"/>
    <mergeCell ref="J81:L81"/>
    <mergeCell ref="F37:F38"/>
    <mergeCell ref="A99:B99"/>
    <mergeCell ref="J82:L82"/>
    <mergeCell ref="G44:M45"/>
    <mergeCell ref="M40:M41"/>
    <mergeCell ref="A46:E48"/>
    <mergeCell ref="F46:F48"/>
    <mergeCell ref="A53:C53"/>
    <mergeCell ref="A54:C54"/>
    <mergeCell ref="C9:D9"/>
    <mergeCell ref="C3:D3"/>
    <mergeCell ref="C10:D10"/>
    <mergeCell ref="C13:D13"/>
    <mergeCell ref="A76:B76"/>
    <mergeCell ref="C11:D11"/>
    <mergeCell ref="C12:D12"/>
    <mergeCell ref="A19:M19"/>
    <mergeCell ref="L67:M67"/>
    <mergeCell ref="C8:D8"/>
    <mergeCell ref="H69:M71"/>
    <mergeCell ref="A36:E36"/>
    <mergeCell ref="L29:M29"/>
    <mergeCell ref="A65:B65"/>
    <mergeCell ref="A44:E45"/>
    <mergeCell ref="F44:F45"/>
    <mergeCell ref="L1:M1"/>
    <mergeCell ref="C4:D4"/>
    <mergeCell ref="C5:D5"/>
    <mergeCell ref="C6:D6"/>
    <mergeCell ref="C7:D7"/>
    <mergeCell ref="A119:C120"/>
    <mergeCell ref="A16:M16"/>
    <mergeCell ref="K65:M65"/>
    <mergeCell ref="L66:M66"/>
    <mergeCell ref="I64:K64"/>
    <mergeCell ref="L64:M64"/>
    <mergeCell ref="D27:D28"/>
    <mergeCell ref="A17:M17"/>
    <mergeCell ref="H72:I72"/>
    <mergeCell ref="H76:I76"/>
    <mergeCell ref="A18:M18"/>
    <mergeCell ref="H88:M90"/>
    <mergeCell ref="H81:I81"/>
    <mergeCell ref="A115:B115"/>
    <mergeCell ref="H80:M80"/>
    <mergeCell ref="A107:B107"/>
  </mergeCells>
  <printOptions horizontalCentered="1"/>
  <pageMargins left="0.39370078740157483" right="0.27559055118110237" top="0.47244094488188981" bottom="0.19685039370078741" header="0.27559055118110237" footer="0.19685039370078741"/>
  <pageSetup paperSize="9" scale="33" fitToHeight="0" orientation="portrait" r:id="rId1"/>
  <headerFooter alignWithMargins="0"/>
  <ignoredErrors>
    <ignoredError sqref="I66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FFFF99"/>
    <pageSetUpPr fitToPage="1"/>
  </sheetPr>
  <dimension ref="A1:I69"/>
  <sheetViews>
    <sheetView view="pageBreakPreview" zoomScale="120" zoomScaleNormal="100" zoomScaleSheetLayoutView="120" workbookViewId="0">
      <selection activeCell="F32" sqref="F32"/>
    </sheetView>
  </sheetViews>
  <sheetFormatPr defaultRowHeight="14.25" x14ac:dyDescent="0.2"/>
  <cols>
    <col min="1" max="1" width="8.140625" style="29" customWidth="1"/>
    <col min="2" max="2" width="12.7109375" style="29" customWidth="1"/>
    <col min="3" max="3" width="7.140625" style="29" customWidth="1"/>
    <col min="4" max="4" width="17.42578125" style="29" customWidth="1"/>
    <col min="5" max="5" width="18.85546875" style="29" customWidth="1"/>
    <col min="6" max="6" width="16.5703125" style="29" customWidth="1"/>
    <col min="7" max="7" width="14.28515625" style="29" customWidth="1"/>
    <col min="8" max="8" width="11.85546875" style="29" customWidth="1"/>
    <col min="9" max="9" width="11.5703125" style="29" customWidth="1"/>
    <col min="10" max="10" width="9.140625" style="29" customWidth="1"/>
    <col min="11" max="16384" width="9.140625" style="29"/>
  </cols>
  <sheetData>
    <row r="1" spans="1:9" s="28" customFormat="1" ht="14.25" customHeight="1" x14ac:dyDescent="0.2">
      <c r="A1" s="1338" t="str">
        <f>DADOS!A16</f>
        <v>MINISTÉRIO DE MINAS E ENERGIA - MME</v>
      </c>
      <c r="B1" s="1338"/>
      <c r="C1" s="1338"/>
      <c r="D1" s="1338"/>
      <c r="E1" s="1338"/>
      <c r="F1" s="1338"/>
      <c r="G1" s="1338"/>
      <c r="H1" s="1338"/>
      <c r="I1" s="1338"/>
    </row>
    <row r="2" spans="1:9" s="28" customFormat="1" ht="14.25" customHeight="1" x14ac:dyDescent="0.2">
      <c r="A2" s="1338" t="str">
        <f>DADOS!A18</f>
        <v>PREGÃO ELETRÔNICO Nº 001/2017 - MME</v>
      </c>
      <c r="B2" s="1338"/>
      <c r="C2" s="1338"/>
      <c r="D2" s="1338"/>
      <c r="E2" s="1338"/>
      <c r="F2" s="1338"/>
      <c r="G2" s="1338"/>
      <c r="H2" s="1338"/>
      <c r="I2" s="1338"/>
    </row>
    <row r="3" spans="1:9" s="28" customFormat="1" ht="14.25" customHeight="1" x14ac:dyDescent="0.2">
      <c r="A3" s="75"/>
      <c r="B3" s="75"/>
      <c r="C3" s="75"/>
      <c r="D3" s="75"/>
      <c r="E3" s="75"/>
      <c r="F3" s="75"/>
      <c r="G3" s="75"/>
      <c r="H3" s="75"/>
      <c r="I3" s="75"/>
    </row>
    <row r="4" spans="1:9" s="28" customFormat="1" ht="14.25" customHeight="1" x14ac:dyDescent="0.2">
      <c r="A4" s="75"/>
      <c r="B4" s="75"/>
      <c r="C4" s="75"/>
      <c r="D4" s="75"/>
      <c r="E4" s="75"/>
      <c r="F4" s="75"/>
      <c r="G4" s="75"/>
      <c r="H4" s="75"/>
      <c r="I4" s="75"/>
    </row>
    <row r="5" spans="1:9" s="28" customFormat="1" ht="14.25" customHeight="1" x14ac:dyDescent="0.2">
      <c r="A5" s="1338" t="s">
        <v>159</v>
      </c>
      <c r="B5" s="1338"/>
      <c r="C5" s="1338"/>
      <c r="D5" s="1338"/>
      <c r="E5" s="1338"/>
      <c r="F5" s="1338"/>
      <c r="G5" s="1338"/>
      <c r="H5" s="1338"/>
      <c r="I5" s="1338"/>
    </row>
    <row r="6" spans="1:9" s="28" customFormat="1" ht="14.25" customHeight="1" x14ac:dyDescent="0.2">
      <c r="A6" s="75"/>
      <c r="B6" s="75"/>
      <c r="C6" s="75"/>
      <c r="D6" s="75"/>
      <c r="E6" s="75"/>
      <c r="F6" s="75"/>
      <c r="G6" s="75"/>
      <c r="H6" s="75"/>
      <c r="I6" s="75"/>
    </row>
    <row r="7" spans="1:9" s="28" customFormat="1" ht="14.25" customHeight="1" x14ac:dyDescent="0.2">
      <c r="A7" s="76" t="s">
        <v>157</v>
      </c>
      <c r="B7" s="75"/>
      <c r="C7" s="75" t="s">
        <v>357</v>
      </c>
      <c r="D7" s="75"/>
      <c r="E7" s="75"/>
      <c r="F7" s="75"/>
      <c r="G7" s="75"/>
      <c r="H7" s="75"/>
      <c r="I7" s="75"/>
    </row>
    <row r="8" spans="1:9" s="28" customFormat="1" ht="10.5" customHeight="1" x14ac:dyDescent="0.2">
      <c r="A8" s="76"/>
      <c r="B8" s="75"/>
      <c r="C8" s="75"/>
      <c r="D8" s="75"/>
      <c r="E8" s="75"/>
      <c r="F8" s="75"/>
      <c r="G8" s="75"/>
      <c r="H8" s="75"/>
      <c r="I8" s="75"/>
    </row>
    <row r="9" spans="1:9" s="28" customFormat="1" x14ac:dyDescent="0.2">
      <c r="A9" s="77" t="s">
        <v>181</v>
      </c>
      <c r="B9" s="75"/>
      <c r="C9" s="75"/>
      <c r="D9" s="75"/>
      <c r="E9" s="75"/>
      <c r="F9" s="75"/>
      <c r="G9" s="75"/>
      <c r="H9" s="75"/>
      <c r="I9" s="75"/>
    </row>
    <row r="10" spans="1:9" s="28" customFormat="1" ht="14.25" customHeight="1" x14ac:dyDescent="0.2">
      <c r="A10" s="1340" t="s">
        <v>400</v>
      </c>
      <c r="B10" s="1340"/>
      <c r="C10" s="1340"/>
      <c r="D10" s="1340"/>
      <c r="E10" s="1340"/>
      <c r="F10" s="1340"/>
      <c r="G10" s="1340"/>
      <c r="H10" s="1340"/>
      <c r="I10" s="1340"/>
    </row>
    <row r="11" spans="1:9" s="28" customFormat="1" ht="14.25" customHeight="1" x14ac:dyDescent="0.2">
      <c r="A11" s="1340"/>
      <c r="B11" s="1340"/>
      <c r="C11" s="1340"/>
      <c r="D11" s="1340"/>
      <c r="E11" s="1340"/>
      <c r="F11" s="1340"/>
      <c r="G11" s="1340"/>
      <c r="H11" s="1340"/>
      <c r="I11" s="1340"/>
    </row>
    <row r="12" spans="1:9" s="28" customFormat="1" ht="8.25" customHeight="1" x14ac:dyDescent="0.2">
      <c r="A12" s="78"/>
      <c r="B12" s="78"/>
      <c r="C12" s="78"/>
      <c r="D12" s="78"/>
      <c r="E12" s="78"/>
      <c r="F12" s="78"/>
      <c r="G12" s="78"/>
      <c r="H12" s="78"/>
      <c r="I12" s="78"/>
    </row>
    <row r="13" spans="1:9" s="28" customFormat="1" ht="14.25" customHeight="1" x14ac:dyDescent="0.2">
      <c r="A13" s="1340" t="s">
        <v>401</v>
      </c>
      <c r="B13" s="1340"/>
      <c r="C13" s="1340"/>
      <c r="D13" s="1340"/>
      <c r="E13" s="1340"/>
      <c r="F13" s="1340"/>
      <c r="G13" s="1340"/>
      <c r="H13" s="1340"/>
      <c r="I13" s="1340"/>
    </row>
    <row r="14" spans="1:9" s="28" customFormat="1" ht="14.25" customHeight="1" x14ac:dyDescent="0.2">
      <c r="A14" s="1340"/>
      <c r="B14" s="1340"/>
      <c r="C14" s="1340"/>
      <c r="D14" s="1340"/>
      <c r="E14" s="1340"/>
      <c r="F14" s="1340"/>
      <c r="G14" s="1340"/>
      <c r="H14" s="1340"/>
      <c r="I14" s="1340"/>
    </row>
    <row r="15" spans="1:9" s="28" customFormat="1" ht="14.25" customHeight="1" x14ac:dyDescent="0.2">
      <c r="A15" s="78"/>
      <c r="B15" s="78"/>
      <c r="C15" s="78"/>
      <c r="D15" s="78"/>
      <c r="E15" s="78"/>
      <c r="F15" s="78"/>
      <c r="G15" s="78"/>
      <c r="H15" s="78"/>
      <c r="I15" s="78"/>
    </row>
    <row r="16" spans="1:9" s="28" customFormat="1" ht="14.25" customHeight="1" x14ac:dyDescent="0.2">
      <c r="A16" s="79" t="s">
        <v>308</v>
      </c>
      <c r="B16" s="78"/>
      <c r="C16" s="78"/>
      <c r="D16" s="78"/>
      <c r="E16" s="78"/>
      <c r="F16" s="78"/>
      <c r="G16" s="78"/>
      <c r="H16" s="78"/>
      <c r="I16" s="78"/>
    </row>
    <row r="17" spans="1:9" s="28" customFormat="1" ht="14.25" customHeight="1" x14ac:dyDescent="0.2">
      <c r="A17" s="75"/>
      <c r="B17" s="75"/>
      <c r="C17" s="75"/>
      <c r="D17" s="75"/>
      <c r="E17" s="75"/>
      <c r="F17" s="75"/>
      <c r="G17" s="75"/>
      <c r="H17" s="75"/>
      <c r="I17" s="75"/>
    </row>
    <row r="18" spans="1:9" s="28" customFormat="1" ht="14.25" customHeight="1" x14ac:dyDescent="0.2">
      <c r="A18" s="1339" t="s">
        <v>368</v>
      </c>
      <c r="B18" s="1339"/>
      <c r="C18" s="1339"/>
      <c r="D18" s="1339"/>
      <c r="E18" s="1339"/>
      <c r="F18" s="1339"/>
      <c r="G18" s="1339"/>
      <c r="H18" s="1339"/>
      <c r="I18" s="1339"/>
    </row>
    <row r="19" spans="1:9" s="28" customFormat="1" ht="4.5" customHeight="1" x14ac:dyDescent="0.2">
      <c r="A19" s="80"/>
      <c r="B19" s="80"/>
      <c r="C19" s="80"/>
      <c r="D19" s="80"/>
      <c r="E19" s="80"/>
      <c r="F19" s="80"/>
      <c r="G19" s="80"/>
      <c r="H19" s="80"/>
      <c r="I19" s="80"/>
    </row>
    <row r="20" spans="1:9" x14ac:dyDescent="0.2">
      <c r="A20" s="81"/>
      <c r="B20" s="82"/>
      <c r="C20" s="83" t="s">
        <v>207</v>
      </c>
      <c r="D20" s="84"/>
      <c r="E20" s="85"/>
      <c r="F20" s="85"/>
      <c r="G20" s="85"/>
      <c r="H20" s="85"/>
      <c r="I20" s="86"/>
    </row>
    <row r="21" spans="1:9" x14ac:dyDescent="0.2">
      <c r="A21" s="87"/>
      <c r="B21" s="82"/>
      <c r="C21" s="83" t="s">
        <v>208</v>
      </c>
      <c r="D21" s="84"/>
      <c r="E21" s="85"/>
      <c r="F21" s="85"/>
      <c r="G21" s="85"/>
      <c r="H21" s="85"/>
      <c r="I21" s="86"/>
    </row>
    <row r="22" spans="1:9" x14ac:dyDescent="0.2">
      <c r="A22" s="87"/>
      <c r="B22" s="82"/>
      <c r="C22" s="83" t="s">
        <v>209</v>
      </c>
      <c r="D22" s="84"/>
      <c r="E22" s="85"/>
      <c r="F22" s="85"/>
      <c r="G22" s="85"/>
      <c r="H22" s="85"/>
      <c r="I22" s="86"/>
    </row>
    <row r="23" spans="1:9" x14ac:dyDescent="0.2">
      <c r="A23" s="86"/>
      <c r="B23" s="82"/>
      <c r="C23" s="83" t="s">
        <v>210</v>
      </c>
      <c r="D23" s="84"/>
      <c r="E23" s="85"/>
      <c r="F23" s="85"/>
      <c r="G23" s="85"/>
      <c r="H23" s="85"/>
      <c r="I23" s="86"/>
    </row>
    <row r="24" spans="1:9" x14ac:dyDescent="0.2">
      <c r="A24" s="86"/>
      <c r="B24" s="82"/>
      <c r="C24" s="83" t="s">
        <v>211</v>
      </c>
      <c r="D24" s="84"/>
      <c r="E24" s="85"/>
      <c r="F24" s="85"/>
      <c r="G24" s="85"/>
      <c r="H24" s="85"/>
      <c r="I24" s="86"/>
    </row>
    <row r="25" spans="1:9" x14ac:dyDescent="0.2">
      <c r="A25" s="86"/>
      <c r="B25" s="82"/>
      <c r="C25" s="83" t="s">
        <v>212</v>
      </c>
      <c r="D25" s="84"/>
      <c r="E25" s="85"/>
      <c r="F25" s="85"/>
      <c r="G25" s="85"/>
      <c r="H25" s="85"/>
      <c r="I25" s="86"/>
    </row>
    <row r="26" spans="1:9" x14ac:dyDescent="0.2">
      <c r="A26" s="86"/>
      <c r="B26" s="82"/>
      <c r="C26" s="83" t="s">
        <v>213</v>
      </c>
      <c r="D26" s="84"/>
      <c r="E26" s="85"/>
      <c r="F26" s="85"/>
      <c r="G26" s="85"/>
      <c r="H26" s="85"/>
      <c r="I26" s="86"/>
    </row>
    <row r="27" spans="1:9" x14ac:dyDescent="0.2">
      <c r="A27" s="86"/>
      <c r="B27" s="82"/>
      <c r="C27" s="83" t="s">
        <v>214</v>
      </c>
      <c r="D27" s="84"/>
      <c r="E27" s="85"/>
      <c r="F27" s="85"/>
      <c r="G27" s="85"/>
      <c r="H27" s="85"/>
      <c r="I27" s="86"/>
    </row>
    <row r="28" spans="1:9" x14ac:dyDescent="0.2">
      <c r="A28" s="86"/>
      <c r="B28" s="86"/>
      <c r="C28" s="83" t="s">
        <v>374</v>
      </c>
      <c r="D28" s="86"/>
      <c r="E28" s="86"/>
      <c r="F28" s="86"/>
      <c r="G28" s="86"/>
      <c r="H28" s="86"/>
      <c r="I28" s="86"/>
    </row>
    <row r="29" spans="1:9" ht="12" customHeight="1" x14ac:dyDescent="0.2"/>
    <row r="30" spans="1:9" ht="12" customHeight="1" x14ac:dyDescent="0.2"/>
    <row r="31" spans="1:9" ht="12" customHeight="1" x14ac:dyDescent="0.2"/>
    <row r="32" spans="1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8" customHeight="1" x14ac:dyDescent="0.2"/>
  </sheetData>
  <mergeCells count="6">
    <mergeCell ref="A1:I1"/>
    <mergeCell ref="A2:I2"/>
    <mergeCell ref="A18:I18"/>
    <mergeCell ref="A5:I5"/>
    <mergeCell ref="A10:I11"/>
    <mergeCell ref="A13:I14"/>
  </mergeCells>
  <printOptions horizontalCentered="1"/>
  <pageMargins left="0.43307086614173229" right="0.35433070866141736" top="2.1653543307086616" bottom="0.35433070866141736" header="0.23622047244094491" footer="0.27559055118110237"/>
  <pageSetup paperSize="9" scale="82" fitToHeight="0" orientation="portrait" r:id="rId1"/>
  <headerFooter>
    <oddHeader>&amp;L&amp;"Cambria,Negrito"&amp;8PROPOSTA N° 011/2017 - MME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9" tint="-0.249977111117893"/>
    <pageSetUpPr fitToPage="1"/>
  </sheetPr>
  <dimension ref="A1:N45"/>
  <sheetViews>
    <sheetView view="pageBreakPreview" topLeftCell="A20" zoomScale="110" zoomScaleNormal="100" zoomScaleSheetLayoutView="110" workbookViewId="0">
      <selection activeCell="E8" sqref="E8"/>
    </sheetView>
  </sheetViews>
  <sheetFormatPr defaultRowHeight="12.75" x14ac:dyDescent="0.2"/>
  <cols>
    <col min="1" max="1" width="9.5703125" style="361" customWidth="1"/>
    <col min="2" max="2" width="37.140625" style="361" customWidth="1"/>
    <col min="3" max="3" width="34.28515625" style="361" customWidth="1"/>
    <col min="4" max="4" width="18.28515625" style="361" customWidth="1"/>
    <col min="5" max="5" width="16.7109375" style="361" customWidth="1"/>
    <col min="6" max="6" width="21" style="361" customWidth="1"/>
    <col min="7" max="7" width="20" style="361" customWidth="1"/>
    <col min="8" max="8" width="21.85546875" style="361" customWidth="1"/>
    <col min="9" max="9" width="10" style="2" bestFit="1" customWidth="1"/>
    <col min="10" max="10" width="13.7109375" style="2" bestFit="1" customWidth="1"/>
    <col min="11" max="12" width="9.140625" style="2"/>
    <col min="13" max="13" width="12.28515625" style="2" bestFit="1" customWidth="1"/>
    <col min="14" max="16384" width="9.140625" style="2"/>
  </cols>
  <sheetData>
    <row r="1" spans="1:14" x14ac:dyDescent="0.2">
      <c r="A1" s="509" t="str">
        <f>DADOS!A1</f>
        <v>PROPOSTA DE PREÇOS Nº 011/2017</v>
      </c>
      <c r="B1" s="502"/>
      <c r="C1" s="488"/>
      <c r="D1" s="488"/>
      <c r="E1" s="488"/>
      <c r="F1" s="488"/>
      <c r="G1" s="488"/>
      <c r="H1" s="488"/>
      <c r="N1" s="3"/>
    </row>
    <row r="2" spans="1:14" s="4" customFormat="1" x14ac:dyDescent="0.2">
      <c r="A2" s="511" t="str">
        <f>DADOS!A16</f>
        <v>MINISTÉRIO DE MINAS E ENERGIA - MME</v>
      </c>
      <c r="B2" s="502"/>
      <c r="C2" s="488"/>
      <c r="D2" s="488"/>
      <c r="E2" s="488"/>
      <c r="F2" s="488"/>
      <c r="G2" s="488"/>
      <c r="H2" s="488"/>
    </row>
    <row r="3" spans="1:14" s="4" customFormat="1" x14ac:dyDescent="0.2">
      <c r="A3" s="503" t="s">
        <v>221</v>
      </c>
      <c r="B3" s="502"/>
      <c r="C3" s="488"/>
      <c r="D3" s="488"/>
      <c r="E3" s="488"/>
      <c r="F3" s="488"/>
      <c r="G3" s="488"/>
      <c r="H3" s="488"/>
    </row>
    <row r="4" spans="1:14" s="4" customFormat="1" x14ac:dyDescent="0.2">
      <c r="A4" s="503" t="s">
        <v>222</v>
      </c>
      <c r="B4" s="502"/>
      <c r="C4" s="488"/>
      <c r="D4" s="488"/>
      <c r="E4" s="488"/>
      <c r="F4" s="488"/>
      <c r="G4" s="488"/>
      <c r="H4" s="488"/>
    </row>
    <row r="5" spans="1:14" s="4" customFormat="1" x14ac:dyDescent="0.2">
      <c r="A5" s="503" t="s">
        <v>223</v>
      </c>
      <c r="B5" s="502"/>
      <c r="C5" s="488"/>
      <c r="D5" s="488"/>
      <c r="E5" s="488"/>
      <c r="F5" s="488"/>
      <c r="G5" s="488"/>
      <c r="H5" s="488"/>
    </row>
    <row r="6" spans="1:14" s="4" customFormat="1" x14ac:dyDescent="0.2">
      <c r="A6" s="503" t="s">
        <v>224</v>
      </c>
      <c r="B6" s="502"/>
      <c r="C6" s="488"/>
      <c r="D6" s="488"/>
      <c r="E6" s="488"/>
      <c r="F6" s="488"/>
      <c r="G6" s="488"/>
      <c r="H6" s="488"/>
    </row>
    <row r="7" spans="1:14" x14ac:dyDescent="0.2">
      <c r="A7" s="512" t="s">
        <v>78</v>
      </c>
      <c r="B7" s="502"/>
      <c r="C7" s="488"/>
      <c r="D7" s="488"/>
      <c r="E7" s="488"/>
      <c r="F7" s="488"/>
      <c r="G7" s="488"/>
      <c r="H7" s="488"/>
    </row>
    <row r="8" spans="1:14" x14ac:dyDescent="0.2">
      <c r="A8" s="509" t="s">
        <v>174</v>
      </c>
      <c r="B8" s="511" t="str">
        <f>DADOS!A18</f>
        <v>PREGÃO ELETRÔNICO Nº 001/2017 - MME</v>
      </c>
      <c r="C8" s="509" t="s">
        <v>225</v>
      </c>
      <c r="D8" s="487"/>
      <c r="E8" s="487"/>
      <c r="F8" s="487"/>
      <c r="G8" s="487"/>
      <c r="H8" s="488"/>
    </row>
    <row r="9" spans="1:14" ht="8.25" customHeight="1" x14ac:dyDescent="0.2">
      <c r="A9" s="488"/>
      <c r="B9" s="488"/>
      <c r="C9" s="488"/>
      <c r="D9" s="488"/>
      <c r="E9" s="488"/>
      <c r="F9" s="488"/>
      <c r="G9" s="488"/>
      <c r="H9" s="488"/>
    </row>
    <row r="10" spans="1:14" x14ac:dyDescent="0.2">
      <c r="A10" s="864" t="s">
        <v>323</v>
      </c>
      <c r="B10" s="864"/>
      <c r="C10" s="488"/>
      <c r="D10" s="488"/>
      <c r="E10" s="488"/>
      <c r="F10" s="488"/>
      <c r="G10" s="488"/>
      <c r="H10" s="488"/>
    </row>
    <row r="11" spans="1:14" s="5" customFormat="1" ht="42" customHeight="1" x14ac:dyDescent="0.2">
      <c r="A11" s="865" t="s">
        <v>515</v>
      </c>
      <c r="B11" s="865"/>
      <c r="C11" s="865"/>
      <c r="D11" s="865"/>
      <c r="E11" s="865"/>
      <c r="F11" s="865"/>
      <c r="G11" s="865"/>
      <c r="H11" s="865"/>
    </row>
    <row r="12" spans="1:14" s="5" customFormat="1" ht="15" customHeight="1" x14ac:dyDescent="0.2">
      <c r="A12" s="489" t="s">
        <v>358</v>
      </c>
      <c r="B12" s="490"/>
      <c r="C12" s="490"/>
      <c r="D12" s="490"/>
      <c r="E12" s="490"/>
      <c r="F12" s="490"/>
      <c r="G12" s="490"/>
      <c r="H12" s="490"/>
    </row>
    <row r="13" spans="1:14" s="6" customFormat="1" ht="12" x14ac:dyDescent="0.2">
      <c r="A13" s="874" t="s">
        <v>89</v>
      </c>
      <c r="B13" s="874" t="s">
        <v>163</v>
      </c>
      <c r="C13" s="875"/>
      <c r="D13" s="495" t="s">
        <v>90</v>
      </c>
      <c r="E13" s="872" t="s">
        <v>195</v>
      </c>
      <c r="F13" s="495" t="s">
        <v>187</v>
      </c>
      <c r="G13" s="495" t="s">
        <v>178</v>
      </c>
      <c r="H13" s="495" t="s">
        <v>197</v>
      </c>
      <c r="M13" s="7"/>
    </row>
    <row r="14" spans="1:14" s="6" customFormat="1" ht="12" x14ac:dyDescent="0.2">
      <c r="A14" s="876"/>
      <c r="B14" s="881" t="s">
        <v>160</v>
      </c>
      <c r="C14" s="881"/>
      <c r="D14" s="496" t="s">
        <v>161</v>
      </c>
      <c r="E14" s="873"/>
      <c r="F14" s="496" t="s">
        <v>172</v>
      </c>
      <c r="G14" s="497" t="s">
        <v>162</v>
      </c>
      <c r="H14" s="496" t="s">
        <v>198</v>
      </c>
      <c r="M14" s="7"/>
    </row>
    <row r="15" spans="1:14" s="8" customFormat="1" ht="12" x14ac:dyDescent="0.2">
      <c r="A15" s="498">
        <v>1</v>
      </c>
      <c r="B15" s="866" t="str">
        <f>DADOS!H73</f>
        <v>Supervisor Diurno Desarmado - 44hs semanais envolvendo 1 (um) funcionário</v>
      </c>
      <c r="C15" s="867"/>
      <c r="D15" s="499">
        <f>DADOS!J73</f>
        <v>1</v>
      </c>
      <c r="E15" s="499">
        <f>DADOS!L73</f>
        <v>1</v>
      </c>
      <c r="F15" s="500">
        <f>RESUMO!F8</f>
        <v>7922.18</v>
      </c>
      <c r="G15" s="500">
        <f>F15*D15</f>
        <v>7922.18</v>
      </c>
      <c r="H15" s="501">
        <f>G15*12</f>
        <v>95066.16</v>
      </c>
      <c r="I15" s="14"/>
      <c r="J15" s="9"/>
    </row>
    <row r="16" spans="1:14" s="8" customFormat="1" ht="27" customHeight="1" x14ac:dyDescent="0.2">
      <c r="A16" s="498">
        <v>2</v>
      </c>
      <c r="B16" s="866" t="str">
        <f>DADOS!H74</f>
        <v>Vigilante Diurno Desarmado - 12 horas de segunda-feira a domingo, envolvendo 2 (dois) vigilantes em turnos de 12x36hs</v>
      </c>
      <c r="C16" s="867"/>
      <c r="D16" s="499">
        <f>DADOS!J74</f>
        <v>6</v>
      </c>
      <c r="E16" s="499">
        <f>DADOS!L74</f>
        <v>12</v>
      </c>
      <c r="F16" s="500">
        <f>RESUMO!F9</f>
        <v>14327.52</v>
      </c>
      <c r="G16" s="500">
        <f>F16*D16</f>
        <v>85965.119999999995</v>
      </c>
      <c r="H16" s="501">
        <f>G16*12</f>
        <v>1031581.44</v>
      </c>
      <c r="I16" s="14"/>
      <c r="J16" s="9"/>
    </row>
    <row r="17" spans="1:10" s="8" customFormat="1" ht="27.75" customHeight="1" x14ac:dyDescent="0.2">
      <c r="A17" s="498">
        <v>3</v>
      </c>
      <c r="B17" s="866" t="str">
        <f>DADOS!H75</f>
        <v>Vigilante Noturno Desarmado - 12 horas de segunda-feira a domingo, envolvendo 2 (dois) vigilantes em turnos de 12x36hs</v>
      </c>
      <c r="C17" s="867"/>
      <c r="D17" s="499">
        <f>DADOS!J75</f>
        <v>1</v>
      </c>
      <c r="E17" s="499">
        <f>DADOS!L75</f>
        <v>2</v>
      </c>
      <c r="F17" s="500">
        <f>RESUMO!F10</f>
        <v>16095.02</v>
      </c>
      <c r="G17" s="500">
        <f>F17*D17</f>
        <v>16095.02</v>
      </c>
      <c r="H17" s="501">
        <f>G17*12</f>
        <v>193140.24</v>
      </c>
      <c r="I17" s="14"/>
      <c r="J17" s="9"/>
    </row>
    <row r="18" spans="1:10" s="8" customFormat="1" x14ac:dyDescent="0.2">
      <c r="A18" s="882" t="s">
        <v>57</v>
      </c>
      <c r="B18" s="882"/>
      <c r="C18" s="882"/>
      <c r="D18" s="491">
        <f>SUM(D15:D17)</f>
        <v>8</v>
      </c>
      <c r="E18" s="491">
        <f>SUM(E15:E17)</f>
        <v>15</v>
      </c>
      <c r="F18" s="492" t="s">
        <v>180</v>
      </c>
      <c r="G18" s="493">
        <f>SUM(G15:G17)</f>
        <v>109982.32</v>
      </c>
      <c r="H18" s="494">
        <f>SUM(H15:H17)</f>
        <v>1319787.8400000001</v>
      </c>
      <c r="I18" s="14"/>
      <c r="J18" s="9"/>
    </row>
    <row r="19" spans="1:10" s="8" customFormat="1" ht="6.75" customHeight="1" x14ac:dyDescent="0.2">
      <c r="A19" s="869"/>
      <c r="B19" s="870"/>
      <c r="C19" s="870"/>
      <c r="D19" s="870"/>
      <c r="E19" s="870"/>
      <c r="F19" s="870"/>
      <c r="G19" s="870"/>
      <c r="H19" s="871"/>
      <c r="I19" s="14"/>
      <c r="J19" s="9"/>
    </row>
    <row r="20" spans="1:10" s="10" customFormat="1" x14ac:dyDescent="0.2">
      <c r="A20" s="883" t="s">
        <v>164</v>
      </c>
      <c r="B20" s="884"/>
      <c r="C20" s="884"/>
      <c r="D20" s="884"/>
      <c r="E20" s="884"/>
      <c r="F20" s="884"/>
      <c r="G20" s="885"/>
      <c r="H20" s="494">
        <f>G18</f>
        <v>109982.32</v>
      </c>
    </row>
    <row r="21" spans="1:10" s="10" customFormat="1" x14ac:dyDescent="0.2">
      <c r="A21" s="868" t="e">
        <f ca="1">PassaExtenso(H20)</f>
        <v>#NAME?</v>
      </c>
      <c r="B21" s="868"/>
      <c r="C21" s="868"/>
      <c r="D21" s="868"/>
      <c r="E21" s="868"/>
      <c r="F21" s="868"/>
      <c r="G21" s="868"/>
      <c r="H21" s="868"/>
    </row>
    <row r="22" spans="1:10" s="10" customFormat="1" x14ac:dyDescent="0.2">
      <c r="A22" s="883" t="s">
        <v>199</v>
      </c>
      <c r="B22" s="884"/>
      <c r="C22" s="884"/>
      <c r="D22" s="884"/>
      <c r="E22" s="884"/>
      <c r="F22" s="884"/>
      <c r="G22" s="885"/>
      <c r="H22" s="494">
        <f>H18</f>
        <v>1319787.8400000001</v>
      </c>
    </row>
    <row r="23" spans="1:10" s="10" customFormat="1" x14ac:dyDescent="0.2">
      <c r="A23" s="868" t="e">
        <f ca="1">PassaExtenso(H22)</f>
        <v>#NAME?</v>
      </c>
      <c r="B23" s="868"/>
      <c r="C23" s="868"/>
      <c r="D23" s="868"/>
      <c r="E23" s="868"/>
      <c r="F23" s="868"/>
      <c r="G23" s="868"/>
      <c r="H23" s="868"/>
    </row>
    <row r="24" spans="1:10" ht="25.5" customHeight="1" x14ac:dyDescent="0.2">
      <c r="A24" s="502" t="s">
        <v>80</v>
      </c>
      <c r="B24" s="502"/>
      <c r="C24" s="879" t="s">
        <v>359</v>
      </c>
      <c r="D24" s="879"/>
      <c r="E24" s="879"/>
      <c r="F24" s="879"/>
      <c r="G24" s="879"/>
      <c r="H24" s="879"/>
    </row>
    <row r="25" spans="1:10" ht="21.75" customHeight="1" x14ac:dyDescent="0.2">
      <c r="A25" s="502"/>
      <c r="B25" s="502"/>
      <c r="C25" s="879" t="s">
        <v>360</v>
      </c>
      <c r="D25" s="879"/>
      <c r="E25" s="879"/>
      <c r="F25" s="879"/>
      <c r="G25" s="879"/>
      <c r="H25" s="879"/>
    </row>
    <row r="26" spans="1:10" ht="24" customHeight="1" x14ac:dyDescent="0.2">
      <c r="A26" s="502"/>
      <c r="B26" s="502"/>
      <c r="C26" s="879"/>
      <c r="D26" s="879"/>
      <c r="E26" s="879"/>
      <c r="F26" s="879"/>
      <c r="G26" s="879"/>
      <c r="H26" s="879"/>
    </row>
    <row r="27" spans="1:10" x14ac:dyDescent="0.2">
      <c r="A27" s="502" t="s">
        <v>81</v>
      </c>
      <c r="B27" s="502"/>
      <c r="C27" s="503" t="s">
        <v>168</v>
      </c>
      <c r="D27" s="502"/>
      <c r="E27" s="502"/>
      <c r="F27" s="502"/>
      <c r="G27" s="502"/>
      <c r="H27" s="502"/>
    </row>
    <row r="28" spans="1:10" ht="9.75" customHeight="1" x14ac:dyDescent="0.2">
      <c r="A28" s="502"/>
      <c r="B28" s="502"/>
      <c r="C28" s="502"/>
      <c r="D28" s="504"/>
      <c r="E28" s="504"/>
      <c r="F28" s="504"/>
      <c r="G28" s="504"/>
      <c r="H28" s="504"/>
    </row>
    <row r="29" spans="1:10" x14ac:dyDescent="0.2">
      <c r="A29" s="502" t="s">
        <v>82</v>
      </c>
      <c r="B29" s="502"/>
      <c r="C29" s="879" t="s">
        <v>154</v>
      </c>
      <c r="D29" s="879"/>
      <c r="E29" s="879"/>
      <c r="F29" s="879"/>
      <c r="G29" s="879"/>
      <c r="H29" s="879"/>
    </row>
    <row r="30" spans="1:10" s="11" customFormat="1" ht="37.5" customHeight="1" x14ac:dyDescent="0.2">
      <c r="A30" s="504"/>
      <c r="B30" s="504"/>
      <c r="C30" s="879"/>
      <c r="D30" s="879"/>
      <c r="E30" s="879"/>
      <c r="F30" s="879"/>
      <c r="G30" s="879"/>
      <c r="H30" s="879"/>
    </row>
    <row r="31" spans="1:10" s="11" customFormat="1" ht="9.75" customHeight="1" x14ac:dyDescent="0.2">
      <c r="A31" s="504"/>
      <c r="B31" s="504"/>
      <c r="C31" s="504"/>
      <c r="D31" s="504"/>
      <c r="E31" s="504"/>
      <c r="F31" s="504"/>
      <c r="G31" s="504"/>
      <c r="H31" s="504"/>
    </row>
    <row r="32" spans="1:10" s="11" customFormat="1" x14ac:dyDescent="0.2">
      <c r="A32" s="504"/>
      <c r="B32" s="504"/>
      <c r="C32" s="880" t="s">
        <v>226</v>
      </c>
      <c r="D32" s="880"/>
      <c r="E32" s="880"/>
      <c r="F32" s="880"/>
      <c r="G32" s="880"/>
      <c r="H32" s="880"/>
    </row>
    <row r="33" spans="1:9" s="11" customFormat="1" ht="9.75" customHeight="1" x14ac:dyDescent="0.2">
      <c r="A33" s="504"/>
      <c r="B33" s="502"/>
      <c r="C33" s="504"/>
      <c r="D33" s="504"/>
      <c r="E33" s="504"/>
      <c r="F33" s="504"/>
      <c r="G33" s="504"/>
      <c r="H33" s="504"/>
    </row>
    <row r="34" spans="1:9" x14ac:dyDescent="0.2">
      <c r="A34" s="502" t="s">
        <v>83</v>
      </c>
      <c r="B34" s="502"/>
      <c r="C34" s="502" t="s">
        <v>165</v>
      </c>
      <c r="D34" s="502"/>
      <c r="E34" s="886" t="s">
        <v>95</v>
      </c>
      <c r="F34" s="886"/>
      <c r="G34" s="886" t="s">
        <v>120</v>
      </c>
      <c r="H34" s="886"/>
    </row>
    <row r="35" spans="1:9" x14ac:dyDescent="0.2">
      <c r="A35" s="502"/>
      <c r="B35" s="502"/>
      <c r="C35" s="502" t="s">
        <v>122</v>
      </c>
      <c r="D35" s="502" t="s">
        <v>124</v>
      </c>
      <c r="E35" s="502"/>
      <c r="F35" s="502"/>
      <c r="G35" s="502"/>
      <c r="H35" s="505"/>
    </row>
    <row r="36" spans="1:9" x14ac:dyDescent="0.2">
      <c r="A36" s="502"/>
      <c r="B36" s="502"/>
      <c r="C36" s="502" t="s">
        <v>166</v>
      </c>
      <c r="D36" s="506"/>
      <c r="E36" s="502" t="s">
        <v>123</v>
      </c>
      <c r="F36" s="507"/>
      <c r="G36" s="502"/>
      <c r="H36" s="505"/>
    </row>
    <row r="37" spans="1:9" x14ac:dyDescent="0.2">
      <c r="A37" s="502"/>
      <c r="B37" s="502"/>
      <c r="C37" s="502" t="s">
        <v>167</v>
      </c>
      <c r="D37" s="502"/>
      <c r="E37" s="507"/>
      <c r="F37" s="507"/>
      <c r="G37" s="502"/>
      <c r="H37" s="505"/>
    </row>
    <row r="38" spans="1:9" x14ac:dyDescent="0.2">
      <c r="A38" s="502" t="s">
        <v>85</v>
      </c>
      <c r="B38" s="502"/>
      <c r="C38" s="502" t="s">
        <v>363</v>
      </c>
      <c r="D38" s="502" t="s">
        <v>364</v>
      </c>
      <c r="E38" s="886" t="s">
        <v>362</v>
      </c>
      <c r="F38" s="886"/>
      <c r="G38" s="502"/>
      <c r="H38" s="502"/>
    </row>
    <row r="39" spans="1:9" ht="9" customHeight="1" x14ac:dyDescent="0.2">
      <c r="A39" s="502"/>
      <c r="B39" s="502"/>
      <c r="C39" s="502"/>
      <c r="D39" s="503"/>
      <c r="E39" s="503"/>
      <c r="F39" s="502"/>
      <c r="G39" s="502"/>
      <c r="H39" s="502"/>
    </row>
    <row r="40" spans="1:9" ht="18" customHeight="1" x14ac:dyDescent="0.2">
      <c r="A40" s="502" t="s">
        <v>86</v>
      </c>
      <c r="B40" s="502"/>
      <c r="C40" s="502" t="s">
        <v>121</v>
      </c>
      <c r="D40" s="502"/>
      <c r="E40" s="502"/>
      <c r="F40" s="502"/>
      <c r="G40" s="502"/>
      <c r="H40" s="502"/>
    </row>
    <row r="41" spans="1:9" ht="6.75" customHeight="1" x14ac:dyDescent="0.2">
      <c r="A41" s="502"/>
      <c r="B41" s="509"/>
      <c r="C41" s="508"/>
      <c r="D41" s="508"/>
      <c r="E41" s="508"/>
      <c r="F41" s="508"/>
      <c r="G41" s="508"/>
      <c r="H41" s="508"/>
    </row>
    <row r="42" spans="1:9" x14ac:dyDescent="0.2">
      <c r="A42" s="502"/>
      <c r="B42" s="510"/>
      <c r="C42" s="878" t="s">
        <v>519</v>
      </c>
      <c r="D42" s="878"/>
      <c r="E42" s="518"/>
      <c r="F42" s="518"/>
      <c r="G42" s="508"/>
      <c r="H42" s="508"/>
    </row>
    <row r="43" spans="1:9" x14ac:dyDescent="0.2">
      <c r="A43" s="877"/>
      <c r="B43" s="877"/>
      <c r="C43" s="877" t="s">
        <v>84</v>
      </c>
      <c r="D43" s="877"/>
      <c r="E43" s="510"/>
      <c r="F43" s="510"/>
      <c r="G43" s="510"/>
      <c r="H43" s="510"/>
    </row>
    <row r="44" spans="1:9" x14ac:dyDescent="0.2">
      <c r="A44" s="877"/>
      <c r="B44" s="877"/>
      <c r="C44" s="877" t="s">
        <v>87</v>
      </c>
      <c r="D44" s="877"/>
      <c r="E44" s="510"/>
      <c r="F44" s="510"/>
      <c r="G44" s="510"/>
      <c r="H44" s="510"/>
      <c r="I44" s="16"/>
    </row>
    <row r="45" spans="1:9" x14ac:dyDescent="0.2">
      <c r="A45" s="877"/>
      <c r="B45" s="877"/>
      <c r="C45" s="877" t="s">
        <v>88</v>
      </c>
      <c r="D45" s="877"/>
      <c r="E45" s="510"/>
      <c r="F45" s="510"/>
      <c r="G45" s="510"/>
      <c r="H45" s="510"/>
    </row>
  </sheetData>
  <mergeCells count="29">
    <mergeCell ref="C42:D42"/>
    <mergeCell ref="C24:H24"/>
    <mergeCell ref="C32:H32"/>
    <mergeCell ref="A21:H21"/>
    <mergeCell ref="B14:C14"/>
    <mergeCell ref="A18:C18"/>
    <mergeCell ref="A22:G22"/>
    <mergeCell ref="A20:G20"/>
    <mergeCell ref="C29:H30"/>
    <mergeCell ref="C25:H26"/>
    <mergeCell ref="E34:F34"/>
    <mergeCell ref="G34:H34"/>
    <mergeCell ref="E38:F38"/>
    <mergeCell ref="A43:B43"/>
    <mergeCell ref="A44:B44"/>
    <mergeCell ref="A45:B45"/>
    <mergeCell ref="C43:D43"/>
    <mergeCell ref="C44:D44"/>
    <mergeCell ref="C45:D45"/>
    <mergeCell ref="A10:B10"/>
    <mergeCell ref="A11:H11"/>
    <mergeCell ref="B15:C15"/>
    <mergeCell ref="B16:C16"/>
    <mergeCell ref="A23:H23"/>
    <mergeCell ref="A19:H19"/>
    <mergeCell ref="E13:E14"/>
    <mergeCell ref="B17:C17"/>
    <mergeCell ref="B13:C13"/>
    <mergeCell ref="A13:A14"/>
  </mergeCells>
  <printOptions horizontalCentered="1"/>
  <pageMargins left="0.51181102362204722" right="0.43307086614173229" top="1.26" bottom="0.15748031496062992" header="0.27559055118110237" footer="0.27559055118110237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>
    <tabColor theme="8" tint="0.79998168889431442"/>
  </sheetPr>
  <dimension ref="A1:S150"/>
  <sheetViews>
    <sheetView view="pageBreakPreview" topLeftCell="A7" zoomScale="80" zoomScaleNormal="100" zoomScaleSheetLayoutView="80" workbookViewId="0">
      <pane xSplit="9" ySplit="3" topLeftCell="J16" activePane="bottomRight" state="frozen"/>
      <selection activeCell="A7" sqref="A7"/>
      <selection pane="topRight" activeCell="J7" sqref="J7"/>
      <selection pane="bottomLeft" activeCell="A10" sqref="A10"/>
      <selection pane="bottomRight" activeCell="N26" sqref="N26:O26"/>
    </sheetView>
  </sheetViews>
  <sheetFormatPr defaultRowHeight="14.25" x14ac:dyDescent="0.2"/>
  <cols>
    <col min="1" max="1" width="5.7109375" style="485" customWidth="1"/>
    <col min="2" max="2" width="33" style="19" customWidth="1"/>
    <col min="3" max="3" width="16.85546875" style="19" customWidth="1"/>
    <col min="4" max="4" width="14.140625" style="19" customWidth="1"/>
    <col min="5" max="5" width="20.140625" style="19" bestFit="1" customWidth="1"/>
    <col min="6" max="6" width="15.28515625" style="19" customWidth="1"/>
    <col min="7" max="7" width="18.140625" style="20" customWidth="1"/>
    <col min="8" max="8" width="15.28515625" style="20" hidden="1" customWidth="1"/>
    <col min="9" max="9" width="18.140625" style="20" hidden="1" customWidth="1"/>
    <col min="10" max="10" width="15.7109375" style="19" hidden="1" customWidth="1"/>
    <col min="11" max="11" width="18.140625" style="20" hidden="1" customWidth="1"/>
    <col min="12" max="12" width="15.28515625" style="19" hidden="1" customWidth="1"/>
    <col min="13" max="13" width="18.140625" style="20" hidden="1" customWidth="1"/>
    <col min="14" max="14" width="15.28515625" style="43" customWidth="1"/>
    <col min="15" max="15" width="18.140625" style="43" customWidth="1"/>
    <col min="16" max="16" width="15.28515625" style="43" customWidth="1"/>
    <col min="17" max="17" width="18.140625" style="43" customWidth="1"/>
    <col min="18" max="18" width="15.28515625" style="43" customWidth="1"/>
    <col min="19" max="19" width="18.140625" style="43" customWidth="1"/>
    <col min="20" max="16384" width="9.140625" style="43"/>
  </cols>
  <sheetData>
    <row r="1" spans="1:19" ht="11.25" customHeight="1" x14ac:dyDescent="0.2">
      <c r="A1" s="486" t="s">
        <v>84</v>
      </c>
      <c r="F1" s="17"/>
      <c r="G1" s="18"/>
      <c r="H1" s="18"/>
      <c r="I1" s="18"/>
      <c r="J1" s="17"/>
      <c r="K1" s="18"/>
      <c r="L1" s="17"/>
      <c r="M1" s="18"/>
    </row>
    <row r="2" spans="1:19" ht="11.25" customHeight="1" x14ac:dyDescent="0.2">
      <c r="A2" s="486" t="s">
        <v>95</v>
      </c>
      <c r="F2" s="17"/>
      <c r="G2" s="18"/>
      <c r="H2" s="18"/>
      <c r="I2" s="18"/>
      <c r="J2" s="17"/>
      <c r="K2" s="18"/>
      <c r="L2" s="17"/>
      <c r="M2" s="18"/>
    </row>
    <row r="3" spans="1:19" x14ac:dyDescent="0.2">
      <c r="A3" s="483"/>
    </row>
    <row r="4" spans="1:19" s="44" customFormat="1" x14ac:dyDescent="0.2">
      <c r="A4" s="948" t="s">
        <v>348</v>
      </c>
      <c r="B4" s="948"/>
      <c r="C4" s="948"/>
      <c r="D4" s="948"/>
      <c r="E4" s="948"/>
      <c r="F4" s="948"/>
      <c r="G4" s="948"/>
      <c r="H4" s="387"/>
      <c r="I4" s="387"/>
      <c r="J4" s="88"/>
      <c r="K4" s="88"/>
      <c r="L4" s="89"/>
      <c r="M4" s="89"/>
    </row>
    <row r="5" spans="1:19" s="44" customFormat="1" ht="15.75" customHeight="1" x14ac:dyDescent="0.2">
      <c r="A5" s="948" t="str">
        <f>DADOS!A19</f>
        <v>PLANILHA DE CUSTOS E FORMAÇÃO DE PREÇOS - MME</v>
      </c>
      <c r="B5" s="948"/>
      <c r="C5" s="948"/>
      <c r="D5" s="948"/>
      <c r="E5" s="948"/>
      <c r="F5" s="948"/>
      <c r="G5" s="948"/>
      <c r="H5" s="387"/>
      <c r="I5" s="387"/>
      <c r="J5" s="88"/>
      <c r="K5" s="88"/>
      <c r="L5" s="89"/>
      <c r="M5" s="89"/>
    </row>
    <row r="6" spans="1:19" s="44" customFormat="1" x14ac:dyDescent="0.2">
      <c r="A6" s="484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9" s="44" customFormat="1" x14ac:dyDescent="0.2">
      <c r="A7" s="920"/>
      <c r="B7" s="920"/>
      <c r="C7" s="920"/>
      <c r="D7" s="920"/>
      <c r="E7" s="920"/>
      <c r="F7" s="920"/>
      <c r="G7" s="920"/>
      <c r="H7" s="920"/>
      <c r="I7" s="920"/>
      <c r="J7" s="22"/>
      <c r="K7" s="23"/>
      <c r="L7" s="22"/>
      <c r="M7" s="23"/>
      <c r="P7" s="46"/>
      <c r="Q7" s="46"/>
      <c r="R7" s="46"/>
      <c r="S7" s="46"/>
    </row>
    <row r="8" spans="1:19" s="44" customFormat="1" ht="15" thickBot="1" x14ac:dyDescent="0.25">
      <c r="A8" s="920"/>
      <c r="B8" s="920"/>
      <c r="C8" s="920"/>
      <c r="D8" s="920"/>
      <c r="E8" s="920"/>
      <c r="F8" s="920"/>
      <c r="G8" s="920"/>
      <c r="H8" s="920"/>
      <c r="I8" s="920"/>
      <c r="J8" s="22"/>
      <c r="K8" s="23"/>
      <c r="L8" s="22"/>
      <c r="M8" s="23"/>
      <c r="P8" s="46"/>
      <c r="Q8" s="46"/>
      <c r="R8" s="46"/>
      <c r="S8" s="46"/>
    </row>
    <row r="9" spans="1:19" s="44" customFormat="1" ht="26.25" customHeight="1" thickBot="1" x14ac:dyDescent="0.25">
      <c r="A9" s="1009" t="s">
        <v>517</v>
      </c>
      <c r="B9" s="1010"/>
      <c r="C9" s="1010"/>
      <c r="D9" s="1010"/>
      <c r="E9" s="1010"/>
      <c r="F9" s="1010"/>
      <c r="G9" s="1011"/>
      <c r="H9" s="1020" t="s">
        <v>508</v>
      </c>
      <c r="I9" s="1021"/>
      <c r="J9" s="986" t="s">
        <v>412</v>
      </c>
      <c r="K9" s="987"/>
      <c r="L9" s="987"/>
      <c r="M9" s="988"/>
      <c r="N9" s="986" t="s">
        <v>413</v>
      </c>
      <c r="O9" s="994"/>
      <c r="P9" s="980" t="s">
        <v>509</v>
      </c>
      <c r="Q9" s="981"/>
      <c r="R9" s="981"/>
      <c r="S9" s="982"/>
    </row>
    <row r="10" spans="1:19" s="44" customFormat="1" ht="107.25" customHeight="1" thickBot="1" x14ac:dyDescent="0.25">
      <c r="A10" s="893" t="s">
        <v>518</v>
      </c>
      <c r="B10" s="894"/>
      <c r="C10" s="894"/>
      <c r="D10" s="894"/>
      <c r="E10" s="894"/>
      <c r="F10" s="894"/>
      <c r="G10" s="895"/>
      <c r="H10" s="1022"/>
      <c r="I10" s="1023"/>
      <c r="J10" s="921" t="s">
        <v>405</v>
      </c>
      <c r="K10" s="989"/>
      <c r="L10" s="921" t="s">
        <v>414</v>
      </c>
      <c r="M10" s="922"/>
      <c r="N10" s="921" t="s">
        <v>416</v>
      </c>
      <c r="O10" s="989"/>
      <c r="P10" s="983" t="s">
        <v>529</v>
      </c>
      <c r="Q10" s="984"/>
      <c r="R10" s="984"/>
      <c r="S10" s="985"/>
    </row>
    <row r="11" spans="1:19" s="44" customFormat="1" ht="62.25" customHeight="1" thickBot="1" x14ac:dyDescent="0.25">
      <c r="A11" s="951" t="s">
        <v>132</v>
      </c>
      <c r="B11" s="952"/>
      <c r="C11" s="952"/>
      <c r="D11" s="952"/>
      <c r="E11" s="953"/>
      <c r="F11" s="954" t="s">
        <v>403</v>
      </c>
      <c r="G11" s="955"/>
      <c r="H11" s="1014" t="s">
        <v>507</v>
      </c>
      <c r="I11" s="1015"/>
      <c r="J11" s="954" t="s">
        <v>391</v>
      </c>
      <c r="K11" s="955"/>
      <c r="L11" s="925" t="s">
        <v>392</v>
      </c>
      <c r="M11" s="926"/>
      <c r="N11" s="990" t="s">
        <v>392</v>
      </c>
      <c r="O11" s="991"/>
      <c r="P11" s="1031" t="s">
        <v>528</v>
      </c>
      <c r="Q11" s="1032"/>
      <c r="R11" s="1032"/>
      <c r="S11" s="1033"/>
    </row>
    <row r="12" spans="1:19" s="44" customFormat="1" ht="15.75" customHeight="1" x14ac:dyDescent="0.2">
      <c r="A12" s="538" t="s">
        <v>1</v>
      </c>
      <c r="B12" s="938" t="s">
        <v>128</v>
      </c>
      <c r="C12" s="938"/>
      <c r="D12" s="938"/>
      <c r="E12" s="939"/>
      <c r="F12" s="929">
        <f>DADOS!C4</f>
        <v>42788</v>
      </c>
      <c r="G12" s="940"/>
      <c r="H12" s="1016"/>
      <c r="I12" s="1017"/>
      <c r="J12" s="992"/>
      <c r="K12" s="993"/>
      <c r="L12" s="927"/>
      <c r="M12" s="928"/>
      <c r="N12" s="992"/>
      <c r="O12" s="993"/>
      <c r="P12" s="998"/>
      <c r="Q12" s="999"/>
      <c r="R12" s="998"/>
      <c r="S12" s="999"/>
    </row>
    <row r="13" spans="1:19" s="44" customFormat="1" ht="15.75" customHeight="1" x14ac:dyDescent="0.2">
      <c r="A13" s="538" t="s">
        <v>2</v>
      </c>
      <c r="B13" s="942" t="s">
        <v>3</v>
      </c>
      <c r="C13" s="942"/>
      <c r="D13" s="942"/>
      <c r="E13" s="943"/>
      <c r="F13" s="929" t="str">
        <f>DADOS!C5</f>
        <v>Brasília - DF</v>
      </c>
      <c r="G13" s="940"/>
      <c r="H13" s="1018" t="s">
        <v>39</v>
      </c>
      <c r="I13" s="930"/>
      <c r="J13" s="929" t="str">
        <f>DADOS!C5</f>
        <v>Brasília - DF</v>
      </c>
      <c r="K13" s="940"/>
      <c r="L13" s="929" t="str">
        <f>DADOS!C5</f>
        <v>Brasília - DF</v>
      </c>
      <c r="M13" s="930"/>
      <c r="N13" s="929" t="str">
        <f>DADOS!C5</f>
        <v>Brasília - DF</v>
      </c>
      <c r="O13" s="940"/>
      <c r="P13" s="929" t="str">
        <f>DADOS!C5</f>
        <v>Brasília - DF</v>
      </c>
      <c r="Q13" s="940"/>
      <c r="R13" s="929" t="s">
        <v>537</v>
      </c>
      <c r="S13" s="940"/>
    </row>
    <row r="14" spans="1:19" s="44" customFormat="1" ht="15" customHeight="1" x14ac:dyDescent="0.2">
      <c r="A14" s="898" t="s">
        <v>4</v>
      </c>
      <c r="B14" s="938" t="s">
        <v>127</v>
      </c>
      <c r="C14" s="938"/>
      <c r="D14" s="938"/>
      <c r="E14" s="939"/>
      <c r="F14" s="931" t="str">
        <f>DADOS!H82</f>
        <v>SINDESV/SINDESP-DF</v>
      </c>
      <c r="G14" s="940"/>
      <c r="H14" s="995" t="s">
        <v>64</v>
      </c>
      <c r="I14" s="930"/>
      <c r="J14" s="931" t="s">
        <v>64</v>
      </c>
      <c r="K14" s="940"/>
      <c r="L14" s="931" t="s">
        <v>64</v>
      </c>
      <c r="M14" s="930"/>
      <c r="N14" s="931" t="s">
        <v>64</v>
      </c>
      <c r="O14" s="940"/>
      <c r="P14" s="931" t="s">
        <v>64</v>
      </c>
      <c r="Q14" s="940"/>
      <c r="R14" s="931" t="s">
        <v>64</v>
      </c>
      <c r="S14" s="940"/>
    </row>
    <row r="15" spans="1:19" s="44" customFormat="1" ht="15" customHeight="1" x14ac:dyDescent="0.2">
      <c r="A15" s="898"/>
      <c r="B15" s="938"/>
      <c r="C15" s="938"/>
      <c r="D15" s="938"/>
      <c r="E15" s="939"/>
      <c r="F15" s="916" t="str">
        <f>DADOS!C11</f>
        <v>2016/2016</v>
      </c>
      <c r="G15" s="917"/>
      <c r="H15" s="941" t="s">
        <v>150</v>
      </c>
      <c r="I15" s="923"/>
      <c r="J15" s="916" t="s">
        <v>387</v>
      </c>
      <c r="K15" s="917"/>
      <c r="L15" s="916" t="s">
        <v>387</v>
      </c>
      <c r="M15" s="923"/>
      <c r="N15" s="916" t="s">
        <v>525</v>
      </c>
      <c r="O15" s="917"/>
      <c r="P15" s="916" t="s">
        <v>530</v>
      </c>
      <c r="Q15" s="917"/>
      <c r="R15" s="916" t="s">
        <v>530</v>
      </c>
      <c r="S15" s="917"/>
    </row>
    <row r="16" spans="1:19" s="44" customFormat="1" ht="15" customHeight="1" x14ac:dyDescent="0.2">
      <c r="A16" s="538" t="s">
        <v>5</v>
      </c>
      <c r="B16" s="938" t="s">
        <v>129</v>
      </c>
      <c r="C16" s="938"/>
      <c r="D16" s="938"/>
      <c r="E16" s="939"/>
      <c r="F16" s="931">
        <f>DADOS!C13</f>
        <v>12</v>
      </c>
      <c r="G16" s="940"/>
      <c r="H16" s="995">
        <v>12</v>
      </c>
      <c r="I16" s="930"/>
      <c r="J16" s="931">
        <v>12</v>
      </c>
      <c r="K16" s="940"/>
      <c r="L16" s="931">
        <v>12</v>
      </c>
      <c r="M16" s="930"/>
      <c r="N16" s="931">
        <v>12</v>
      </c>
      <c r="O16" s="940"/>
      <c r="P16" s="931">
        <v>12</v>
      </c>
      <c r="Q16" s="940"/>
      <c r="R16" s="931">
        <v>12</v>
      </c>
      <c r="S16" s="940"/>
    </row>
    <row r="17" spans="1:19" s="44" customFormat="1" ht="16.5" customHeight="1" x14ac:dyDescent="0.2">
      <c r="A17" s="898" t="s">
        <v>111</v>
      </c>
      <c r="B17" s="899"/>
      <c r="C17" s="899"/>
      <c r="D17" s="899"/>
      <c r="E17" s="900"/>
      <c r="F17" s="972"/>
      <c r="G17" s="973"/>
      <c r="H17" s="974"/>
      <c r="I17" s="974"/>
      <c r="J17" s="972"/>
      <c r="K17" s="973"/>
      <c r="L17" s="972"/>
      <c r="M17" s="974"/>
      <c r="N17" s="972"/>
      <c r="O17" s="973"/>
      <c r="P17" s="669"/>
      <c r="Q17" s="670"/>
      <c r="R17" s="669"/>
      <c r="S17" s="670"/>
    </row>
    <row r="18" spans="1:19" s="44" customFormat="1" ht="34.5" customHeight="1" x14ac:dyDescent="0.2">
      <c r="A18" s="542">
        <v>1</v>
      </c>
      <c r="B18" s="899" t="s">
        <v>96</v>
      </c>
      <c r="C18" s="899"/>
      <c r="D18" s="899"/>
      <c r="E18" s="524" t="s">
        <v>126</v>
      </c>
      <c r="F18" s="622" t="s">
        <v>90</v>
      </c>
      <c r="G18" s="623" t="s">
        <v>131</v>
      </c>
      <c r="H18" s="620" t="s">
        <v>90</v>
      </c>
      <c r="I18" s="629" t="s">
        <v>131</v>
      </c>
      <c r="J18" s="622" t="s">
        <v>90</v>
      </c>
      <c r="K18" s="623" t="s">
        <v>131</v>
      </c>
      <c r="L18" s="622" t="s">
        <v>90</v>
      </c>
      <c r="M18" s="629" t="s">
        <v>131</v>
      </c>
      <c r="N18" s="622" t="s">
        <v>90</v>
      </c>
      <c r="O18" s="623" t="s">
        <v>131</v>
      </c>
      <c r="P18" s="622" t="s">
        <v>90</v>
      </c>
      <c r="Q18" s="623" t="s">
        <v>131</v>
      </c>
      <c r="R18" s="622" t="s">
        <v>90</v>
      </c>
      <c r="S18" s="623" t="s">
        <v>131</v>
      </c>
    </row>
    <row r="19" spans="1:19" s="44" customFormat="1" ht="29.25" customHeight="1" x14ac:dyDescent="0.2">
      <c r="A19" s="542" t="s">
        <v>130</v>
      </c>
      <c r="B19" s="899" t="s">
        <v>302</v>
      </c>
      <c r="C19" s="899"/>
      <c r="D19" s="899"/>
      <c r="E19" s="524" t="str">
        <f>DADOS!C12</f>
        <v>Posto de Serviço</v>
      </c>
      <c r="F19" s="645">
        <f>DADOS!J73</f>
        <v>1</v>
      </c>
      <c r="G19" s="646">
        <f>DADOS!L73</f>
        <v>1</v>
      </c>
      <c r="H19" s="666">
        <v>2</v>
      </c>
      <c r="I19" s="667">
        <v>2</v>
      </c>
      <c r="J19" s="645">
        <f>DADOS!L73</f>
        <v>1</v>
      </c>
      <c r="K19" s="646">
        <f>DADOS!L73</f>
        <v>1</v>
      </c>
      <c r="L19" s="645">
        <v>2</v>
      </c>
      <c r="M19" s="648">
        <v>2</v>
      </c>
      <c r="N19" s="645">
        <v>2</v>
      </c>
      <c r="O19" s="646">
        <v>2</v>
      </c>
      <c r="P19" s="645">
        <v>2</v>
      </c>
      <c r="Q19" s="646">
        <v>2</v>
      </c>
      <c r="R19" s="645">
        <v>2</v>
      </c>
      <c r="S19" s="646">
        <v>2</v>
      </c>
    </row>
    <row r="20" spans="1:19" s="44" customFormat="1" ht="14.25" customHeight="1" x14ac:dyDescent="0.2">
      <c r="A20" s="538"/>
      <c r="B20" s="944"/>
      <c r="C20" s="944"/>
      <c r="D20" s="944"/>
      <c r="E20" s="945"/>
      <c r="F20" s="611"/>
      <c r="G20" s="539"/>
      <c r="H20" s="933"/>
      <c r="I20" s="934"/>
      <c r="J20" s="935">
        <v>1</v>
      </c>
      <c r="K20" s="936"/>
      <c r="L20" s="935">
        <v>1</v>
      </c>
      <c r="M20" s="937"/>
      <c r="N20" s="935">
        <v>1</v>
      </c>
      <c r="O20" s="936"/>
      <c r="P20" s="605">
        <v>1</v>
      </c>
      <c r="Q20" s="539"/>
      <c r="R20" s="676">
        <v>1</v>
      </c>
      <c r="S20" s="539"/>
    </row>
    <row r="21" spans="1:19" s="44" customFormat="1" ht="14.25" customHeight="1" x14ac:dyDescent="0.2">
      <c r="A21" s="956" t="s">
        <v>301</v>
      </c>
      <c r="B21" s="957"/>
      <c r="C21" s="957"/>
      <c r="D21" s="957"/>
      <c r="E21" s="958"/>
      <c r="F21" s="1025"/>
      <c r="G21" s="1026"/>
      <c r="H21" s="1019"/>
      <c r="I21" s="1019"/>
      <c r="J21" s="1000"/>
      <c r="K21" s="1001"/>
      <c r="L21" s="1000"/>
      <c r="M21" s="1019"/>
      <c r="N21" s="1000"/>
      <c r="O21" s="1001"/>
      <c r="P21" s="1002"/>
      <c r="Q21" s="1003"/>
      <c r="R21" s="1002"/>
      <c r="S21" s="1003"/>
    </row>
    <row r="22" spans="1:19" s="44" customFormat="1" ht="14.25" customHeight="1" x14ac:dyDescent="0.2">
      <c r="A22" s="898" t="s">
        <v>112</v>
      </c>
      <c r="B22" s="899"/>
      <c r="C22" s="899"/>
      <c r="D22" s="899"/>
      <c r="E22" s="900"/>
      <c r="F22" s="1025"/>
      <c r="G22" s="1026"/>
      <c r="H22" s="1019"/>
      <c r="I22" s="1019"/>
      <c r="J22" s="1000"/>
      <c r="K22" s="1001"/>
      <c r="L22" s="1000"/>
      <c r="M22" s="1019"/>
      <c r="N22" s="1000"/>
      <c r="O22" s="1001"/>
      <c r="P22" s="1000"/>
      <c r="Q22" s="1001"/>
      <c r="R22" s="1000"/>
      <c r="S22" s="1001"/>
    </row>
    <row r="23" spans="1:19" s="44" customFormat="1" ht="15" customHeight="1" x14ac:dyDescent="0.2">
      <c r="A23" s="898" t="s">
        <v>176</v>
      </c>
      <c r="B23" s="899"/>
      <c r="C23" s="899"/>
      <c r="D23" s="899"/>
      <c r="E23" s="900"/>
      <c r="F23" s="1025"/>
      <c r="G23" s="1026"/>
      <c r="H23" s="1019"/>
      <c r="I23" s="1019"/>
      <c r="J23" s="1000"/>
      <c r="K23" s="1001"/>
      <c r="L23" s="1000"/>
      <c r="M23" s="1019"/>
      <c r="N23" s="1000"/>
      <c r="O23" s="1001"/>
      <c r="P23" s="1000"/>
      <c r="Q23" s="1001"/>
      <c r="R23" s="1000"/>
      <c r="S23" s="1001"/>
    </row>
    <row r="24" spans="1:19" s="44" customFormat="1" ht="33" customHeight="1" x14ac:dyDescent="0.2">
      <c r="A24" s="538">
        <v>1</v>
      </c>
      <c r="B24" s="942" t="s">
        <v>96</v>
      </c>
      <c r="C24" s="942"/>
      <c r="D24" s="942"/>
      <c r="E24" s="943"/>
      <c r="F24" s="898" t="str">
        <f>B19</f>
        <v>Supervisor Diurno Desarmado - 44 h./semana</v>
      </c>
      <c r="G24" s="913"/>
      <c r="H24" s="975" t="s">
        <v>302</v>
      </c>
      <c r="I24" s="900"/>
      <c r="J24" s="898" t="s">
        <v>302</v>
      </c>
      <c r="K24" s="913"/>
      <c r="L24" s="898" t="s">
        <v>302</v>
      </c>
      <c r="M24" s="900"/>
      <c r="N24" s="898" t="s">
        <v>302</v>
      </c>
      <c r="O24" s="913"/>
      <c r="P24" s="898" t="s">
        <v>302</v>
      </c>
      <c r="Q24" s="913"/>
      <c r="R24" s="898" t="s">
        <v>302</v>
      </c>
      <c r="S24" s="913"/>
    </row>
    <row r="25" spans="1:19" s="44" customFormat="1" ht="22.5" customHeight="1" x14ac:dyDescent="0.2">
      <c r="A25" s="538">
        <v>2</v>
      </c>
      <c r="B25" s="942" t="s">
        <v>97</v>
      </c>
      <c r="C25" s="942"/>
      <c r="D25" s="942"/>
      <c r="E25" s="943"/>
      <c r="F25" s="914">
        <f>DADOS!M73</f>
        <v>2264.96</v>
      </c>
      <c r="G25" s="915"/>
      <c r="H25" s="976">
        <v>2264.96</v>
      </c>
      <c r="I25" s="932"/>
      <c r="J25" s="914">
        <f>DADOS!M93</f>
        <v>2413.9899999999998</v>
      </c>
      <c r="K25" s="915"/>
      <c r="L25" s="914">
        <v>2413.9899999999998</v>
      </c>
      <c r="M25" s="932"/>
      <c r="N25" s="914">
        <v>2463.9499999999998</v>
      </c>
      <c r="O25" s="915"/>
      <c r="P25" s="996">
        <v>2548.46</v>
      </c>
      <c r="Q25" s="997"/>
      <c r="R25" s="996">
        <v>2548.46</v>
      </c>
      <c r="S25" s="997"/>
    </row>
    <row r="26" spans="1:19" s="44" customFormat="1" ht="44.25" customHeight="1" x14ac:dyDescent="0.2">
      <c r="A26" s="538">
        <v>3</v>
      </c>
      <c r="B26" s="942" t="s">
        <v>10</v>
      </c>
      <c r="C26" s="942"/>
      <c r="D26" s="942"/>
      <c r="E26" s="943"/>
      <c r="F26" s="916" t="str">
        <f>DADOS!H73</f>
        <v>Supervisor Diurno Desarmado - 44hs semanais envolvendo 1 (um) funcionário</v>
      </c>
      <c r="G26" s="917"/>
      <c r="H26" s="941" t="s">
        <v>516</v>
      </c>
      <c r="I26" s="923"/>
      <c r="J26" s="916" t="s">
        <v>516</v>
      </c>
      <c r="K26" s="917"/>
      <c r="L26" s="916" t="s">
        <v>516</v>
      </c>
      <c r="M26" s="923"/>
      <c r="N26" s="916" t="s">
        <v>516</v>
      </c>
      <c r="O26" s="917"/>
      <c r="P26" s="916" t="s">
        <v>516</v>
      </c>
      <c r="Q26" s="917"/>
      <c r="R26" s="916" t="s">
        <v>516</v>
      </c>
      <c r="S26" s="917"/>
    </row>
    <row r="27" spans="1:19" s="44" customFormat="1" ht="16.5" customHeight="1" x14ac:dyDescent="0.2">
      <c r="A27" s="538">
        <v>4</v>
      </c>
      <c r="B27" s="942" t="s">
        <v>11</v>
      </c>
      <c r="C27" s="942"/>
      <c r="D27" s="942"/>
      <c r="E27" s="943"/>
      <c r="F27" s="929" t="str">
        <f>DADOS!M82</f>
        <v>1º de Janeiro</v>
      </c>
      <c r="G27" s="959"/>
      <c r="H27" s="977" t="s">
        <v>303</v>
      </c>
      <c r="I27" s="924"/>
      <c r="J27" s="918" t="str">
        <f>DADOS!M82</f>
        <v>1º de Janeiro</v>
      </c>
      <c r="K27" s="919"/>
      <c r="L27" s="918" t="str">
        <f>DADOS!M82</f>
        <v>1º de Janeiro</v>
      </c>
      <c r="M27" s="924"/>
      <c r="N27" s="918" t="s">
        <v>303</v>
      </c>
      <c r="O27" s="919"/>
      <c r="P27" s="918" t="s">
        <v>303</v>
      </c>
      <c r="Q27" s="919"/>
      <c r="R27" s="918" t="s">
        <v>303</v>
      </c>
      <c r="S27" s="919"/>
    </row>
    <row r="28" spans="1:19" s="44" customFormat="1" x14ac:dyDescent="0.2">
      <c r="A28" s="540"/>
      <c r="B28" s="944"/>
      <c r="C28" s="944"/>
      <c r="D28" s="944"/>
      <c r="E28" s="945"/>
      <c r="F28" s="896"/>
      <c r="G28" s="897"/>
      <c r="H28" s="909"/>
      <c r="I28" s="897"/>
      <c r="J28" s="896"/>
      <c r="K28" s="897"/>
      <c r="L28" s="896"/>
      <c r="M28" s="897"/>
      <c r="N28" s="896"/>
      <c r="O28" s="897"/>
      <c r="P28" s="896"/>
      <c r="Q28" s="897"/>
      <c r="R28" s="896"/>
      <c r="S28" s="897"/>
    </row>
    <row r="29" spans="1:19" s="45" customFormat="1" ht="14.25" customHeight="1" x14ac:dyDescent="0.2">
      <c r="A29" s="898" t="s">
        <v>31</v>
      </c>
      <c r="B29" s="899"/>
      <c r="C29" s="899"/>
      <c r="D29" s="899"/>
      <c r="E29" s="900"/>
      <c r="F29" s="896"/>
      <c r="G29" s="897"/>
      <c r="H29" s="909"/>
      <c r="I29" s="897"/>
      <c r="J29" s="896"/>
      <c r="K29" s="897"/>
      <c r="L29" s="896"/>
      <c r="M29" s="897"/>
      <c r="N29" s="896"/>
      <c r="O29" s="897"/>
      <c r="P29" s="896"/>
      <c r="Q29" s="897"/>
      <c r="R29" s="896"/>
      <c r="S29" s="897"/>
    </row>
    <row r="30" spans="1:19" s="44" customFormat="1" ht="18" customHeight="1" x14ac:dyDescent="0.2">
      <c r="A30" s="542">
        <v>1</v>
      </c>
      <c r="B30" s="960" t="s">
        <v>99</v>
      </c>
      <c r="C30" s="960"/>
      <c r="D30" s="960"/>
      <c r="E30" s="961"/>
      <c r="F30" s="631" t="s">
        <v>13</v>
      </c>
      <c r="G30" s="632" t="s">
        <v>135</v>
      </c>
      <c r="H30" s="630" t="s">
        <v>13</v>
      </c>
      <c r="I30" s="643" t="s">
        <v>135</v>
      </c>
      <c r="J30" s="631" t="s">
        <v>13</v>
      </c>
      <c r="K30" s="632" t="s">
        <v>135</v>
      </c>
      <c r="L30" s="631" t="s">
        <v>13</v>
      </c>
      <c r="M30" s="643" t="s">
        <v>135</v>
      </c>
      <c r="N30" s="631" t="s">
        <v>13</v>
      </c>
      <c r="O30" s="632" t="s">
        <v>135</v>
      </c>
      <c r="P30" s="631" t="s">
        <v>13</v>
      </c>
      <c r="Q30" s="632" t="s">
        <v>135</v>
      </c>
      <c r="R30" s="631" t="s">
        <v>13</v>
      </c>
      <c r="S30" s="632" t="s">
        <v>135</v>
      </c>
    </row>
    <row r="31" spans="1:19" s="44" customFormat="1" x14ac:dyDescent="0.2">
      <c r="A31" s="542" t="s">
        <v>1</v>
      </c>
      <c r="B31" s="938" t="s">
        <v>175</v>
      </c>
      <c r="C31" s="938"/>
      <c r="D31" s="938"/>
      <c r="E31" s="939"/>
      <c r="F31" s="571"/>
      <c r="G31" s="544">
        <f>$F$25</f>
        <v>2264.96</v>
      </c>
      <c r="H31" s="523"/>
      <c r="I31" s="587">
        <f>$H$25</f>
        <v>2264.96</v>
      </c>
      <c r="J31" s="571"/>
      <c r="K31" s="544">
        <f>$J$25*J20</f>
        <v>2413.9899999999998</v>
      </c>
      <c r="L31" s="571"/>
      <c r="M31" s="587">
        <f>$L$25*L20</f>
        <v>2413.9899999999998</v>
      </c>
      <c r="N31" s="571"/>
      <c r="O31" s="544">
        <f>N25</f>
        <v>2463.9499999999998</v>
      </c>
      <c r="P31" s="571"/>
      <c r="Q31" s="544">
        <f>P25</f>
        <v>2548.46</v>
      </c>
      <c r="R31" s="571"/>
      <c r="S31" s="544">
        <f>R25</f>
        <v>2548.46</v>
      </c>
    </row>
    <row r="32" spans="1:19" s="44" customFormat="1" x14ac:dyDescent="0.2">
      <c r="A32" s="542" t="s">
        <v>2</v>
      </c>
      <c r="B32" s="938" t="str">
        <f>DADOS!A26</f>
        <v>Adicional Motorizado - Cláusula 3ª, alínea "f" da CCT</v>
      </c>
      <c r="C32" s="938"/>
      <c r="D32" s="938"/>
      <c r="E32" s="939"/>
      <c r="F32" s="571">
        <f>DADOS!D26</f>
        <v>0.1</v>
      </c>
      <c r="G32" s="545"/>
      <c r="H32" s="523">
        <f>DADOS!F26</f>
        <v>0</v>
      </c>
      <c r="I32" s="588"/>
      <c r="J32" s="571">
        <f>DADOS!F26</f>
        <v>0</v>
      </c>
      <c r="K32" s="545"/>
      <c r="L32" s="571">
        <f>DADOS!H26</f>
        <v>0</v>
      </c>
      <c r="M32" s="588"/>
      <c r="N32" s="571">
        <f>DADOS!L26</f>
        <v>0</v>
      </c>
      <c r="O32" s="545"/>
      <c r="P32" s="571">
        <f>DADOS!N26</f>
        <v>0</v>
      </c>
      <c r="Q32" s="545"/>
      <c r="R32" s="571">
        <f>DADOS!P26</f>
        <v>0</v>
      </c>
      <c r="S32" s="545"/>
    </row>
    <row r="33" spans="1:19" s="44" customFormat="1" ht="31.5" customHeight="1" x14ac:dyDescent="0.2">
      <c r="A33" s="542" t="s">
        <v>2</v>
      </c>
      <c r="B33" s="949" t="str">
        <f>DADOS!A25</f>
        <v>Adicional de Periculosidade/Risco de Vida - (Lei nº 12.740/2012 e Cláusula 3ª § 4º da CCT/2016)</v>
      </c>
      <c r="C33" s="949"/>
      <c r="D33" s="949"/>
      <c r="E33" s="950"/>
      <c r="F33" s="571">
        <f>DADOS!D25</f>
        <v>0.3</v>
      </c>
      <c r="G33" s="546">
        <f>(G31+G32)*F33</f>
        <v>679.49</v>
      </c>
      <c r="H33" s="523">
        <v>0.3</v>
      </c>
      <c r="I33" s="589">
        <f>(I31+I32)*H33</f>
        <v>679.49</v>
      </c>
      <c r="J33" s="571">
        <f>DADOS!D25</f>
        <v>0.3</v>
      </c>
      <c r="K33" s="546">
        <f>(K31+K32)*J33</f>
        <v>724.2</v>
      </c>
      <c r="L33" s="571">
        <f>DADOS!D25</f>
        <v>0.3</v>
      </c>
      <c r="M33" s="589">
        <f>(M31+M32)*L33</f>
        <v>724.2</v>
      </c>
      <c r="N33" s="571">
        <v>0.3</v>
      </c>
      <c r="O33" s="546">
        <f>(O31+O32)*N33</f>
        <v>739.19</v>
      </c>
      <c r="P33" s="571">
        <v>0.3</v>
      </c>
      <c r="Q33" s="546">
        <f>(Q31+Q32)*P33</f>
        <v>764.54</v>
      </c>
      <c r="R33" s="571">
        <v>0.3</v>
      </c>
      <c r="S33" s="546">
        <f>(S31+S32)*R33</f>
        <v>764.54</v>
      </c>
    </row>
    <row r="34" spans="1:19" s="44" customFormat="1" x14ac:dyDescent="0.2">
      <c r="A34" s="542" t="s">
        <v>4</v>
      </c>
      <c r="B34" s="942" t="s">
        <v>304</v>
      </c>
      <c r="C34" s="942"/>
      <c r="D34" s="942"/>
      <c r="E34" s="943"/>
      <c r="F34" s="910"/>
      <c r="G34" s="911"/>
      <c r="H34" s="912"/>
      <c r="I34" s="911"/>
      <c r="J34" s="910"/>
      <c r="K34" s="911"/>
      <c r="L34" s="910"/>
      <c r="M34" s="911"/>
      <c r="N34" s="910"/>
      <c r="O34" s="911"/>
      <c r="P34" s="910"/>
      <c r="Q34" s="911"/>
      <c r="R34" s="910"/>
      <c r="S34" s="911"/>
    </row>
    <row r="35" spans="1:19" s="44" customFormat="1" x14ac:dyDescent="0.2">
      <c r="A35" s="542" t="s">
        <v>5</v>
      </c>
      <c r="B35" s="938" t="str">
        <f>DADOS!A24</f>
        <v>Adicional Noturno - Cláusula 49ª da CCT/2016</v>
      </c>
      <c r="C35" s="938"/>
      <c r="D35" s="938"/>
      <c r="E35" s="939"/>
      <c r="F35" s="910"/>
      <c r="G35" s="911"/>
      <c r="H35" s="912"/>
      <c r="I35" s="911"/>
      <c r="J35" s="910"/>
      <c r="K35" s="911"/>
      <c r="L35" s="910"/>
      <c r="M35" s="911"/>
      <c r="N35" s="910"/>
      <c r="O35" s="911"/>
      <c r="P35" s="910"/>
      <c r="Q35" s="911"/>
      <c r="R35" s="910"/>
      <c r="S35" s="911"/>
    </row>
    <row r="36" spans="1:19" s="44" customFormat="1" x14ac:dyDescent="0.2">
      <c r="A36" s="542" t="s">
        <v>6</v>
      </c>
      <c r="B36" s="938" t="s">
        <v>24</v>
      </c>
      <c r="C36" s="938"/>
      <c r="D36" s="938"/>
      <c r="E36" s="939"/>
      <c r="F36" s="910"/>
      <c r="G36" s="911"/>
      <c r="H36" s="912"/>
      <c r="I36" s="911"/>
      <c r="J36" s="910"/>
      <c r="K36" s="911"/>
      <c r="L36" s="910"/>
      <c r="M36" s="911"/>
      <c r="N36" s="910"/>
      <c r="O36" s="911"/>
      <c r="P36" s="910"/>
      <c r="Q36" s="911"/>
      <c r="R36" s="910"/>
      <c r="S36" s="911"/>
    </row>
    <row r="37" spans="1:19" s="44" customFormat="1" x14ac:dyDescent="0.2">
      <c r="A37" s="542" t="s">
        <v>7</v>
      </c>
      <c r="B37" s="938" t="s">
        <v>100</v>
      </c>
      <c r="C37" s="938"/>
      <c r="D37" s="938"/>
      <c r="E37" s="939"/>
      <c r="F37" s="910"/>
      <c r="G37" s="911"/>
      <c r="H37" s="912"/>
      <c r="I37" s="911"/>
      <c r="J37" s="910"/>
      <c r="K37" s="911"/>
      <c r="L37" s="910"/>
      <c r="M37" s="911"/>
      <c r="N37" s="910"/>
      <c r="O37" s="911"/>
      <c r="P37" s="910"/>
      <c r="Q37" s="911"/>
      <c r="R37" s="910"/>
      <c r="S37" s="911"/>
    </row>
    <row r="38" spans="1:19" s="44" customFormat="1" ht="28.5" customHeight="1" x14ac:dyDescent="0.2">
      <c r="A38" s="542" t="s">
        <v>8</v>
      </c>
      <c r="B38" s="949" t="str">
        <f>DADOS!A27</f>
        <v>Intervalo Intrajornada - {[(Salário Base + Adicionais) ÷ 220] x 1,50 (hora extra acrescida de 50%) x 20,5 dias) - NÃO SE APLICA</v>
      </c>
      <c r="C38" s="949"/>
      <c r="D38" s="949"/>
      <c r="E38" s="950"/>
      <c r="F38" s="910"/>
      <c r="G38" s="911"/>
      <c r="H38" s="912"/>
      <c r="I38" s="911"/>
      <c r="J38" s="910"/>
      <c r="K38" s="911"/>
      <c r="L38" s="910"/>
      <c r="M38" s="911"/>
      <c r="N38" s="910"/>
      <c r="O38" s="911"/>
      <c r="P38" s="910"/>
      <c r="Q38" s="911"/>
      <c r="R38" s="910"/>
      <c r="S38" s="911"/>
    </row>
    <row r="39" spans="1:19" s="44" customFormat="1" ht="48" customHeight="1" x14ac:dyDescent="0.2">
      <c r="A39" s="542" t="s">
        <v>9</v>
      </c>
      <c r="B39" s="949" t="s">
        <v>351</v>
      </c>
      <c r="C39" s="949"/>
      <c r="D39" s="949"/>
      <c r="E39" s="950"/>
      <c r="F39" s="910"/>
      <c r="G39" s="911"/>
      <c r="H39" s="912"/>
      <c r="I39" s="911"/>
      <c r="J39" s="910"/>
      <c r="K39" s="911"/>
      <c r="L39" s="910"/>
      <c r="M39" s="911"/>
      <c r="N39" s="910"/>
      <c r="O39" s="911"/>
      <c r="P39" s="910"/>
      <c r="Q39" s="911"/>
      <c r="R39" s="910"/>
      <c r="S39" s="911"/>
    </row>
    <row r="40" spans="1:19" s="44" customFormat="1" ht="24.75" customHeight="1" x14ac:dyDescent="0.2">
      <c r="A40" s="547"/>
      <c r="B40" s="957" t="s">
        <v>133</v>
      </c>
      <c r="C40" s="957"/>
      <c r="D40" s="957"/>
      <c r="E40" s="958"/>
      <c r="F40" s="638"/>
      <c r="G40" s="607">
        <f>SUM(G31:G39)</f>
        <v>2944.45</v>
      </c>
      <c r="H40" s="601"/>
      <c r="I40" s="644">
        <f>SUM(I31:I39)</f>
        <v>2944.45</v>
      </c>
      <c r="J40" s="606"/>
      <c r="K40" s="607">
        <f>SUM(K31:K39)</f>
        <v>3138.19</v>
      </c>
      <c r="L40" s="606"/>
      <c r="M40" s="644">
        <f>SUM(M31:M39)</f>
        <v>3138.19</v>
      </c>
      <c r="N40" s="606"/>
      <c r="O40" s="607">
        <f>SUM(O31:O39)</f>
        <v>3203.14</v>
      </c>
      <c r="P40" s="606"/>
      <c r="Q40" s="607">
        <f>SUM(Q31:Q39)</f>
        <v>3313</v>
      </c>
      <c r="R40" s="606"/>
      <c r="S40" s="607">
        <f>SUM(S31:S39)</f>
        <v>3313</v>
      </c>
    </row>
    <row r="41" spans="1:19" s="46" customFormat="1" x14ac:dyDescent="0.2">
      <c r="A41" s="538"/>
      <c r="B41" s="944"/>
      <c r="C41" s="944"/>
      <c r="D41" s="944"/>
      <c r="E41" s="945"/>
      <c r="F41" s="890"/>
      <c r="G41" s="891"/>
      <c r="H41" s="904"/>
      <c r="I41" s="905"/>
      <c r="J41" s="906"/>
      <c r="K41" s="907"/>
      <c r="L41" s="906"/>
      <c r="M41" s="908"/>
      <c r="N41" s="906"/>
      <c r="O41" s="907"/>
      <c r="P41" s="890"/>
      <c r="Q41" s="891"/>
      <c r="R41" s="890"/>
      <c r="S41" s="891"/>
    </row>
    <row r="42" spans="1:19" s="44" customFormat="1" ht="15" customHeight="1" x14ac:dyDescent="0.2">
      <c r="A42" s="898" t="s">
        <v>32</v>
      </c>
      <c r="B42" s="899"/>
      <c r="C42" s="899"/>
      <c r="D42" s="899"/>
      <c r="E42" s="900"/>
      <c r="F42" s="890"/>
      <c r="G42" s="891"/>
      <c r="H42" s="904"/>
      <c r="I42" s="905"/>
      <c r="J42" s="906"/>
      <c r="K42" s="907"/>
      <c r="L42" s="906"/>
      <c r="M42" s="908"/>
      <c r="N42" s="906"/>
      <c r="O42" s="907"/>
      <c r="P42" s="890"/>
      <c r="Q42" s="891"/>
      <c r="R42" s="890"/>
      <c r="S42" s="891"/>
    </row>
    <row r="43" spans="1:19" s="44" customFormat="1" ht="18" customHeight="1" x14ac:dyDescent="0.2">
      <c r="A43" s="538">
        <v>2</v>
      </c>
      <c r="B43" s="964" t="s">
        <v>25</v>
      </c>
      <c r="C43" s="964"/>
      <c r="D43" s="964"/>
      <c r="E43" s="965"/>
      <c r="F43" s="631" t="s">
        <v>13</v>
      </c>
      <c r="G43" s="632" t="s">
        <v>135</v>
      </c>
      <c r="H43" s="630" t="s">
        <v>13</v>
      </c>
      <c r="I43" s="643"/>
      <c r="J43" s="631" t="s">
        <v>13</v>
      </c>
      <c r="K43" s="632" t="s">
        <v>135</v>
      </c>
      <c r="L43" s="631" t="s">
        <v>13</v>
      </c>
      <c r="M43" s="643" t="s">
        <v>135</v>
      </c>
      <c r="N43" s="631" t="s">
        <v>13</v>
      </c>
      <c r="O43" s="632" t="s">
        <v>135</v>
      </c>
      <c r="P43" s="631" t="s">
        <v>13</v>
      </c>
      <c r="Q43" s="632" t="s">
        <v>135</v>
      </c>
      <c r="R43" s="631" t="s">
        <v>13</v>
      </c>
      <c r="S43" s="632" t="s">
        <v>135</v>
      </c>
    </row>
    <row r="44" spans="1:19" s="44" customFormat="1" ht="21" customHeight="1" x14ac:dyDescent="0.2">
      <c r="A44" s="898" t="s">
        <v>1</v>
      </c>
      <c r="B44" s="938" t="str">
        <f>DADOS!A33</f>
        <v>Transporte [(R$ 5,00) x 2] x 20,5 dias - Cláusula 13ª da CCT/2016</v>
      </c>
      <c r="C44" s="938"/>
      <c r="D44" s="938"/>
      <c r="E44" s="939"/>
      <c r="F44" s="608">
        <f>DADOS!F33</f>
        <v>10</v>
      </c>
      <c r="G44" s="591">
        <f>5*2*20.5</f>
        <v>205</v>
      </c>
      <c r="H44" s="526"/>
      <c r="I44" s="591">
        <f>5*2*20.5</f>
        <v>205</v>
      </c>
      <c r="J44" s="608">
        <f>DADOS!H33</f>
        <v>0</v>
      </c>
      <c r="K44" s="591">
        <f>5*2*20.5</f>
        <v>205</v>
      </c>
      <c r="L44" s="608">
        <f>DADOS!J33</f>
        <v>0</v>
      </c>
      <c r="M44" s="591">
        <f>5*2*20.5</f>
        <v>205</v>
      </c>
      <c r="N44" s="608">
        <f>DADOS!N33</f>
        <v>0</v>
      </c>
      <c r="O44" s="549">
        <f>(5*2*20.5)</f>
        <v>205</v>
      </c>
      <c r="P44" s="608">
        <f>DADOS!P33</f>
        <v>0</v>
      </c>
      <c r="Q44" s="549">
        <f>(5*2*20.5)</f>
        <v>205</v>
      </c>
      <c r="R44" s="608">
        <f>DADOS!R33</f>
        <v>0</v>
      </c>
      <c r="S44" s="549">
        <f>(5*2*20.5)</f>
        <v>205</v>
      </c>
    </row>
    <row r="45" spans="1:19" s="44" customFormat="1" ht="17.25" customHeight="1" x14ac:dyDescent="0.2">
      <c r="A45" s="898"/>
      <c r="B45" s="938" t="s">
        <v>101</v>
      </c>
      <c r="C45" s="938"/>
      <c r="D45" s="938"/>
      <c r="E45" s="939"/>
      <c r="F45" s="574">
        <f>DADOS!F35</f>
        <v>0.06</v>
      </c>
      <c r="G45" s="550">
        <f>-MIN(G44,(F45*G31))</f>
        <v>-135.9</v>
      </c>
      <c r="H45" s="527">
        <v>0.06</v>
      </c>
      <c r="I45" s="592">
        <f>-MIN(I44,(H45*I31))</f>
        <v>-135.9</v>
      </c>
      <c r="J45" s="574">
        <f>DADOS!F35</f>
        <v>0.06</v>
      </c>
      <c r="K45" s="550">
        <f>-MIN(K44,(J45*K31))</f>
        <v>-144.84</v>
      </c>
      <c r="L45" s="574">
        <f>DADOS!F35</f>
        <v>0.06</v>
      </c>
      <c r="M45" s="592">
        <f>-MIN(M44,(L45*M31))</f>
        <v>-144.84</v>
      </c>
      <c r="N45" s="574">
        <v>0.06</v>
      </c>
      <c r="O45" s="550">
        <f>-MIN(O44,(N45*O31))</f>
        <v>-147.84</v>
      </c>
      <c r="P45" s="574">
        <v>0.06</v>
      </c>
      <c r="Q45" s="550">
        <f>-MIN(Q44,(P45*Q31))</f>
        <v>-152.91</v>
      </c>
      <c r="R45" s="574">
        <v>0.06</v>
      </c>
      <c r="S45" s="680">
        <f>-MIN(S44,(R45*S31))</f>
        <v>-152.91</v>
      </c>
    </row>
    <row r="46" spans="1:19" s="44" customFormat="1" ht="29.25" customHeight="1" x14ac:dyDescent="0.2">
      <c r="A46" s="898" t="s">
        <v>2</v>
      </c>
      <c r="B46" s="949" t="str">
        <f>DADOS!A37</f>
        <v xml:space="preserve">Auxílio alimentação (Tiquete refeição de R$ 32,00 x 20,5 dias efetivamente trabalhados) - Cláusula 12ª da CCT/2016 </v>
      </c>
      <c r="C46" s="949"/>
      <c r="D46" s="949"/>
      <c r="E46" s="950"/>
      <c r="F46" s="608">
        <f>DADOS!F37</f>
        <v>32</v>
      </c>
      <c r="G46" s="591">
        <f>32*20.5</f>
        <v>656</v>
      </c>
      <c r="H46" s="526"/>
      <c r="I46" s="591">
        <f>32*20.5</f>
        <v>656</v>
      </c>
      <c r="J46" s="608">
        <f>DADOS!H37</f>
        <v>0</v>
      </c>
      <c r="K46" s="549">
        <f>34.11*20.5</f>
        <v>699.26</v>
      </c>
      <c r="L46" s="608">
        <f>DADOS!J37</f>
        <v>0</v>
      </c>
      <c r="M46" s="591">
        <f>34.11*20.5</f>
        <v>699.26</v>
      </c>
      <c r="N46" s="608">
        <f>DADOS!N37</f>
        <v>0</v>
      </c>
      <c r="O46" s="549">
        <f>34.84*20.5</f>
        <v>714.22</v>
      </c>
      <c r="P46" s="608">
        <f>DADOS!P37</f>
        <v>0</v>
      </c>
      <c r="Q46" s="626">
        <f>36.5*20.5</f>
        <v>748.25</v>
      </c>
      <c r="R46" s="608">
        <f>DADOS!R37</f>
        <v>0</v>
      </c>
      <c r="S46" s="626">
        <f>36.5*20.5</f>
        <v>748.25</v>
      </c>
    </row>
    <row r="47" spans="1:19" s="390" customFormat="1" ht="20.25" customHeight="1" x14ac:dyDescent="0.2">
      <c r="A47" s="898"/>
      <c r="B47" s="946" t="s">
        <v>415</v>
      </c>
      <c r="C47" s="946"/>
      <c r="D47" s="946"/>
      <c r="E47" s="947"/>
      <c r="F47" s="609"/>
      <c r="G47" s="551"/>
      <c r="H47" s="528"/>
      <c r="I47" s="613"/>
      <c r="J47" s="609"/>
      <c r="K47" s="616"/>
      <c r="L47" s="609"/>
      <c r="M47" s="618"/>
      <c r="N47" s="609"/>
      <c r="O47" s="551">
        <f>-20.5*0.03</f>
        <v>-0.62</v>
      </c>
      <c r="P47" s="705">
        <v>0.02</v>
      </c>
      <c r="Q47" s="551">
        <f>-Q46*0.02</f>
        <v>-14.97</v>
      </c>
      <c r="R47" s="705">
        <v>0.02</v>
      </c>
      <c r="S47" s="551">
        <f>-S46*0.02</f>
        <v>-14.97</v>
      </c>
    </row>
    <row r="48" spans="1:19" s="44" customFormat="1" ht="28.5" customHeight="1" x14ac:dyDescent="0.2">
      <c r="A48" s="538" t="s">
        <v>4</v>
      </c>
      <c r="B48" s="962" t="str">
        <f>DADOS!A46</f>
        <v>Auxílio Saúde - Cláusula 14ª da CCT/2016 - NÃO SE APLICA CONFORME PARECER Nº 15/2014/CPLC/ DEPCONSU/PGF/AGU</v>
      </c>
      <c r="C48" s="962"/>
      <c r="D48" s="962"/>
      <c r="E48" s="963"/>
      <c r="F48" s="608">
        <f>DADOS!F46</f>
        <v>0</v>
      </c>
      <c r="G48" s="550">
        <f t="shared" ref="G48:G49" si="0">F48*$F$20</f>
        <v>0</v>
      </c>
      <c r="H48" s="526"/>
      <c r="I48" s="592">
        <f>H48*$F$20</f>
        <v>0</v>
      </c>
      <c r="J48" s="608">
        <f>DADOS!H46</f>
        <v>0</v>
      </c>
      <c r="K48" s="617"/>
      <c r="L48" s="608">
        <f>DADOS!J46</f>
        <v>0</v>
      </c>
      <c r="M48" s="592">
        <f>L48*$F$20</f>
        <v>0</v>
      </c>
      <c r="N48" s="608">
        <f>DADOS!N46</f>
        <v>0</v>
      </c>
      <c r="O48" s="550">
        <f>N48*$F$20</f>
        <v>0</v>
      </c>
      <c r="P48" s="608">
        <f>DADOS!P46</f>
        <v>0</v>
      </c>
      <c r="Q48" s="550">
        <f>P48*$F$20</f>
        <v>0</v>
      </c>
      <c r="R48" s="608">
        <f>DADOS!R46</f>
        <v>0</v>
      </c>
      <c r="S48" s="680">
        <f>R48*$F$20</f>
        <v>0</v>
      </c>
    </row>
    <row r="49" spans="1:19" s="44" customFormat="1" ht="35.25" customHeight="1" x14ac:dyDescent="0.2">
      <c r="A49" s="538" t="s">
        <v>5</v>
      </c>
      <c r="B49" s="962" t="str">
        <f>DADOS!A44</f>
        <v>Fundo Social e Odontológico - Cláusula 18ª - CCT/2016 - NÃO SE APLIC CONF.PARECER Nº 15/2014/CPLC/ DEPCONSU/PGF/AGU, por entender que integra ao Auxílio Saúde</v>
      </c>
      <c r="C49" s="962"/>
      <c r="D49" s="962"/>
      <c r="E49" s="963"/>
      <c r="F49" s="608">
        <f>DADOS!F44</f>
        <v>0</v>
      </c>
      <c r="G49" s="550">
        <f t="shared" si="0"/>
        <v>0</v>
      </c>
      <c r="H49" s="526"/>
      <c r="I49" s="592">
        <f>H49*$F$20</f>
        <v>0</v>
      </c>
      <c r="J49" s="608">
        <f>DADOS!H44</f>
        <v>0</v>
      </c>
      <c r="K49" s="550">
        <f>J49*$F$20</f>
        <v>0</v>
      </c>
      <c r="L49" s="608">
        <f>DADOS!J44</f>
        <v>0</v>
      </c>
      <c r="M49" s="592">
        <f>L49*$F$20</f>
        <v>0</v>
      </c>
      <c r="N49" s="608">
        <f>DADOS!N44</f>
        <v>0</v>
      </c>
      <c r="O49" s="550">
        <f>N49*$F$20</f>
        <v>0</v>
      </c>
      <c r="P49" s="608">
        <f>DADOS!P44</f>
        <v>0</v>
      </c>
      <c r="Q49" s="550">
        <f>P49*$F$20</f>
        <v>0</v>
      </c>
      <c r="R49" s="608">
        <f>DADOS!R44</f>
        <v>0</v>
      </c>
      <c r="S49" s="680">
        <f>R49*$F$20</f>
        <v>0</v>
      </c>
    </row>
    <row r="50" spans="1:19" s="44" customFormat="1" x14ac:dyDescent="0.2">
      <c r="A50" s="538" t="s">
        <v>6</v>
      </c>
      <c r="B50" s="970" t="str">
        <f>DADOS!A39</f>
        <v>Fundo Ind. Aposent. Ou Doença - Cláusula 15ª da CCT/2016</v>
      </c>
      <c r="C50" s="970"/>
      <c r="D50" s="970"/>
      <c r="E50" s="971"/>
      <c r="F50" s="573">
        <f>DADOS!F39</f>
        <v>14</v>
      </c>
      <c r="G50" s="650">
        <v>14</v>
      </c>
      <c r="H50" s="526"/>
      <c r="I50" s="592">
        <v>14</v>
      </c>
      <c r="J50" s="608">
        <f>DADOS!H39</f>
        <v>0</v>
      </c>
      <c r="K50" s="650">
        <v>14</v>
      </c>
      <c r="L50" s="608">
        <f>DADOS!J39</f>
        <v>0</v>
      </c>
      <c r="M50" s="650">
        <v>14</v>
      </c>
      <c r="N50" s="608">
        <f>DADOS!N39</f>
        <v>0</v>
      </c>
      <c r="O50" s="550">
        <v>14</v>
      </c>
      <c r="P50" s="608">
        <f>DADOS!P39</f>
        <v>0</v>
      </c>
      <c r="Q50" s="550">
        <v>14</v>
      </c>
      <c r="R50" s="608">
        <f>DADOS!R39</f>
        <v>0</v>
      </c>
      <c r="S50" s="680">
        <v>14</v>
      </c>
    </row>
    <row r="51" spans="1:19" s="44" customFormat="1" x14ac:dyDescent="0.2">
      <c r="A51" s="538" t="s">
        <v>7</v>
      </c>
      <c r="B51" s="970" t="str">
        <f>DADOS!A40</f>
        <v>Seguro de vida, inclusive invalidez - Cláusula 16ª da CCT/2016</v>
      </c>
      <c r="C51" s="970"/>
      <c r="D51" s="970"/>
      <c r="E51" s="971"/>
      <c r="F51" s="608">
        <f>DADOS!L41</f>
        <v>12.22</v>
      </c>
      <c r="G51" s="650">
        <v>12.22</v>
      </c>
      <c r="H51" s="526"/>
      <c r="I51" s="592">
        <v>12.22</v>
      </c>
      <c r="J51" s="608">
        <f>DADOS!N41</f>
        <v>0</v>
      </c>
      <c r="K51" s="650">
        <v>12.22</v>
      </c>
      <c r="L51" s="608">
        <f>DADOS!P41</f>
        <v>0</v>
      </c>
      <c r="M51" s="650">
        <v>12.22</v>
      </c>
      <c r="N51" s="608">
        <f>DADOS!T41</f>
        <v>0</v>
      </c>
      <c r="O51" s="550">
        <v>12.47</v>
      </c>
      <c r="P51" s="608">
        <f>DADOS!V41</f>
        <v>0</v>
      </c>
      <c r="Q51" s="627">
        <v>12.9</v>
      </c>
      <c r="R51" s="608">
        <f>DADOS!X41</f>
        <v>0</v>
      </c>
      <c r="S51" s="627">
        <v>12.9</v>
      </c>
    </row>
    <row r="52" spans="1:19" s="44" customFormat="1" ht="30" customHeight="1" x14ac:dyDescent="0.2">
      <c r="A52" s="538" t="s">
        <v>8</v>
      </c>
      <c r="B52" s="962" t="str">
        <f>DADOS!A41</f>
        <v>Auxílio Funeral (Despesas de sepultamento - R$ 3.560,00 - Cláusula 16ª alínea "d" da CCT/2016</v>
      </c>
      <c r="C52" s="962"/>
      <c r="D52" s="962"/>
      <c r="E52" s="963"/>
      <c r="F52" s="608">
        <f>DADOS!F41</f>
        <v>1.8</v>
      </c>
      <c r="G52" s="650">
        <v>1.8</v>
      </c>
      <c r="H52" s="526"/>
      <c r="I52" s="592">
        <v>1.8</v>
      </c>
      <c r="J52" s="608">
        <f>DADOS!H41</f>
        <v>0</v>
      </c>
      <c r="K52" s="650">
        <v>1.8</v>
      </c>
      <c r="L52" s="608">
        <f>DADOS!J41</f>
        <v>0</v>
      </c>
      <c r="M52" s="650">
        <v>1.8</v>
      </c>
      <c r="N52" s="608">
        <f>DADOS!N41</f>
        <v>0</v>
      </c>
      <c r="O52" s="550">
        <v>1.8</v>
      </c>
      <c r="P52" s="608">
        <f>DADOS!P41</f>
        <v>0</v>
      </c>
      <c r="Q52" s="550">
        <v>1.8</v>
      </c>
      <c r="R52" s="608">
        <f>DADOS!R41</f>
        <v>0</v>
      </c>
      <c r="S52" s="680">
        <v>1.8</v>
      </c>
    </row>
    <row r="53" spans="1:19" s="44" customFormat="1" x14ac:dyDescent="0.2">
      <c r="A53" s="538" t="s">
        <v>9</v>
      </c>
      <c r="B53" s="970" t="str">
        <f>DADOS!A42</f>
        <v>Treinamento/Capacitação/Reciclagem - Cláusula 28ª da CCT/2016</v>
      </c>
      <c r="C53" s="970"/>
      <c r="D53" s="970"/>
      <c r="E53" s="971"/>
      <c r="F53" s="608">
        <f>DADOS!F42</f>
        <v>12.08</v>
      </c>
      <c r="G53" s="650">
        <v>12.08</v>
      </c>
      <c r="H53" s="526"/>
      <c r="I53" s="592">
        <v>12.08</v>
      </c>
      <c r="J53" s="608">
        <f>DADOS!H42</f>
        <v>0</v>
      </c>
      <c r="K53" s="650">
        <v>12.08</v>
      </c>
      <c r="L53" s="608">
        <f>DADOS!J42</f>
        <v>0</v>
      </c>
      <c r="M53" s="650">
        <v>12.08</v>
      </c>
      <c r="N53" s="608">
        <f>DADOS!N42</f>
        <v>0</v>
      </c>
      <c r="O53" s="550">
        <v>12.08</v>
      </c>
      <c r="P53" s="608">
        <f>DADOS!P42</f>
        <v>0</v>
      </c>
      <c r="Q53" s="550">
        <v>12.49</v>
      </c>
      <c r="R53" s="608">
        <f>DADOS!R42</f>
        <v>0</v>
      </c>
      <c r="S53" s="680">
        <v>12.49</v>
      </c>
    </row>
    <row r="54" spans="1:19" s="44" customFormat="1" x14ac:dyDescent="0.2">
      <c r="A54" s="538" t="s">
        <v>139</v>
      </c>
      <c r="B54" s="970" t="s">
        <v>76</v>
      </c>
      <c r="C54" s="970"/>
      <c r="D54" s="970"/>
      <c r="E54" s="971"/>
      <c r="F54" s="575"/>
      <c r="G54" s="548"/>
      <c r="H54" s="522"/>
      <c r="I54" s="593"/>
      <c r="J54" s="575"/>
      <c r="K54" s="548"/>
      <c r="L54" s="575"/>
      <c r="M54" s="593"/>
      <c r="N54" s="575"/>
      <c r="O54" s="548"/>
      <c r="P54" s="575"/>
      <c r="Q54" s="548"/>
      <c r="R54" s="677"/>
      <c r="S54" s="679"/>
    </row>
    <row r="55" spans="1:19" s="44" customFormat="1" ht="18" customHeight="1" x14ac:dyDescent="0.2">
      <c r="A55" s="547"/>
      <c r="B55" s="957" t="s">
        <v>134</v>
      </c>
      <c r="C55" s="957"/>
      <c r="D55" s="957"/>
      <c r="E55" s="958"/>
      <c r="F55" s="568"/>
      <c r="G55" s="552">
        <f>SUM(G44:G54)</f>
        <v>765.2</v>
      </c>
      <c r="H55" s="529"/>
      <c r="I55" s="594">
        <f>SUM(I44:I54)</f>
        <v>765.2</v>
      </c>
      <c r="J55" s="581"/>
      <c r="K55" s="552">
        <f>SUM(K44:K54)</f>
        <v>799.52</v>
      </c>
      <c r="L55" s="581"/>
      <c r="M55" s="594">
        <f>SUM(M44:M54)</f>
        <v>799.52</v>
      </c>
      <c r="N55" s="581"/>
      <c r="O55" s="552">
        <f>SUM(O44:O54)</f>
        <v>811.11</v>
      </c>
      <c r="P55" s="581"/>
      <c r="Q55" s="552">
        <f>SUM(Q44:Q54)</f>
        <v>826.56</v>
      </c>
      <c r="R55" s="581"/>
      <c r="S55" s="552">
        <f>SUM(S44:S54)</f>
        <v>826.56</v>
      </c>
    </row>
    <row r="56" spans="1:19" s="46" customFormat="1" x14ac:dyDescent="0.2">
      <c r="A56" s="538"/>
      <c r="B56" s="944"/>
      <c r="C56" s="944"/>
      <c r="D56" s="944"/>
      <c r="E56" s="945"/>
      <c r="F56" s="890"/>
      <c r="G56" s="891"/>
      <c r="H56" s="892"/>
      <c r="I56" s="891"/>
      <c r="J56" s="890"/>
      <c r="K56" s="891"/>
      <c r="L56" s="890"/>
      <c r="M56" s="891"/>
      <c r="N56" s="890"/>
      <c r="O56" s="891"/>
      <c r="P56" s="890"/>
      <c r="Q56" s="891"/>
      <c r="R56" s="890"/>
      <c r="S56" s="891"/>
    </row>
    <row r="57" spans="1:19" s="44" customFormat="1" ht="14.25" customHeight="1" x14ac:dyDescent="0.2">
      <c r="A57" s="898" t="s">
        <v>33</v>
      </c>
      <c r="B57" s="899"/>
      <c r="C57" s="899"/>
      <c r="D57" s="899"/>
      <c r="E57" s="900"/>
      <c r="F57" s="890"/>
      <c r="G57" s="891"/>
      <c r="H57" s="892"/>
      <c r="I57" s="891"/>
      <c r="J57" s="890"/>
      <c r="K57" s="891"/>
      <c r="L57" s="890"/>
      <c r="M57" s="891"/>
      <c r="N57" s="890"/>
      <c r="O57" s="891"/>
      <c r="P57" s="890"/>
      <c r="Q57" s="891"/>
      <c r="R57" s="890"/>
      <c r="S57" s="891"/>
    </row>
    <row r="58" spans="1:19" s="44" customFormat="1" ht="18" customHeight="1" x14ac:dyDescent="0.2">
      <c r="A58" s="542">
        <v>3</v>
      </c>
      <c r="B58" s="957" t="s">
        <v>102</v>
      </c>
      <c r="C58" s="957"/>
      <c r="D58" s="957"/>
      <c r="E58" s="958"/>
      <c r="F58" s="631" t="s">
        <v>13</v>
      </c>
      <c r="G58" s="632" t="s">
        <v>135</v>
      </c>
      <c r="H58" s="630"/>
      <c r="I58" s="643"/>
      <c r="J58" s="631" t="s">
        <v>13</v>
      </c>
      <c r="K58" s="632" t="s">
        <v>135</v>
      </c>
      <c r="L58" s="631" t="s">
        <v>13</v>
      </c>
      <c r="M58" s="643" t="s">
        <v>135</v>
      </c>
      <c r="N58" s="631" t="s">
        <v>13</v>
      </c>
      <c r="O58" s="632" t="s">
        <v>135</v>
      </c>
      <c r="P58" s="631" t="s">
        <v>13</v>
      </c>
      <c r="Q58" s="632" t="s">
        <v>135</v>
      </c>
      <c r="R58" s="631" t="s">
        <v>13</v>
      </c>
      <c r="S58" s="632" t="s">
        <v>135</v>
      </c>
    </row>
    <row r="59" spans="1:19" s="44" customFormat="1" ht="15.75" customHeight="1" x14ac:dyDescent="0.2">
      <c r="A59" s="542" t="s">
        <v>1</v>
      </c>
      <c r="B59" s="938" t="str">
        <f>DADOS!A53</f>
        <v>Uniformes</v>
      </c>
      <c r="C59" s="938"/>
      <c r="D59" s="938"/>
      <c r="E59" s="939"/>
      <c r="F59" s="571"/>
      <c r="G59" s="664">
        <f>UNIFORMES!G37</f>
        <v>240.13</v>
      </c>
      <c r="H59" s="531"/>
      <c r="I59" s="591">
        <f>UNIFORMES!G37</f>
        <v>240.13</v>
      </c>
      <c r="J59" s="571"/>
      <c r="K59" s="591">
        <f>UNIFORMES!G37</f>
        <v>240.13</v>
      </c>
      <c r="L59" s="571"/>
      <c r="M59" s="591">
        <f>UNIFORMES!G22</f>
        <v>240.13</v>
      </c>
      <c r="N59" s="571"/>
      <c r="O59" s="549">
        <f>UNIFORMES!G22</f>
        <v>240.13</v>
      </c>
      <c r="P59" s="571"/>
      <c r="Q59" s="549">
        <f>UNIFORMES!G22</f>
        <v>240.13</v>
      </c>
      <c r="R59" s="571"/>
      <c r="S59" s="549">
        <f>UNIFORMES!G22</f>
        <v>240.13</v>
      </c>
    </row>
    <row r="60" spans="1:19" s="44" customFormat="1" ht="15.75" customHeight="1" x14ac:dyDescent="0.2">
      <c r="A60" s="542" t="s">
        <v>2</v>
      </c>
      <c r="B60" s="938" t="str">
        <f>DADOS!A54</f>
        <v>Materiais de Consumo Mensal</v>
      </c>
      <c r="C60" s="938"/>
      <c r="D60" s="938"/>
      <c r="E60" s="939"/>
      <c r="F60" s="571"/>
      <c r="G60" s="664">
        <f>'MAT e EQUIPS'!H19</f>
        <v>8.5299999999999994</v>
      </c>
      <c r="H60" s="531"/>
      <c r="I60" s="591">
        <f>'MAT e EQUIPS'!H19</f>
        <v>8.5299999999999994</v>
      </c>
      <c r="J60" s="571"/>
      <c r="K60" s="591">
        <f>'MAT e EQUIPS'!H19</f>
        <v>8.5299999999999994</v>
      </c>
      <c r="L60" s="571"/>
      <c r="M60" s="591">
        <f>'MAT e EQUIPS'!H45</f>
        <v>7.99</v>
      </c>
      <c r="N60" s="571"/>
      <c r="O60" s="549">
        <f>'MAT e EQUIPS'!H45</f>
        <v>7.99</v>
      </c>
      <c r="P60" s="571"/>
      <c r="Q60" s="707">
        <f>'MAT e EQUIPS'!H45</f>
        <v>7.99</v>
      </c>
      <c r="R60" s="571"/>
      <c r="S60" s="707">
        <f>'MAT e EQUIPS'!I45</f>
        <v>7.11</v>
      </c>
    </row>
    <row r="61" spans="1:19" s="44" customFormat="1" ht="15.75" customHeight="1" x14ac:dyDescent="0.2">
      <c r="A61" s="542" t="s">
        <v>4</v>
      </c>
      <c r="B61" s="938" t="str">
        <f>DADOS!A55</f>
        <v>Equipamentos para desenvolvimento das atividades</v>
      </c>
      <c r="C61" s="938"/>
      <c r="D61" s="938"/>
      <c r="E61" s="939"/>
      <c r="F61" s="571"/>
      <c r="G61" s="664">
        <f>'MAT e EQUIPS'!H30</f>
        <v>27.13</v>
      </c>
      <c r="H61" s="531"/>
      <c r="I61" s="591">
        <f>'MAT e EQUIPS'!H30</f>
        <v>27.13</v>
      </c>
      <c r="J61" s="571"/>
      <c r="K61" s="591">
        <f>'MAT e EQUIPS'!H30</f>
        <v>27.13</v>
      </c>
      <c r="L61" s="571"/>
      <c r="M61" s="591">
        <f>'MAT e EQUIPS'!H56</f>
        <v>25.43</v>
      </c>
      <c r="N61" s="571"/>
      <c r="O61" s="549">
        <f>'MAT e EQUIPS'!H56</f>
        <v>25.43</v>
      </c>
      <c r="P61" s="571"/>
      <c r="Q61" s="707">
        <f>'MAT e EQUIPS'!H56</f>
        <v>25.43</v>
      </c>
      <c r="R61" s="571"/>
      <c r="S61" s="707">
        <f>'MAT e EQUIPS'!I56</f>
        <v>22.61</v>
      </c>
    </row>
    <row r="62" spans="1:19" s="44" customFormat="1" ht="18" customHeight="1" x14ac:dyDescent="0.2">
      <c r="A62" s="547"/>
      <c r="B62" s="957" t="s">
        <v>136</v>
      </c>
      <c r="C62" s="957"/>
      <c r="D62" s="957"/>
      <c r="E62" s="958"/>
      <c r="F62" s="568"/>
      <c r="G62" s="665">
        <f>SUM(G59:G61)</f>
        <v>275.79000000000002</v>
      </c>
      <c r="H62" s="532"/>
      <c r="I62" s="595">
        <f>SUM(I59:I61)</f>
        <v>275.79000000000002</v>
      </c>
      <c r="J62" s="582"/>
      <c r="K62" s="553">
        <f>SUM(K59:K61)</f>
        <v>275.79000000000002</v>
      </c>
      <c r="L62" s="582"/>
      <c r="M62" s="595">
        <f>SUM(M59:M61)</f>
        <v>273.55</v>
      </c>
      <c r="N62" s="582"/>
      <c r="O62" s="553">
        <f>SUM(O59:O61)</f>
        <v>273.55</v>
      </c>
      <c r="P62" s="582"/>
      <c r="Q62" s="553">
        <f>SUM(Q59:Q61)</f>
        <v>273.55</v>
      </c>
      <c r="R62" s="582"/>
      <c r="S62" s="553">
        <f>SUM(S59:S61)</f>
        <v>269.85000000000002</v>
      </c>
    </row>
    <row r="63" spans="1:19" s="46" customFormat="1" x14ac:dyDescent="0.2">
      <c r="A63" s="538"/>
      <c r="B63" s="944"/>
      <c r="C63" s="944"/>
      <c r="D63" s="944"/>
      <c r="E63" s="945"/>
      <c r="F63" s="890"/>
      <c r="G63" s="891"/>
      <c r="H63" s="892"/>
      <c r="I63" s="891"/>
      <c r="J63" s="890"/>
      <c r="K63" s="891"/>
      <c r="L63" s="890"/>
      <c r="M63" s="891"/>
      <c r="N63" s="890"/>
      <c r="O63" s="891"/>
      <c r="P63" s="890"/>
      <c r="Q63" s="891"/>
      <c r="R63" s="890"/>
      <c r="S63" s="891"/>
    </row>
    <row r="64" spans="1:19" s="22" customFormat="1" x14ac:dyDescent="0.2">
      <c r="A64" s="956" t="s">
        <v>34</v>
      </c>
      <c r="B64" s="957"/>
      <c r="C64" s="957"/>
      <c r="D64" s="957"/>
      <c r="E64" s="958"/>
      <c r="F64" s="890"/>
      <c r="G64" s="891"/>
      <c r="H64" s="892"/>
      <c r="I64" s="891"/>
      <c r="J64" s="890"/>
      <c r="K64" s="891"/>
      <c r="L64" s="890"/>
      <c r="M64" s="891"/>
      <c r="N64" s="890"/>
      <c r="O64" s="891"/>
      <c r="P64" s="890"/>
      <c r="Q64" s="891"/>
      <c r="R64" s="890"/>
      <c r="S64" s="891"/>
    </row>
    <row r="65" spans="1:19" s="22" customFormat="1" x14ac:dyDescent="0.2">
      <c r="A65" s="966" t="s">
        <v>118</v>
      </c>
      <c r="B65" s="960"/>
      <c r="C65" s="960"/>
      <c r="D65" s="960"/>
      <c r="E65" s="961"/>
      <c r="F65" s="890"/>
      <c r="G65" s="891"/>
      <c r="H65" s="892"/>
      <c r="I65" s="891"/>
      <c r="J65" s="890"/>
      <c r="K65" s="891"/>
      <c r="L65" s="890"/>
      <c r="M65" s="891"/>
      <c r="N65" s="890"/>
      <c r="O65" s="891"/>
      <c r="P65" s="890"/>
      <c r="Q65" s="891"/>
      <c r="R65" s="890"/>
      <c r="S65" s="891"/>
    </row>
    <row r="66" spans="1:19" s="47" customFormat="1" ht="18" customHeight="1" x14ac:dyDescent="0.2">
      <c r="A66" s="538" t="s">
        <v>58</v>
      </c>
      <c r="B66" s="964" t="s">
        <v>116</v>
      </c>
      <c r="C66" s="964"/>
      <c r="D66" s="964"/>
      <c r="E66" s="965"/>
      <c r="F66" s="622" t="s">
        <v>12</v>
      </c>
      <c r="G66" s="623" t="s">
        <v>98</v>
      </c>
      <c r="H66" s="620" t="s">
        <v>12</v>
      </c>
      <c r="I66" s="629" t="s">
        <v>98</v>
      </c>
      <c r="J66" s="622" t="s">
        <v>12</v>
      </c>
      <c r="K66" s="623" t="s">
        <v>98</v>
      </c>
      <c r="L66" s="622" t="s">
        <v>12</v>
      </c>
      <c r="M66" s="629" t="s">
        <v>98</v>
      </c>
      <c r="N66" s="622" t="s">
        <v>12</v>
      </c>
      <c r="O66" s="623" t="s">
        <v>98</v>
      </c>
      <c r="P66" s="622" t="s">
        <v>12</v>
      </c>
      <c r="Q66" s="623" t="s">
        <v>98</v>
      </c>
      <c r="R66" s="622" t="s">
        <v>12</v>
      </c>
      <c r="S66" s="623" t="s">
        <v>98</v>
      </c>
    </row>
    <row r="67" spans="1:19" s="44" customFormat="1" ht="14.25" customHeight="1" x14ac:dyDescent="0.2">
      <c r="A67" s="538" t="s">
        <v>1</v>
      </c>
      <c r="B67" s="938" t="str">
        <f>DADOS!B81</f>
        <v>INSS</v>
      </c>
      <c r="C67" s="938"/>
      <c r="D67" s="938"/>
      <c r="E67" s="939"/>
      <c r="F67" s="576">
        <f>DADOS!C81</f>
        <v>0.2</v>
      </c>
      <c r="G67" s="548">
        <f>F67*$G$40</f>
        <v>588.89</v>
      </c>
      <c r="H67" s="533">
        <v>0.2</v>
      </c>
      <c r="I67" s="593">
        <f>H67*$G$40</f>
        <v>588.89</v>
      </c>
      <c r="J67" s="576">
        <f>DADOS!C81</f>
        <v>0.2</v>
      </c>
      <c r="K67" s="548">
        <f>F67*$K$40</f>
        <v>627.64</v>
      </c>
      <c r="L67" s="576">
        <f>DADOS!C81</f>
        <v>0.2</v>
      </c>
      <c r="M67" s="593">
        <f>J67*$M$40</f>
        <v>627.64</v>
      </c>
      <c r="N67" s="576">
        <v>0.2</v>
      </c>
      <c r="O67" s="548">
        <f>N67*$O$40</f>
        <v>640.63</v>
      </c>
      <c r="P67" s="576">
        <v>0.2</v>
      </c>
      <c r="Q67" s="548">
        <f>P67*$Q$40</f>
        <v>662.6</v>
      </c>
      <c r="R67" s="576">
        <v>0.2</v>
      </c>
      <c r="S67" s="679">
        <f>R67*$Q$40</f>
        <v>662.6</v>
      </c>
    </row>
    <row r="68" spans="1:19" s="44" customFormat="1" ht="14.25" customHeight="1" x14ac:dyDescent="0.2">
      <c r="A68" s="538" t="s">
        <v>2</v>
      </c>
      <c r="B68" s="938" t="str">
        <f>DADOS!B82</f>
        <v>SESI ou SESC</v>
      </c>
      <c r="C68" s="938"/>
      <c r="D68" s="938"/>
      <c r="E68" s="939"/>
      <c r="F68" s="576">
        <f>DADOS!C82</f>
        <v>1.4999999999999999E-2</v>
      </c>
      <c r="G68" s="548">
        <f t="shared" ref="G68:I74" si="1">F68*$G$40</f>
        <v>44.17</v>
      </c>
      <c r="H68" s="533">
        <v>1.4999999999999999E-2</v>
      </c>
      <c r="I68" s="593">
        <f t="shared" si="1"/>
        <v>44.17</v>
      </c>
      <c r="J68" s="576">
        <f>DADOS!C82</f>
        <v>1.4999999999999999E-2</v>
      </c>
      <c r="K68" s="548">
        <f t="shared" ref="K68:K74" si="2">F68*$K$40</f>
        <v>47.07</v>
      </c>
      <c r="L68" s="576">
        <f>DADOS!C82</f>
        <v>1.4999999999999999E-2</v>
      </c>
      <c r="M68" s="593">
        <f t="shared" ref="M68:M74" si="3">J68*$M$40</f>
        <v>47.07</v>
      </c>
      <c r="N68" s="576">
        <v>1.4999999999999999E-2</v>
      </c>
      <c r="O68" s="548">
        <f t="shared" ref="O68:O73" si="4">N68*$O$40</f>
        <v>48.05</v>
      </c>
      <c r="P68" s="576">
        <v>1.4999999999999999E-2</v>
      </c>
      <c r="Q68" s="548">
        <f t="shared" ref="Q68:Q74" si="5">P68*$Q$40</f>
        <v>49.7</v>
      </c>
      <c r="R68" s="576">
        <v>1.4999999999999999E-2</v>
      </c>
      <c r="S68" s="679">
        <f t="shared" ref="S68:S74" si="6">R68*$Q$40</f>
        <v>49.7</v>
      </c>
    </row>
    <row r="69" spans="1:19" s="44" customFormat="1" ht="14.25" customHeight="1" x14ac:dyDescent="0.2">
      <c r="A69" s="538" t="s">
        <v>4</v>
      </c>
      <c r="B69" s="938" t="str">
        <f>DADOS!B83</f>
        <v>SENAI ou SENAC</v>
      </c>
      <c r="C69" s="938"/>
      <c r="D69" s="938"/>
      <c r="E69" s="939"/>
      <c r="F69" s="576">
        <f>DADOS!C83</f>
        <v>0.01</v>
      </c>
      <c r="G69" s="548">
        <f t="shared" si="1"/>
        <v>29.44</v>
      </c>
      <c r="H69" s="533">
        <v>0.01</v>
      </c>
      <c r="I69" s="593">
        <f t="shared" si="1"/>
        <v>29.44</v>
      </c>
      <c r="J69" s="576">
        <f>DADOS!C83</f>
        <v>0.01</v>
      </c>
      <c r="K69" s="548">
        <f t="shared" si="2"/>
        <v>31.38</v>
      </c>
      <c r="L69" s="576">
        <f>DADOS!C83</f>
        <v>0.01</v>
      </c>
      <c r="M69" s="593">
        <f t="shared" si="3"/>
        <v>31.38</v>
      </c>
      <c r="N69" s="576">
        <v>0.01</v>
      </c>
      <c r="O69" s="548">
        <f t="shared" si="4"/>
        <v>32.03</v>
      </c>
      <c r="P69" s="576">
        <v>0.01</v>
      </c>
      <c r="Q69" s="548">
        <f t="shared" si="5"/>
        <v>33.130000000000003</v>
      </c>
      <c r="R69" s="576">
        <v>0.01</v>
      </c>
      <c r="S69" s="679">
        <f t="shared" si="6"/>
        <v>33.130000000000003</v>
      </c>
    </row>
    <row r="70" spans="1:19" s="44" customFormat="1" ht="14.25" customHeight="1" x14ac:dyDescent="0.2">
      <c r="A70" s="538" t="s">
        <v>5</v>
      </c>
      <c r="B70" s="938" t="str">
        <f>DADOS!B84</f>
        <v>INCRA</v>
      </c>
      <c r="C70" s="938"/>
      <c r="D70" s="938"/>
      <c r="E70" s="939"/>
      <c r="F70" s="576">
        <f>DADOS!C84</f>
        <v>2E-3</v>
      </c>
      <c r="G70" s="548">
        <f t="shared" si="1"/>
        <v>5.89</v>
      </c>
      <c r="H70" s="533">
        <v>2E-3</v>
      </c>
      <c r="I70" s="593">
        <f t="shared" si="1"/>
        <v>5.89</v>
      </c>
      <c r="J70" s="576">
        <f>DADOS!C84</f>
        <v>2E-3</v>
      </c>
      <c r="K70" s="548">
        <f t="shared" si="2"/>
        <v>6.28</v>
      </c>
      <c r="L70" s="576">
        <f>DADOS!C84</f>
        <v>2E-3</v>
      </c>
      <c r="M70" s="593">
        <f t="shared" si="3"/>
        <v>6.28</v>
      </c>
      <c r="N70" s="576">
        <v>2E-3</v>
      </c>
      <c r="O70" s="548">
        <f t="shared" si="4"/>
        <v>6.41</v>
      </c>
      <c r="P70" s="576">
        <v>2E-3</v>
      </c>
      <c r="Q70" s="548">
        <f t="shared" si="5"/>
        <v>6.63</v>
      </c>
      <c r="R70" s="576">
        <v>2E-3</v>
      </c>
      <c r="S70" s="679">
        <f t="shared" si="6"/>
        <v>6.63</v>
      </c>
    </row>
    <row r="71" spans="1:19" s="44" customFormat="1" ht="14.25" customHeight="1" x14ac:dyDescent="0.2">
      <c r="A71" s="538" t="s">
        <v>6</v>
      </c>
      <c r="B71" s="938" t="str">
        <f>DADOS!B85</f>
        <v xml:space="preserve">Salário Educação </v>
      </c>
      <c r="C71" s="938"/>
      <c r="D71" s="938"/>
      <c r="E71" s="939"/>
      <c r="F71" s="576">
        <f>DADOS!C85</f>
        <v>2.5000000000000001E-2</v>
      </c>
      <c r="G71" s="548">
        <f t="shared" si="1"/>
        <v>73.61</v>
      </c>
      <c r="H71" s="533">
        <v>2.5000000000000001E-2</v>
      </c>
      <c r="I71" s="593">
        <f t="shared" si="1"/>
        <v>73.61</v>
      </c>
      <c r="J71" s="576">
        <f>DADOS!C85</f>
        <v>2.5000000000000001E-2</v>
      </c>
      <c r="K71" s="548">
        <f t="shared" si="2"/>
        <v>78.45</v>
      </c>
      <c r="L71" s="576">
        <f>DADOS!C85</f>
        <v>2.5000000000000001E-2</v>
      </c>
      <c r="M71" s="593">
        <f t="shared" si="3"/>
        <v>78.45</v>
      </c>
      <c r="N71" s="576">
        <v>2.5000000000000001E-2</v>
      </c>
      <c r="O71" s="548">
        <f t="shared" si="4"/>
        <v>80.08</v>
      </c>
      <c r="P71" s="576">
        <v>2.5000000000000001E-2</v>
      </c>
      <c r="Q71" s="548">
        <f t="shared" si="5"/>
        <v>82.83</v>
      </c>
      <c r="R71" s="576">
        <v>2.5000000000000001E-2</v>
      </c>
      <c r="S71" s="679">
        <f t="shared" si="6"/>
        <v>82.83</v>
      </c>
    </row>
    <row r="72" spans="1:19" s="44" customFormat="1" ht="14.25" customHeight="1" x14ac:dyDescent="0.2">
      <c r="A72" s="538" t="s">
        <v>7</v>
      </c>
      <c r="B72" s="938" t="str">
        <f>DADOS!B86</f>
        <v>FGTS</v>
      </c>
      <c r="C72" s="938"/>
      <c r="D72" s="938"/>
      <c r="E72" s="939"/>
      <c r="F72" s="576">
        <f>DADOS!C86</f>
        <v>0.08</v>
      </c>
      <c r="G72" s="548">
        <f t="shared" si="1"/>
        <v>235.56</v>
      </c>
      <c r="H72" s="533">
        <v>0.08</v>
      </c>
      <c r="I72" s="593">
        <f t="shared" si="1"/>
        <v>235.56</v>
      </c>
      <c r="J72" s="576">
        <f>DADOS!C86</f>
        <v>0.08</v>
      </c>
      <c r="K72" s="548">
        <f t="shared" si="2"/>
        <v>251.06</v>
      </c>
      <c r="L72" s="576">
        <f>DADOS!C86</f>
        <v>0.08</v>
      </c>
      <c r="M72" s="593">
        <f t="shared" si="3"/>
        <v>251.06</v>
      </c>
      <c r="N72" s="576">
        <v>0.08</v>
      </c>
      <c r="O72" s="548">
        <f t="shared" si="4"/>
        <v>256.25</v>
      </c>
      <c r="P72" s="576">
        <v>0.08</v>
      </c>
      <c r="Q72" s="548">
        <f t="shared" si="5"/>
        <v>265.04000000000002</v>
      </c>
      <c r="R72" s="576">
        <v>0.08</v>
      </c>
      <c r="S72" s="679">
        <f t="shared" si="6"/>
        <v>265.04000000000002</v>
      </c>
    </row>
    <row r="73" spans="1:19" s="44" customFormat="1" ht="14.25" customHeight="1" x14ac:dyDescent="0.2">
      <c r="A73" s="538" t="s">
        <v>8</v>
      </c>
      <c r="B73" s="938" t="str">
        <f>DADOS!B87</f>
        <v>Seguro Acidente do Trabalho - RAT x FAP</v>
      </c>
      <c r="C73" s="938"/>
      <c r="D73" s="938"/>
      <c r="E73" s="939"/>
      <c r="F73" s="576">
        <f>DADOS!C87</f>
        <v>2.1299999999999999E-2</v>
      </c>
      <c r="G73" s="548">
        <f t="shared" si="1"/>
        <v>62.72</v>
      </c>
      <c r="H73" s="533">
        <v>2.1299999999999999E-2</v>
      </c>
      <c r="I73" s="593">
        <f t="shared" si="1"/>
        <v>62.72</v>
      </c>
      <c r="J73" s="576">
        <f>DADOS!C87</f>
        <v>2.1299999999999999E-2</v>
      </c>
      <c r="K73" s="548">
        <f t="shared" si="2"/>
        <v>66.84</v>
      </c>
      <c r="L73" s="576">
        <f>DADOS!C87</f>
        <v>2.1299999999999999E-2</v>
      </c>
      <c r="M73" s="593">
        <f t="shared" si="3"/>
        <v>66.84</v>
      </c>
      <c r="N73" s="576">
        <v>2.4299999999999999E-2</v>
      </c>
      <c r="O73" s="548">
        <f t="shared" si="4"/>
        <v>77.84</v>
      </c>
      <c r="P73" s="706">
        <v>2.4899999999999999E-2</v>
      </c>
      <c r="Q73" s="548">
        <f t="shared" si="5"/>
        <v>82.49</v>
      </c>
      <c r="R73" s="706">
        <v>2.4899999999999999E-2</v>
      </c>
      <c r="S73" s="679">
        <f t="shared" si="6"/>
        <v>82.49</v>
      </c>
    </row>
    <row r="74" spans="1:19" s="44" customFormat="1" ht="14.25" customHeight="1" x14ac:dyDescent="0.2">
      <c r="A74" s="538" t="s">
        <v>9</v>
      </c>
      <c r="B74" s="938" t="str">
        <f>DADOS!B88</f>
        <v>SEBRAE</v>
      </c>
      <c r="C74" s="938"/>
      <c r="D74" s="938"/>
      <c r="E74" s="939"/>
      <c r="F74" s="576">
        <f>DADOS!C88</f>
        <v>6.0000000000000001E-3</v>
      </c>
      <c r="G74" s="548">
        <f t="shared" si="1"/>
        <v>17.670000000000002</v>
      </c>
      <c r="H74" s="533">
        <v>6.0000000000000001E-3</v>
      </c>
      <c r="I74" s="593">
        <f t="shared" si="1"/>
        <v>17.670000000000002</v>
      </c>
      <c r="J74" s="576">
        <f>DADOS!C88</f>
        <v>6.0000000000000001E-3</v>
      </c>
      <c r="K74" s="548">
        <f t="shared" si="2"/>
        <v>18.829999999999998</v>
      </c>
      <c r="L74" s="576">
        <f>DADOS!C88</f>
        <v>6.0000000000000001E-3</v>
      </c>
      <c r="M74" s="593">
        <f t="shared" si="3"/>
        <v>18.829999999999998</v>
      </c>
      <c r="N74" s="576">
        <v>6.0000000000000001E-3</v>
      </c>
      <c r="O74" s="548">
        <f>N74*$O$40</f>
        <v>19.22</v>
      </c>
      <c r="P74" s="576">
        <v>6.0000000000000001E-3</v>
      </c>
      <c r="Q74" s="548">
        <f t="shared" si="5"/>
        <v>19.88</v>
      </c>
      <c r="R74" s="576">
        <v>6.0000000000000001E-3</v>
      </c>
      <c r="S74" s="679">
        <f t="shared" si="6"/>
        <v>19.88</v>
      </c>
    </row>
    <row r="75" spans="1:19" s="46" customFormat="1" ht="18" customHeight="1" x14ac:dyDescent="0.2">
      <c r="A75" s="967" t="s">
        <v>57</v>
      </c>
      <c r="B75" s="968"/>
      <c r="C75" s="968"/>
      <c r="D75" s="968"/>
      <c r="E75" s="969"/>
      <c r="F75" s="577">
        <f t="shared" ref="F75:M75" si="7">SUM(F67:F74)</f>
        <v>0.35930000000000001</v>
      </c>
      <c r="G75" s="553">
        <f t="shared" si="7"/>
        <v>1057.95</v>
      </c>
      <c r="H75" s="532"/>
      <c r="I75" s="595">
        <f>SUM(I67:I74)</f>
        <v>1057.95</v>
      </c>
      <c r="J75" s="577">
        <f t="shared" si="7"/>
        <v>0.35930000000000001</v>
      </c>
      <c r="K75" s="553">
        <f t="shared" si="7"/>
        <v>1127.55</v>
      </c>
      <c r="L75" s="577">
        <f>SUM(L67:L74)</f>
        <v>0.35930000000000001</v>
      </c>
      <c r="M75" s="595">
        <f t="shared" si="7"/>
        <v>1127.55</v>
      </c>
      <c r="N75" s="577">
        <f>SUM(N67:N74)</f>
        <v>0.36230000000000001</v>
      </c>
      <c r="O75" s="553">
        <f t="shared" ref="O75:Q75" si="8">SUM(O67:O74)</f>
        <v>1160.51</v>
      </c>
      <c r="P75" s="577">
        <f>SUM(P67:P74)</f>
        <v>0.3629</v>
      </c>
      <c r="Q75" s="553">
        <f t="shared" si="8"/>
        <v>1202.3</v>
      </c>
      <c r="R75" s="577">
        <f>SUM(R67:R74)</f>
        <v>0.3629</v>
      </c>
      <c r="S75" s="553">
        <f t="shared" ref="S75" si="9">SUM(S67:S74)</f>
        <v>1202.3</v>
      </c>
    </row>
    <row r="76" spans="1:19" s="22" customFormat="1" x14ac:dyDescent="0.2">
      <c r="A76" s="555"/>
      <c r="B76" s="1007"/>
      <c r="C76" s="1007"/>
      <c r="D76" s="1007"/>
      <c r="E76" s="1008"/>
      <c r="F76" s="890"/>
      <c r="G76" s="891"/>
      <c r="H76" s="892"/>
      <c r="I76" s="892"/>
      <c r="J76" s="890"/>
      <c r="K76" s="891"/>
      <c r="L76" s="890"/>
      <c r="M76" s="892"/>
      <c r="N76" s="890"/>
      <c r="O76" s="891"/>
      <c r="P76" s="890"/>
      <c r="Q76" s="891"/>
      <c r="R76" s="890"/>
      <c r="S76" s="891"/>
    </row>
    <row r="77" spans="1:19" s="44" customFormat="1" x14ac:dyDescent="0.2">
      <c r="A77" s="966" t="s">
        <v>113</v>
      </c>
      <c r="B77" s="960"/>
      <c r="C77" s="960"/>
      <c r="D77" s="960"/>
      <c r="E77" s="961"/>
      <c r="F77" s="890"/>
      <c r="G77" s="891"/>
      <c r="H77" s="892"/>
      <c r="I77" s="892"/>
      <c r="J77" s="890"/>
      <c r="K77" s="891"/>
      <c r="L77" s="890"/>
      <c r="M77" s="892"/>
      <c r="N77" s="890"/>
      <c r="O77" s="891"/>
      <c r="P77" s="890"/>
      <c r="Q77" s="891"/>
      <c r="R77" s="890"/>
      <c r="S77" s="891"/>
    </row>
    <row r="78" spans="1:19" s="47" customFormat="1" ht="18" customHeight="1" x14ac:dyDescent="0.2">
      <c r="A78" s="538" t="s">
        <v>65</v>
      </c>
      <c r="B78" s="964" t="s">
        <v>115</v>
      </c>
      <c r="C78" s="964"/>
      <c r="D78" s="964"/>
      <c r="E78" s="965"/>
      <c r="F78" s="622" t="s">
        <v>12</v>
      </c>
      <c r="G78" s="623" t="s">
        <v>98</v>
      </c>
      <c r="H78" s="620"/>
      <c r="I78" s="629"/>
      <c r="J78" s="622" t="s">
        <v>12</v>
      </c>
      <c r="K78" s="623" t="s">
        <v>98</v>
      </c>
      <c r="L78" s="622" t="s">
        <v>12</v>
      </c>
      <c r="M78" s="629" t="s">
        <v>98</v>
      </c>
      <c r="N78" s="622" t="s">
        <v>12</v>
      </c>
      <c r="O78" s="623" t="s">
        <v>98</v>
      </c>
      <c r="P78" s="622" t="s">
        <v>12</v>
      </c>
      <c r="Q78" s="623" t="s">
        <v>98</v>
      </c>
      <c r="R78" s="622" t="s">
        <v>12</v>
      </c>
      <c r="S78" s="623" t="s">
        <v>98</v>
      </c>
    </row>
    <row r="79" spans="1:19" s="44" customFormat="1" ht="14.25" customHeight="1" x14ac:dyDescent="0.2">
      <c r="A79" s="538" t="s">
        <v>1</v>
      </c>
      <c r="B79" s="938" t="str">
        <f>DADOS!B91</f>
        <v xml:space="preserve">13º (décimo terceiro) Salário </v>
      </c>
      <c r="C79" s="938"/>
      <c r="D79" s="938"/>
      <c r="E79" s="939"/>
      <c r="F79" s="576">
        <f>DADOS!C91</f>
        <v>8.3299999999999999E-2</v>
      </c>
      <c r="G79" s="548">
        <f>F79*$G$40</f>
        <v>245.27</v>
      </c>
      <c r="H79" s="533">
        <v>8.3299999999999999E-2</v>
      </c>
      <c r="I79" s="593">
        <f>H79*$G$40</f>
        <v>245.27</v>
      </c>
      <c r="J79" s="576">
        <f>DADOS!C91</f>
        <v>8.3299999999999999E-2</v>
      </c>
      <c r="K79" s="548">
        <f>J79*$K$40</f>
        <v>261.41000000000003</v>
      </c>
      <c r="L79" s="576">
        <f>DADOS!C91</f>
        <v>8.3299999999999999E-2</v>
      </c>
      <c r="M79" s="593">
        <f>L79*$M$40</f>
        <v>261.41000000000003</v>
      </c>
      <c r="N79" s="576">
        <v>8.3299999999999999E-2</v>
      </c>
      <c r="O79" s="548">
        <f>N79*$O$40</f>
        <v>266.82</v>
      </c>
      <c r="P79" s="576">
        <v>8.3299999999999999E-2</v>
      </c>
      <c r="Q79" s="548">
        <f>P79*$Q$40</f>
        <v>275.97000000000003</v>
      </c>
      <c r="R79" s="576">
        <v>8.3299999999999999E-2</v>
      </c>
      <c r="S79" s="679">
        <f>R79*$Q$40</f>
        <v>275.97000000000003</v>
      </c>
    </row>
    <row r="80" spans="1:19" s="44" customFormat="1" ht="14.25" customHeight="1" x14ac:dyDescent="0.2">
      <c r="A80" s="538" t="s">
        <v>2</v>
      </c>
      <c r="B80" s="938" t="str">
        <f>DADOS!B92</f>
        <v>Adicional de férias</v>
      </c>
      <c r="C80" s="938"/>
      <c r="D80" s="938"/>
      <c r="E80" s="939"/>
      <c r="F80" s="576">
        <f>DADOS!C92</f>
        <v>2.7799999999999998E-2</v>
      </c>
      <c r="G80" s="548">
        <f>F80*$G$40</f>
        <v>81.86</v>
      </c>
      <c r="H80" s="533">
        <v>2.7799999999999998E-2</v>
      </c>
      <c r="I80" s="593">
        <f>H80*$G$40</f>
        <v>81.86</v>
      </c>
      <c r="J80" s="576">
        <f>DADOS!C92</f>
        <v>2.7799999999999998E-2</v>
      </c>
      <c r="K80" s="548">
        <f>J80*$K$40</f>
        <v>87.24</v>
      </c>
      <c r="L80" s="576">
        <f>DADOS!C92</f>
        <v>2.7799999999999998E-2</v>
      </c>
      <c r="M80" s="593">
        <f>L80*$M$40</f>
        <v>87.24</v>
      </c>
      <c r="N80" s="576">
        <v>2.7799999999999998E-2</v>
      </c>
      <c r="O80" s="548">
        <f>N80*$O$40</f>
        <v>89.05</v>
      </c>
      <c r="P80" s="576">
        <v>2.7799999999999998E-2</v>
      </c>
      <c r="Q80" s="548">
        <f>P80*$Q$40</f>
        <v>92.1</v>
      </c>
      <c r="R80" s="576">
        <v>2.7799999999999998E-2</v>
      </c>
      <c r="S80" s="679">
        <f>R80*$Q$40</f>
        <v>92.1</v>
      </c>
    </row>
    <row r="81" spans="1:19" s="44" customFormat="1" ht="14.25" customHeight="1" x14ac:dyDescent="0.2">
      <c r="A81" s="967" t="s">
        <v>103</v>
      </c>
      <c r="B81" s="968"/>
      <c r="C81" s="968"/>
      <c r="D81" s="968"/>
      <c r="E81" s="969"/>
      <c r="F81" s="577">
        <f t="shared" ref="F81:L81" si="10">SUM(F79:F80)</f>
        <v>0.1111</v>
      </c>
      <c r="G81" s="552">
        <f t="shared" si="10"/>
        <v>327.13</v>
      </c>
      <c r="H81" s="534">
        <f>SUM(H79:H80)</f>
        <v>0.1111</v>
      </c>
      <c r="I81" s="594">
        <f>SUM(I79:I80)</f>
        <v>327.13</v>
      </c>
      <c r="J81" s="577">
        <f t="shared" si="10"/>
        <v>0.1111</v>
      </c>
      <c r="K81" s="552">
        <f t="shared" si="10"/>
        <v>348.65</v>
      </c>
      <c r="L81" s="577">
        <f t="shared" si="10"/>
        <v>0.1111</v>
      </c>
      <c r="M81" s="594">
        <f>SUM(M79:M80)</f>
        <v>348.65</v>
      </c>
      <c r="N81" s="577">
        <f t="shared" ref="N81:P81" si="11">SUM(N79:N80)</f>
        <v>0.1111</v>
      </c>
      <c r="O81" s="552">
        <f>SUM(O79:O80)</f>
        <v>355.87</v>
      </c>
      <c r="P81" s="577">
        <f t="shared" si="11"/>
        <v>0.1111</v>
      </c>
      <c r="Q81" s="552">
        <f>SUM(Q79:Q80)</f>
        <v>368.07</v>
      </c>
      <c r="R81" s="577">
        <f t="shared" ref="R81" si="12">SUM(R79:R80)</f>
        <v>0.1111</v>
      </c>
      <c r="S81" s="552">
        <f>SUM(S79:S80)</f>
        <v>368.07</v>
      </c>
    </row>
    <row r="82" spans="1:19" s="44" customFormat="1" x14ac:dyDescent="0.2">
      <c r="A82" s="538" t="s">
        <v>2</v>
      </c>
      <c r="B82" s="949" t="str">
        <f>DADOS!B94</f>
        <v xml:space="preserve">Incidência dos encargos previstos no Submódulo 4.1 sobre 13° (décimo terceiro) salário </v>
      </c>
      <c r="C82" s="949"/>
      <c r="D82" s="949"/>
      <c r="E82" s="950"/>
      <c r="F82" s="576">
        <f>F75*F81</f>
        <v>3.9899999999999998E-2</v>
      </c>
      <c r="G82" s="548">
        <f>F82*$G$40</f>
        <v>117.48</v>
      </c>
      <c r="H82" s="533">
        <v>3.9899999999999998E-2</v>
      </c>
      <c r="I82" s="593">
        <f>H82*$G$40</f>
        <v>117.48</v>
      </c>
      <c r="J82" s="576">
        <f>J75*J81</f>
        <v>3.9899999999999998E-2</v>
      </c>
      <c r="K82" s="548">
        <f>J82*$K$40</f>
        <v>125.21</v>
      </c>
      <c r="L82" s="576">
        <f>L75*L81</f>
        <v>3.9899999999999998E-2</v>
      </c>
      <c r="M82" s="593">
        <f>L82*$M$40</f>
        <v>125.21</v>
      </c>
      <c r="N82" s="576">
        <f>N75*N81</f>
        <v>4.0300000000000002E-2</v>
      </c>
      <c r="O82" s="548">
        <f>N82*$O$40</f>
        <v>129.09</v>
      </c>
      <c r="P82" s="576">
        <f>P75*P81</f>
        <v>4.0300000000000002E-2</v>
      </c>
      <c r="Q82" s="548">
        <f>P82*$Q$40</f>
        <v>133.51</v>
      </c>
      <c r="R82" s="576">
        <f>R75*R81</f>
        <v>4.0300000000000002E-2</v>
      </c>
      <c r="S82" s="679">
        <f>R82*$Q$40</f>
        <v>133.51</v>
      </c>
    </row>
    <row r="83" spans="1:19" s="46" customFormat="1" ht="18" customHeight="1" x14ac:dyDescent="0.2">
      <c r="A83" s="967" t="s">
        <v>57</v>
      </c>
      <c r="B83" s="968"/>
      <c r="C83" s="968"/>
      <c r="D83" s="968"/>
      <c r="E83" s="969"/>
      <c r="F83" s="577">
        <f t="shared" ref="F83:M83" si="13">SUM(F81:F82)</f>
        <v>0.151</v>
      </c>
      <c r="G83" s="553">
        <f t="shared" si="13"/>
        <v>444.61</v>
      </c>
      <c r="H83" s="534">
        <f>SUM(H81:H82)</f>
        <v>0.151</v>
      </c>
      <c r="I83" s="595">
        <f>SUM(I81:I82)</f>
        <v>444.61</v>
      </c>
      <c r="J83" s="577">
        <f t="shared" si="13"/>
        <v>0.151</v>
      </c>
      <c r="K83" s="553">
        <f t="shared" si="13"/>
        <v>473.86</v>
      </c>
      <c r="L83" s="577">
        <f t="shared" si="13"/>
        <v>0.151</v>
      </c>
      <c r="M83" s="595">
        <f t="shared" si="13"/>
        <v>473.86</v>
      </c>
      <c r="N83" s="577">
        <f t="shared" ref="N83:P83" si="14">SUM(N81:N82)</f>
        <v>0.15140000000000001</v>
      </c>
      <c r="O83" s="553">
        <f>SUM(O81:O82)</f>
        <v>484.96</v>
      </c>
      <c r="P83" s="577">
        <f t="shared" si="14"/>
        <v>0.15140000000000001</v>
      </c>
      <c r="Q83" s="553">
        <f>SUM(Q81:Q82)</f>
        <v>501.58</v>
      </c>
      <c r="R83" s="577">
        <f t="shared" ref="R83" si="15">SUM(R81:R82)</f>
        <v>0.15140000000000001</v>
      </c>
      <c r="S83" s="553">
        <f>SUM(S81:S82)</f>
        <v>501.58</v>
      </c>
    </row>
    <row r="84" spans="1:19" s="46" customFormat="1" x14ac:dyDescent="0.2">
      <c r="A84" s="556"/>
      <c r="B84" s="944"/>
      <c r="C84" s="944"/>
      <c r="D84" s="944"/>
      <c r="E84" s="945"/>
      <c r="F84" s="890"/>
      <c r="G84" s="891"/>
      <c r="H84" s="892"/>
      <c r="I84" s="891"/>
      <c r="J84" s="890"/>
      <c r="K84" s="891"/>
      <c r="L84" s="890"/>
      <c r="M84" s="891"/>
      <c r="N84" s="890"/>
      <c r="O84" s="891"/>
      <c r="P84" s="890"/>
      <c r="Q84" s="891"/>
      <c r="R84" s="890"/>
      <c r="S84" s="891"/>
    </row>
    <row r="85" spans="1:19" s="44" customFormat="1" x14ac:dyDescent="0.2">
      <c r="A85" s="966" t="s">
        <v>104</v>
      </c>
      <c r="B85" s="960"/>
      <c r="C85" s="960"/>
      <c r="D85" s="960"/>
      <c r="E85" s="961"/>
      <c r="F85" s="890"/>
      <c r="G85" s="891"/>
      <c r="H85" s="892"/>
      <c r="I85" s="891"/>
      <c r="J85" s="890"/>
      <c r="K85" s="891"/>
      <c r="L85" s="890"/>
      <c r="M85" s="891"/>
      <c r="N85" s="890"/>
      <c r="O85" s="891"/>
      <c r="P85" s="890"/>
      <c r="Q85" s="891"/>
      <c r="R85" s="890"/>
      <c r="S85" s="891"/>
    </row>
    <row r="86" spans="1:19" s="44" customFormat="1" ht="18" customHeight="1" x14ac:dyDescent="0.2">
      <c r="A86" s="538" t="s">
        <v>58</v>
      </c>
      <c r="B86" s="964" t="s">
        <v>26</v>
      </c>
      <c r="C86" s="964"/>
      <c r="D86" s="964"/>
      <c r="E86" s="965"/>
      <c r="F86" s="622" t="s">
        <v>12</v>
      </c>
      <c r="G86" s="623" t="s">
        <v>98</v>
      </c>
      <c r="H86" s="620"/>
      <c r="I86" s="629"/>
      <c r="J86" s="622" t="s">
        <v>12</v>
      </c>
      <c r="K86" s="623" t="s">
        <v>98</v>
      </c>
      <c r="L86" s="622" t="s">
        <v>12</v>
      </c>
      <c r="M86" s="629" t="s">
        <v>98</v>
      </c>
      <c r="N86" s="622" t="s">
        <v>12</v>
      </c>
      <c r="O86" s="623" t="s">
        <v>98</v>
      </c>
      <c r="P86" s="622" t="s">
        <v>12</v>
      </c>
      <c r="Q86" s="623" t="s">
        <v>98</v>
      </c>
      <c r="R86" s="622" t="s">
        <v>12</v>
      </c>
      <c r="S86" s="623" t="s">
        <v>98</v>
      </c>
    </row>
    <row r="87" spans="1:19" s="44" customFormat="1" ht="14.25" customHeight="1" x14ac:dyDescent="0.2">
      <c r="A87" s="538" t="s">
        <v>1</v>
      </c>
      <c r="B87" s="938" t="str">
        <f>DADOS!B97</f>
        <v>Afastamento Maternidade</v>
      </c>
      <c r="C87" s="938"/>
      <c r="D87" s="938"/>
      <c r="E87" s="939"/>
      <c r="F87" s="576">
        <f>DADOS!C97</f>
        <v>0</v>
      </c>
      <c r="G87" s="548">
        <f>F87*$G$40</f>
        <v>0</v>
      </c>
      <c r="H87" s="533">
        <f>DADOS!E97</f>
        <v>0</v>
      </c>
      <c r="I87" s="593">
        <f>H87*$G$40</f>
        <v>0</v>
      </c>
      <c r="J87" s="576">
        <f>DADOS!E97</f>
        <v>0</v>
      </c>
      <c r="K87" s="548">
        <f>J87*$K$40</f>
        <v>0</v>
      </c>
      <c r="L87" s="576">
        <f>DADOS!G97</f>
        <v>0</v>
      </c>
      <c r="M87" s="593">
        <f>L87*$K$40</f>
        <v>0</v>
      </c>
      <c r="N87" s="576">
        <f>DADOS!K97</f>
        <v>0</v>
      </c>
      <c r="O87" s="548">
        <f>N87*$K$40</f>
        <v>0</v>
      </c>
      <c r="P87" s="576">
        <f>DADOS!M97</f>
        <v>0</v>
      </c>
      <c r="Q87" s="548">
        <f>P87*$K$40</f>
        <v>0</v>
      </c>
      <c r="R87" s="576">
        <f>DADOS!O97</f>
        <v>0</v>
      </c>
      <c r="S87" s="679">
        <f>R87*$K$40</f>
        <v>0</v>
      </c>
    </row>
    <row r="88" spans="1:19" s="44" customFormat="1" ht="14.25" customHeight="1" x14ac:dyDescent="0.2">
      <c r="A88" s="538" t="s">
        <v>2</v>
      </c>
      <c r="B88" s="521" t="str">
        <f>DADOS!B98</f>
        <v>Incidência dos encargos do Submódulo 4.1 sobre o afastamento maternidade</v>
      </c>
      <c r="C88" s="521"/>
      <c r="D88" s="366"/>
      <c r="E88" s="525"/>
      <c r="F88" s="576">
        <f>DADOS!C98</f>
        <v>0</v>
      </c>
      <c r="G88" s="548">
        <f>F88*$G$40</f>
        <v>0</v>
      </c>
      <c r="H88" s="533">
        <f>DADOS!E98</f>
        <v>0</v>
      </c>
      <c r="I88" s="593">
        <f>H88*$G$40</f>
        <v>0</v>
      </c>
      <c r="J88" s="576">
        <f>DADOS!E98</f>
        <v>0</v>
      </c>
      <c r="K88" s="548">
        <f>J88*$K$40</f>
        <v>0</v>
      </c>
      <c r="L88" s="576">
        <f>DADOS!G98</f>
        <v>0</v>
      </c>
      <c r="M88" s="593">
        <f>L88*$K$40</f>
        <v>0</v>
      </c>
      <c r="N88" s="576">
        <f>DADOS!K98</f>
        <v>0</v>
      </c>
      <c r="O88" s="548">
        <f>N88*$K$40</f>
        <v>0</v>
      </c>
      <c r="P88" s="576">
        <f>DADOS!M98</f>
        <v>0</v>
      </c>
      <c r="Q88" s="548">
        <f>P88*$K$40</f>
        <v>0</v>
      </c>
      <c r="R88" s="576">
        <f>DADOS!O98</f>
        <v>0</v>
      </c>
      <c r="S88" s="679">
        <f>R88*$K$40</f>
        <v>0</v>
      </c>
    </row>
    <row r="89" spans="1:19" s="46" customFormat="1" ht="18" customHeight="1" x14ac:dyDescent="0.2">
      <c r="A89" s="967" t="s">
        <v>57</v>
      </c>
      <c r="B89" s="968"/>
      <c r="C89" s="968"/>
      <c r="D89" s="968"/>
      <c r="E89" s="969"/>
      <c r="F89" s="577">
        <f t="shared" ref="F89:M89" si="16">SUM(F87:F88)</f>
        <v>0</v>
      </c>
      <c r="G89" s="553">
        <f t="shared" si="16"/>
        <v>0</v>
      </c>
      <c r="H89" s="534">
        <f>SUM(H87:H88)</f>
        <v>0</v>
      </c>
      <c r="I89" s="595">
        <f>SUM(I87:I88)</f>
        <v>0</v>
      </c>
      <c r="J89" s="577">
        <f t="shared" si="16"/>
        <v>0</v>
      </c>
      <c r="K89" s="553">
        <f t="shared" si="16"/>
        <v>0</v>
      </c>
      <c r="L89" s="577">
        <f t="shared" si="16"/>
        <v>0</v>
      </c>
      <c r="M89" s="595">
        <f t="shared" si="16"/>
        <v>0</v>
      </c>
      <c r="N89" s="577">
        <f t="shared" ref="N89:O89" si="17">SUM(N87:N88)</f>
        <v>0</v>
      </c>
      <c r="O89" s="553">
        <f t="shared" si="17"/>
        <v>0</v>
      </c>
      <c r="P89" s="577">
        <f t="shared" ref="P89:Q89" si="18">SUM(P87:P88)</f>
        <v>0</v>
      </c>
      <c r="Q89" s="553">
        <f t="shared" si="18"/>
        <v>0</v>
      </c>
      <c r="R89" s="577">
        <f t="shared" ref="R89:S89" si="19">SUM(R87:R88)</f>
        <v>0</v>
      </c>
      <c r="S89" s="553">
        <f t="shared" si="19"/>
        <v>0</v>
      </c>
    </row>
    <row r="90" spans="1:19" s="46" customFormat="1" x14ac:dyDescent="0.2">
      <c r="A90" s="898"/>
      <c r="B90" s="899"/>
      <c r="C90" s="899"/>
      <c r="D90" s="899"/>
      <c r="E90" s="900"/>
      <c r="F90" s="890"/>
      <c r="G90" s="891"/>
      <c r="H90" s="901"/>
      <c r="I90" s="888"/>
      <c r="J90" s="890"/>
      <c r="K90" s="891"/>
      <c r="L90" s="890"/>
      <c r="M90" s="892"/>
      <c r="N90" s="890"/>
      <c r="O90" s="891"/>
      <c r="P90" s="890"/>
      <c r="Q90" s="891"/>
      <c r="R90" s="890"/>
      <c r="S90" s="891"/>
    </row>
    <row r="91" spans="1:19" s="44" customFormat="1" x14ac:dyDescent="0.2">
      <c r="A91" s="966" t="s">
        <v>105</v>
      </c>
      <c r="B91" s="960"/>
      <c r="C91" s="960"/>
      <c r="D91" s="960"/>
      <c r="E91" s="961"/>
      <c r="F91" s="890"/>
      <c r="G91" s="891"/>
      <c r="H91" s="901"/>
      <c r="I91" s="888"/>
      <c r="J91" s="890"/>
      <c r="K91" s="891"/>
      <c r="L91" s="890"/>
      <c r="M91" s="892"/>
      <c r="N91" s="890"/>
      <c r="O91" s="891"/>
      <c r="P91" s="890"/>
      <c r="Q91" s="891"/>
      <c r="R91" s="890"/>
      <c r="S91" s="891"/>
    </row>
    <row r="92" spans="1:19" s="44" customFormat="1" ht="18" customHeight="1" x14ac:dyDescent="0.2">
      <c r="A92" s="538" t="s">
        <v>69</v>
      </c>
      <c r="B92" s="964" t="s">
        <v>106</v>
      </c>
      <c r="C92" s="964"/>
      <c r="D92" s="964"/>
      <c r="E92" s="965"/>
      <c r="F92" s="622" t="s">
        <v>12</v>
      </c>
      <c r="G92" s="623" t="s">
        <v>98</v>
      </c>
      <c r="H92" s="902"/>
      <c r="I92" s="903"/>
      <c r="J92" s="622" t="s">
        <v>12</v>
      </c>
      <c r="K92" s="623" t="s">
        <v>98</v>
      </c>
      <c r="L92" s="622" t="s">
        <v>12</v>
      </c>
      <c r="M92" s="629" t="s">
        <v>98</v>
      </c>
      <c r="N92" s="622" t="s">
        <v>12</v>
      </c>
      <c r="O92" s="623" t="s">
        <v>98</v>
      </c>
      <c r="P92" s="622" t="s">
        <v>12</v>
      </c>
      <c r="Q92" s="623" t="s">
        <v>98</v>
      </c>
      <c r="R92" s="622" t="s">
        <v>12</v>
      </c>
      <c r="S92" s="623" t="s">
        <v>98</v>
      </c>
    </row>
    <row r="93" spans="1:19" s="44" customFormat="1" ht="14.25" customHeight="1" x14ac:dyDescent="0.2">
      <c r="A93" s="538" t="s">
        <v>1</v>
      </c>
      <c r="B93" s="938" t="str">
        <f>DADOS!B101</f>
        <v>Aviso Prévio Indenizado </v>
      </c>
      <c r="C93" s="938"/>
      <c r="D93" s="938"/>
      <c r="E93" s="939"/>
      <c r="F93" s="576">
        <f>DADOS!C101</f>
        <v>4.1999999999999997E-3</v>
      </c>
      <c r="G93" s="548">
        <f t="shared" ref="G93:G98" si="20">F93*$G$40</f>
        <v>12.37</v>
      </c>
      <c r="H93" s="535">
        <v>4.0000000000000002E-4</v>
      </c>
      <c r="I93" s="593">
        <f t="shared" ref="I93:I98" si="21">H93*$G$40</f>
        <v>1.18</v>
      </c>
      <c r="J93" s="576">
        <f>DADOS!C101</f>
        <v>4.1999999999999997E-3</v>
      </c>
      <c r="K93" s="548">
        <f t="shared" ref="K93:K98" si="22">J93*$K$40</f>
        <v>13.18</v>
      </c>
      <c r="L93" s="576">
        <v>4.0000000000000002E-4</v>
      </c>
      <c r="M93" s="593">
        <f t="shared" ref="M93:M98" si="23">L93*$M$40</f>
        <v>1.26</v>
      </c>
      <c r="N93" s="576">
        <v>4.0000000000000002E-4</v>
      </c>
      <c r="O93" s="548">
        <f>N93*$O$40</f>
        <v>1.28</v>
      </c>
      <c r="P93" s="576">
        <v>4.0000000000000002E-4</v>
      </c>
      <c r="Q93" s="548">
        <f>P93*$Q$40</f>
        <v>1.33</v>
      </c>
      <c r="R93" s="576">
        <v>4.0000000000000002E-4</v>
      </c>
      <c r="S93" s="679">
        <f>R93*$Q$40</f>
        <v>1.33</v>
      </c>
    </row>
    <row r="94" spans="1:19" s="44" customFormat="1" ht="14.25" customHeight="1" x14ac:dyDescent="0.2">
      <c r="A94" s="538" t="s">
        <v>2</v>
      </c>
      <c r="B94" s="939" t="str">
        <f>DADOS!B102</f>
        <v>Incidência dos encargos do submódulo 4.1 sobre aviso prévio indenizado</v>
      </c>
      <c r="C94" s="1024"/>
      <c r="D94" s="1024"/>
      <c r="E94" s="1024"/>
      <c r="F94" s="576">
        <f>DADOS!C102</f>
        <v>1.5E-3</v>
      </c>
      <c r="G94" s="548">
        <f t="shared" si="20"/>
        <v>4.42</v>
      </c>
      <c r="H94" s="535">
        <v>1E-4</v>
      </c>
      <c r="I94" s="593">
        <f t="shared" si="21"/>
        <v>0.28999999999999998</v>
      </c>
      <c r="J94" s="576">
        <f>DADOS!C102</f>
        <v>1.5E-3</v>
      </c>
      <c r="K94" s="548">
        <f t="shared" si="22"/>
        <v>4.71</v>
      </c>
      <c r="L94" s="576">
        <v>1E-4</v>
      </c>
      <c r="M94" s="593">
        <f t="shared" si="23"/>
        <v>0.31</v>
      </c>
      <c r="N94" s="576">
        <v>1E-4</v>
      </c>
      <c r="O94" s="548">
        <f t="shared" ref="O94:O98" si="24">N94*$O$40</f>
        <v>0.32</v>
      </c>
      <c r="P94" s="576">
        <v>1E-4</v>
      </c>
      <c r="Q94" s="548">
        <f t="shared" ref="Q94:Q98" si="25">P94*$Q$40</f>
        <v>0.33</v>
      </c>
      <c r="R94" s="576">
        <v>1E-4</v>
      </c>
      <c r="S94" s="679">
        <f t="shared" ref="S94:S98" si="26">R94*$Q$40</f>
        <v>0.33</v>
      </c>
    </row>
    <row r="95" spans="1:19" s="44" customFormat="1" ht="14.25" customHeight="1" x14ac:dyDescent="0.2">
      <c r="A95" s="538" t="s">
        <v>4</v>
      </c>
      <c r="B95" s="939" t="str">
        <f>DADOS!B103</f>
        <v xml:space="preserve">Multa do FGTS e contribuições sociais sobre o aviso prévio indenizado </v>
      </c>
      <c r="C95" s="1024"/>
      <c r="D95" s="1024"/>
      <c r="E95" s="1024"/>
      <c r="F95" s="576">
        <f>DADOS!C103</f>
        <v>4.3499999999999997E-2</v>
      </c>
      <c r="G95" s="548">
        <f t="shared" si="20"/>
        <v>128.08000000000001</v>
      </c>
      <c r="H95" s="533">
        <v>4.3499999999999997E-2</v>
      </c>
      <c r="I95" s="593">
        <f t="shared" si="21"/>
        <v>128.08000000000001</v>
      </c>
      <c r="J95" s="576">
        <f>DADOS!C103</f>
        <v>4.3499999999999997E-2</v>
      </c>
      <c r="K95" s="548">
        <f t="shared" si="22"/>
        <v>136.51</v>
      </c>
      <c r="L95" s="576">
        <v>4.3499999999999997E-2</v>
      </c>
      <c r="M95" s="593">
        <f t="shared" si="23"/>
        <v>136.51</v>
      </c>
      <c r="N95" s="576">
        <v>4.3499999999999997E-2</v>
      </c>
      <c r="O95" s="548">
        <f t="shared" si="24"/>
        <v>139.34</v>
      </c>
      <c r="P95" s="576">
        <v>4.3499999999999997E-2</v>
      </c>
      <c r="Q95" s="548">
        <f t="shared" si="25"/>
        <v>144.12</v>
      </c>
      <c r="R95" s="576">
        <v>4.3499999999999997E-2</v>
      </c>
      <c r="S95" s="679">
        <f t="shared" si="26"/>
        <v>144.12</v>
      </c>
    </row>
    <row r="96" spans="1:19" s="44" customFormat="1" ht="14.25" customHeight="1" x14ac:dyDescent="0.2">
      <c r="A96" s="538" t="s">
        <v>5</v>
      </c>
      <c r="B96" s="938" t="str">
        <f>DADOS!B104</f>
        <v>Aviso Prévio trabalhado</v>
      </c>
      <c r="C96" s="938"/>
      <c r="D96" s="938"/>
      <c r="E96" s="939"/>
      <c r="F96" s="576">
        <f>DADOS!C104</f>
        <v>1.9400000000000001E-2</v>
      </c>
      <c r="G96" s="548">
        <f t="shared" si="20"/>
        <v>57.12</v>
      </c>
      <c r="H96" s="535">
        <v>0</v>
      </c>
      <c r="I96" s="593">
        <f t="shared" si="21"/>
        <v>0</v>
      </c>
      <c r="J96" s="576">
        <f>DADOS!C104</f>
        <v>1.9400000000000001E-2</v>
      </c>
      <c r="K96" s="548">
        <f t="shared" si="22"/>
        <v>60.88</v>
      </c>
      <c r="L96" s="576">
        <v>0</v>
      </c>
      <c r="M96" s="593">
        <f t="shared" si="23"/>
        <v>0</v>
      </c>
      <c r="N96" s="576">
        <v>0</v>
      </c>
      <c r="O96" s="548">
        <f t="shared" si="24"/>
        <v>0</v>
      </c>
      <c r="P96" s="576">
        <v>0</v>
      </c>
      <c r="Q96" s="548">
        <f t="shared" si="25"/>
        <v>0</v>
      </c>
      <c r="R96" s="576">
        <v>0</v>
      </c>
      <c r="S96" s="679">
        <f t="shared" si="26"/>
        <v>0</v>
      </c>
    </row>
    <row r="97" spans="1:19" s="44" customFormat="1" ht="14.25" customHeight="1" x14ac:dyDescent="0.2">
      <c r="A97" s="538" t="s">
        <v>6</v>
      </c>
      <c r="B97" s="939" t="str">
        <f>DADOS!B105</f>
        <v>Incidência dos encargos do submódulo 4.1 sobre aviso prévio trabalhado</v>
      </c>
      <c r="C97" s="1024"/>
      <c r="D97" s="1024"/>
      <c r="E97" s="1024"/>
      <c r="F97" s="576">
        <f>DADOS!C105</f>
        <v>7.0000000000000001E-3</v>
      </c>
      <c r="G97" s="548">
        <f t="shared" si="20"/>
        <v>20.61</v>
      </c>
      <c r="H97" s="535">
        <v>0</v>
      </c>
      <c r="I97" s="593">
        <f t="shared" si="21"/>
        <v>0</v>
      </c>
      <c r="J97" s="576">
        <f>DADOS!C105</f>
        <v>7.0000000000000001E-3</v>
      </c>
      <c r="K97" s="548">
        <f t="shared" si="22"/>
        <v>21.97</v>
      </c>
      <c r="L97" s="576">
        <v>0</v>
      </c>
      <c r="M97" s="593">
        <f t="shared" si="23"/>
        <v>0</v>
      </c>
      <c r="N97" s="576">
        <v>0</v>
      </c>
      <c r="O97" s="548">
        <f t="shared" si="24"/>
        <v>0</v>
      </c>
      <c r="P97" s="576">
        <v>0</v>
      </c>
      <c r="Q97" s="548">
        <f t="shared" si="25"/>
        <v>0</v>
      </c>
      <c r="R97" s="576">
        <v>0</v>
      </c>
      <c r="S97" s="679">
        <f t="shared" si="26"/>
        <v>0</v>
      </c>
    </row>
    <row r="98" spans="1:19" s="44" customFormat="1" ht="14.25" customHeight="1" x14ac:dyDescent="0.2">
      <c r="A98" s="538" t="s">
        <v>7</v>
      </c>
      <c r="B98" s="939" t="str">
        <f>DADOS!B106</f>
        <v>Multa do FGTS e contribuições sociais sobre o aviso prévio trabalhado</v>
      </c>
      <c r="C98" s="1024"/>
      <c r="D98" s="1024"/>
      <c r="E98" s="1024"/>
      <c r="F98" s="576">
        <f>DADOS!C106</f>
        <v>6.4999999999999997E-3</v>
      </c>
      <c r="G98" s="548">
        <f t="shared" si="20"/>
        <v>19.14</v>
      </c>
      <c r="H98" s="533">
        <v>6.4999999999999997E-3</v>
      </c>
      <c r="I98" s="593">
        <f t="shared" si="21"/>
        <v>19.14</v>
      </c>
      <c r="J98" s="576">
        <f>DADOS!C106</f>
        <v>6.4999999999999997E-3</v>
      </c>
      <c r="K98" s="548">
        <f t="shared" si="22"/>
        <v>20.399999999999999</v>
      </c>
      <c r="L98" s="576">
        <f>DADOS!C106</f>
        <v>6.4999999999999997E-3</v>
      </c>
      <c r="M98" s="593">
        <f t="shared" si="23"/>
        <v>20.399999999999999</v>
      </c>
      <c r="N98" s="576">
        <v>6.4999999999999997E-3</v>
      </c>
      <c r="O98" s="548">
        <f t="shared" si="24"/>
        <v>20.82</v>
      </c>
      <c r="P98" s="576">
        <v>6.4999999999999997E-3</v>
      </c>
      <c r="Q98" s="548">
        <f t="shared" si="25"/>
        <v>21.53</v>
      </c>
      <c r="R98" s="576">
        <v>6.4999999999999997E-3</v>
      </c>
      <c r="S98" s="679">
        <f t="shared" si="26"/>
        <v>21.53</v>
      </c>
    </row>
    <row r="99" spans="1:19" s="46" customFormat="1" ht="18" customHeight="1" x14ac:dyDescent="0.2">
      <c r="A99" s="967" t="s">
        <v>57</v>
      </c>
      <c r="B99" s="968"/>
      <c r="C99" s="968"/>
      <c r="D99" s="968"/>
      <c r="E99" s="969"/>
      <c r="F99" s="577">
        <f t="shared" ref="F99:M99" si="27">SUM(F93:F98)</f>
        <v>8.2100000000000006E-2</v>
      </c>
      <c r="G99" s="553">
        <f t="shared" si="27"/>
        <v>241.74</v>
      </c>
      <c r="H99" s="534">
        <f>SUM(H93:H98)</f>
        <v>5.0500000000000003E-2</v>
      </c>
      <c r="I99" s="595">
        <f>SUM(I93:I98)</f>
        <v>148.69</v>
      </c>
      <c r="J99" s="577">
        <f t="shared" si="27"/>
        <v>8.2100000000000006E-2</v>
      </c>
      <c r="K99" s="553">
        <f t="shared" si="27"/>
        <v>257.64999999999998</v>
      </c>
      <c r="L99" s="577">
        <f t="shared" si="27"/>
        <v>5.0500000000000003E-2</v>
      </c>
      <c r="M99" s="595">
        <f t="shared" si="27"/>
        <v>158.47999999999999</v>
      </c>
      <c r="N99" s="577">
        <f t="shared" ref="N99:O99" si="28">SUM(N93:N98)</f>
        <v>5.0500000000000003E-2</v>
      </c>
      <c r="O99" s="553">
        <f t="shared" si="28"/>
        <v>161.76</v>
      </c>
      <c r="P99" s="577">
        <f t="shared" ref="P99:Q99" si="29">SUM(P93:P98)</f>
        <v>5.0500000000000003E-2</v>
      </c>
      <c r="Q99" s="553">
        <f t="shared" si="29"/>
        <v>167.31</v>
      </c>
      <c r="R99" s="577">
        <f t="shared" ref="R99:S99" si="30">SUM(R93:R98)</f>
        <v>5.0500000000000003E-2</v>
      </c>
      <c r="S99" s="553">
        <f t="shared" si="30"/>
        <v>167.31</v>
      </c>
    </row>
    <row r="100" spans="1:19" s="46" customFormat="1" x14ac:dyDescent="0.2">
      <c r="A100" s="556"/>
      <c r="B100" s="942"/>
      <c r="C100" s="942"/>
      <c r="D100" s="942"/>
      <c r="E100" s="943"/>
      <c r="F100" s="890"/>
      <c r="G100" s="891"/>
      <c r="H100" s="901"/>
      <c r="I100" s="888"/>
      <c r="J100" s="887"/>
      <c r="K100" s="889"/>
      <c r="L100" s="887"/>
      <c r="M100" s="888"/>
      <c r="N100" s="887"/>
      <c r="O100" s="889"/>
      <c r="P100" s="890"/>
      <c r="Q100" s="891"/>
      <c r="R100" s="890"/>
      <c r="S100" s="891"/>
    </row>
    <row r="101" spans="1:19" s="44" customFormat="1" x14ac:dyDescent="0.2">
      <c r="A101" s="966" t="s">
        <v>107</v>
      </c>
      <c r="B101" s="960"/>
      <c r="C101" s="960"/>
      <c r="D101" s="960"/>
      <c r="E101" s="961"/>
      <c r="F101" s="890"/>
      <c r="G101" s="891"/>
      <c r="H101" s="901"/>
      <c r="I101" s="888"/>
      <c r="J101" s="887"/>
      <c r="K101" s="889"/>
      <c r="L101" s="887"/>
      <c r="M101" s="888"/>
      <c r="N101" s="887"/>
      <c r="O101" s="889"/>
      <c r="P101" s="890"/>
      <c r="Q101" s="891"/>
      <c r="R101" s="890"/>
      <c r="S101" s="891"/>
    </row>
    <row r="102" spans="1:19" s="44" customFormat="1" ht="18" customHeight="1" x14ac:dyDescent="0.2">
      <c r="A102" s="538" t="s">
        <v>72</v>
      </c>
      <c r="B102" s="964" t="s">
        <v>117</v>
      </c>
      <c r="C102" s="964"/>
      <c r="D102" s="964"/>
      <c r="E102" s="965"/>
      <c r="F102" s="622" t="s">
        <v>12</v>
      </c>
      <c r="G102" s="623" t="s">
        <v>98</v>
      </c>
      <c r="H102" s="902"/>
      <c r="I102" s="903"/>
      <c r="J102" s="622" t="s">
        <v>12</v>
      </c>
      <c r="K102" s="623" t="s">
        <v>98</v>
      </c>
      <c r="L102" s="622" t="s">
        <v>12</v>
      </c>
      <c r="M102" s="629" t="s">
        <v>98</v>
      </c>
      <c r="N102" s="622" t="s">
        <v>12</v>
      </c>
      <c r="O102" s="623" t="s">
        <v>98</v>
      </c>
      <c r="P102" s="622" t="s">
        <v>12</v>
      </c>
      <c r="Q102" s="623" t="s">
        <v>98</v>
      </c>
      <c r="R102" s="622" t="s">
        <v>12</v>
      </c>
      <c r="S102" s="623" t="s">
        <v>98</v>
      </c>
    </row>
    <row r="103" spans="1:19" s="44" customFormat="1" ht="14.25" customHeight="1" x14ac:dyDescent="0.2">
      <c r="A103" s="538" t="s">
        <v>1</v>
      </c>
      <c r="B103" s="1012" t="str">
        <f>DADOS!B109</f>
        <v xml:space="preserve">Férias </v>
      </c>
      <c r="C103" s="1012"/>
      <c r="D103" s="1012"/>
      <c r="E103" s="1013"/>
      <c r="F103" s="576">
        <f>DADOS!C109</f>
        <v>8.3299999999999999E-2</v>
      </c>
      <c r="G103" s="550">
        <f t="shared" ref="G103:I110" si="31">F103*$G$40</f>
        <v>245.27</v>
      </c>
      <c r="H103" s="533">
        <v>8.3299999999999999E-2</v>
      </c>
      <c r="I103" s="592">
        <f t="shared" si="31"/>
        <v>245.27</v>
      </c>
      <c r="J103" s="576">
        <f>DADOS!C109</f>
        <v>8.3299999999999999E-2</v>
      </c>
      <c r="K103" s="550">
        <f t="shared" ref="K103:K108" si="32">J103*$K$40</f>
        <v>261.41000000000003</v>
      </c>
      <c r="L103" s="576">
        <f>DADOS!C109</f>
        <v>8.3299999999999999E-2</v>
      </c>
      <c r="M103" s="592">
        <f t="shared" ref="M103:M108" si="33">L103*$M$40</f>
        <v>261.41000000000003</v>
      </c>
      <c r="N103" s="576">
        <v>8.3299999999999999E-2</v>
      </c>
      <c r="O103" s="550">
        <f>N103*$O$40</f>
        <v>266.82</v>
      </c>
      <c r="P103" s="576">
        <v>8.3299999999999999E-2</v>
      </c>
      <c r="Q103" s="550">
        <f>P103*$Q$40</f>
        <v>275.97000000000003</v>
      </c>
      <c r="R103" s="576">
        <v>8.3299999999999999E-2</v>
      </c>
      <c r="S103" s="680">
        <f>R103*$Q$40</f>
        <v>275.97000000000003</v>
      </c>
    </row>
    <row r="104" spans="1:19" s="44" customFormat="1" ht="14.25" customHeight="1" x14ac:dyDescent="0.2">
      <c r="A104" s="538" t="s">
        <v>2</v>
      </c>
      <c r="B104" s="938" t="str">
        <f>DADOS!B110</f>
        <v>Ausência por doença</v>
      </c>
      <c r="C104" s="938"/>
      <c r="D104" s="938"/>
      <c r="E104" s="939"/>
      <c r="F104" s="576">
        <f>DADOS!C110</f>
        <v>1.3899999999999999E-2</v>
      </c>
      <c r="G104" s="550">
        <f t="shared" si="31"/>
        <v>40.93</v>
      </c>
      <c r="H104" s="533">
        <v>1.3899999999999999E-2</v>
      </c>
      <c r="I104" s="592">
        <f t="shared" si="31"/>
        <v>40.93</v>
      </c>
      <c r="J104" s="576">
        <f>DADOS!C110</f>
        <v>1.3899999999999999E-2</v>
      </c>
      <c r="K104" s="550">
        <f t="shared" si="32"/>
        <v>43.62</v>
      </c>
      <c r="L104" s="576">
        <f>DADOS!C110</f>
        <v>1.3899999999999999E-2</v>
      </c>
      <c r="M104" s="592">
        <f t="shared" si="33"/>
        <v>43.62</v>
      </c>
      <c r="N104" s="576">
        <v>1.3899999999999999E-2</v>
      </c>
      <c r="O104" s="550">
        <f t="shared" ref="O104:O108" si="34">N104*$O$40</f>
        <v>44.52</v>
      </c>
      <c r="P104" s="576">
        <v>1.3899999999999999E-2</v>
      </c>
      <c r="Q104" s="550">
        <f t="shared" ref="Q104:Q107" si="35">P104*$Q$40</f>
        <v>46.05</v>
      </c>
      <c r="R104" s="576">
        <v>1.3899999999999999E-2</v>
      </c>
      <c r="S104" s="680">
        <f t="shared" ref="S104:S107" si="36">R104*$Q$40</f>
        <v>46.05</v>
      </c>
    </row>
    <row r="105" spans="1:19" s="44" customFormat="1" ht="14.25" customHeight="1" x14ac:dyDescent="0.2">
      <c r="A105" s="538" t="s">
        <v>4</v>
      </c>
      <c r="B105" s="938" t="str">
        <f>DADOS!B111</f>
        <v>Licença Paternidade</v>
      </c>
      <c r="C105" s="938"/>
      <c r="D105" s="938"/>
      <c r="E105" s="939"/>
      <c r="F105" s="576">
        <f>DADOS!C111</f>
        <v>1.2999999999999999E-3</v>
      </c>
      <c r="G105" s="550">
        <f t="shared" si="31"/>
        <v>3.83</v>
      </c>
      <c r="H105" s="533">
        <v>1.2999999999999999E-3</v>
      </c>
      <c r="I105" s="592">
        <f t="shared" si="31"/>
        <v>3.83</v>
      </c>
      <c r="J105" s="576">
        <f>DADOS!C111</f>
        <v>1.2999999999999999E-3</v>
      </c>
      <c r="K105" s="550">
        <f t="shared" si="32"/>
        <v>4.08</v>
      </c>
      <c r="L105" s="576">
        <f>DADOS!C111</f>
        <v>1.2999999999999999E-3</v>
      </c>
      <c r="M105" s="592">
        <f t="shared" si="33"/>
        <v>4.08</v>
      </c>
      <c r="N105" s="576">
        <v>1.2999999999999999E-3</v>
      </c>
      <c r="O105" s="550">
        <f t="shared" si="34"/>
        <v>4.16</v>
      </c>
      <c r="P105" s="576">
        <v>1.2999999999999999E-3</v>
      </c>
      <c r="Q105" s="550">
        <f t="shared" si="35"/>
        <v>4.3099999999999996</v>
      </c>
      <c r="R105" s="576">
        <v>1.2999999999999999E-3</v>
      </c>
      <c r="S105" s="680">
        <f t="shared" si="36"/>
        <v>4.3099999999999996</v>
      </c>
    </row>
    <row r="106" spans="1:19" s="44" customFormat="1" ht="14.25" customHeight="1" x14ac:dyDescent="0.2">
      <c r="A106" s="538" t="s">
        <v>5</v>
      </c>
      <c r="B106" s="938" t="str">
        <f>DADOS!B112</f>
        <v>Ausências legais</v>
      </c>
      <c r="C106" s="938"/>
      <c r="D106" s="938"/>
      <c r="E106" s="939"/>
      <c r="F106" s="576">
        <f>DADOS!C112</f>
        <v>2.8E-3</v>
      </c>
      <c r="G106" s="550">
        <f t="shared" si="31"/>
        <v>8.24</v>
      </c>
      <c r="H106" s="533">
        <v>2.8E-3</v>
      </c>
      <c r="I106" s="592">
        <f t="shared" si="31"/>
        <v>8.24</v>
      </c>
      <c r="J106" s="576">
        <f>DADOS!C112</f>
        <v>2.8E-3</v>
      </c>
      <c r="K106" s="550">
        <f t="shared" si="32"/>
        <v>8.7899999999999991</v>
      </c>
      <c r="L106" s="576">
        <f>DADOS!C112</f>
        <v>2.8E-3</v>
      </c>
      <c r="M106" s="592">
        <f t="shared" si="33"/>
        <v>8.7899999999999991</v>
      </c>
      <c r="N106" s="576">
        <v>2.8E-3</v>
      </c>
      <c r="O106" s="550">
        <f t="shared" si="34"/>
        <v>8.9700000000000006</v>
      </c>
      <c r="P106" s="576">
        <v>2.8E-3</v>
      </c>
      <c r="Q106" s="550">
        <f t="shared" si="35"/>
        <v>9.2799999999999994</v>
      </c>
      <c r="R106" s="576">
        <v>2.8E-3</v>
      </c>
      <c r="S106" s="680">
        <f t="shared" si="36"/>
        <v>9.2799999999999994</v>
      </c>
    </row>
    <row r="107" spans="1:19" s="44" customFormat="1" ht="14.25" customHeight="1" x14ac:dyDescent="0.2">
      <c r="A107" s="538" t="s">
        <v>6</v>
      </c>
      <c r="B107" s="938" t="str">
        <f>DADOS!B113</f>
        <v>Ausência por Acidente de trabalho</v>
      </c>
      <c r="C107" s="938"/>
      <c r="D107" s="938"/>
      <c r="E107" s="939"/>
      <c r="F107" s="576">
        <f>DADOS!C113</f>
        <v>3.3E-3</v>
      </c>
      <c r="G107" s="550">
        <f t="shared" si="31"/>
        <v>9.7200000000000006</v>
      </c>
      <c r="H107" s="533">
        <v>3.3E-3</v>
      </c>
      <c r="I107" s="592">
        <f t="shared" si="31"/>
        <v>9.7200000000000006</v>
      </c>
      <c r="J107" s="576">
        <f>DADOS!C113</f>
        <v>3.3E-3</v>
      </c>
      <c r="K107" s="550">
        <f t="shared" si="32"/>
        <v>10.36</v>
      </c>
      <c r="L107" s="576">
        <f>DADOS!C113</f>
        <v>3.3E-3</v>
      </c>
      <c r="M107" s="592">
        <f t="shared" si="33"/>
        <v>10.36</v>
      </c>
      <c r="N107" s="576">
        <v>3.3E-3</v>
      </c>
      <c r="O107" s="550">
        <f t="shared" si="34"/>
        <v>10.57</v>
      </c>
      <c r="P107" s="576">
        <v>3.3E-3</v>
      </c>
      <c r="Q107" s="550">
        <f t="shared" si="35"/>
        <v>10.93</v>
      </c>
      <c r="R107" s="576">
        <v>3.3E-3</v>
      </c>
      <c r="S107" s="680">
        <f t="shared" si="36"/>
        <v>10.93</v>
      </c>
    </row>
    <row r="108" spans="1:19" s="44" customFormat="1" ht="14.25" customHeight="1" x14ac:dyDescent="0.2">
      <c r="A108" s="538" t="s">
        <v>7</v>
      </c>
      <c r="B108" s="938" t="str">
        <f>DADOS!B114</f>
        <v>Outros (especificar)</v>
      </c>
      <c r="C108" s="938"/>
      <c r="D108" s="938"/>
      <c r="E108" s="939"/>
      <c r="F108" s="576">
        <f>DADOS!C114</f>
        <v>0</v>
      </c>
      <c r="G108" s="550">
        <f t="shared" si="31"/>
        <v>0</v>
      </c>
      <c r="H108" s="533">
        <v>0</v>
      </c>
      <c r="I108" s="592">
        <f t="shared" si="31"/>
        <v>0</v>
      </c>
      <c r="J108" s="576">
        <f>DADOS!C114</f>
        <v>0</v>
      </c>
      <c r="K108" s="550">
        <f t="shared" si="32"/>
        <v>0</v>
      </c>
      <c r="L108" s="576">
        <f>DADOS!C114</f>
        <v>0</v>
      </c>
      <c r="M108" s="592">
        <f t="shared" si="33"/>
        <v>0</v>
      </c>
      <c r="N108" s="576">
        <v>0</v>
      </c>
      <c r="O108" s="550">
        <f t="shared" si="34"/>
        <v>0</v>
      </c>
      <c r="P108" s="576">
        <v>0</v>
      </c>
      <c r="Q108" s="550">
        <f t="shared" ref="Q108" si="37">P108*$O$40</f>
        <v>0</v>
      </c>
      <c r="R108" s="576">
        <v>0</v>
      </c>
      <c r="S108" s="680">
        <f t="shared" ref="S108" si="38">R108*$O$40</f>
        <v>0</v>
      </c>
    </row>
    <row r="109" spans="1:19" s="44" customFormat="1" ht="15" customHeight="1" x14ac:dyDescent="0.2">
      <c r="A109" s="967" t="s">
        <v>103</v>
      </c>
      <c r="B109" s="968"/>
      <c r="C109" s="968"/>
      <c r="D109" s="968"/>
      <c r="E109" s="969"/>
      <c r="F109" s="577">
        <f t="shared" ref="F109:L109" si="39">SUM(F103:F108)</f>
        <v>0.1046</v>
      </c>
      <c r="G109" s="552">
        <f t="shared" si="39"/>
        <v>307.99</v>
      </c>
      <c r="H109" s="534">
        <v>0.1046</v>
      </c>
      <c r="I109" s="594">
        <f>SUM(I103:I108)</f>
        <v>307.99</v>
      </c>
      <c r="J109" s="577">
        <f t="shared" si="39"/>
        <v>0.1046</v>
      </c>
      <c r="K109" s="552">
        <f t="shared" si="39"/>
        <v>328.26</v>
      </c>
      <c r="L109" s="577">
        <f t="shared" si="39"/>
        <v>0.1046</v>
      </c>
      <c r="M109" s="594">
        <f>SUM(M103:M108)</f>
        <v>328.26</v>
      </c>
      <c r="N109" s="577">
        <f t="shared" ref="N109:P109" si="40">SUM(N103:N108)</f>
        <v>0.1046</v>
      </c>
      <c r="O109" s="552">
        <f>SUM(O103:O108)</f>
        <v>335.04</v>
      </c>
      <c r="P109" s="577">
        <f t="shared" si="40"/>
        <v>0.1046</v>
      </c>
      <c r="Q109" s="552">
        <f>SUM(Q103:Q108)</f>
        <v>346.54</v>
      </c>
      <c r="R109" s="577">
        <f t="shared" ref="R109" si="41">SUM(R103:R108)</f>
        <v>0.1046</v>
      </c>
      <c r="S109" s="552">
        <f>SUM(S103:S108)</f>
        <v>346.54</v>
      </c>
    </row>
    <row r="110" spans="1:19" s="44" customFormat="1" ht="28.5" customHeight="1" x14ac:dyDescent="0.2">
      <c r="A110" s="538" t="s">
        <v>8</v>
      </c>
      <c r="B110" s="949" t="str">
        <f>DADOS!B116</f>
        <v>Incidência dos encargos previstos no Submódulo 4.1 sobre o custo de reposição do profissional ausente</v>
      </c>
      <c r="C110" s="949"/>
      <c r="D110" s="949"/>
      <c r="E110" s="950"/>
      <c r="F110" s="576">
        <f>DADOS!C116</f>
        <v>3.7600000000000001E-2</v>
      </c>
      <c r="G110" s="550">
        <f t="shared" si="31"/>
        <v>110.71</v>
      </c>
      <c r="H110" s="533">
        <v>3.7600000000000001E-2</v>
      </c>
      <c r="I110" s="592">
        <f t="shared" si="31"/>
        <v>110.71</v>
      </c>
      <c r="J110" s="576">
        <f>DADOS!C116</f>
        <v>3.7600000000000001E-2</v>
      </c>
      <c r="K110" s="550">
        <f>J110*$K$40</f>
        <v>118</v>
      </c>
      <c r="L110" s="576">
        <f>DADOS!C116</f>
        <v>3.7600000000000001E-2</v>
      </c>
      <c r="M110" s="592">
        <f>L110*$M$40</f>
        <v>118</v>
      </c>
      <c r="N110" s="576">
        <f>N109*N75</f>
        <v>3.7900000000000003E-2</v>
      </c>
      <c r="O110" s="550">
        <f>N110*$O$40</f>
        <v>121.4</v>
      </c>
      <c r="P110" s="576">
        <f>P109*P75</f>
        <v>3.7999999999999999E-2</v>
      </c>
      <c r="Q110" s="680">
        <f>P110*$Q$40</f>
        <v>125.89</v>
      </c>
      <c r="R110" s="576">
        <f>R109*R75</f>
        <v>3.7999999999999999E-2</v>
      </c>
      <c r="S110" s="680">
        <f>R110*$Q$40</f>
        <v>125.89</v>
      </c>
    </row>
    <row r="111" spans="1:19" s="49" customFormat="1" ht="18" customHeight="1" x14ac:dyDescent="0.2">
      <c r="A111" s="967" t="s">
        <v>57</v>
      </c>
      <c r="B111" s="968"/>
      <c r="C111" s="968"/>
      <c r="D111" s="968"/>
      <c r="E111" s="969"/>
      <c r="F111" s="577">
        <f t="shared" ref="F111:L111" si="42">SUM(F109:F110)</f>
        <v>0.14219999999999999</v>
      </c>
      <c r="G111" s="553">
        <f t="shared" si="42"/>
        <v>418.7</v>
      </c>
      <c r="H111" s="534">
        <v>0.14219999999999999</v>
      </c>
      <c r="I111" s="595">
        <f>SUM(I109:I110)</f>
        <v>418.7</v>
      </c>
      <c r="J111" s="577">
        <f t="shared" si="42"/>
        <v>0.14219999999999999</v>
      </c>
      <c r="K111" s="553">
        <f t="shared" si="42"/>
        <v>446.26</v>
      </c>
      <c r="L111" s="577">
        <f t="shared" si="42"/>
        <v>0.14219999999999999</v>
      </c>
      <c r="M111" s="595">
        <f>SUM(M109:M110)</f>
        <v>446.26</v>
      </c>
      <c r="N111" s="577">
        <f t="shared" ref="N111:P111" si="43">SUM(N109:N110)</f>
        <v>0.14249999999999999</v>
      </c>
      <c r="O111" s="553">
        <f>SUM(O109:O110)</f>
        <v>456.44</v>
      </c>
      <c r="P111" s="577">
        <f t="shared" si="43"/>
        <v>0.1426</v>
      </c>
      <c r="Q111" s="553">
        <f>SUM(Q109:Q110)</f>
        <v>472.43</v>
      </c>
      <c r="R111" s="577">
        <f t="shared" ref="R111" si="44">SUM(R109:R110)</f>
        <v>0.1426</v>
      </c>
      <c r="S111" s="553">
        <f>SUM(S109:S110)</f>
        <v>472.43</v>
      </c>
    </row>
    <row r="112" spans="1:19" s="46" customFormat="1" ht="18" customHeight="1" x14ac:dyDescent="0.2">
      <c r="A112" s="556"/>
      <c r="B112" s="944"/>
      <c r="C112" s="944"/>
      <c r="D112" s="944"/>
      <c r="E112" s="945"/>
      <c r="F112" s="890"/>
      <c r="G112" s="891"/>
      <c r="H112" s="901"/>
      <c r="I112" s="888"/>
      <c r="J112" s="887"/>
      <c r="K112" s="889"/>
      <c r="L112" s="887"/>
      <c r="M112" s="888"/>
      <c r="N112" s="887"/>
      <c r="O112" s="889"/>
      <c r="P112" s="575"/>
      <c r="Q112" s="550"/>
      <c r="R112" s="677"/>
      <c r="S112" s="680"/>
    </row>
    <row r="113" spans="1:19" s="44" customFormat="1" x14ac:dyDescent="0.2">
      <c r="A113" s="956" t="s">
        <v>137</v>
      </c>
      <c r="B113" s="957"/>
      <c r="C113" s="957"/>
      <c r="D113" s="957"/>
      <c r="E113" s="958"/>
      <c r="F113" s="890"/>
      <c r="G113" s="891"/>
      <c r="H113" s="901"/>
      <c r="I113" s="888"/>
      <c r="J113" s="887"/>
      <c r="K113" s="889"/>
      <c r="L113" s="887"/>
      <c r="M113" s="888"/>
      <c r="N113" s="887"/>
      <c r="O113" s="889"/>
      <c r="P113" s="542"/>
      <c r="Q113" s="543"/>
      <c r="R113" s="675"/>
      <c r="S113" s="681"/>
    </row>
    <row r="114" spans="1:19" s="44" customFormat="1" ht="18.75" customHeight="1" x14ac:dyDescent="0.2">
      <c r="A114" s="538">
        <v>4</v>
      </c>
      <c r="B114" s="964" t="s">
        <v>108</v>
      </c>
      <c r="C114" s="964"/>
      <c r="D114" s="964"/>
      <c r="E114" s="965"/>
      <c r="F114" s="622" t="s">
        <v>12</v>
      </c>
      <c r="G114" s="623" t="s">
        <v>98</v>
      </c>
      <c r="H114" s="620" t="s">
        <v>12</v>
      </c>
      <c r="I114" s="629" t="s">
        <v>98</v>
      </c>
      <c r="J114" s="622" t="s">
        <v>12</v>
      </c>
      <c r="K114" s="623" t="s">
        <v>98</v>
      </c>
      <c r="L114" s="622" t="s">
        <v>12</v>
      </c>
      <c r="M114" s="629" t="s">
        <v>98</v>
      </c>
      <c r="N114" s="622" t="s">
        <v>12</v>
      </c>
      <c r="O114" s="623" t="s">
        <v>98</v>
      </c>
      <c r="P114" s="622" t="s">
        <v>12</v>
      </c>
      <c r="Q114" s="623" t="s">
        <v>98</v>
      </c>
      <c r="R114" s="622" t="s">
        <v>12</v>
      </c>
      <c r="S114" s="623" t="s">
        <v>98</v>
      </c>
    </row>
    <row r="115" spans="1:19" s="44" customFormat="1" ht="14.25" customHeight="1" x14ac:dyDescent="0.2">
      <c r="A115" s="538" t="s">
        <v>58</v>
      </c>
      <c r="B115" s="938" t="str">
        <f>B66</f>
        <v>Encargos previdenciários, FGTS e outras contribuições</v>
      </c>
      <c r="C115" s="938"/>
      <c r="D115" s="938"/>
      <c r="E115" s="939"/>
      <c r="F115" s="576">
        <f t="shared" ref="F115:M115" si="45">F75</f>
        <v>0.35930000000000001</v>
      </c>
      <c r="G115" s="548">
        <f t="shared" si="45"/>
        <v>1057.95</v>
      </c>
      <c r="H115" s="533">
        <v>0.35930000000000001</v>
      </c>
      <c r="I115" s="593">
        <f>I75</f>
        <v>1057.95</v>
      </c>
      <c r="J115" s="576">
        <f t="shared" si="45"/>
        <v>0.35930000000000001</v>
      </c>
      <c r="K115" s="548">
        <f t="shared" si="45"/>
        <v>1127.55</v>
      </c>
      <c r="L115" s="576">
        <f t="shared" si="45"/>
        <v>0.35930000000000001</v>
      </c>
      <c r="M115" s="593">
        <f t="shared" si="45"/>
        <v>1127.55</v>
      </c>
      <c r="N115" s="576">
        <f t="shared" ref="N115:O115" si="46">N75</f>
        <v>0.36230000000000001</v>
      </c>
      <c r="O115" s="548">
        <f t="shared" si="46"/>
        <v>1160.51</v>
      </c>
      <c r="P115" s="576">
        <f t="shared" ref="P115:Q115" si="47">P75</f>
        <v>0.3629</v>
      </c>
      <c r="Q115" s="679">
        <f t="shared" si="47"/>
        <v>1202.3</v>
      </c>
      <c r="R115" s="576">
        <f t="shared" ref="R115:S115" si="48">R75</f>
        <v>0.3629</v>
      </c>
      <c r="S115" s="679">
        <f t="shared" si="48"/>
        <v>1202.3</v>
      </c>
    </row>
    <row r="116" spans="1:19" s="44" customFormat="1" ht="14.25" customHeight="1" x14ac:dyDescent="0.2">
      <c r="A116" s="538" t="s">
        <v>65</v>
      </c>
      <c r="B116" s="938" t="str">
        <f>B78</f>
        <v xml:space="preserve">13º (décimo terceiro) Salário </v>
      </c>
      <c r="C116" s="938"/>
      <c r="D116" s="938"/>
      <c r="E116" s="939"/>
      <c r="F116" s="576">
        <f t="shared" ref="F116:M116" si="49">F83</f>
        <v>0.151</v>
      </c>
      <c r="G116" s="548">
        <f t="shared" si="49"/>
        <v>444.61</v>
      </c>
      <c r="H116" s="533">
        <v>0.151</v>
      </c>
      <c r="I116" s="593">
        <f>I83</f>
        <v>444.61</v>
      </c>
      <c r="J116" s="576">
        <f t="shared" si="49"/>
        <v>0.151</v>
      </c>
      <c r="K116" s="548">
        <f t="shared" si="49"/>
        <v>473.86</v>
      </c>
      <c r="L116" s="576">
        <f t="shared" si="49"/>
        <v>0.151</v>
      </c>
      <c r="M116" s="593">
        <f t="shared" si="49"/>
        <v>473.86</v>
      </c>
      <c r="N116" s="576">
        <f t="shared" ref="N116:O116" si="50">N83</f>
        <v>0.15140000000000001</v>
      </c>
      <c r="O116" s="548">
        <f t="shared" si="50"/>
        <v>484.96</v>
      </c>
      <c r="P116" s="576">
        <f t="shared" ref="P116:Q116" si="51">P83</f>
        <v>0.15140000000000001</v>
      </c>
      <c r="Q116" s="679">
        <f t="shared" si="51"/>
        <v>501.58</v>
      </c>
      <c r="R116" s="576">
        <f t="shared" ref="R116:S116" si="52">R83</f>
        <v>0.15140000000000001</v>
      </c>
      <c r="S116" s="679">
        <f t="shared" si="52"/>
        <v>501.58</v>
      </c>
    </row>
    <row r="117" spans="1:19" s="44" customFormat="1" ht="14.25" customHeight="1" x14ac:dyDescent="0.2">
      <c r="A117" s="538" t="s">
        <v>67</v>
      </c>
      <c r="B117" s="938" t="str">
        <f>B86</f>
        <v>Afastamento Maternidade</v>
      </c>
      <c r="C117" s="938"/>
      <c r="D117" s="938"/>
      <c r="E117" s="939"/>
      <c r="F117" s="576">
        <f t="shared" ref="F117:M117" si="53">F89</f>
        <v>0</v>
      </c>
      <c r="G117" s="548">
        <f t="shared" si="53"/>
        <v>0</v>
      </c>
      <c r="H117" s="533">
        <v>0</v>
      </c>
      <c r="I117" s="593">
        <f>I89</f>
        <v>0</v>
      </c>
      <c r="J117" s="576">
        <f t="shared" si="53"/>
        <v>0</v>
      </c>
      <c r="K117" s="548">
        <f t="shared" si="53"/>
        <v>0</v>
      </c>
      <c r="L117" s="576">
        <f t="shared" si="53"/>
        <v>0</v>
      </c>
      <c r="M117" s="593">
        <f t="shared" si="53"/>
        <v>0</v>
      </c>
      <c r="N117" s="576">
        <f t="shared" ref="N117:O117" si="54">N89</f>
        <v>0</v>
      </c>
      <c r="O117" s="548">
        <f t="shared" si="54"/>
        <v>0</v>
      </c>
      <c r="P117" s="576">
        <f t="shared" ref="P117:Q117" si="55">P89</f>
        <v>0</v>
      </c>
      <c r="Q117" s="679">
        <f t="shared" si="55"/>
        <v>0</v>
      </c>
      <c r="R117" s="576">
        <f t="shared" ref="R117:S117" si="56">R89</f>
        <v>0</v>
      </c>
      <c r="S117" s="679">
        <f t="shared" si="56"/>
        <v>0</v>
      </c>
    </row>
    <row r="118" spans="1:19" s="44" customFormat="1" ht="14.25" customHeight="1" x14ac:dyDescent="0.2">
      <c r="A118" s="538" t="s">
        <v>69</v>
      </c>
      <c r="B118" s="938" t="str">
        <f>B92</f>
        <v>Provisão para Rescisão</v>
      </c>
      <c r="C118" s="938"/>
      <c r="D118" s="938"/>
      <c r="E118" s="939"/>
      <c r="F118" s="576">
        <f t="shared" ref="F118:M118" si="57">F99</f>
        <v>8.2100000000000006E-2</v>
      </c>
      <c r="G118" s="548">
        <f t="shared" si="57"/>
        <v>241.74</v>
      </c>
      <c r="H118" s="533">
        <v>8.2100000000000006E-2</v>
      </c>
      <c r="I118" s="593">
        <f>I99</f>
        <v>148.69</v>
      </c>
      <c r="J118" s="576">
        <f t="shared" si="57"/>
        <v>8.2100000000000006E-2</v>
      </c>
      <c r="K118" s="548">
        <f t="shared" si="57"/>
        <v>257.64999999999998</v>
      </c>
      <c r="L118" s="576">
        <f t="shared" si="57"/>
        <v>5.0500000000000003E-2</v>
      </c>
      <c r="M118" s="593">
        <f t="shared" si="57"/>
        <v>158.47999999999999</v>
      </c>
      <c r="N118" s="576">
        <f t="shared" ref="N118:O118" si="58">N99</f>
        <v>5.0500000000000003E-2</v>
      </c>
      <c r="O118" s="548">
        <f t="shared" si="58"/>
        <v>161.76</v>
      </c>
      <c r="P118" s="576">
        <f t="shared" ref="P118:Q118" si="59">P99</f>
        <v>5.0500000000000003E-2</v>
      </c>
      <c r="Q118" s="679">
        <f t="shared" si="59"/>
        <v>167.31</v>
      </c>
      <c r="R118" s="576">
        <f t="shared" ref="R118:S118" si="60">R99</f>
        <v>5.0500000000000003E-2</v>
      </c>
      <c r="S118" s="679">
        <f t="shared" si="60"/>
        <v>167.31</v>
      </c>
    </row>
    <row r="119" spans="1:19" s="44" customFormat="1" ht="14.25" customHeight="1" x14ac:dyDescent="0.2">
      <c r="A119" s="538" t="s">
        <v>72</v>
      </c>
      <c r="B119" s="938" t="str">
        <f>B102</f>
        <v>Composição do Custo de Reposição do Profissional Ausente</v>
      </c>
      <c r="C119" s="938"/>
      <c r="D119" s="938"/>
      <c r="E119" s="939"/>
      <c r="F119" s="576">
        <f t="shared" ref="F119:M119" si="61">F111</f>
        <v>0.14219999999999999</v>
      </c>
      <c r="G119" s="548">
        <f t="shared" si="61"/>
        <v>418.7</v>
      </c>
      <c r="H119" s="533">
        <v>0.14219999999999999</v>
      </c>
      <c r="I119" s="593">
        <f>I111</f>
        <v>418.7</v>
      </c>
      <c r="J119" s="576">
        <f t="shared" si="61"/>
        <v>0.14219999999999999</v>
      </c>
      <c r="K119" s="548">
        <f t="shared" si="61"/>
        <v>446.26</v>
      </c>
      <c r="L119" s="576">
        <f t="shared" si="61"/>
        <v>0.14219999999999999</v>
      </c>
      <c r="M119" s="593">
        <f t="shared" si="61"/>
        <v>446.26</v>
      </c>
      <c r="N119" s="576">
        <f t="shared" ref="N119:O119" si="62">N111</f>
        <v>0.14249999999999999</v>
      </c>
      <c r="O119" s="548">
        <f t="shared" si="62"/>
        <v>456.44</v>
      </c>
      <c r="P119" s="576">
        <f t="shared" ref="P119:Q119" si="63">P111</f>
        <v>0.1426</v>
      </c>
      <c r="Q119" s="679">
        <f t="shared" si="63"/>
        <v>472.43</v>
      </c>
      <c r="R119" s="576">
        <f t="shared" ref="R119:S119" si="64">R111</f>
        <v>0.1426</v>
      </c>
      <c r="S119" s="679">
        <f t="shared" si="64"/>
        <v>472.43</v>
      </c>
    </row>
    <row r="120" spans="1:19" s="44" customFormat="1" ht="14.25" customHeight="1" x14ac:dyDescent="0.2">
      <c r="A120" s="538" t="s">
        <v>125</v>
      </c>
      <c r="B120" s="938" t="s">
        <v>76</v>
      </c>
      <c r="C120" s="938"/>
      <c r="D120" s="938"/>
      <c r="E120" s="939"/>
      <c r="F120" s="576">
        <f>F113</f>
        <v>0</v>
      </c>
      <c r="G120" s="548"/>
      <c r="H120" s="533">
        <v>0</v>
      </c>
      <c r="I120" s="593"/>
      <c r="J120" s="576">
        <f>J113</f>
        <v>0</v>
      </c>
      <c r="K120" s="548"/>
      <c r="L120" s="576">
        <f>L113</f>
        <v>0</v>
      </c>
      <c r="M120" s="593"/>
      <c r="N120" s="576">
        <f>N113</f>
        <v>0</v>
      </c>
      <c r="O120" s="548"/>
      <c r="P120" s="576">
        <f>P113</f>
        <v>0</v>
      </c>
      <c r="Q120" s="548"/>
      <c r="R120" s="576">
        <f>R113</f>
        <v>0</v>
      </c>
      <c r="S120" s="679"/>
    </row>
    <row r="121" spans="1:19" s="44" customFormat="1" ht="18" customHeight="1" x14ac:dyDescent="0.2">
      <c r="A121" s="557"/>
      <c r="B121" s="978" t="s">
        <v>138</v>
      </c>
      <c r="C121" s="978"/>
      <c r="D121" s="978"/>
      <c r="E121" s="979"/>
      <c r="F121" s="577">
        <f t="shared" ref="F121:M121" si="65">SUM(F115:F120)</f>
        <v>0.73460000000000003</v>
      </c>
      <c r="G121" s="553">
        <f t="shared" si="65"/>
        <v>2163</v>
      </c>
      <c r="H121" s="534">
        <v>0.73460000000000003</v>
      </c>
      <c r="I121" s="595">
        <f>SUM(I115:I120)</f>
        <v>2069.9499999999998</v>
      </c>
      <c r="J121" s="577">
        <f t="shared" si="65"/>
        <v>0.73460000000000003</v>
      </c>
      <c r="K121" s="553">
        <f t="shared" si="65"/>
        <v>2305.3200000000002</v>
      </c>
      <c r="L121" s="577">
        <f t="shared" si="65"/>
        <v>0.70299999999999996</v>
      </c>
      <c r="M121" s="595">
        <f t="shared" si="65"/>
        <v>2206.15</v>
      </c>
      <c r="N121" s="577">
        <f t="shared" ref="N121:O121" si="66">SUM(N115:N120)</f>
        <v>0.70669999999999999</v>
      </c>
      <c r="O121" s="553">
        <f t="shared" si="66"/>
        <v>2263.67</v>
      </c>
      <c r="P121" s="577">
        <f t="shared" ref="P121:Q121" si="67">SUM(P115:P120)</f>
        <v>0.70740000000000003</v>
      </c>
      <c r="Q121" s="553">
        <f t="shared" si="67"/>
        <v>2343.62</v>
      </c>
      <c r="R121" s="577">
        <f t="shared" ref="R121:S121" si="68">SUM(R115:R120)</f>
        <v>0.70740000000000003</v>
      </c>
      <c r="S121" s="553">
        <f t="shared" si="68"/>
        <v>2343.62</v>
      </c>
    </row>
    <row r="122" spans="1:19" s="44" customFormat="1" x14ac:dyDescent="0.2">
      <c r="A122" s="538"/>
      <c r="B122" s="944"/>
      <c r="C122" s="944"/>
      <c r="D122" s="944"/>
      <c r="E122" s="945"/>
      <c r="F122" s="575"/>
      <c r="G122" s="548"/>
      <c r="H122" s="904"/>
      <c r="I122" s="905"/>
      <c r="J122" s="1027"/>
      <c r="K122" s="1028"/>
      <c r="L122" s="1027"/>
      <c r="M122" s="905"/>
      <c r="N122" s="1027"/>
      <c r="O122" s="1028"/>
      <c r="P122" s="575"/>
      <c r="Q122" s="548"/>
      <c r="R122" s="677"/>
      <c r="S122" s="679"/>
    </row>
    <row r="123" spans="1:19" s="44" customFormat="1" x14ac:dyDescent="0.2">
      <c r="A123" s="956" t="s">
        <v>35</v>
      </c>
      <c r="B123" s="957"/>
      <c r="C123" s="957"/>
      <c r="D123" s="957"/>
      <c r="E123" s="958"/>
      <c r="F123" s="568"/>
      <c r="G123" s="554"/>
      <c r="H123" s="904"/>
      <c r="I123" s="905"/>
      <c r="J123" s="1027"/>
      <c r="K123" s="1028"/>
      <c r="L123" s="1027"/>
      <c r="M123" s="905"/>
      <c r="N123" s="1027"/>
      <c r="O123" s="1028"/>
      <c r="P123" s="542"/>
      <c r="Q123" s="543"/>
      <c r="R123" s="675"/>
      <c r="S123" s="681"/>
    </row>
    <row r="124" spans="1:19" s="44" customFormat="1" ht="19.5" customHeight="1" x14ac:dyDescent="0.2">
      <c r="A124" s="538">
        <v>5</v>
      </c>
      <c r="B124" s="964" t="s">
        <v>29</v>
      </c>
      <c r="C124" s="964"/>
      <c r="D124" s="964"/>
      <c r="E124" s="965"/>
      <c r="F124" s="622" t="s">
        <v>12</v>
      </c>
      <c r="G124" s="623" t="s">
        <v>98</v>
      </c>
      <c r="H124" s="620" t="s">
        <v>12</v>
      </c>
      <c r="I124" s="629" t="s">
        <v>98</v>
      </c>
      <c r="J124" s="622" t="s">
        <v>12</v>
      </c>
      <c r="K124" s="623" t="s">
        <v>98</v>
      </c>
      <c r="L124" s="622" t="s">
        <v>12</v>
      </c>
      <c r="M124" s="629" t="s">
        <v>98</v>
      </c>
      <c r="N124" s="622" t="s">
        <v>12</v>
      </c>
      <c r="O124" s="623" t="s">
        <v>98</v>
      </c>
      <c r="P124" s="622" t="s">
        <v>12</v>
      </c>
      <c r="Q124" s="623" t="s">
        <v>98</v>
      </c>
      <c r="R124" s="622" t="s">
        <v>12</v>
      </c>
      <c r="S124" s="623" t="s">
        <v>98</v>
      </c>
    </row>
    <row r="125" spans="1:19" s="44" customFormat="1" x14ac:dyDescent="0.2">
      <c r="A125" s="538" t="s">
        <v>1</v>
      </c>
      <c r="B125" s="942" t="s">
        <v>30</v>
      </c>
      <c r="C125" s="942"/>
      <c r="D125" s="942"/>
      <c r="E125" s="943"/>
      <c r="F125" s="576">
        <f>DADOS!E60</f>
        <v>6.9000000000000006E-2</v>
      </c>
      <c r="G125" s="558">
        <f>G138*F125</f>
        <v>424.24</v>
      </c>
      <c r="H125" s="533">
        <v>6.6000000000000003E-2</v>
      </c>
      <c r="I125" s="596">
        <f>I138*H125</f>
        <v>399.66</v>
      </c>
      <c r="J125" s="576">
        <v>6.9000000000000006E-2</v>
      </c>
      <c r="K125" s="558">
        <f>K138*J125</f>
        <v>449.8</v>
      </c>
      <c r="L125" s="576">
        <v>6.6000000000000003E-2</v>
      </c>
      <c r="M125" s="596">
        <f>M138*L125</f>
        <v>423.55</v>
      </c>
      <c r="N125" s="621">
        <v>6.6000000000000003E-2</v>
      </c>
      <c r="O125" s="558">
        <f>O138*N125</f>
        <v>432.4</v>
      </c>
      <c r="P125" s="576">
        <v>6.6000000000000003E-2</v>
      </c>
      <c r="Q125" s="558">
        <f>Q138*P125</f>
        <v>445.94</v>
      </c>
      <c r="R125" s="576">
        <v>6.6000000000000003E-2</v>
      </c>
      <c r="S125" s="558">
        <f>S138*R125</f>
        <v>445.7</v>
      </c>
    </row>
    <row r="126" spans="1:19" s="44" customFormat="1" x14ac:dyDescent="0.2">
      <c r="A126" s="898" t="s">
        <v>2</v>
      </c>
      <c r="B126" s="964" t="s">
        <v>23</v>
      </c>
      <c r="C126" s="964"/>
      <c r="D126" s="964"/>
      <c r="E126" s="965"/>
      <c r="F126" s="576">
        <f>SUM(F127:F128)</f>
        <v>8.6499999999999994E-2</v>
      </c>
      <c r="G126" s="558"/>
      <c r="H126" s="533">
        <v>8.6499999999999994E-2</v>
      </c>
      <c r="I126" s="596"/>
      <c r="J126" s="576">
        <f>SUM(J127:J128)</f>
        <v>8.6499999999999994E-2</v>
      </c>
      <c r="K126" s="558"/>
      <c r="L126" s="576">
        <f>SUM(L127:L128)</f>
        <v>8.6499999999999994E-2</v>
      </c>
      <c r="M126" s="596"/>
      <c r="N126" s="576">
        <f>SUM(N127:N128)</f>
        <v>8.6499999999999994E-2</v>
      </c>
      <c r="O126" s="558"/>
      <c r="P126" s="576">
        <f>SUM(P127:P128)</f>
        <v>8.6499999999999994E-2</v>
      </c>
      <c r="Q126" s="558"/>
      <c r="R126" s="576">
        <f>SUM(R127:R128)</f>
        <v>8.6499999999999994E-2</v>
      </c>
      <c r="S126" s="558"/>
    </row>
    <row r="127" spans="1:19" s="44" customFormat="1" x14ac:dyDescent="0.2">
      <c r="A127" s="898"/>
      <c r="B127" s="938" t="s">
        <v>513</v>
      </c>
      <c r="C127" s="938"/>
      <c r="D127" s="938"/>
      <c r="E127" s="939"/>
      <c r="F127" s="576">
        <f>DADOS!C75+DADOS!C74</f>
        <v>3.6499999999999998E-2</v>
      </c>
      <c r="G127" s="559">
        <f>($G$138+$G$125+$G$129)/DADOS!C$77*F127</f>
        <v>272.73</v>
      </c>
      <c r="H127" s="533">
        <v>3.6499999999999998E-2</v>
      </c>
      <c r="I127" s="597">
        <f>($I$138+$I$125+$I$129)/(1-H127-H128)*H127</f>
        <v>265.66000000000003</v>
      </c>
      <c r="J127" s="576">
        <f>DADOS!C75+DADOS!C74</f>
        <v>3.6499999999999998E-2</v>
      </c>
      <c r="K127" s="559">
        <f>($K$138+$K$125+$K$129)/DADOS!C$77*J127</f>
        <v>289.16000000000003</v>
      </c>
      <c r="L127" s="576">
        <f>DADOS!C75+DADOS!C74</f>
        <v>3.6499999999999998E-2</v>
      </c>
      <c r="M127" s="597">
        <f>($M$138+$M$125+$M$129)/(1-L127-L128)*L127</f>
        <v>281.54000000000002</v>
      </c>
      <c r="N127" s="576">
        <v>3.6499999999999998E-2</v>
      </c>
      <c r="O127" s="559">
        <f>($O$138+$O$125+$O$129)/(1-$N$126)*N127</f>
        <v>287.42</v>
      </c>
      <c r="P127" s="576">
        <v>3.6499999999999998E-2</v>
      </c>
      <c r="Q127" s="559">
        <f>($Q$138+$Q$125+$Q$129)/(1-$P$126)*P127</f>
        <v>296.43</v>
      </c>
      <c r="R127" s="576">
        <v>3.6499999999999998E-2</v>
      </c>
      <c r="S127" s="559">
        <f>($S$138+$S$125+$S$129)/(1-$R$126)*R127</f>
        <v>296.26</v>
      </c>
    </row>
    <row r="128" spans="1:19" s="44" customFormat="1" x14ac:dyDescent="0.2">
      <c r="A128" s="898"/>
      <c r="B128" s="938" t="s">
        <v>514</v>
      </c>
      <c r="C128" s="938"/>
      <c r="D128" s="938"/>
      <c r="E128" s="939"/>
      <c r="F128" s="576">
        <f>DADOS!C73</f>
        <v>0.05</v>
      </c>
      <c r="G128" s="559">
        <f>($G$138+$G$125+$G$129)/DADOS!C$77*F128</f>
        <v>373.6</v>
      </c>
      <c r="H128" s="533">
        <v>0.05</v>
      </c>
      <c r="I128" s="597">
        <f>($I$138+$I$125+$I$129)/(1-H127-H128)*H128</f>
        <v>363.91</v>
      </c>
      <c r="J128" s="576">
        <f>DADOS!C73</f>
        <v>0.05</v>
      </c>
      <c r="K128" s="559">
        <f>($K$138+$K$125+$K$129)/DADOS!C$77*J128</f>
        <v>396.11</v>
      </c>
      <c r="L128" s="576">
        <f>DADOS!C73</f>
        <v>0.05</v>
      </c>
      <c r="M128" s="597">
        <f>($M$138+$M$125+$M$129)/(1-L127-L128)*L128</f>
        <v>385.67</v>
      </c>
      <c r="N128" s="576">
        <v>0.05</v>
      </c>
      <c r="O128" s="559">
        <f>($O$138+$O$125+$O$129)/(1-$N$126)*N128</f>
        <v>393.73</v>
      </c>
      <c r="P128" s="576">
        <v>0.05</v>
      </c>
      <c r="Q128" s="559">
        <f>($Q$138+$Q$125+$Q$129)/(1-$P$126)*P128</f>
        <v>406.06</v>
      </c>
      <c r="R128" s="576">
        <v>0.05</v>
      </c>
      <c r="S128" s="559">
        <f>($S$138+$S$125+$S$129)/(1-$R$126)*R128</f>
        <v>405.84</v>
      </c>
    </row>
    <row r="129" spans="1:19" s="44" customFormat="1" x14ac:dyDescent="0.2">
      <c r="A129" s="538" t="s">
        <v>2</v>
      </c>
      <c r="B129" s="964" t="s">
        <v>20</v>
      </c>
      <c r="C129" s="964"/>
      <c r="D129" s="964"/>
      <c r="E129" s="965"/>
      <c r="F129" s="576">
        <f>DADOS!E61</f>
        <v>3.85E-2</v>
      </c>
      <c r="G129" s="560">
        <f>(G138+G125)*F129</f>
        <v>253.05</v>
      </c>
      <c r="H129" s="533">
        <v>0.03</v>
      </c>
      <c r="I129" s="598">
        <f>(I138+I125)*H129</f>
        <v>193.65</v>
      </c>
      <c r="J129" s="576">
        <v>3.85E-2</v>
      </c>
      <c r="K129" s="560">
        <f>(K138+K125)*J129</f>
        <v>268.29000000000002</v>
      </c>
      <c r="L129" s="576">
        <v>0.03</v>
      </c>
      <c r="M129" s="598">
        <f>(M138+M125)*L129</f>
        <v>205.23</v>
      </c>
      <c r="N129" s="621">
        <v>0.03</v>
      </c>
      <c r="O129" s="560">
        <f>(O138+O125)*N129</f>
        <v>209.52</v>
      </c>
      <c r="P129" s="576">
        <v>0.03</v>
      </c>
      <c r="Q129" s="560">
        <f>(Q138+Q125)*P129</f>
        <v>216.08</v>
      </c>
      <c r="R129" s="576">
        <v>0.03</v>
      </c>
      <c r="S129" s="560">
        <f>(S138+S125)*R129</f>
        <v>215.96</v>
      </c>
    </row>
    <row r="130" spans="1:19" s="44" customFormat="1" ht="18" customHeight="1" x14ac:dyDescent="0.2">
      <c r="A130" s="898" t="s">
        <v>329</v>
      </c>
      <c r="B130" s="899"/>
      <c r="C130" s="899"/>
      <c r="D130" s="899"/>
      <c r="E130" s="900"/>
      <c r="F130" s="540"/>
      <c r="G130" s="561">
        <f>G125+G127+G128+G129</f>
        <v>1323.62</v>
      </c>
      <c r="H130" s="536"/>
      <c r="I130" s="599">
        <f>I125+I127+I128+I129</f>
        <v>1222.8800000000001</v>
      </c>
      <c r="J130" s="584"/>
      <c r="K130" s="561">
        <f>K125+K127+K128+K129</f>
        <v>1403.36</v>
      </c>
      <c r="L130" s="584"/>
      <c r="M130" s="599">
        <f>M125+M127+M128+M129</f>
        <v>1295.99</v>
      </c>
      <c r="N130" s="584"/>
      <c r="O130" s="561">
        <f>O125+O127+O128+O129</f>
        <v>1323.07</v>
      </c>
      <c r="P130" s="584"/>
      <c r="Q130" s="561">
        <f>Q125+Q127+Q128+Q129</f>
        <v>1364.51</v>
      </c>
      <c r="R130" s="584"/>
      <c r="S130" s="561">
        <f>S125+S127+S128+S129</f>
        <v>1363.76</v>
      </c>
    </row>
    <row r="131" spans="1:19" s="44" customFormat="1" x14ac:dyDescent="0.2">
      <c r="A131" s="562"/>
      <c r="B131" s="944"/>
      <c r="C131" s="944"/>
      <c r="D131" s="944"/>
      <c r="E131" s="945"/>
      <c r="F131" s="1029"/>
      <c r="G131" s="1030"/>
      <c r="H131" s="909"/>
      <c r="I131" s="897"/>
      <c r="J131" s="896"/>
      <c r="K131" s="897"/>
      <c r="L131" s="896"/>
      <c r="M131" s="897"/>
      <c r="N131" s="896"/>
      <c r="O131" s="897"/>
      <c r="P131" s="896"/>
      <c r="Q131" s="897"/>
      <c r="R131" s="896"/>
      <c r="S131" s="897"/>
    </row>
    <row r="132" spans="1:19" s="44" customFormat="1" x14ac:dyDescent="0.2">
      <c r="A132" s="956" t="s">
        <v>330</v>
      </c>
      <c r="B132" s="957"/>
      <c r="C132" s="957"/>
      <c r="D132" s="957"/>
      <c r="E132" s="958"/>
      <c r="F132" s="1029"/>
      <c r="G132" s="1030"/>
      <c r="H132" s="909"/>
      <c r="I132" s="897"/>
      <c r="J132" s="896"/>
      <c r="K132" s="897"/>
      <c r="L132" s="896"/>
      <c r="M132" s="897"/>
      <c r="N132" s="896"/>
      <c r="O132" s="897"/>
      <c r="P132" s="896"/>
      <c r="Q132" s="897"/>
      <c r="R132" s="896"/>
      <c r="S132" s="897"/>
    </row>
    <row r="133" spans="1:19" s="44" customFormat="1" ht="16.5" customHeight="1" x14ac:dyDescent="0.2">
      <c r="A133" s="956" t="s">
        <v>331</v>
      </c>
      <c r="B133" s="957"/>
      <c r="C133" s="957"/>
      <c r="D133" s="957"/>
      <c r="E133" s="958"/>
      <c r="F133" s="638"/>
      <c r="G133" s="623" t="s">
        <v>156</v>
      </c>
      <c r="H133" s="620"/>
      <c r="I133" s="629"/>
      <c r="J133" s="622"/>
      <c r="K133" s="623" t="s">
        <v>156</v>
      </c>
      <c r="L133" s="622"/>
      <c r="M133" s="629" t="s">
        <v>156</v>
      </c>
      <c r="N133" s="622"/>
      <c r="O133" s="623" t="s">
        <v>156</v>
      </c>
      <c r="P133" s="622"/>
      <c r="Q133" s="623" t="s">
        <v>156</v>
      </c>
      <c r="R133" s="622"/>
      <c r="S133" s="623" t="s">
        <v>156</v>
      </c>
    </row>
    <row r="134" spans="1:19" s="44" customFormat="1" ht="14.25" customHeight="1" x14ac:dyDescent="0.2">
      <c r="A134" s="538" t="s">
        <v>1</v>
      </c>
      <c r="B134" s="938" t="s">
        <v>378</v>
      </c>
      <c r="C134" s="938"/>
      <c r="D134" s="938"/>
      <c r="E134" s="939"/>
      <c r="F134" s="575"/>
      <c r="G134" s="548">
        <f>G40</f>
        <v>2944.45</v>
      </c>
      <c r="H134" s="530"/>
      <c r="I134" s="593">
        <f>I40</f>
        <v>2944.45</v>
      </c>
      <c r="J134" s="575"/>
      <c r="K134" s="548">
        <f>K40</f>
        <v>3138.19</v>
      </c>
      <c r="L134" s="575"/>
      <c r="M134" s="593">
        <f>M40</f>
        <v>3138.19</v>
      </c>
      <c r="N134" s="575"/>
      <c r="O134" s="548">
        <f>O40</f>
        <v>3203.14</v>
      </c>
      <c r="P134" s="575"/>
      <c r="Q134" s="548">
        <f>Q40</f>
        <v>3313</v>
      </c>
      <c r="R134" s="677"/>
      <c r="S134" s="679">
        <f>S40</f>
        <v>3313</v>
      </c>
    </row>
    <row r="135" spans="1:19" s="44" customFormat="1" ht="14.25" customHeight="1" x14ac:dyDescent="0.2">
      <c r="A135" s="538" t="s">
        <v>2</v>
      </c>
      <c r="B135" s="938" t="s">
        <v>379</v>
      </c>
      <c r="C135" s="938"/>
      <c r="D135" s="938"/>
      <c r="E135" s="939"/>
      <c r="F135" s="575"/>
      <c r="G135" s="548">
        <f>G55</f>
        <v>765.2</v>
      </c>
      <c r="H135" s="530"/>
      <c r="I135" s="593">
        <f>I55</f>
        <v>765.2</v>
      </c>
      <c r="J135" s="575"/>
      <c r="K135" s="548">
        <f>K55</f>
        <v>799.52</v>
      </c>
      <c r="L135" s="575"/>
      <c r="M135" s="593">
        <f>M55</f>
        <v>799.52</v>
      </c>
      <c r="N135" s="575"/>
      <c r="O135" s="548">
        <f>O55</f>
        <v>811.11</v>
      </c>
      <c r="P135" s="575"/>
      <c r="Q135" s="548">
        <f>Q55</f>
        <v>826.56</v>
      </c>
      <c r="R135" s="677"/>
      <c r="S135" s="679">
        <f>S55</f>
        <v>826.56</v>
      </c>
    </row>
    <row r="136" spans="1:19" s="44" customFormat="1" ht="14.25" customHeight="1" x14ac:dyDescent="0.2">
      <c r="A136" s="538" t="s">
        <v>4</v>
      </c>
      <c r="B136" s="939" t="s">
        <v>380</v>
      </c>
      <c r="C136" s="1024"/>
      <c r="D136" s="1024"/>
      <c r="E136" s="1024"/>
      <c r="F136" s="575"/>
      <c r="G136" s="548">
        <f>G62</f>
        <v>275.79000000000002</v>
      </c>
      <c r="H136" s="530"/>
      <c r="I136" s="593">
        <f>I62</f>
        <v>275.79000000000002</v>
      </c>
      <c r="J136" s="575"/>
      <c r="K136" s="548">
        <f>K62</f>
        <v>275.79000000000002</v>
      </c>
      <c r="L136" s="575"/>
      <c r="M136" s="593">
        <f>M62</f>
        <v>273.55</v>
      </c>
      <c r="N136" s="575"/>
      <c r="O136" s="548">
        <f>O62</f>
        <v>273.55</v>
      </c>
      <c r="P136" s="575"/>
      <c r="Q136" s="679">
        <f>Q62</f>
        <v>273.55</v>
      </c>
      <c r="R136" s="677"/>
      <c r="S136" s="679">
        <f>S62</f>
        <v>269.85000000000002</v>
      </c>
    </row>
    <row r="137" spans="1:19" s="44" customFormat="1" ht="14.25" customHeight="1" x14ac:dyDescent="0.2">
      <c r="A137" s="538" t="s">
        <v>5</v>
      </c>
      <c r="B137" s="938" t="s">
        <v>381</v>
      </c>
      <c r="C137" s="938"/>
      <c r="D137" s="938"/>
      <c r="E137" s="939"/>
      <c r="F137" s="575"/>
      <c r="G137" s="548">
        <f>G121</f>
        <v>2163</v>
      </c>
      <c r="H137" s="530"/>
      <c r="I137" s="593">
        <f>I121</f>
        <v>2069.9499999999998</v>
      </c>
      <c r="J137" s="575"/>
      <c r="K137" s="548">
        <f>K121</f>
        <v>2305.3200000000002</v>
      </c>
      <c r="L137" s="575"/>
      <c r="M137" s="593">
        <f>M121</f>
        <v>2206.15</v>
      </c>
      <c r="N137" s="575"/>
      <c r="O137" s="548">
        <f>O121</f>
        <v>2263.67</v>
      </c>
      <c r="P137" s="575"/>
      <c r="Q137" s="679">
        <f>Q121</f>
        <v>2343.62</v>
      </c>
      <c r="R137" s="677"/>
      <c r="S137" s="679">
        <f>S121</f>
        <v>2343.62</v>
      </c>
    </row>
    <row r="138" spans="1:19" s="44" customFormat="1" x14ac:dyDescent="0.2">
      <c r="A138" s="956" t="s">
        <v>109</v>
      </c>
      <c r="B138" s="957"/>
      <c r="C138" s="957"/>
      <c r="D138" s="957"/>
      <c r="E138" s="958"/>
      <c r="F138" s="568"/>
      <c r="G138" s="548">
        <f>SUM(G134:G137)</f>
        <v>6148.44</v>
      </c>
      <c r="H138" s="530"/>
      <c r="I138" s="593">
        <f>SUM(I134:I137)</f>
        <v>6055.39</v>
      </c>
      <c r="J138" s="585"/>
      <c r="K138" s="548">
        <f>SUM(K134:K137)</f>
        <v>6518.82</v>
      </c>
      <c r="L138" s="585"/>
      <c r="M138" s="593">
        <f>SUM(M134:M137)</f>
        <v>6417.41</v>
      </c>
      <c r="N138" s="585"/>
      <c r="O138" s="548">
        <f>SUM(O134:O137)</f>
        <v>6551.47</v>
      </c>
      <c r="P138" s="585"/>
      <c r="Q138" s="679">
        <f>SUM(Q134:Q137)</f>
        <v>6756.73</v>
      </c>
      <c r="R138" s="678"/>
      <c r="S138" s="679">
        <f>SUM(S134:S137)</f>
        <v>6753.03</v>
      </c>
    </row>
    <row r="139" spans="1:19" s="44" customFormat="1" ht="14.25" customHeight="1" thickBot="1" x14ac:dyDescent="0.25">
      <c r="A139" s="538" t="s">
        <v>6</v>
      </c>
      <c r="B139" s="938" t="s">
        <v>382</v>
      </c>
      <c r="C139" s="938"/>
      <c r="D139" s="938"/>
      <c r="E139" s="939"/>
      <c r="F139" s="575"/>
      <c r="G139" s="548">
        <f>G130</f>
        <v>1323.62</v>
      </c>
      <c r="H139" s="639"/>
      <c r="I139" s="614">
        <f>I130</f>
        <v>1222.8800000000001</v>
      </c>
      <c r="J139" s="575"/>
      <c r="K139" s="548">
        <f>K130</f>
        <v>1403.36</v>
      </c>
      <c r="L139" s="575"/>
      <c r="M139" s="593">
        <f>M130</f>
        <v>1295.99</v>
      </c>
      <c r="N139" s="575"/>
      <c r="O139" s="548">
        <f>O130</f>
        <v>1323.07</v>
      </c>
      <c r="P139" s="575"/>
      <c r="Q139" s="679">
        <f>Q130</f>
        <v>1364.51</v>
      </c>
      <c r="R139" s="677"/>
      <c r="S139" s="679">
        <f>S130</f>
        <v>1363.76</v>
      </c>
    </row>
    <row r="140" spans="1:19" s="44" customFormat="1" ht="24" customHeight="1" thickBot="1" x14ac:dyDescent="0.25">
      <c r="A140" s="1004" t="s">
        <v>332</v>
      </c>
      <c r="B140" s="1005"/>
      <c r="C140" s="1005"/>
      <c r="D140" s="1005"/>
      <c r="E140" s="1006"/>
      <c r="F140" s="640"/>
      <c r="G140" s="564">
        <f>SUM(G138:G139)</f>
        <v>7472.06</v>
      </c>
      <c r="H140" s="641"/>
      <c r="I140" s="615">
        <f>SUM(I138:I139)</f>
        <v>7278.27</v>
      </c>
      <c r="J140" s="642"/>
      <c r="K140" s="564">
        <f>SUM(K138:K139)</f>
        <v>7922.18</v>
      </c>
      <c r="L140" s="642"/>
      <c r="M140" s="619">
        <f>SUM(M138:M139)</f>
        <v>7713.4</v>
      </c>
      <c r="N140" s="642"/>
      <c r="O140" s="564">
        <f>SUM(O138:O139)</f>
        <v>7874.54</v>
      </c>
      <c r="P140" s="642"/>
      <c r="Q140" s="564">
        <f>SUM(Q138:Q139)</f>
        <v>8121.24</v>
      </c>
      <c r="R140" s="642"/>
      <c r="S140" s="564">
        <f>SUM(S138:S139)</f>
        <v>8116.79</v>
      </c>
    </row>
    <row r="141" spans="1:19" s="46" customFormat="1" x14ac:dyDescent="0.2">
      <c r="A141" s="484"/>
      <c r="B141" s="24"/>
      <c r="C141" s="24"/>
      <c r="D141" s="24"/>
      <c r="E141" s="24"/>
      <c r="F141" s="25"/>
      <c r="G141" s="26"/>
      <c r="H141" s="26"/>
      <c r="I141" s="26"/>
      <c r="J141" s="25"/>
      <c r="K141" s="26"/>
      <c r="L141" s="25"/>
      <c r="M141" s="26"/>
    </row>
    <row r="142" spans="1:19" s="44" customFormat="1" x14ac:dyDescent="0.2">
      <c r="A142" s="485"/>
      <c r="B142" s="19"/>
      <c r="C142" s="19"/>
      <c r="D142" s="19"/>
      <c r="E142" s="19"/>
      <c r="F142" s="19"/>
      <c r="G142" s="20"/>
      <c r="H142" s="20"/>
      <c r="I142" s="20"/>
      <c r="J142" s="19"/>
      <c r="K142" s="20"/>
      <c r="L142" s="19"/>
      <c r="M142" s="20"/>
    </row>
    <row r="143" spans="1:19" s="44" customFormat="1" x14ac:dyDescent="0.2">
      <c r="A143" s="485"/>
      <c r="B143" s="19"/>
      <c r="C143" s="19"/>
      <c r="D143" s="19"/>
      <c r="E143" s="19"/>
      <c r="F143" s="19"/>
      <c r="G143" s="20"/>
      <c r="H143" s="20"/>
      <c r="I143" s="20"/>
      <c r="J143" s="19"/>
      <c r="K143" s="20"/>
      <c r="L143" s="19"/>
      <c r="M143" s="20"/>
    </row>
    <row r="144" spans="1:19" s="44" customFormat="1" x14ac:dyDescent="0.2">
      <c r="A144" s="485"/>
      <c r="B144" s="19"/>
      <c r="C144" s="19"/>
      <c r="D144" s="19"/>
      <c r="E144" s="19"/>
      <c r="F144" s="19"/>
      <c r="G144" s="20"/>
      <c r="H144" s="20"/>
      <c r="I144" s="20"/>
      <c r="J144" s="19"/>
      <c r="K144" s="20"/>
      <c r="L144" s="19"/>
      <c r="M144" s="20"/>
    </row>
    <row r="145" spans="1:19" s="44" customFormat="1" x14ac:dyDescent="0.2">
      <c r="A145" s="485"/>
      <c r="B145" s="19"/>
      <c r="C145" s="19"/>
      <c r="D145" s="19"/>
      <c r="E145" s="19"/>
      <c r="F145" s="19"/>
      <c r="G145" s="20"/>
      <c r="H145" s="20"/>
      <c r="I145" s="20"/>
      <c r="J145" s="19"/>
      <c r="K145" s="20"/>
      <c r="L145" s="19"/>
      <c r="M145" s="20"/>
    </row>
    <row r="146" spans="1:19" s="44" customFormat="1" x14ac:dyDescent="0.2">
      <c r="A146" s="485"/>
      <c r="B146" s="19"/>
      <c r="C146" s="19"/>
      <c r="D146" s="19"/>
      <c r="E146" s="19"/>
      <c r="F146" s="19"/>
      <c r="G146" s="20"/>
      <c r="H146" s="20"/>
      <c r="I146" s="20"/>
      <c r="J146" s="19"/>
      <c r="K146" s="20"/>
      <c r="L146" s="19"/>
      <c r="M146" s="20"/>
    </row>
    <row r="147" spans="1:19" s="44" customFormat="1" x14ac:dyDescent="0.2">
      <c r="A147" s="485"/>
      <c r="B147" s="19"/>
      <c r="C147" s="19"/>
      <c r="D147" s="19"/>
      <c r="E147" s="19"/>
      <c r="F147" s="19"/>
      <c r="G147" s="20"/>
      <c r="H147" s="20"/>
      <c r="I147" s="20"/>
      <c r="J147" s="19"/>
      <c r="K147" s="20"/>
      <c r="L147" s="19"/>
      <c r="M147" s="20"/>
    </row>
    <row r="148" spans="1:19" s="44" customFormat="1" x14ac:dyDescent="0.2">
      <c r="A148" s="485"/>
      <c r="B148" s="19"/>
      <c r="C148" s="19"/>
      <c r="D148" s="19"/>
      <c r="E148" s="19"/>
      <c r="F148" s="19"/>
      <c r="G148" s="20"/>
      <c r="H148" s="20"/>
      <c r="I148" s="20"/>
      <c r="J148" s="19"/>
      <c r="K148" s="20"/>
      <c r="L148" s="19"/>
      <c r="M148" s="20"/>
    </row>
    <row r="149" spans="1:19" x14ac:dyDescent="0.2">
      <c r="M149" s="389"/>
      <c r="O149" s="388"/>
      <c r="Q149" s="388"/>
      <c r="S149" s="388"/>
    </row>
    <row r="150" spans="1:19" x14ac:dyDescent="0.2">
      <c r="M150" s="389"/>
    </row>
  </sheetData>
  <mergeCells count="440">
    <mergeCell ref="R84:S84"/>
    <mergeCell ref="R85:S85"/>
    <mergeCell ref="R90:S90"/>
    <mergeCell ref="R91:S91"/>
    <mergeCell ref="R100:S100"/>
    <mergeCell ref="R101:S101"/>
    <mergeCell ref="R131:S131"/>
    <mergeCell ref="R132:S132"/>
    <mergeCell ref="P11:S11"/>
    <mergeCell ref="R41:S41"/>
    <mergeCell ref="R42:S42"/>
    <mergeCell ref="R56:S56"/>
    <mergeCell ref="R57:S57"/>
    <mergeCell ref="R63:S63"/>
    <mergeCell ref="R64:S64"/>
    <mergeCell ref="R65:S65"/>
    <mergeCell ref="R76:S76"/>
    <mergeCell ref="R77:S77"/>
    <mergeCell ref="R12:S12"/>
    <mergeCell ref="R13:S13"/>
    <mergeCell ref="R14:S14"/>
    <mergeCell ref="R15:S15"/>
    <mergeCell ref="R16:S16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4:S34"/>
    <mergeCell ref="R35:S35"/>
    <mergeCell ref="R36:S36"/>
    <mergeCell ref="R37:S37"/>
    <mergeCell ref="R38:S38"/>
    <mergeCell ref="R39:S39"/>
    <mergeCell ref="F131:G131"/>
    <mergeCell ref="F132:G132"/>
    <mergeCell ref="F41:G41"/>
    <mergeCell ref="F42:G42"/>
    <mergeCell ref="P41:Q41"/>
    <mergeCell ref="P42:Q42"/>
    <mergeCell ref="P76:Q76"/>
    <mergeCell ref="P77:Q77"/>
    <mergeCell ref="P90:Q90"/>
    <mergeCell ref="P91:Q91"/>
    <mergeCell ref="P100:Q100"/>
    <mergeCell ref="P101:Q101"/>
    <mergeCell ref="H65:I65"/>
    <mergeCell ref="J65:K65"/>
    <mergeCell ref="L65:M65"/>
    <mergeCell ref="N65:O65"/>
    <mergeCell ref="P65:Q65"/>
    <mergeCell ref="F84:G84"/>
    <mergeCell ref="F85:G85"/>
    <mergeCell ref="P84:Q84"/>
    <mergeCell ref="H85:I85"/>
    <mergeCell ref="J85:K85"/>
    <mergeCell ref="L85:M85"/>
    <mergeCell ref="N85:O85"/>
    <mergeCell ref="P85:Q85"/>
    <mergeCell ref="H131:I131"/>
    <mergeCell ref="H132:I132"/>
    <mergeCell ref="P131:Q131"/>
    <mergeCell ref="P132:Q132"/>
    <mergeCell ref="N131:O131"/>
    <mergeCell ref="J132:K132"/>
    <mergeCell ref="L132:M132"/>
    <mergeCell ref="N132:O132"/>
    <mergeCell ref="H113:I113"/>
    <mergeCell ref="H122:I122"/>
    <mergeCell ref="H123:I123"/>
    <mergeCell ref="J122:K122"/>
    <mergeCell ref="L122:M122"/>
    <mergeCell ref="N122:O122"/>
    <mergeCell ref="J123:K123"/>
    <mergeCell ref="L123:M123"/>
    <mergeCell ref="N123:O123"/>
    <mergeCell ref="J100:K100"/>
    <mergeCell ref="J63:K63"/>
    <mergeCell ref="L63:M63"/>
    <mergeCell ref="N63:O63"/>
    <mergeCell ref="P63:Q63"/>
    <mergeCell ref="H64:I64"/>
    <mergeCell ref="J64:K64"/>
    <mergeCell ref="L64:M64"/>
    <mergeCell ref="N64:O64"/>
    <mergeCell ref="P64:Q64"/>
    <mergeCell ref="J56:K56"/>
    <mergeCell ref="L56:M56"/>
    <mergeCell ref="N56:O56"/>
    <mergeCell ref="P56:Q56"/>
    <mergeCell ref="H57:I57"/>
    <mergeCell ref="J57:K57"/>
    <mergeCell ref="L57:M57"/>
    <mergeCell ref="N57:O57"/>
    <mergeCell ref="P57:Q57"/>
    <mergeCell ref="H9:I10"/>
    <mergeCell ref="B97:E97"/>
    <mergeCell ref="B94:E94"/>
    <mergeCell ref="B95:E95"/>
    <mergeCell ref="B98:E98"/>
    <mergeCell ref="B136:E136"/>
    <mergeCell ref="F21:G21"/>
    <mergeCell ref="F22:G22"/>
    <mergeCell ref="F23:G23"/>
    <mergeCell ref="F28:G28"/>
    <mergeCell ref="F29:G29"/>
    <mergeCell ref="F34:G34"/>
    <mergeCell ref="F35:G35"/>
    <mergeCell ref="F36:G36"/>
    <mergeCell ref="F37:G37"/>
    <mergeCell ref="F38:G38"/>
    <mergeCell ref="F39:G39"/>
    <mergeCell ref="F56:G56"/>
    <mergeCell ref="F57:G57"/>
    <mergeCell ref="H56:I56"/>
    <mergeCell ref="F63:G63"/>
    <mergeCell ref="F64:G64"/>
    <mergeCell ref="F65:G65"/>
    <mergeCell ref="H63:I63"/>
    <mergeCell ref="H21:I21"/>
    <mergeCell ref="H22:I22"/>
    <mergeCell ref="H23:I23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A7:I7"/>
    <mergeCell ref="B127:E127"/>
    <mergeCell ref="B128:E128"/>
    <mergeCell ref="B129:E129"/>
    <mergeCell ref="B131:E131"/>
    <mergeCell ref="B134:E134"/>
    <mergeCell ref="B135:E135"/>
    <mergeCell ref="B96:E96"/>
    <mergeCell ref="B100:E100"/>
    <mergeCell ref="B103:E103"/>
    <mergeCell ref="B104:E104"/>
    <mergeCell ref="B105:E105"/>
    <mergeCell ref="B106:E106"/>
    <mergeCell ref="B107:E107"/>
    <mergeCell ref="B108:E108"/>
    <mergeCell ref="B112:E112"/>
    <mergeCell ref="A113:E113"/>
    <mergeCell ref="H11:I11"/>
    <mergeCell ref="H12:I12"/>
    <mergeCell ref="H13:I13"/>
    <mergeCell ref="H14:I14"/>
    <mergeCell ref="F12:G12"/>
    <mergeCell ref="A14:A15"/>
    <mergeCell ref="F17:G17"/>
    <mergeCell ref="B137:E137"/>
    <mergeCell ref="B139:E139"/>
    <mergeCell ref="A9:G9"/>
    <mergeCell ref="B115:E115"/>
    <mergeCell ref="B116:E116"/>
    <mergeCell ref="B117:E117"/>
    <mergeCell ref="B118:E118"/>
    <mergeCell ref="B119:E119"/>
    <mergeCell ref="B120:E120"/>
    <mergeCell ref="B125:E125"/>
    <mergeCell ref="B122:E122"/>
    <mergeCell ref="B126:E126"/>
    <mergeCell ref="A101:E101"/>
    <mergeCell ref="A123:E123"/>
    <mergeCell ref="A132:E132"/>
    <mergeCell ref="A133:E133"/>
    <mergeCell ref="B40:E40"/>
    <mergeCell ref="A130:E130"/>
    <mergeCell ref="A138:E138"/>
    <mergeCell ref="B80:E80"/>
    <mergeCell ref="B84:E84"/>
    <mergeCell ref="B87:E87"/>
    <mergeCell ref="B93:E93"/>
    <mergeCell ref="F13:G13"/>
    <mergeCell ref="A140:E140"/>
    <mergeCell ref="B56:E56"/>
    <mergeCell ref="B59:E59"/>
    <mergeCell ref="B60:E60"/>
    <mergeCell ref="B61:E61"/>
    <mergeCell ref="B53:E53"/>
    <mergeCell ref="B63:E63"/>
    <mergeCell ref="B28:E28"/>
    <mergeCell ref="B31:E31"/>
    <mergeCell ref="B32:E32"/>
    <mergeCell ref="B34:E34"/>
    <mergeCell ref="B35:E35"/>
    <mergeCell ref="B36:E36"/>
    <mergeCell ref="B37:E37"/>
    <mergeCell ref="B67:E67"/>
    <mergeCell ref="B68:E68"/>
    <mergeCell ref="B69:E69"/>
    <mergeCell ref="B70:E70"/>
    <mergeCell ref="B71:E71"/>
    <mergeCell ref="B72:E72"/>
    <mergeCell ref="B73:E73"/>
    <mergeCell ref="B74:E74"/>
    <mergeCell ref="B76:E76"/>
    <mergeCell ref="B79:E79"/>
    <mergeCell ref="P25:Q25"/>
    <mergeCell ref="N20:O20"/>
    <mergeCell ref="P26:Q26"/>
    <mergeCell ref="P27:Q27"/>
    <mergeCell ref="P12:Q12"/>
    <mergeCell ref="P13:Q13"/>
    <mergeCell ref="P14:Q14"/>
    <mergeCell ref="P15:Q15"/>
    <mergeCell ref="P16:Q16"/>
    <mergeCell ref="P24:Q24"/>
    <mergeCell ref="N17:O17"/>
    <mergeCell ref="P22:Q22"/>
    <mergeCell ref="P23:Q23"/>
    <mergeCell ref="P21:Q21"/>
    <mergeCell ref="P9:S9"/>
    <mergeCell ref="P10:S10"/>
    <mergeCell ref="B16:E16"/>
    <mergeCell ref="F16:G16"/>
    <mergeCell ref="J25:K25"/>
    <mergeCell ref="J24:K24"/>
    <mergeCell ref="J9:M9"/>
    <mergeCell ref="N10:O10"/>
    <mergeCell ref="N11:O11"/>
    <mergeCell ref="N12:O12"/>
    <mergeCell ref="N13:O13"/>
    <mergeCell ref="J10:K10"/>
    <mergeCell ref="N9:O9"/>
    <mergeCell ref="N14:O14"/>
    <mergeCell ref="N15:O15"/>
    <mergeCell ref="N16:O16"/>
    <mergeCell ref="J11:K11"/>
    <mergeCell ref="J12:K12"/>
    <mergeCell ref="J13:K13"/>
    <mergeCell ref="J14:K14"/>
    <mergeCell ref="J15:K15"/>
    <mergeCell ref="J16:K16"/>
    <mergeCell ref="H16:I16"/>
    <mergeCell ref="H17:I17"/>
    <mergeCell ref="J17:K17"/>
    <mergeCell ref="L17:M17"/>
    <mergeCell ref="B124:E124"/>
    <mergeCell ref="B114:E114"/>
    <mergeCell ref="A126:A128"/>
    <mergeCell ref="B102:E102"/>
    <mergeCell ref="A109:E109"/>
    <mergeCell ref="B110:E110"/>
    <mergeCell ref="H24:I24"/>
    <mergeCell ref="H25:I25"/>
    <mergeCell ref="H26:I26"/>
    <mergeCell ref="H27:I27"/>
    <mergeCell ref="A111:E111"/>
    <mergeCell ref="B121:E121"/>
    <mergeCell ref="B86:E86"/>
    <mergeCell ref="A89:E89"/>
    <mergeCell ref="B92:E92"/>
    <mergeCell ref="A99:E99"/>
    <mergeCell ref="B78:E78"/>
    <mergeCell ref="A81:E81"/>
    <mergeCell ref="B82:E82"/>
    <mergeCell ref="A83:E83"/>
    <mergeCell ref="A64:E64"/>
    <mergeCell ref="A65:E65"/>
    <mergeCell ref="A77:E77"/>
    <mergeCell ref="A85:E85"/>
    <mergeCell ref="A91:E91"/>
    <mergeCell ref="B66:E66"/>
    <mergeCell ref="B48:E48"/>
    <mergeCell ref="A75:E75"/>
    <mergeCell ref="B50:E50"/>
    <mergeCell ref="B51:E51"/>
    <mergeCell ref="B54:E54"/>
    <mergeCell ref="B55:E55"/>
    <mergeCell ref="A57:E57"/>
    <mergeCell ref="B62:E62"/>
    <mergeCell ref="B39:E39"/>
    <mergeCell ref="F26:G26"/>
    <mergeCell ref="B27:E27"/>
    <mergeCell ref="F27:G27"/>
    <mergeCell ref="B30:E30"/>
    <mergeCell ref="B58:E58"/>
    <mergeCell ref="B46:E46"/>
    <mergeCell ref="B52:E52"/>
    <mergeCell ref="B49:E49"/>
    <mergeCell ref="B43:E43"/>
    <mergeCell ref="B26:E26"/>
    <mergeCell ref="A44:A45"/>
    <mergeCell ref="B45:E45"/>
    <mergeCell ref="B44:E44"/>
    <mergeCell ref="A46:A47"/>
    <mergeCell ref="B47:E47"/>
    <mergeCell ref="A29:E29"/>
    <mergeCell ref="B41:E41"/>
    <mergeCell ref="A42:E42"/>
    <mergeCell ref="A4:G4"/>
    <mergeCell ref="A5:G5"/>
    <mergeCell ref="B38:E38"/>
    <mergeCell ref="B33:E33"/>
    <mergeCell ref="B18:D18"/>
    <mergeCell ref="B19:D19"/>
    <mergeCell ref="B25:E25"/>
    <mergeCell ref="F25:G25"/>
    <mergeCell ref="B24:E24"/>
    <mergeCell ref="F24:G24"/>
    <mergeCell ref="A11:E11"/>
    <mergeCell ref="F11:G11"/>
    <mergeCell ref="A17:E17"/>
    <mergeCell ref="A23:E23"/>
    <mergeCell ref="A22:E22"/>
    <mergeCell ref="A21:E21"/>
    <mergeCell ref="A8:I8"/>
    <mergeCell ref="L10:M10"/>
    <mergeCell ref="L26:M26"/>
    <mergeCell ref="L27:M27"/>
    <mergeCell ref="L11:M11"/>
    <mergeCell ref="L12:M12"/>
    <mergeCell ref="L13:M13"/>
    <mergeCell ref="L14:M14"/>
    <mergeCell ref="L15:M15"/>
    <mergeCell ref="L16:M16"/>
    <mergeCell ref="L24:M24"/>
    <mergeCell ref="L25:M25"/>
    <mergeCell ref="H20:I20"/>
    <mergeCell ref="J20:K20"/>
    <mergeCell ref="L20:M20"/>
    <mergeCell ref="J27:K27"/>
    <mergeCell ref="B14:E15"/>
    <mergeCell ref="F14:G14"/>
    <mergeCell ref="F15:G15"/>
    <mergeCell ref="H15:I15"/>
    <mergeCell ref="B12:E12"/>
    <mergeCell ref="B13:E13"/>
    <mergeCell ref="J26:K26"/>
    <mergeCell ref="B20:E20"/>
    <mergeCell ref="H29:I29"/>
    <mergeCell ref="J28:K28"/>
    <mergeCell ref="J29:K29"/>
    <mergeCell ref="L28:M28"/>
    <mergeCell ref="L29:M29"/>
    <mergeCell ref="N28:O28"/>
    <mergeCell ref="N29:O29"/>
    <mergeCell ref="N24:O24"/>
    <mergeCell ref="N25:O25"/>
    <mergeCell ref="N26:O26"/>
    <mergeCell ref="N27:O27"/>
    <mergeCell ref="P28:Q28"/>
    <mergeCell ref="P29:Q29"/>
    <mergeCell ref="H34:I34"/>
    <mergeCell ref="H35:I35"/>
    <mergeCell ref="H36:I36"/>
    <mergeCell ref="H37:I37"/>
    <mergeCell ref="H38:I38"/>
    <mergeCell ref="H39:I39"/>
    <mergeCell ref="J34:K34"/>
    <mergeCell ref="J35:K35"/>
    <mergeCell ref="J36:K36"/>
    <mergeCell ref="J37:K37"/>
    <mergeCell ref="J38:K38"/>
    <mergeCell ref="J39:K39"/>
    <mergeCell ref="L34:M34"/>
    <mergeCell ref="L35:M35"/>
    <mergeCell ref="L36:M36"/>
    <mergeCell ref="L37:M37"/>
    <mergeCell ref="L38:M38"/>
    <mergeCell ref="L39:M39"/>
    <mergeCell ref="N34:O34"/>
    <mergeCell ref="N35:O35"/>
    <mergeCell ref="N36:O36"/>
    <mergeCell ref="N37:O37"/>
    <mergeCell ref="N41:O41"/>
    <mergeCell ref="L42:M42"/>
    <mergeCell ref="N42:O42"/>
    <mergeCell ref="N38:O38"/>
    <mergeCell ref="N39:O39"/>
    <mergeCell ref="P34:Q34"/>
    <mergeCell ref="P35:Q35"/>
    <mergeCell ref="P36:Q36"/>
    <mergeCell ref="P37:Q37"/>
    <mergeCell ref="P38:Q38"/>
    <mergeCell ref="P39:Q39"/>
    <mergeCell ref="A10:G10"/>
    <mergeCell ref="J131:K131"/>
    <mergeCell ref="L131:M131"/>
    <mergeCell ref="A90:E90"/>
    <mergeCell ref="H90:I90"/>
    <mergeCell ref="H91:I91"/>
    <mergeCell ref="H92:I92"/>
    <mergeCell ref="H100:I100"/>
    <mergeCell ref="H101:I101"/>
    <mergeCell ref="H102:I102"/>
    <mergeCell ref="H112:I112"/>
    <mergeCell ref="H41:I41"/>
    <mergeCell ref="H42:I42"/>
    <mergeCell ref="J41:K41"/>
    <mergeCell ref="J42:K42"/>
    <mergeCell ref="L41:M41"/>
    <mergeCell ref="H28:I28"/>
    <mergeCell ref="F76:G76"/>
    <mergeCell ref="F77:G77"/>
    <mergeCell ref="H76:I76"/>
    <mergeCell ref="J76:K76"/>
    <mergeCell ref="L76:M76"/>
    <mergeCell ref="F100:G100"/>
    <mergeCell ref="F101:G101"/>
    <mergeCell ref="N76:O76"/>
    <mergeCell ref="H77:I77"/>
    <mergeCell ref="J77:K77"/>
    <mergeCell ref="L77:M77"/>
    <mergeCell ref="N77:O77"/>
    <mergeCell ref="F90:G90"/>
    <mergeCell ref="F91:G91"/>
    <mergeCell ref="J90:K90"/>
    <mergeCell ref="J91:K91"/>
    <mergeCell ref="L90:M90"/>
    <mergeCell ref="N90:O90"/>
    <mergeCell ref="L91:M91"/>
    <mergeCell ref="N91:O91"/>
    <mergeCell ref="J84:K84"/>
    <mergeCell ref="L84:M84"/>
    <mergeCell ref="N84:O84"/>
    <mergeCell ref="H84:I84"/>
    <mergeCell ref="L100:M100"/>
    <mergeCell ref="N100:O100"/>
    <mergeCell ref="J101:K101"/>
    <mergeCell ref="L101:M101"/>
    <mergeCell ref="N101:O101"/>
    <mergeCell ref="F112:G112"/>
    <mergeCell ref="F113:G113"/>
    <mergeCell ref="J112:K112"/>
    <mergeCell ref="L112:M112"/>
    <mergeCell ref="N112:O112"/>
    <mergeCell ref="J113:K113"/>
    <mergeCell ref="L113:M113"/>
    <mergeCell ref="N113:O113"/>
  </mergeCells>
  <printOptions horizontalCentered="1"/>
  <pageMargins left="0.55118110236220474" right="0.55118110236220474" top="1.7716535433070868" bottom="0.43307086614173229" header="0.15748031496062992" footer="0.23622047244094491"/>
  <pageSetup paperSize="9" scale="38" fitToHeight="0" orientation="portrait" r:id="rId1"/>
  <headerFooter alignWithMargins="0">
    <oddHeader>&amp;L&amp;"Cambria,Negrito"&amp;8PROPOSTA Nº 011/2017 - MME</oddHeader>
  </headerFooter>
  <rowBreaks count="1" manualBreakCount="1">
    <brk id="75" max="18" man="1"/>
  </rowBreaks>
  <ignoredErrors>
    <ignoredError sqref="A22 A60:A61 F61 A59:B59 A63:B63 A62:B62 A45:B45 A44 A56:B56 A46:B46 A41:B41 A40:B40 A18:G18 A30:G30 A20:B20 A19 C19:G19 A33:B33 F33:G33 A48:B48 A49:B49 A50:B50 B53 B52 A43:G43 A58:G58 A84:B84 A64 A65 A121:G121 F114:G114 A131:B131 A124:G124 G126 A138 F133:G133 A142:G144 F140:G140 A51:B51 A66:G66 A81:E81 A82:E82 A83:E83 A134:A137 F136:G136 A139 F139 F48:G49 A14:G15 A32:B32 A31:B31 A141:F141 F45:G45 A17 F17 A24:G27 A23 A29 F41 A42 B54 F54:G54 A55:B55 F55:G55 A57 F62 A78:G78 A77 A86:G86 A85 A92:G92 A91 A102:G102 A101 A113 A123 F123:G123 F40 F138:G138 F56 F59 F60 F53 F63 A28:B28 F28 F31 F32:G32 G20 A12:B12 F12:G12 A13:B13 F13:G13 A16:B16 F16:G16 A75:G75 A67:B67 F67:G67 A68:B68 F68:G68 A69:B69 F69:G69 A70:B70 F70:G70 A71:B71 F71:G71 A72:B72 F72:G72 A73:B73 F73:G73 A74:B74 F74:G74 A76:B76 F76 A79:B79 F79:G79 F84 A88:G89 A87:B87 F87:G87 A90 F90 A95:B95 A93:B93 F93:G93 A99:G99 A96:B96 F96:G96 A100:B100 F100 A109:G111 A103:B103 F103:G103 A104:B104 F104:G104 A105:B105 F105:G105 A106:B106 F106:G106 A107:B107 F107:G107 A108:B108 F108:G108 A112:B112 F112 A115:B115 F115:G115 A116:B116 F116:G116 A117:B117 F117:G117 A118:B118 F118:G118 A119:B119 F119:G119 A120:B120 F120:G120 A125:B125 F125:G125 A122:B122 F122:G122 F134:G134 F135:G135 F137:G137 A97:B97 F97:G97 A94:B94 F94:G94 F95:G95 A98:B98 F98:G98 F46 F50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theme="8" tint="0.79998168889431442"/>
  </sheetPr>
  <dimension ref="A1:T141"/>
  <sheetViews>
    <sheetView view="pageBreakPreview" topLeftCell="E1" zoomScale="80" zoomScaleNormal="100" zoomScaleSheetLayoutView="80" workbookViewId="0">
      <pane ySplit="4" topLeftCell="A104" activePane="bottomLeft" state="frozen"/>
      <selection activeCell="B1" sqref="B1"/>
      <selection pane="bottomLeft" activeCell="Y8" sqref="Y8"/>
    </sheetView>
  </sheetViews>
  <sheetFormatPr defaultRowHeight="14.25" x14ac:dyDescent="0.2"/>
  <cols>
    <col min="1" max="1" width="5.7109375" style="485" customWidth="1"/>
    <col min="2" max="2" width="33" style="19" customWidth="1"/>
    <col min="3" max="3" width="16.85546875" style="19" customWidth="1"/>
    <col min="4" max="4" width="14.140625" style="19" customWidth="1"/>
    <col min="5" max="5" width="20.85546875" style="19" customWidth="1"/>
    <col min="6" max="6" width="15.7109375" style="19" customWidth="1"/>
    <col min="7" max="7" width="18.140625" style="20" customWidth="1"/>
    <col min="8" max="8" width="15.7109375" style="19" hidden="1" customWidth="1"/>
    <col min="9" max="9" width="18.140625" style="20" hidden="1" customWidth="1"/>
    <col min="10" max="10" width="15.7109375" style="19" hidden="1" customWidth="1"/>
    <col min="11" max="11" width="18.140625" style="20" hidden="1" customWidth="1"/>
    <col min="12" max="12" width="15.7109375" style="43" hidden="1" customWidth="1"/>
    <col min="13" max="13" width="18.140625" style="43" hidden="1" customWidth="1"/>
    <col min="14" max="14" width="15.7109375" style="43" bestFit="1" customWidth="1"/>
    <col min="15" max="15" width="18.140625" style="43" bestFit="1" customWidth="1"/>
    <col min="16" max="16" width="15.7109375" style="43" bestFit="1" customWidth="1"/>
    <col min="17" max="17" width="18.140625" style="43" bestFit="1" customWidth="1"/>
    <col min="18" max="18" width="15.7109375" style="43" bestFit="1" customWidth="1"/>
    <col min="19" max="19" width="18.140625" style="43" bestFit="1" customWidth="1"/>
    <col min="20" max="16384" width="9.140625" style="43"/>
  </cols>
  <sheetData>
    <row r="1" spans="1:19" s="44" customFormat="1" ht="24" customHeight="1" thickBot="1" x14ac:dyDescent="0.25">
      <c r="A1" s="1060"/>
      <c r="B1" s="1060"/>
      <c r="C1" s="1060"/>
      <c r="D1" s="1060"/>
      <c r="E1" s="1060"/>
      <c r="F1" s="1060"/>
      <c r="G1" s="1060"/>
      <c r="H1" s="513"/>
      <c r="I1" s="513"/>
      <c r="J1" s="514"/>
      <c r="K1" s="515"/>
      <c r="L1" s="514"/>
      <c r="M1" s="515"/>
      <c r="N1" s="516"/>
      <c r="O1" s="516"/>
      <c r="P1" s="514"/>
      <c r="Q1" s="517"/>
      <c r="R1" s="514"/>
      <c r="S1" s="517"/>
    </row>
    <row r="2" spans="1:19" s="44" customFormat="1" ht="24.75" customHeight="1" thickBot="1" x14ac:dyDescent="0.25">
      <c r="A2" s="1086" t="s">
        <v>517</v>
      </c>
      <c r="B2" s="1087"/>
      <c r="C2" s="1087"/>
      <c r="D2" s="1087"/>
      <c r="E2" s="1087"/>
      <c r="F2" s="1087"/>
      <c r="G2" s="1088"/>
      <c r="H2" s="1020" t="s">
        <v>508</v>
      </c>
      <c r="I2" s="1021"/>
      <c r="J2" s="986" t="s">
        <v>412</v>
      </c>
      <c r="K2" s="987"/>
      <c r="L2" s="987"/>
      <c r="M2" s="994"/>
      <c r="N2" s="986" t="s">
        <v>413</v>
      </c>
      <c r="O2" s="994"/>
      <c r="P2" s="1034" t="s">
        <v>509</v>
      </c>
      <c r="Q2" s="1035"/>
      <c r="R2" s="1035"/>
      <c r="S2" s="1036"/>
    </row>
    <row r="3" spans="1:19" s="44" customFormat="1" ht="88.5" customHeight="1" thickBot="1" x14ac:dyDescent="0.25">
      <c r="A3" s="1096" t="s">
        <v>518</v>
      </c>
      <c r="B3" s="1097"/>
      <c r="C3" s="1097"/>
      <c r="D3" s="1097"/>
      <c r="E3" s="1097"/>
      <c r="F3" s="1097"/>
      <c r="G3" s="1098"/>
      <c r="H3" s="1022"/>
      <c r="I3" s="1023"/>
      <c r="J3" s="1091" t="s">
        <v>405</v>
      </c>
      <c r="K3" s="1092"/>
      <c r="L3" s="921" t="s">
        <v>414</v>
      </c>
      <c r="M3" s="989"/>
      <c r="N3" s="921" t="s">
        <v>416</v>
      </c>
      <c r="O3" s="989"/>
      <c r="P3" s="1037" t="s">
        <v>531</v>
      </c>
      <c r="Q3" s="1038"/>
      <c r="R3" s="1038"/>
      <c r="S3" s="1039"/>
    </row>
    <row r="4" spans="1:19" s="44" customFormat="1" ht="54.75" customHeight="1" thickBot="1" x14ac:dyDescent="0.25">
      <c r="A4" s="951" t="s">
        <v>132</v>
      </c>
      <c r="B4" s="952"/>
      <c r="C4" s="952"/>
      <c r="D4" s="952"/>
      <c r="E4" s="1085"/>
      <c r="F4" s="954" t="s">
        <v>403</v>
      </c>
      <c r="G4" s="955"/>
      <c r="H4" s="990" t="s">
        <v>507</v>
      </c>
      <c r="I4" s="991"/>
      <c r="J4" s="1014" t="s">
        <v>391</v>
      </c>
      <c r="K4" s="1015"/>
      <c r="L4" s="990" t="s">
        <v>392</v>
      </c>
      <c r="M4" s="991"/>
      <c r="N4" s="990" t="s">
        <v>392</v>
      </c>
      <c r="O4" s="991"/>
      <c r="P4" s="1042" t="s">
        <v>535</v>
      </c>
      <c r="Q4" s="1043"/>
      <c r="R4" s="1042" t="s">
        <v>533</v>
      </c>
      <c r="S4" s="1043"/>
    </row>
    <row r="5" spans="1:19" s="44" customFormat="1" ht="15.75" customHeight="1" x14ac:dyDescent="0.2">
      <c r="A5" s="538" t="s">
        <v>1</v>
      </c>
      <c r="B5" s="1093" t="s">
        <v>128</v>
      </c>
      <c r="C5" s="1094"/>
      <c r="D5" s="1094"/>
      <c r="E5" s="1095"/>
      <c r="F5" s="1089">
        <f>[2]DADOS!C4</f>
        <v>42788</v>
      </c>
      <c r="G5" s="1090"/>
      <c r="H5" s="1089"/>
      <c r="I5" s="1090"/>
      <c r="J5" s="1089"/>
      <c r="K5" s="1090"/>
      <c r="L5" s="1089"/>
      <c r="M5" s="1090"/>
      <c r="N5" s="1089"/>
      <c r="O5" s="1090"/>
      <c r="P5" s="998"/>
      <c r="Q5" s="999"/>
      <c r="R5" s="998"/>
      <c r="S5" s="999"/>
    </row>
    <row r="6" spans="1:19" s="44" customFormat="1" ht="15.75" customHeight="1" x14ac:dyDescent="0.2">
      <c r="A6" s="538" t="s">
        <v>2</v>
      </c>
      <c r="B6" s="943" t="s">
        <v>3</v>
      </c>
      <c r="C6" s="1061"/>
      <c r="D6" s="1061"/>
      <c r="E6" s="1062"/>
      <c r="F6" s="1044" t="str">
        <f>[2]DADOS!C5</f>
        <v>Brasília - DF</v>
      </c>
      <c r="G6" s="1045"/>
      <c r="H6" s="1044" t="s">
        <v>39</v>
      </c>
      <c r="I6" s="1045"/>
      <c r="J6" s="1044" t="str">
        <f>[2]DADOS!C5</f>
        <v>Brasília - DF</v>
      </c>
      <c r="K6" s="1045"/>
      <c r="L6" s="1044" t="str">
        <f>[2]DADOS!C5</f>
        <v>Brasília - DF</v>
      </c>
      <c r="M6" s="1045"/>
      <c r="N6" s="1044" t="s">
        <v>526</v>
      </c>
      <c r="O6" s="1045"/>
      <c r="P6" s="1044" t="s">
        <v>526</v>
      </c>
      <c r="Q6" s="1045"/>
      <c r="R6" s="1044" t="s">
        <v>526</v>
      </c>
      <c r="S6" s="1045"/>
    </row>
    <row r="7" spans="1:19" s="44" customFormat="1" ht="15" customHeight="1" x14ac:dyDescent="0.2">
      <c r="A7" s="898" t="s">
        <v>4</v>
      </c>
      <c r="B7" s="938" t="s">
        <v>127</v>
      </c>
      <c r="C7" s="938"/>
      <c r="D7" s="938"/>
      <c r="E7" s="1063"/>
      <c r="F7" s="1064" t="str">
        <f>[2]DADOS!H82</f>
        <v>SINDESV/SINDESP-DF</v>
      </c>
      <c r="G7" s="1065"/>
      <c r="H7" s="1064" t="s">
        <v>64</v>
      </c>
      <c r="I7" s="1065"/>
      <c r="J7" s="1064" t="s">
        <v>64</v>
      </c>
      <c r="K7" s="1065"/>
      <c r="L7" s="1064" t="s">
        <v>64</v>
      </c>
      <c r="M7" s="1065"/>
      <c r="N7" s="1064" t="s">
        <v>64</v>
      </c>
      <c r="O7" s="1065"/>
      <c r="P7" s="931" t="s">
        <v>64</v>
      </c>
      <c r="Q7" s="940"/>
      <c r="R7" s="931" t="s">
        <v>64</v>
      </c>
      <c r="S7" s="940"/>
    </row>
    <row r="8" spans="1:19" s="44" customFormat="1" ht="15" customHeight="1" x14ac:dyDescent="0.2">
      <c r="A8" s="898"/>
      <c r="B8" s="938"/>
      <c r="C8" s="938"/>
      <c r="D8" s="938"/>
      <c r="E8" s="1063"/>
      <c r="F8" s="1046" t="str">
        <f>[2]DADOS!C11</f>
        <v>2016/2016</v>
      </c>
      <c r="G8" s="1047"/>
      <c r="H8" s="1046" t="s">
        <v>150</v>
      </c>
      <c r="I8" s="1047"/>
      <c r="J8" s="1046" t="s">
        <v>387</v>
      </c>
      <c r="K8" s="1047"/>
      <c r="L8" s="1046" t="s">
        <v>387</v>
      </c>
      <c r="M8" s="1047"/>
      <c r="N8" s="1046" t="s">
        <v>525</v>
      </c>
      <c r="O8" s="1047"/>
      <c r="P8" s="916" t="s">
        <v>530</v>
      </c>
      <c r="Q8" s="917"/>
      <c r="R8" s="916" t="s">
        <v>530</v>
      </c>
      <c r="S8" s="917"/>
    </row>
    <row r="9" spans="1:19" s="44" customFormat="1" ht="15" customHeight="1" x14ac:dyDescent="0.2">
      <c r="A9" s="538" t="s">
        <v>5</v>
      </c>
      <c r="B9" s="939" t="s">
        <v>129</v>
      </c>
      <c r="C9" s="1024"/>
      <c r="D9" s="1024"/>
      <c r="E9" s="1052"/>
      <c r="F9" s="1064">
        <f>[2]DADOS!C13</f>
        <v>12</v>
      </c>
      <c r="G9" s="1065"/>
      <c r="H9" s="1064">
        <v>12</v>
      </c>
      <c r="I9" s="1065"/>
      <c r="J9" s="1064">
        <v>12</v>
      </c>
      <c r="K9" s="1065"/>
      <c r="L9" s="1064">
        <v>12</v>
      </c>
      <c r="M9" s="1065"/>
      <c r="N9" s="1064">
        <v>12</v>
      </c>
      <c r="O9" s="1065"/>
      <c r="P9" s="931">
        <v>12</v>
      </c>
      <c r="Q9" s="940"/>
      <c r="R9" s="931">
        <v>12</v>
      </c>
      <c r="S9" s="940"/>
    </row>
    <row r="10" spans="1:19" s="44" customFormat="1" ht="16.5" customHeight="1" x14ac:dyDescent="0.2">
      <c r="A10" s="972" t="s">
        <v>111</v>
      </c>
      <c r="B10" s="974"/>
      <c r="C10" s="974"/>
      <c r="D10" s="974"/>
      <c r="E10" s="973"/>
      <c r="F10" s="972"/>
      <c r="G10" s="973"/>
      <c r="H10" s="972"/>
      <c r="I10" s="973"/>
      <c r="J10" s="972"/>
      <c r="K10" s="973"/>
      <c r="L10" s="972"/>
      <c r="M10" s="973"/>
      <c r="N10" s="972"/>
      <c r="O10" s="973"/>
      <c r="P10" s="972"/>
      <c r="Q10" s="973"/>
      <c r="R10" s="972"/>
      <c r="S10" s="973"/>
    </row>
    <row r="11" spans="1:19" s="44" customFormat="1" ht="34.5" customHeight="1" x14ac:dyDescent="0.2">
      <c r="A11" s="542">
        <v>1</v>
      </c>
      <c r="B11" s="899" t="s">
        <v>96</v>
      </c>
      <c r="C11" s="899"/>
      <c r="D11" s="899"/>
      <c r="E11" s="563" t="s">
        <v>126</v>
      </c>
      <c r="F11" s="622" t="s">
        <v>90</v>
      </c>
      <c r="G11" s="623" t="s">
        <v>131</v>
      </c>
      <c r="H11" s="622" t="s">
        <v>90</v>
      </c>
      <c r="I11" s="623" t="s">
        <v>131</v>
      </c>
      <c r="J11" s="620" t="s">
        <v>90</v>
      </c>
      <c r="K11" s="629" t="s">
        <v>131</v>
      </c>
      <c r="L11" s="622" t="s">
        <v>90</v>
      </c>
      <c r="M11" s="623" t="s">
        <v>131</v>
      </c>
      <c r="N11" s="622" t="s">
        <v>90</v>
      </c>
      <c r="O11" s="623" t="s">
        <v>131</v>
      </c>
      <c r="P11" s="622" t="s">
        <v>90</v>
      </c>
      <c r="Q11" s="623" t="s">
        <v>131</v>
      </c>
      <c r="R11" s="622" t="s">
        <v>90</v>
      </c>
      <c r="S11" s="623" t="s">
        <v>131</v>
      </c>
    </row>
    <row r="12" spans="1:19" s="44" customFormat="1" ht="28.5" customHeight="1" x14ac:dyDescent="0.2">
      <c r="A12" s="542" t="s">
        <v>349</v>
      </c>
      <c r="B12" s="899" t="s">
        <v>350</v>
      </c>
      <c r="C12" s="899"/>
      <c r="D12" s="899"/>
      <c r="E12" s="563" t="str">
        <f>DADOS!C12</f>
        <v>Posto de Serviço</v>
      </c>
      <c r="F12" s="645">
        <f>DADOS!J74</f>
        <v>6</v>
      </c>
      <c r="G12" s="646">
        <f>DADOS!L74</f>
        <v>12</v>
      </c>
      <c r="H12" s="645">
        <f>DADOS!J74</f>
        <v>6</v>
      </c>
      <c r="I12" s="646">
        <f>DADOS!L74</f>
        <v>12</v>
      </c>
      <c r="J12" s="647">
        <f>DADOS!J74</f>
        <v>6</v>
      </c>
      <c r="K12" s="648">
        <f>DADOS!L74</f>
        <v>12</v>
      </c>
      <c r="L12" s="645">
        <v>6</v>
      </c>
      <c r="M12" s="646">
        <v>12</v>
      </c>
      <c r="N12" s="645">
        <v>6</v>
      </c>
      <c r="O12" s="646">
        <v>12</v>
      </c>
      <c r="P12" s="645">
        <v>6</v>
      </c>
      <c r="Q12" s="646">
        <v>12</v>
      </c>
      <c r="R12" s="624">
        <v>7</v>
      </c>
      <c r="S12" s="625">
        <v>14</v>
      </c>
    </row>
    <row r="13" spans="1:19" s="44" customFormat="1" ht="14.25" customHeight="1" x14ac:dyDescent="0.2">
      <c r="A13" s="538"/>
      <c r="B13" s="945"/>
      <c r="C13" s="909"/>
      <c r="D13" s="909"/>
      <c r="E13" s="897"/>
      <c r="F13" s="611">
        <v>1</v>
      </c>
      <c r="G13" s="541"/>
      <c r="H13" s="611">
        <v>1</v>
      </c>
      <c r="I13" s="541"/>
      <c r="J13" s="668">
        <v>1</v>
      </c>
      <c r="K13" s="649"/>
      <c r="L13" s="611">
        <v>1</v>
      </c>
      <c r="M13" s="541"/>
      <c r="N13" s="1040">
        <v>1</v>
      </c>
      <c r="O13" s="1041"/>
      <c r="P13" s="1040">
        <v>2</v>
      </c>
      <c r="Q13" s="1041"/>
      <c r="R13" s="1040">
        <v>2</v>
      </c>
      <c r="S13" s="1041"/>
    </row>
    <row r="14" spans="1:19" s="44" customFormat="1" ht="14.25" customHeight="1" x14ac:dyDescent="0.2">
      <c r="A14" s="1002" t="s">
        <v>301</v>
      </c>
      <c r="B14" s="1066"/>
      <c r="C14" s="1066"/>
      <c r="D14" s="1066"/>
      <c r="E14" s="1003"/>
      <c r="F14" s="1002"/>
      <c r="G14" s="1003"/>
      <c r="H14" s="1002"/>
      <c r="I14" s="1003"/>
      <c r="J14" s="1066"/>
      <c r="K14" s="1066"/>
      <c r="L14" s="1002"/>
      <c r="M14" s="1003"/>
      <c r="N14" s="1002"/>
      <c r="O14" s="1003"/>
      <c r="P14" s="1002"/>
      <c r="Q14" s="1003"/>
      <c r="R14" s="1002"/>
      <c r="S14" s="1003"/>
    </row>
    <row r="15" spans="1:19" s="44" customFormat="1" ht="14.25" customHeight="1" x14ac:dyDescent="0.2">
      <c r="A15" s="972" t="s">
        <v>112</v>
      </c>
      <c r="B15" s="974"/>
      <c r="C15" s="974"/>
      <c r="D15" s="974"/>
      <c r="E15" s="973"/>
      <c r="F15" s="1002"/>
      <c r="G15" s="1003"/>
      <c r="H15" s="1002"/>
      <c r="I15" s="1003"/>
      <c r="J15" s="1066"/>
      <c r="K15" s="1066"/>
      <c r="L15" s="1002"/>
      <c r="M15" s="1003"/>
      <c r="N15" s="1002"/>
      <c r="O15" s="1003"/>
      <c r="P15" s="1002"/>
      <c r="Q15" s="1003"/>
      <c r="R15" s="1002"/>
      <c r="S15" s="1003"/>
    </row>
    <row r="16" spans="1:19" s="44" customFormat="1" ht="15" customHeight="1" x14ac:dyDescent="0.2">
      <c r="A16" s="972" t="s">
        <v>176</v>
      </c>
      <c r="B16" s="974"/>
      <c r="C16" s="974"/>
      <c r="D16" s="974"/>
      <c r="E16" s="973"/>
      <c r="F16" s="1002"/>
      <c r="G16" s="1003"/>
      <c r="H16" s="1002"/>
      <c r="I16" s="1003"/>
      <c r="J16" s="1066"/>
      <c r="K16" s="1066"/>
      <c r="L16" s="1002"/>
      <c r="M16" s="1003"/>
      <c r="N16" s="1002"/>
      <c r="O16" s="1003"/>
      <c r="P16" s="1002"/>
      <c r="Q16" s="1003"/>
      <c r="R16" s="1002"/>
      <c r="S16" s="1003"/>
    </row>
    <row r="17" spans="1:20" s="44" customFormat="1" ht="33" customHeight="1" x14ac:dyDescent="0.2">
      <c r="A17" s="538">
        <v>1</v>
      </c>
      <c r="B17" s="942" t="s">
        <v>96</v>
      </c>
      <c r="C17" s="942"/>
      <c r="D17" s="942"/>
      <c r="E17" s="1102"/>
      <c r="F17" s="898" t="str">
        <f>B12</f>
        <v>Vigilante Diurno Desarmado - 12x36hs</v>
      </c>
      <c r="G17" s="913"/>
      <c r="H17" s="898" t="str">
        <f>B12</f>
        <v>Vigilante Diurno Desarmado - 12x36hs</v>
      </c>
      <c r="I17" s="913"/>
      <c r="J17" s="974" t="str">
        <f>B12</f>
        <v>Vigilante Diurno Desarmado - 12x36hs</v>
      </c>
      <c r="K17" s="974"/>
      <c r="L17" s="898" t="s">
        <v>350</v>
      </c>
      <c r="M17" s="913"/>
      <c r="N17" s="898" t="s">
        <v>350</v>
      </c>
      <c r="O17" s="913"/>
      <c r="P17" s="898" t="s">
        <v>350</v>
      </c>
      <c r="Q17" s="913"/>
      <c r="R17" s="898" t="s">
        <v>350</v>
      </c>
      <c r="S17" s="913"/>
    </row>
    <row r="18" spans="1:20" s="44" customFormat="1" ht="19.5" customHeight="1" x14ac:dyDescent="0.2">
      <c r="A18" s="538">
        <v>2</v>
      </c>
      <c r="B18" s="942" t="s">
        <v>97</v>
      </c>
      <c r="C18" s="942"/>
      <c r="D18" s="942"/>
      <c r="E18" s="1102"/>
      <c r="F18" s="1103">
        <f>DADOS!M74</f>
        <v>1888.29</v>
      </c>
      <c r="G18" s="1104"/>
      <c r="H18" s="914">
        <v>1888.29</v>
      </c>
      <c r="I18" s="915"/>
      <c r="J18" s="976">
        <v>2012.54</v>
      </c>
      <c r="K18" s="1111"/>
      <c r="L18" s="914">
        <v>2012.54</v>
      </c>
      <c r="M18" s="915"/>
      <c r="N18" s="914">
        <v>2054.19</v>
      </c>
      <c r="O18" s="915"/>
      <c r="P18" s="996">
        <v>2124.65</v>
      </c>
      <c r="Q18" s="997"/>
      <c r="R18" s="996">
        <v>2124.65</v>
      </c>
      <c r="S18" s="997"/>
    </row>
    <row r="19" spans="1:20" s="44" customFormat="1" ht="67.5" customHeight="1" x14ac:dyDescent="0.2">
      <c r="A19" s="538">
        <v>3</v>
      </c>
      <c r="B19" s="942" t="s">
        <v>10</v>
      </c>
      <c r="C19" s="942"/>
      <c r="D19" s="942"/>
      <c r="E19" s="1102"/>
      <c r="F19" s="916" t="str">
        <f>DADOS!H74</f>
        <v>Vigilante Diurno Desarmado - 12 horas de segunda-feira a domingo, envolvendo 2 (dois) vigilantes em turnos de 12x36hs</v>
      </c>
      <c r="G19" s="917"/>
      <c r="H19" s="916" t="str">
        <f>DADOS!H74</f>
        <v>Vigilante Diurno Desarmado - 12 horas de segunda-feira a domingo, envolvendo 2 (dois) vigilantes em turnos de 12x36hs</v>
      </c>
      <c r="I19" s="917"/>
      <c r="J19" s="1048" t="str">
        <f>DADOS!H74</f>
        <v>Vigilante Diurno Desarmado - 12 horas de segunda-feira a domingo, envolvendo 2 (dois) vigilantes em turnos de 12x36hs</v>
      </c>
      <c r="K19" s="1048"/>
      <c r="L19" s="916" t="s">
        <v>228</v>
      </c>
      <c r="M19" s="917"/>
      <c r="N19" s="916" t="str">
        <f>DADOS!H74</f>
        <v>Vigilante Diurno Desarmado - 12 horas de segunda-feira a domingo, envolvendo 2 (dois) vigilantes em turnos de 12x36hs</v>
      </c>
      <c r="O19" s="917"/>
      <c r="P19" s="916" t="str">
        <f>DADOS!H74</f>
        <v>Vigilante Diurno Desarmado - 12 horas de segunda-feira a domingo, envolvendo 2 (dois) vigilantes em turnos de 12x36hs</v>
      </c>
      <c r="Q19" s="917"/>
      <c r="R19" s="916" t="str">
        <f>DADOS!H74</f>
        <v>Vigilante Diurno Desarmado - 12 horas de segunda-feira a domingo, envolvendo 2 (dois) vigilantes em turnos de 12x36hs</v>
      </c>
      <c r="S19" s="917"/>
    </row>
    <row r="20" spans="1:20" s="44" customFormat="1" ht="16.5" customHeight="1" x14ac:dyDescent="0.2">
      <c r="A20" s="538">
        <v>4</v>
      </c>
      <c r="B20" s="942" t="s">
        <v>11</v>
      </c>
      <c r="C20" s="942"/>
      <c r="D20" s="942"/>
      <c r="E20" s="1102"/>
      <c r="F20" s="918" t="str">
        <f>DADOS!M82</f>
        <v>1º de Janeiro</v>
      </c>
      <c r="G20" s="919"/>
      <c r="H20" s="918" t="str">
        <f>DADOS!M82</f>
        <v>1º de Janeiro</v>
      </c>
      <c r="I20" s="919"/>
      <c r="J20" s="1084" t="str">
        <f>DADOS!M82</f>
        <v>1º de Janeiro</v>
      </c>
      <c r="K20" s="1084"/>
      <c r="L20" s="1082" t="s">
        <v>303</v>
      </c>
      <c r="M20" s="1083"/>
      <c r="N20" s="929" t="s">
        <v>303</v>
      </c>
      <c r="O20" s="959"/>
      <c r="P20" s="929" t="s">
        <v>303</v>
      </c>
      <c r="Q20" s="959"/>
      <c r="R20" s="929" t="s">
        <v>303</v>
      </c>
      <c r="S20" s="959"/>
    </row>
    <row r="21" spans="1:20" s="44" customFormat="1" x14ac:dyDescent="0.2">
      <c r="A21" s="540"/>
      <c r="B21" s="945"/>
      <c r="C21" s="909"/>
      <c r="D21" s="909"/>
      <c r="E21" s="897"/>
      <c r="F21" s="896"/>
      <c r="G21" s="897"/>
      <c r="H21" s="896"/>
      <c r="I21" s="897"/>
      <c r="J21" s="896"/>
      <c r="K21" s="897"/>
      <c r="L21" s="896"/>
      <c r="M21" s="897"/>
      <c r="N21" s="896"/>
      <c r="O21" s="897"/>
      <c r="P21" s="896"/>
      <c r="Q21" s="897"/>
      <c r="R21" s="896"/>
      <c r="S21" s="897"/>
    </row>
    <row r="22" spans="1:20" s="45" customFormat="1" ht="14.25" customHeight="1" x14ac:dyDescent="0.2">
      <c r="A22" s="972" t="s">
        <v>31</v>
      </c>
      <c r="B22" s="974"/>
      <c r="C22" s="974"/>
      <c r="D22" s="974"/>
      <c r="E22" s="973"/>
      <c r="F22" s="896"/>
      <c r="G22" s="897"/>
      <c r="H22" s="896"/>
      <c r="I22" s="897"/>
      <c r="J22" s="896"/>
      <c r="K22" s="897"/>
      <c r="L22" s="896"/>
      <c r="M22" s="897"/>
      <c r="N22" s="896"/>
      <c r="O22" s="897"/>
      <c r="P22" s="896"/>
      <c r="Q22" s="897"/>
      <c r="R22" s="896"/>
      <c r="S22" s="897"/>
    </row>
    <row r="23" spans="1:20" s="44" customFormat="1" ht="18" customHeight="1" x14ac:dyDescent="0.2">
      <c r="A23" s="542">
        <v>1</v>
      </c>
      <c r="B23" s="960" t="s">
        <v>99</v>
      </c>
      <c r="C23" s="960"/>
      <c r="D23" s="960"/>
      <c r="E23" s="1105"/>
      <c r="F23" s="631" t="s">
        <v>13</v>
      </c>
      <c r="G23" s="632" t="s">
        <v>135</v>
      </c>
      <c r="H23" s="631" t="s">
        <v>13</v>
      </c>
      <c r="I23" s="632" t="s">
        <v>135</v>
      </c>
      <c r="J23" s="630" t="s">
        <v>13</v>
      </c>
      <c r="K23" s="643" t="s">
        <v>135</v>
      </c>
      <c r="L23" s="631" t="s">
        <v>13</v>
      </c>
      <c r="M23" s="632" t="s">
        <v>135</v>
      </c>
      <c r="N23" s="631" t="s">
        <v>13</v>
      </c>
      <c r="O23" s="632" t="s">
        <v>135</v>
      </c>
      <c r="P23" s="631" t="s">
        <v>13</v>
      </c>
      <c r="Q23" s="632" t="s">
        <v>135</v>
      </c>
      <c r="R23" s="631" t="s">
        <v>13</v>
      </c>
      <c r="S23" s="632" t="s">
        <v>135</v>
      </c>
    </row>
    <row r="24" spans="1:20" s="44" customFormat="1" x14ac:dyDescent="0.2">
      <c r="A24" s="542" t="s">
        <v>1</v>
      </c>
      <c r="B24" s="939" t="s">
        <v>175</v>
      </c>
      <c r="C24" s="1024"/>
      <c r="D24" s="1024"/>
      <c r="E24" s="1052"/>
      <c r="F24" s="571"/>
      <c r="G24" s="544">
        <f>$F$18*F13</f>
        <v>1888.29</v>
      </c>
      <c r="H24" s="571"/>
      <c r="I24" s="544">
        <f>$H$18*H13</f>
        <v>1888.29</v>
      </c>
      <c r="J24" s="523"/>
      <c r="K24" s="587">
        <f>J18</f>
        <v>2012.54</v>
      </c>
      <c r="L24" s="571"/>
      <c r="M24" s="544">
        <f>$L$18</f>
        <v>2012.54</v>
      </c>
      <c r="N24" s="571"/>
      <c r="O24" s="544">
        <f>N18</f>
        <v>2054.19</v>
      </c>
      <c r="P24" s="571"/>
      <c r="Q24" s="544">
        <f>P18</f>
        <v>2124.65</v>
      </c>
      <c r="R24" s="571"/>
      <c r="S24" s="544">
        <f>R18</f>
        <v>2124.65</v>
      </c>
    </row>
    <row r="25" spans="1:20" s="44" customFormat="1" ht="14.25" hidden="1" customHeight="1" x14ac:dyDescent="0.2">
      <c r="A25" s="542" t="s">
        <v>2</v>
      </c>
      <c r="B25" s="939" t="str">
        <f>[2]DADOS!A24</f>
        <v>Adicional Noturno - Cláusula 49ª da CCT/2016</v>
      </c>
      <c r="C25" s="1024"/>
      <c r="D25" s="1024"/>
      <c r="E25" s="1052"/>
      <c r="F25" s="571">
        <v>0</v>
      </c>
      <c r="G25" s="545"/>
      <c r="H25" s="571">
        <f>DADOS!F26</f>
        <v>0</v>
      </c>
      <c r="I25" s="545"/>
      <c r="J25" s="523">
        <f>DADOS!H26</f>
        <v>0</v>
      </c>
      <c r="K25" s="588"/>
      <c r="L25" s="571">
        <f>DADOS!J26</f>
        <v>0</v>
      </c>
      <c r="M25" s="545"/>
      <c r="N25" s="571">
        <f>DADOS!L26</f>
        <v>0</v>
      </c>
      <c r="O25" s="545"/>
      <c r="P25" s="571">
        <f>DADOS!N26</f>
        <v>0</v>
      </c>
      <c r="Q25" s="545"/>
      <c r="R25" s="571">
        <f>DADOS!P26</f>
        <v>0</v>
      </c>
      <c r="S25" s="545"/>
    </row>
    <row r="26" spans="1:20" s="44" customFormat="1" ht="31.5" customHeight="1" x14ac:dyDescent="0.2">
      <c r="A26" s="542" t="s">
        <v>2</v>
      </c>
      <c r="B26" s="949" t="str">
        <f>[2]DADOS!A23</f>
        <v>Encargos Sociais</v>
      </c>
      <c r="C26" s="949"/>
      <c r="D26" s="949"/>
      <c r="E26" s="1053"/>
      <c r="F26" s="571">
        <f>DADOS!D25</f>
        <v>0.3</v>
      </c>
      <c r="G26" s="546">
        <f>(G24+G25)*F26</f>
        <v>566.49</v>
      </c>
      <c r="H26" s="571">
        <f>DADOS!D25</f>
        <v>0.3</v>
      </c>
      <c r="I26" s="546">
        <f>(I24+I25)*H26</f>
        <v>566.49</v>
      </c>
      <c r="J26" s="523">
        <f>DADOS!D25</f>
        <v>0.3</v>
      </c>
      <c r="K26" s="589">
        <f>(K24+K25)*J26</f>
        <v>603.76</v>
      </c>
      <c r="L26" s="571">
        <v>0.3</v>
      </c>
      <c r="M26" s="546">
        <f>(M24)*L26</f>
        <v>603.76</v>
      </c>
      <c r="N26" s="571">
        <v>0.3</v>
      </c>
      <c r="O26" s="546">
        <f>(O24+O25)*N26</f>
        <v>616.26</v>
      </c>
      <c r="P26" s="571">
        <v>0.3</v>
      </c>
      <c r="Q26" s="546">
        <f>(Q24+Q25)*P26</f>
        <v>637.4</v>
      </c>
      <c r="R26" s="571">
        <v>0.3</v>
      </c>
      <c r="S26" s="546">
        <f>(S24+S25)*R26</f>
        <v>637.4</v>
      </c>
    </row>
    <row r="27" spans="1:20" s="44" customFormat="1" x14ac:dyDescent="0.2">
      <c r="A27" s="542" t="s">
        <v>4</v>
      </c>
      <c r="B27" s="943" t="s">
        <v>304</v>
      </c>
      <c r="C27" s="1061"/>
      <c r="D27" s="1061"/>
      <c r="E27" s="1062"/>
      <c r="F27" s="910"/>
      <c r="G27" s="911"/>
      <c r="H27" s="910"/>
      <c r="I27" s="911"/>
      <c r="J27" s="912"/>
      <c r="K27" s="912"/>
      <c r="L27" s="910"/>
      <c r="M27" s="911"/>
      <c r="N27" s="910"/>
      <c r="O27" s="911"/>
      <c r="P27" s="910"/>
      <c r="Q27" s="911"/>
      <c r="R27" s="910"/>
      <c r="S27" s="911"/>
    </row>
    <row r="28" spans="1:20" s="44" customFormat="1" x14ac:dyDescent="0.2">
      <c r="A28" s="542" t="s">
        <v>5</v>
      </c>
      <c r="B28" s="939" t="str">
        <f>[2]DADOS!A22</f>
        <v>Reserva Técnica</v>
      </c>
      <c r="C28" s="1024"/>
      <c r="D28" s="1024"/>
      <c r="E28" s="1052"/>
      <c r="F28" s="910"/>
      <c r="G28" s="911"/>
      <c r="H28" s="910"/>
      <c r="I28" s="911"/>
      <c r="J28" s="912"/>
      <c r="K28" s="912"/>
      <c r="L28" s="910"/>
      <c r="M28" s="911"/>
      <c r="N28" s="910"/>
      <c r="O28" s="911"/>
      <c r="P28" s="910"/>
      <c r="Q28" s="911"/>
      <c r="R28" s="910"/>
      <c r="S28" s="911"/>
    </row>
    <row r="29" spans="1:20" s="44" customFormat="1" x14ac:dyDescent="0.2">
      <c r="A29" s="542" t="s">
        <v>6</v>
      </c>
      <c r="B29" s="939" t="s">
        <v>24</v>
      </c>
      <c r="C29" s="1024"/>
      <c r="D29" s="1024"/>
      <c r="E29" s="1052"/>
      <c r="F29" s="910"/>
      <c r="G29" s="911"/>
      <c r="H29" s="910"/>
      <c r="I29" s="911"/>
      <c r="J29" s="912"/>
      <c r="K29" s="912"/>
      <c r="L29" s="910"/>
      <c r="M29" s="911"/>
      <c r="N29" s="910"/>
      <c r="O29" s="911"/>
      <c r="P29" s="910"/>
      <c r="Q29" s="911"/>
      <c r="R29" s="910"/>
      <c r="S29" s="911"/>
    </row>
    <row r="30" spans="1:20" s="44" customFormat="1" x14ac:dyDescent="0.2">
      <c r="A30" s="542" t="s">
        <v>7</v>
      </c>
      <c r="B30" s="939" t="s">
        <v>100</v>
      </c>
      <c r="C30" s="1024"/>
      <c r="D30" s="1024"/>
      <c r="E30" s="1052"/>
      <c r="F30" s="910"/>
      <c r="G30" s="911"/>
      <c r="H30" s="910"/>
      <c r="I30" s="911"/>
      <c r="J30" s="912"/>
      <c r="K30" s="912"/>
      <c r="L30" s="910"/>
      <c r="M30" s="911"/>
      <c r="N30" s="910"/>
      <c r="O30" s="911"/>
      <c r="P30" s="910"/>
      <c r="Q30" s="911"/>
      <c r="R30" s="910"/>
      <c r="S30" s="911"/>
    </row>
    <row r="31" spans="1:20" s="44" customFormat="1" ht="25.5" customHeight="1" x14ac:dyDescent="0.2">
      <c r="A31" s="542" t="s">
        <v>8</v>
      </c>
      <c r="B31" s="949" t="str">
        <f>[2]DADOS!A25</f>
        <v>Adicional de Periculosidade/Risco de Vida - (Lei nº 12.740/2012 e Cláusula 3ª § 4º da CCT/2016)</v>
      </c>
      <c r="C31" s="949"/>
      <c r="D31" s="949"/>
      <c r="E31" s="1053"/>
      <c r="F31" s="572">
        <f>DADOS!D27</f>
        <v>1.5</v>
      </c>
      <c r="G31" s="546">
        <f>(((G24+G26+G28)/220)*1.5)*DADOS!L23</f>
        <v>259.43</v>
      </c>
      <c r="H31" s="572">
        <f>DADOS!D27</f>
        <v>1.5</v>
      </c>
      <c r="I31" s="546">
        <f>(((I24+I26+I28)/220)*1.5)*15.5</f>
        <v>259.43</v>
      </c>
      <c r="J31" s="566"/>
      <c r="K31" s="589">
        <f>(((K24+K26+K28)/220)*1.5)*15.5</f>
        <v>276.5</v>
      </c>
      <c r="L31" s="572"/>
      <c r="M31" s="546">
        <f>(((M24+M26+M28)/220)*1.5)*15.5</f>
        <v>276.5</v>
      </c>
      <c r="N31" s="572"/>
      <c r="O31" s="546">
        <f>(((O24+O26+O28)/220)*1.5)*15.5</f>
        <v>282.22000000000003</v>
      </c>
      <c r="P31" s="572"/>
      <c r="Q31" s="546">
        <f>(((Q24+Q26+Q28)/220)*1.5)*15.5</f>
        <v>291.89999999999998</v>
      </c>
      <c r="R31" s="572"/>
      <c r="S31" s="546">
        <f>(((S24+S26+S28)/220)*1.5)*15.5</f>
        <v>291.89999999999998</v>
      </c>
    </row>
    <row r="32" spans="1:20" s="44" customFormat="1" ht="45.75" customHeight="1" x14ac:dyDescent="0.2">
      <c r="A32" s="542" t="s">
        <v>9</v>
      </c>
      <c r="B32" s="949" t="s">
        <v>510</v>
      </c>
      <c r="C32" s="949"/>
      <c r="D32" s="949"/>
      <c r="E32" s="1053"/>
      <c r="F32" s="571"/>
      <c r="G32" s="546">
        <v>61.67</v>
      </c>
      <c r="H32" s="571"/>
      <c r="I32" s="546">
        <v>61.67</v>
      </c>
      <c r="J32" s="523"/>
      <c r="K32" s="590"/>
      <c r="L32" s="602"/>
      <c r="M32" s="603"/>
      <c r="N32" s="571"/>
      <c r="O32" s="546"/>
      <c r="P32" s="571"/>
      <c r="Q32" s="546"/>
      <c r="R32" s="571"/>
      <c r="S32" s="546"/>
      <c r="T32" s="48"/>
    </row>
    <row r="33" spans="1:19" s="44" customFormat="1" ht="18.75" customHeight="1" x14ac:dyDescent="0.2">
      <c r="A33" s="547"/>
      <c r="B33" s="979" t="s">
        <v>133</v>
      </c>
      <c r="C33" s="1106"/>
      <c r="D33" s="1106"/>
      <c r="E33" s="1107"/>
      <c r="F33" s="638"/>
      <c r="G33" s="633">
        <f>SUM(G24:G32)</f>
        <v>2775.88</v>
      </c>
      <c r="H33" s="606"/>
      <c r="I33" s="607">
        <f>SUM(I24:I32)</f>
        <v>2775.88</v>
      </c>
      <c r="J33" s="601"/>
      <c r="K33" s="644">
        <f>SUM(K24:K32)</f>
        <v>2892.8</v>
      </c>
      <c r="L33" s="606"/>
      <c r="M33" s="607">
        <f>SUM(M24:M32)</f>
        <v>2892.8</v>
      </c>
      <c r="N33" s="606"/>
      <c r="O33" s="607">
        <f>SUM(O24:O32)</f>
        <v>2952.67</v>
      </c>
      <c r="P33" s="606"/>
      <c r="Q33" s="607">
        <f>SUM(Q24:Q32)</f>
        <v>3053.95</v>
      </c>
      <c r="R33" s="606"/>
      <c r="S33" s="607">
        <f>SUM(S24:S32)</f>
        <v>3053.95</v>
      </c>
    </row>
    <row r="34" spans="1:19" s="46" customFormat="1" x14ac:dyDescent="0.2">
      <c r="A34" s="538"/>
      <c r="B34" s="945"/>
      <c r="C34" s="909"/>
      <c r="D34" s="909"/>
      <c r="E34" s="897"/>
      <c r="F34" s="890"/>
      <c r="G34" s="891"/>
      <c r="H34" s="890"/>
      <c r="I34" s="891"/>
      <c r="J34" s="892"/>
      <c r="K34" s="892"/>
      <c r="L34" s="890"/>
      <c r="M34" s="891"/>
      <c r="N34" s="890"/>
      <c r="O34" s="891"/>
      <c r="P34" s="890"/>
      <c r="Q34" s="891"/>
      <c r="R34" s="890"/>
      <c r="S34" s="891"/>
    </row>
    <row r="35" spans="1:19" s="44" customFormat="1" ht="15" customHeight="1" x14ac:dyDescent="0.2">
      <c r="A35" s="972" t="s">
        <v>32</v>
      </c>
      <c r="B35" s="974"/>
      <c r="C35" s="974"/>
      <c r="D35" s="974"/>
      <c r="E35" s="973"/>
      <c r="F35" s="890"/>
      <c r="G35" s="891"/>
      <c r="H35" s="890"/>
      <c r="I35" s="891"/>
      <c r="J35" s="890"/>
      <c r="K35" s="891"/>
      <c r="L35" s="890"/>
      <c r="M35" s="891"/>
      <c r="N35" s="890"/>
      <c r="O35" s="891"/>
      <c r="P35" s="890"/>
      <c r="Q35" s="891"/>
      <c r="R35" s="890"/>
      <c r="S35" s="891"/>
    </row>
    <row r="36" spans="1:19" s="44" customFormat="1" ht="18" customHeight="1" x14ac:dyDescent="0.2">
      <c r="A36" s="538">
        <v>2</v>
      </c>
      <c r="B36" s="965" t="s">
        <v>25</v>
      </c>
      <c r="C36" s="1067"/>
      <c r="D36" s="1067"/>
      <c r="E36" s="1068"/>
      <c r="F36" s="631" t="s">
        <v>13</v>
      </c>
      <c r="G36" s="632" t="s">
        <v>135</v>
      </c>
      <c r="H36" s="631" t="s">
        <v>13</v>
      </c>
      <c r="I36" s="632" t="s">
        <v>135</v>
      </c>
      <c r="J36" s="630" t="s">
        <v>13</v>
      </c>
      <c r="K36" s="643" t="s">
        <v>135</v>
      </c>
      <c r="L36" s="631" t="s">
        <v>13</v>
      </c>
      <c r="M36" s="632" t="s">
        <v>135</v>
      </c>
      <c r="N36" s="631" t="s">
        <v>13</v>
      </c>
      <c r="O36" s="632" t="s">
        <v>135</v>
      </c>
      <c r="P36" s="631" t="s">
        <v>13</v>
      </c>
      <c r="Q36" s="632" t="s">
        <v>135</v>
      </c>
      <c r="R36" s="631" t="s">
        <v>13</v>
      </c>
      <c r="S36" s="632" t="s">
        <v>135</v>
      </c>
    </row>
    <row r="37" spans="1:19" s="44" customFormat="1" x14ac:dyDescent="0.2">
      <c r="A37" s="898" t="s">
        <v>1</v>
      </c>
      <c r="B37" s="939" t="s">
        <v>370</v>
      </c>
      <c r="C37" s="1024"/>
      <c r="D37" s="1024"/>
      <c r="E37" s="1052"/>
      <c r="F37" s="573">
        <f>DADOS!F33</f>
        <v>10</v>
      </c>
      <c r="G37" s="549">
        <f>(F37*DADOS!L23*$F$13)</f>
        <v>155</v>
      </c>
      <c r="H37" s="573">
        <f>DADOS!H33</f>
        <v>0</v>
      </c>
      <c r="I37" s="549">
        <f>(F37*DADOS!L23*$F$13)</f>
        <v>155</v>
      </c>
      <c r="J37" s="565">
        <f>DADOS!J33</f>
        <v>0</v>
      </c>
      <c r="K37" s="591">
        <f>(5*2*15.5)</f>
        <v>155</v>
      </c>
      <c r="L37" s="573"/>
      <c r="M37" s="549">
        <f>(5*2*15.5)</f>
        <v>155</v>
      </c>
      <c r="N37" s="608">
        <f>DADOS!N33</f>
        <v>0</v>
      </c>
      <c r="O37" s="549">
        <f>(5*2*15.5)</f>
        <v>155</v>
      </c>
      <c r="P37" s="608">
        <f>DADOS!P33</f>
        <v>0</v>
      </c>
      <c r="Q37" s="549">
        <f>(5*2*15.5)</f>
        <v>155</v>
      </c>
      <c r="R37" s="608">
        <f>DADOS!R33</f>
        <v>0</v>
      </c>
      <c r="S37" s="549">
        <f>(5*2*15.5)</f>
        <v>155</v>
      </c>
    </row>
    <row r="38" spans="1:19" s="44" customFormat="1" x14ac:dyDescent="0.2">
      <c r="A38" s="898"/>
      <c r="B38" s="939" t="s">
        <v>101</v>
      </c>
      <c r="C38" s="1024"/>
      <c r="D38" s="1024"/>
      <c r="E38" s="1052"/>
      <c r="F38" s="574">
        <f>DADOS!F35</f>
        <v>0.06</v>
      </c>
      <c r="G38" s="550">
        <f>-MIN(G37,(F38*G24))</f>
        <v>-113.3</v>
      </c>
      <c r="H38" s="574">
        <f>DADOS!F35</f>
        <v>0.06</v>
      </c>
      <c r="I38" s="550">
        <f>-MIN(I37,(H38*I24))</f>
        <v>-113.3</v>
      </c>
      <c r="J38" s="527">
        <f>DADOS!F35</f>
        <v>0.06</v>
      </c>
      <c r="K38" s="592">
        <f>-MIN(K37,(J38*K24))</f>
        <v>-120.75</v>
      </c>
      <c r="L38" s="574">
        <v>0.06</v>
      </c>
      <c r="M38" s="550">
        <f>-MIN(M37,(L38*M24))</f>
        <v>-120.75</v>
      </c>
      <c r="N38" s="574">
        <v>0.06</v>
      </c>
      <c r="O38" s="550">
        <f>-MIN(O37,(N38*O24))</f>
        <v>-123.25</v>
      </c>
      <c r="P38" s="574">
        <v>0.06</v>
      </c>
      <c r="Q38" s="550">
        <f>-MIN(Q37,(P38*Q24))</f>
        <v>-127.48</v>
      </c>
      <c r="R38" s="574">
        <v>0.06</v>
      </c>
      <c r="S38" s="656">
        <f>-MIN(S37,(R38*S24))</f>
        <v>-127.48</v>
      </c>
    </row>
    <row r="39" spans="1:19" s="44" customFormat="1" x14ac:dyDescent="0.2">
      <c r="A39" s="1078" t="s">
        <v>2</v>
      </c>
      <c r="B39" s="950" t="s">
        <v>278</v>
      </c>
      <c r="C39" s="1075"/>
      <c r="D39" s="1075"/>
      <c r="E39" s="1076"/>
      <c r="F39" s="573"/>
      <c r="G39" s="549">
        <f>(32*DADOS!L23)*$F$13</f>
        <v>496</v>
      </c>
      <c r="H39" s="573"/>
      <c r="I39" s="549">
        <f>15.5*32</f>
        <v>496</v>
      </c>
      <c r="J39" s="565"/>
      <c r="K39" s="591">
        <f>(34.11*15.5)</f>
        <v>528.71</v>
      </c>
      <c r="L39" s="573"/>
      <c r="M39" s="549">
        <f>15.5*34.11</f>
        <v>528.71</v>
      </c>
      <c r="N39" s="608">
        <f>DADOS!N37</f>
        <v>0</v>
      </c>
      <c r="O39" s="549">
        <f>34.84*15.5</f>
        <v>540.02</v>
      </c>
      <c r="P39" s="608">
        <f>DADOS!P37</f>
        <v>0</v>
      </c>
      <c r="Q39" s="626">
        <f>36.5*15.5</f>
        <v>565.75</v>
      </c>
      <c r="R39" s="608">
        <f>DADOS!R37</f>
        <v>0</v>
      </c>
      <c r="S39" s="626">
        <f>36.5*15.5</f>
        <v>565.75</v>
      </c>
    </row>
    <row r="40" spans="1:19" s="390" customFormat="1" ht="14.25" customHeight="1" x14ac:dyDescent="0.2">
      <c r="A40" s="1079"/>
      <c r="B40" s="947" t="s">
        <v>415</v>
      </c>
      <c r="C40" s="1108"/>
      <c r="D40" s="1108"/>
      <c r="E40" s="1109"/>
      <c r="F40" s="1056"/>
      <c r="G40" s="1057"/>
      <c r="H40" s="1056"/>
      <c r="I40" s="1057"/>
      <c r="J40" s="1110"/>
      <c r="K40" s="1110"/>
      <c r="L40" s="1056"/>
      <c r="M40" s="1057"/>
      <c r="N40" s="609"/>
      <c r="O40" s="549">
        <f>-0.03*15.5</f>
        <v>-0.47</v>
      </c>
      <c r="P40" s="705">
        <v>0.02</v>
      </c>
      <c r="Q40" s="549">
        <f>-Q39*0.02</f>
        <v>-11.32</v>
      </c>
      <c r="R40" s="705">
        <v>0.02</v>
      </c>
      <c r="S40" s="549">
        <f>-S39*0.02</f>
        <v>-11.32</v>
      </c>
    </row>
    <row r="41" spans="1:19" s="44" customFormat="1" ht="28.5" customHeight="1" x14ac:dyDescent="0.2">
      <c r="A41" s="538" t="s">
        <v>4</v>
      </c>
      <c r="B41" s="963" t="s">
        <v>309</v>
      </c>
      <c r="C41" s="1069"/>
      <c r="D41" s="1069"/>
      <c r="E41" s="1070"/>
      <c r="F41" s="573"/>
      <c r="G41" s="550">
        <f>F41*$F$13</f>
        <v>0</v>
      </c>
      <c r="H41" s="573"/>
      <c r="I41" s="550">
        <f>H41*$F$13</f>
        <v>0</v>
      </c>
      <c r="J41" s="565"/>
      <c r="K41" s="592">
        <f>J41</f>
        <v>0</v>
      </c>
      <c r="L41" s="573"/>
      <c r="M41" s="550"/>
      <c r="N41" s="608">
        <f>DADOS!N46</f>
        <v>0</v>
      </c>
      <c r="O41" s="550">
        <f>N41*$F$13</f>
        <v>0</v>
      </c>
      <c r="P41" s="608">
        <f>DADOS!P46</f>
        <v>0</v>
      </c>
      <c r="Q41" s="550">
        <f>P41*$F$13</f>
        <v>0</v>
      </c>
      <c r="R41" s="608">
        <f>DADOS!R46</f>
        <v>0</v>
      </c>
      <c r="S41" s="656">
        <f>R41*$F$13</f>
        <v>0</v>
      </c>
    </row>
    <row r="42" spans="1:19" s="44" customFormat="1" ht="14.25" customHeight="1" x14ac:dyDescent="0.2">
      <c r="A42" s="538" t="s">
        <v>5</v>
      </c>
      <c r="B42" s="963" t="s">
        <v>312</v>
      </c>
      <c r="C42" s="1069"/>
      <c r="D42" s="1069"/>
      <c r="E42" s="1070"/>
      <c r="F42" s="573"/>
      <c r="G42" s="550">
        <f>F42*$F$13</f>
        <v>0</v>
      </c>
      <c r="H42" s="573"/>
      <c r="I42" s="550">
        <f>H42*$F$13</f>
        <v>0</v>
      </c>
      <c r="J42" s="565"/>
      <c r="K42" s="592"/>
      <c r="L42" s="573"/>
      <c r="M42" s="550"/>
      <c r="N42" s="608"/>
      <c r="O42" s="550"/>
      <c r="P42" s="608"/>
      <c r="Q42" s="550"/>
      <c r="R42" s="608"/>
      <c r="S42" s="656"/>
    </row>
    <row r="43" spans="1:19" s="44" customFormat="1" x14ac:dyDescent="0.2">
      <c r="A43" s="538" t="s">
        <v>6</v>
      </c>
      <c r="B43" s="971" t="s">
        <v>310</v>
      </c>
      <c r="C43" s="1080"/>
      <c r="D43" s="1080"/>
      <c r="E43" s="1081"/>
      <c r="F43" s="573"/>
      <c r="G43" s="550">
        <v>14</v>
      </c>
      <c r="H43" s="573">
        <f>DADOS!H39</f>
        <v>0</v>
      </c>
      <c r="I43" s="550">
        <f>G43</f>
        <v>14</v>
      </c>
      <c r="J43" s="565">
        <f>DADOS!J39</f>
        <v>0</v>
      </c>
      <c r="K43" s="592">
        <f>G43</f>
        <v>14</v>
      </c>
      <c r="L43" s="573"/>
      <c r="M43" s="550">
        <f>I43</f>
        <v>14</v>
      </c>
      <c r="N43" s="608">
        <f>DADOS!N39</f>
        <v>0</v>
      </c>
      <c r="O43" s="550">
        <v>14</v>
      </c>
      <c r="P43" s="608">
        <f>DADOS!P39</f>
        <v>0</v>
      </c>
      <c r="Q43" s="550">
        <v>14</v>
      </c>
      <c r="R43" s="608">
        <f>DADOS!R39</f>
        <v>0</v>
      </c>
      <c r="S43" s="656">
        <v>14</v>
      </c>
    </row>
    <row r="44" spans="1:19" s="44" customFormat="1" x14ac:dyDescent="0.2">
      <c r="A44" s="538" t="s">
        <v>7</v>
      </c>
      <c r="B44" s="971" t="s">
        <v>275</v>
      </c>
      <c r="C44" s="1080"/>
      <c r="D44" s="1080"/>
      <c r="E44" s="1081"/>
      <c r="F44" s="573"/>
      <c r="G44" s="550">
        <v>10.25</v>
      </c>
      <c r="H44" s="573">
        <f>DADOS!N41</f>
        <v>0</v>
      </c>
      <c r="I44" s="550">
        <f>G44</f>
        <v>10.25</v>
      </c>
      <c r="J44" s="565">
        <f>DADOS!P41</f>
        <v>0</v>
      </c>
      <c r="K44" s="592">
        <f>G44</f>
        <v>10.25</v>
      </c>
      <c r="L44" s="573"/>
      <c r="M44" s="550">
        <f>I44</f>
        <v>10.25</v>
      </c>
      <c r="N44" s="608">
        <f>DADOS!T41</f>
        <v>0</v>
      </c>
      <c r="O44" s="550">
        <v>10.46</v>
      </c>
      <c r="P44" s="608">
        <f>DADOS!V41</f>
        <v>0</v>
      </c>
      <c r="Q44" s="627">
        <v>10.82</v>
      </c>
      <c r="R44" s="608">
        <f>DADOS!X41</f>
        <v>0</v>
      </c>
      <c r="S44" s="627">
        <v>10.82</v>
      </c>
    </row>
    <row r="45" spans="1:19" s="44" customFormat="1" ht="30" customHeight="1" x14ac:dyDescent="0.2">
      <c r="A45" s="538" t="s">
        <v>8</v>
      </c>
      <c r="B45" s="963" t="s">
        <v>274</v>
      </c>
      <c r="C45" s="1069"/>
      <c r="D45" s="1069"/>
      <c r="E45" s="1070"/>
      <c r="F45" s="573"/>
      <c r="G45" s="550">
        <v>1.8</v>
      </c>
      <c r="H45" s="573">
        <f>DADOS!H41</f>
        <v>0</v>
      </c>
      <c r="I45" s="550">
        <f>G45</f>
        <v>1.8</v>
      </c>
      <c r="J45" s="565">
        <f>DADOS!J41</f>
        <v>0</v>
      </c>
      <c r="K45" s="592">
        <f>G45</f>
        <v>1.8</v>
      </c>
      <c r="L45" s="573"/>
      <c r="M45" s="550">
        <f>I45</f>
        <v>1.8</v>
      </c>
      <c r="N45" s="608">
        <f>DADOS!N41</f>
        <v>0</v>
      </c>
      <c r="O45" s="550">
        <v>1.8</v>
      </c>
      <c r="P45" s="608">
        <f>DADOS!P41</f>
        <v>0</v>
      </c>
      <c r="Q45" s="550">
        <v>1.8</v>
      </c>
      <c r="R45" s="608">
        <f>DADOS!R41</f>
        <v>0</v>
      </c>
      <c r="S45" s="656">
        <v>1.8</v>
      </c>
    </row>
    <row r="46" spans="1:19" s="44" customFormat="1" x14ac:dyDescent="0.2">
      <c r="A46" s="538" t="s">
        <v>9</v>
      </c>
      <c r="B46" s="971" t="s">
        <v>313</v>
      </c>
      <c r="C46" s="1080"/>
      <c r="D46" s="1080"/>
      <c r="E46" s="1081"/>
      <c r="F46" s="573"/>
      <c r="G46" s="550">
        <v>12.08</v>
      </c>
      <c r="H46" s="573">
        <f>DADOS!H42</f>
        <v>0</v>
      </c>
      <c r="I46" s="550">
        <f>G46</f>
        <v>12.08</v>
      </c>
      <c r="J46" s="565">
        <f>DADOS!J42</f>
        <v>0</v>
      </c>
      <c r="K46" s="592">
        <f>G46</f>
        <v>12.08</v>
      </c>
      <c r="L46" s="573"/>
      <c r="M46" s="550">
        <f>I46</f>
        <v>12.08</v>
      </c>
      <c r="N46" s="608">
        <f>DADOS!N42</f>
        <v>0</v>
      </c>
      <c r="O46" s="550">
        <v>12.08</v>
      </c>
      <c r="P46" s="608">
        <f>DADOS!P42</f>
        <v>0</v>
      </c>
      <c r="Q46" s="550">
        <v>12.49</v>
      </c>
      <c r="R46" s="608">
        <f>DADOS!R42</f>
        <v>0</v>
      </c>
      <c r="S46" s="656">
        <v>12.49</v>
      </c>
    </row>
    <row r="47" spans="1:19" s="44" customFormat="1" x14ac:dyDescent="0.2">
      <c r="A47" s="538" t="s">
        <v>139</v>
      </c>
      <c r="B47" s="971" t="s">
        <v>76</v>
      </c>
      <c r="C47" s="1080"/>
      <c r="D47" s="1080"/>
      <c r="E47" s="1081"/>
      <c r="F47" s="575"/>
      <c r="G47" s="548"/>
      <c r="H47" s="575"/>
      <c r="I47" s="548"/>
      <c r="J47" s="522"/>
      <c r="K47" s="593"/>
      <c r="L47" s="575"/>
      <c r="M47" s="548"/>
      <c r="N47" s="575"/>
      <c r="O47" s="548"/>
      <c r="P47" s="575"/>
      <c r="Q47" s="548"/>
      <c r="R47" s="657"/>
      <c r="S47" s="659"/>
    </row>
    <row r="48" spans="1:19" s="44" customFormat="1" ht="18" customHeight="1" x14ac:dyDescent="0.2">
      <c r="A48" s="547"/>
      <c r="B48" s="958" t="s">
        <v>134</v>
      </c>
      <c r="C48" s="1066"/>
      <c r="D48" s="1066"/>
      <c r="E48" s="1003"/>
      <c r="F48" s="568"/>
      <c r="G48" s="552">
        <f>SUM(G37:G47)</f>
        <v>575.83000000000004</v>
      </c>
      <c r="H48" s="581"/>
      <c r="I48" s="552">
        <f>SUM(I37:I47)</f>
        <v>575.83000000000004</v>
      </c>
      <c r="J48" s="529"/>
      <c r="K48" s="594">
        <f>SUM(K37:K47)</f>
        <v>601.09</v>
      </c>
      <c r="L48" s="581"/>
      <c r="M48" s="552">
        <f>SUM(M37:M47)</f>
        <v>601.09</v>
      </c>
      <c r="N48" s="581"/>
      <c r="O48" s="552">
        <f>SUM(O37:O47)</f>
        <v>609.64</v>
      </c>
      <c r="P48" s="581"/>
      <c r="Q48" s="552">
        <f>SUM(Q37:Q47)</f>
        <v>621.05999999999995</v>
      </c>
      <c r="R48" s="581"/>
      <c r="S48" s="552">
        <f>SUM(S37:S47)</f>
        <v>621.05999999999995</v>
      </c>
    </row>
    <row r="49" spans="1:19" s="46" customFormat="1" x14ac:dyDescent="0.2">
      <c r="A49" s="538"/>
      <c r="B49" s="945"/>
      <c r="C49" s="909"/>
      <c r="D49" s="909"/>
      <c r="E49" s="897"/>
      <c r="F49" s="890"/>
      <c r="G49" s="891"/>
      <c r="H49" s="890"/>
      <c r="I49" s="891"/>
      <c r="J49" s="892"/>
      <c r="K49" s="892"/>
      <c r="L49" s="890"/>
      <c r="M49" s="891"/>
      <c r="N49" s="890"/>
      <c r="O49" s="891"/>
      <c r="P49" s="890"/>
      <c r="Q49" s="891"/>
      <c r="R49" s="890"/>
      <c r="S49" s="891"/>
    </row>
    <row r="50" spans="1:19" s="44" customFormat="1" ht="14.25" customHeight="1" x14ac:dyDescent="0.2">
      <c r="A50" s="972" t="s">
        <v>33</v>
      </c>
      <c r="B50" s="974"/>
      <c r="C50" s="974"/>
      <c r="D50" s="974"/>
      <c r="E50" s="973"/>
      <c r="F50" s="890"/>
      <c r="G50" s="891"/>
      <c r="H50" s="890"/>
      <c r="I50" s="891"/>
      <c r="J50" s="890"/>
      <c r="K50" s="891"/>
      <c r="L50" s="890"/>
      <c r="M50" s="891"/>
      <c r="N50" s="890"/>
      <c r="O50" s="891"/>
      <c r="P50" s="890"/>
      <c r="Q50" s="891"/>
      <c r="R50" s="890"/>
      <c r="S50" s="891"/>
    </row>
    <row r="51" spans="1:19" s="44" customFormat="1" ht="18" customHeight="1" x14ac:dyDescent="0.2">
      <c r="A51" s="542">
        <v>3</v>
      </c>
      <c r="B51" s="957" t="s">
        <v>102</v>
      </c>
      <c r="C51" s="957"/>
      <c r="D51" s="957"/>
      <c r="E51" s="1077"/>
      <c r="F51" s="631" t="s">
        <v>13</v>
      </c>
      <c r="G51" s="632" t="s">
        <v>135</v>
      </c>
      <c r="H51" s="631" t="s">
        <v>13</v>
      </c>
      <c r="I51" s="632" t="s">
        <v>135</v>
      </c>
      <c r="J51" s="630" t="s">
        <v>13</v>
      </c>
      <c r="K51" s="643" t="s">
        <v>135</v>
      </c>
      <c r="L51" s="631" t="s">
        <v>13</v>
      </c>
      <c r="M51" s="632" t="s">
        <v>135</v>
      </c>
      <c r="N51" s="631" t="s">
        <v>13</v>
      </c>
      <c r="O51" s="632" t="s">
        <v>135</v>
      </c>
      <c r="P51" s="631" t="s">
        <v>13</v>
      </c>
      <c r="Q51" s="632" t="s">
        <v>135</v>
      </c>
      <c r="R51" s="631" t="s">
        <v>13</v>
      </c>
      <c r="S51" s="632" t="s">
        <v>135</v>
      </c>
    </row>
    <row r="52" spans="1:19" s="44" customFormat="1" ht="15.75" customHeight="1" x14ac:dyDescent="0.2">
      <c r="A52" s="542" t="s">
        <v>1</v>
      </c>
      <c r="B52" s="939" t="str">
        <f>DADOS!A53</f>
        <v>Uniformes</v>
      </c>
      <c r="C52" s="1024"/>
      <c r="D52" s="1024"/>
      <c r="E52" s="1052"/>
      <c r="F52" s="571"/>
      <c r="G52" s="549">
        <f>DADOS!F53*$F$13</f>
        <v>240.13</v>
      </c>
      <c r="H52" s="571"/>
      <c r="I52" s="549">
        <f>DADOS!F53*$F$13</f>
        <v>240.13</v>
      </c>
      <c r="J52" s="523"/>
      <c r="K52" s="591">
        <f>UNIFORMES!G37</f>
        <v>240.13</v>
      </c>
      <c r="L52" s="571"/>
      <c r="M52" s="549">
        <f>UNIFORMES!G52</f>
        <v>240.13</v>
      </c>
      <c r="N52" s="571"/>
      <c r="O52" s="549">
        <f>M52</f>
        <v>240.13</v>
      </c>
      <c r="P52" s="571"/>
      <c r="Q52" s="549">
        <f>M52</f>
        <v>240.13</v>
      </c>
      <c r="R52" s="571"/>
      <c r="S52" s="549">
        <f>O52</f>
        <v>240.13</v>
      </c>
    </row>
    <row r="53" spans="1:19" s="44" customFormat="1" ht="15.75" customHeight="1" x14ac:dyDescent="0.2">
      <c r="A53" s="542" t="s">
        <v>2</v>
      </c>
      <c r="B53" s="939" t="str">
        <f>DADOS!A54</f>
        <v>Materiais de Consumo Mensal</v>
      </c>
      <c r="C53" s="1024"/>
      <c r="D53" s="1024"/>
      <c r="E53" s="1052"/>
      <c r="F53" s="571"/>
      <c r="G53" s="549">
        <f>DADOS!F54*$F$13</f>
        <v>8.5299999999999994</v>
      </c>
      <c r="H53" s="571"/>
      <c r="I53" s="549">
        <f>DADOS!F54*$F$13</f>
        <v>8.5299999999999994</v>
      </c>
      <c r="J53" s="523"/>
      <c r="K53" s="591">
        <f>'MAT e EQUIPS'!H19</f>
        <v>8.5299999999999994</v>
      </c>
      <c r="L53" s="571"/>
      <c r="M53" s="549">
        <f>'MAT e EQUIPS'!H45</f>
        <v>7.99</v>
      </c>
      <c r="N53" s="571"/>
      <c r="O53" s="549">
        <f>M53</f>
        <v>7.99</v>
      </c>
      <c r="P53" s="571"/>
      <c r="Q53" s="707">
        <f>'MAT e EQUIPS'!H45</f>
        <v>7.99</v>
      </c>
      <c r="R53" s="708">
        <f>'MAT e EQUIPS'!M44</f>
        <v>0</v>
      </c>
      <c r="S53" s="707">
        <f>'MAT e EQUIPS'!I45</f>
        <v>7.11</v>
      </c>
    </row>
    <row r="54" spans="1:19" s="44" customFormat="1" ht="15.75" customHeight="1" x14ac:dyDescent="0.2">
      <c r="A54" s="542" t="s">
        <v>4</v>
      </c>
      <c r="B54" s="939" t="str">
        <f>DADOS!A55</f>
        <v>Equipamentos para desenvolvimento das atividades</v>
      </c>
      <c r="C54" s="1024"/>
      <c r="D54" s="1024"/>
      <c r="E54" s="1052"/>
      <c r="F54" s="571"/>
      <c r="G54" s="549">
        <f>DADOS!F55*$F$13</f>
        <v>27.13</v>
      </c>
      <c r="H54" s="571"/>
      <c r="I54" s="549">
        <f>DADOS!F55*$F$13</f>
        <v>27.13</v>
      </c>
      <c r="J54" s="523"/>
      <c r="K54" s="591">
        <f>'MAT e EQUIPS'!H30</f>
        <v>27.13</v>
      </c>
      <c r="L54" s="571"/>
      <c r="M54" s="549">
        <f>'MAT e EQUIPS'!H56</f>
        <v>25.43</v>
      </c>
      <c r="N54" s="571"/>
      <c r="O54" s="549">
        <f>M54</f>
        <v>25.43</v>
      </c>
      <c r="P54" s="571"/>
      <c r="Q54" s="707">
        <f>'MAT e EQUIPS'!H56</f>
        <v>25.43</v>
      </c>
      <c r="R54" s="708">
        <f>'MAT e EQUIPS'!M45</f>
        <v>0</v>
      </c>
      <c r="S54" s="707">
        <f>'MAT e EQUIPS'!I56</f>
        <v>22.61</v>
      </c>
    </row>
    <row r="55" spans="1:19" s="44" customFormat="1" ht="18" customHeight="1" x14ac:dyDescent="0.2">
      <c r="A55" s="547"/>
      <c r="B55" s="958" t="s">
        <v>136</v>
      </c>
      <c r="C55" s="1066"/>
      <c r="D55" s="1066"/>
      <c r="E55" s="1003"/>
      <c r="F55" s="568"/>
      <c r="G55" s="553">
        <f>SUM(G52:G54)</f>
        <v>275.79000000000002</v>
      </c>
      <c r="H55" s="582"/>
      <c r="I55" s="553">
        <f>SUM(I52:I54)</f>
        <v>275.79000000000002</v>
      </c>
      <c r="J55" s="532"/>
      <c r="K55" s="595">
        <f>SUM(K52:K54)</f>
        <v>275.79000000000002</v>
      </c>
      <c r="L55" s="582"/>
      <c r="M55" s="553">
        <f>SUM(M52:M54)</f>
        <v>273.55</v>
      </c>
      <c r="N55" s="582"/>
      <c r="O55" s="553">
        <f>SUM(O52:O54)</f>
        <v>273.55</v>
      </c>
      <c r="P55" s="582"/>
      <c r="Q55" s="553">
        <f>SUM(Q52:Q54)</f>
        <v>273.55</v>
      </c>
      <c r="R55" s="582"/>
      <c r="S55" s="553">
        <f>SUM(S52:S54)</f>
        <v>269.85000000000002</v>
      </c>
    </row>
    <row r="56" spans="1:19" s="46" customFormat="1" x14ac:dyDescent="0.2">
      <c r="A56" s="538"/>
      <c r="B56" s="945"/>
      <c r="C56" s="909"/>
      <c r="D56" s="909"/>
      <c r="E56" s="897"/>
      <c r="F56" s="890"/>
      <c r="G56" s="891"/>
      <c r="H56" s="890"/>
      <c r="I56" s="891"/>
      <c r="J56" s="892"/>
      <c r="K56" s="892"/>
      <c r="L56" s="890"/>
      <c r="M56" s="891"/>
      <c r="N56" s="890"/>
      <c r="O56" s="891"/>
      <c r="P56" s="890"/>
      <c r="Q56" s="891"/>
      <c r="R56" s="890"/>
      <c r="S56" s="891"/>
    </row>
    <row r="57" spans="1:19" s="22" customFormat="1" x14ac:dyDescent="0.2">
      <c r="A57" s="1002" t="s">
        <v>34</v>
      </c>
      <c r="B57" s="1066"/>
      <c r="C57" s="1066"/>
      <c r="D57" s="1066"/>
      <c r="E57" s="1003"/>
      <c r="F57" s="890"/>
      <c r="G57" s="891"/>
      <c r="H57" s="890"/>
      <c r="I57" s="891"/>
      <c r="J57" s="892"/>
      <c r="K57" s="892"/>
      <c r="L57" s="890"/>
      <c r="M57" s="891"/>
      <c r="N57" s="890"/>
      <c r="O57" s="891"/>
      <c r="P57" s="890"/>
      <c r="Q57" s="891"/>
      <c r="R57" s="890"/>
      <c r="S57" s="891"/>
    </row>
    <row r="58" spans="1:19" s="22" customFormat="1" x14ac:dyDescent="0.2">
      <c r="A58" s="1002" t="s">
        <v>118</v>
      </c>
      <c r="B58" s="1066"/>
      <c r="C58" s="1066"/>
      <c r="D58" s="1066"/>
      <c r="E58" s="1003"/>
      <c r="F58" s="890"/>
      <c r="G58" s="891"/>
      <c r="H58" s="890"/>
      <c r="I58" s="891"/>
      <c r="J58" s="892"/>
      <c r="K58" s="892"/>
      <c r="L58" s="890"/>
      <c r="M58" s="891"/>
      <c r="N58" s="890"/>
      <c r="O58" s="891"/>
      <c r="P58" s="890"/>
      <c r="Q58" s="891"/>
      <c r="R58" s="890"/>
      <c r="S58" s="891"/>
    </row>
    <row r="59" spans="1:19" s="47" customFormat="1" ht="18" customHeight="1" x14ac:dyDescent="0.2">
      <c r="A59" s="538" t="s">
        <v>58</v>
      </c>
      <c r="B59" s="964" t="s">
        <v>116</v>
      </c>
      <c r="C59" s="964"/>
      <c r="D59" s="964"/>
      <c r="E59" s="1055"/>
      <c r="F59" s="622" t="s">
        <v>12</v>
      </c>
      <c r="G59" s="623" t="s">
        <v>98</v>
      </c>
      <c r="H59" s="622" t="s">
        <v>12</v>
      </c>
      <c r="I59" s="623" t="s">
        <v>98</v>
      </c>
      <c r="J59" s="620" t="s">
        <v>12</v>
      </c>
      <c r="K59" s="629" t="s">
        <v>98</v>
      </c>
      <c r="L59" s="622" t="s">
        <v>12</v>
      </c>
      <c r="M59" s="623" t="s">
        <v>98</v>
      </c>
      <c r="N59" s="622" t="s">
        <v>12</v>
      </c>
      <c r="O59" s="623" t="s">
        <v>98</v>
      </c>
      <c r="P59" s="622" t="s">
        <v>12</v>
      </c>
      <c r="Q59" s="623" t="s">
        <v>98</v>
      </c>
      <c r="R59" s="622" t="s">
        <v>12</v>
      </c>
      <c r="S59" s="623" t="s">
        <v>98</v>
      </c>
    </row>
    <row r="60" spans="1:19" s="44" customFormat="1" ht="14.25" customHeight="1" x14ac:dyDescent="0.2">
      <c r="A60" s="538" t="s">
        <v>1</v>
      </c>
      <c r="B60" s="939" t="str">
        <f>DADOS!B81</f>
        <v>INSS</v>
      </c>
      <c r="C60" s="1024"/>
      <c r="D60" s="1024"/>
      <c r="E60" s="1052"/>
      <c r="F60" s="576">
        <f>DADOS!C81</f>
        <v>0.2</v>
      </c>
      <c r="G60" s="548">
        <f>F60*$G$33</f>
        <v>555.17999999999995</v>
      </c>
      <c r="H60" s="576">
        <f>DADOS!C81</f>
        <v>0.2</v>
      </c>
      <c r="I60" s="548">
        <f>F60*$I$33</f>
        <v>555.17999999999995</v>
      </c>
      <c r="J60" s="533">
        <f>DADOS!C81</f>
        <v>0.2</v>
      </c>
      <c r="K60" s="593">
        <f>J60*$K$33</f>
        <v>578.55999999999995</v>
      </c>
      <c r="L60" s="576">
        <f>H60</f>
        <v>0.2</v>
      </c>
      <c r="M60" s="548">
        <f>L60*$M$33</f>
        <v>578.55999999999995</v>
      </c>
      <c r="N60" s="576">
        <v>0.2</v>
      </c>
      <c r="O60" s="548">
        <f>N60*$O$33</f>
        <v>590.53</v>
      </c>
      <c r="P60" s="576">
        <v>0.2</v>
      </c>
      <c r="Q60" s="679">
        <f>P60*$Q$33</f>
        <v>610.79</v>
      </c>
      <c r="R60" s="576">
        <v>0.2</v>
      </c>
      <c r="S60" s="659">
        <f>R60*$S$33</f>
        <v>610.79</v>
      </c>
    </row>
    <row r="61" spans="1:19" s="44" customFormat="1" ht="14.25" customHeight="1" x14ac:dyDescent="0.2">
      <c r="A61" s="538" t="s">
        <v>2</v>
      </c>
      <c r="B61" s="939" t="str">
        <f>DADOS!B82</f>
        <v>SESI ou SESC</v>
      </c>
      <c r="C61" s="1024"/>
      <c r="D61" s="1024"/>
      <c r="E61" s="1052"/>
      <c r="F61" s="576">
        <f>DADOS!C82</f>
        <v>1.4999999999999999E-2</v>
      </c>
      <c r="G61" s="548">
        <f t="shared" ref="G61:G67" si="0">F61*$G$33</f>
        <v>41.64</v>
      </c>
      <c r="H61" s="576">
        <f>DADOS!C82</f>
        <v>1.4999999999999999E-2</v>
      </c>
      <c r="I61" s="548">
        <f t="shared" ref="I61:I67" si="1">F61*$I$33</f>
        <v>41.64</v>
      </c>
      <c r="J61" s="533">
        <f>DADOS!C82</f>
        <v>1.4999999999999999E-2</v>
      </c>
      <c r="K61" s="593">
        <f t="shared" ref="K61:K67" si="2">J61*$K$33</f>
        <v>43.39</v>
      </c>
      <c r="L61" s="576">
        <f t="shared" ref="L61:L67" si="3">H61</f>
        <v>1.4999999999999999E-2</v>
      </c>
      <c r="M61" s="548">
        <f t="shared" ref="M61:M67" si="4">L61*$M$33</f>
        <v>43.39</v>
      </c>
      <c r="N61" s="576">
        <v>1.4999999999999999E-2</v>
      </c>
      <c r="O61" s="548">
        <f t="shared" ref="O61:O66" si="5">N61*$O$33</f>
        <v>44.29</v>
      </c>
      <c r="P61" s="576">
        <v>1.4999999999999999E-2</v>
      </c>
      <c r="Q61" s="679">
        <f t="shared" ref="Q61:Q67" si="6">P61*$Q$33</f>
        <v>45.81</v>
      </c>
      <c r="R61" s="576">
        <v>1.4999999999999999E-2</v>
      </c>
      <c r="S61" s="679">
        <f t="shared" ref="S61:S67" si="7">R61*$S$33</f>
        <v>45.81</v>
      </c>
    </row>
    <row r="62" spans="1:19" s="44" customFormat="1" ht="14.25" customHeight="1" x14ac:dyDescent="0.2">
      <c r="A62" s="538" t="s">
        <v>4</v>
      </c>
      <c r="B62" s="939" t="str">
        <f>DADOS!B83</f>
        <v>SENAI ou SENAC</v>
      </c>
      <c r="C62" s="1024"/>
      <c r="D62" s="1024"/>
      <c r="E62" s="1052"/>
      <c r="F62" s="576">
        <f>DADOS!C83</f>
        <v>0.01</v>
      </c>
      <c r="G62" s="548">
        <f t="shared" si="0"/>
        <v>27.76</v>
      </c>
      <c r="H62" s="576">
        <f>DADOS!C83</f>
        <v>0.01</v>
      </c>
      <c r="I62" s="548">
        <f t="shared" si="1"/>
        <v>27.76</v>
      </c>
      <c r="J62" s="533">
        <f>DADOS!C83</f>
        <v>0.01</v>
      </c>
      <c r="K62" s="593">
        <f t="shared" si="2"/>
        <v>28.93</v>
      </c>
      <c r="L62" s="576">
        <f t="shared" si="3"/>
        <v>0.01</v>
      </c>
      <c r="M62" s="548">
        <f t="shared" si="4"/>
        <v>28.93</v>
      </c>
      <c r="N62" s="576">
        <v>0.01</v>
      </c>
      <c r="O62" s="548">
        <f t="shared" si="5"/>
        <v>29.53</v>
      </c>
      <c r="P62" s="576">
        <v>0.01</v>
      </c>
      <c r="Q62" s="679">
        <f t="shared" si="6"/>
        <v>30.54</v>
      </c>
      <c r="R62" s="576">
        <v>0.01</v>
      </c>
      <c r="S62" s="679">
        <f t="shared" si="7"/>
        <v>30.54</v>
      </c>
    </row>
    <row r="63" spans="1:19" s="44" customFormat="1" ht="14.25" customHeight="1" x14ac:dyDescent="0.2">
      <c r="A63" s="538" t="s">
        <v>5</v>
      </c>
      <c r="B63" s="939" t="str">
        <f>DADOS!B84</f>
        <v>INCRA</v>
      </c>
      <c r="C63" s="1024"/>
      <c r="D63" s="1024"/>
      <c r="E63" s="1052"/>
      <c r="F63" s="576">
        <f>DADOS!C84</f>
        <v>2E-3</v>
      </c>
      <c r="G63" s="548">
        <f t="shared" si="0"/>
        <v>5.55</v>
      </c>
      <c r="H63" s="576">
        <f>DADOS!C84</f>
        <v>2E-3</v>
      </c>
      <c r="I63" s="548">
        <f t="shared" si="1"/>
        <v>5.55</v>
      </c>
      <c r="J63" s="533">
        <f>DADOS!C84</f>
        <v>2E-3</v>
      </c>
      <c r="K63" s="593">
        <f t="shared" si="2"/>
        <v>5.79</v>
      </c>
      <c r="L63" s="576">
        <f t="shared" si="3"/>
        <v>2E-3</v>
      </c>
      <c r="M63" s="548">
        <f t="shared" si="4"/>
        <v>5.79</v>
      </c>
      <c r="N63" s="576">
        <v>2E-3</v>
      </c>
      <c r="O63" s="548">
        <f t="shared" si="5"/>
        <v>5.91</v>
      </c>
      <c r="P63" s="576">
        <v>2E-3</v>
      </c>
      <c r="Q63" s="679">
        <f t="shared" si="6"/>
        <v>6.11</v>
      </c>
      <c r="R63" s="576">
        <v>2E-3</v>
      </c>
      <c r="S63" s="679">
        <f t="shared" si="7"/>
        <v>6.11</v>
      </c>
    </row>
    <row r="64" spans="1:19" s="44" customFormat="1" ht="14.25" customHeight="1" x14ac:dyDescent="0.2">
      <c r="A64" s="538" t="s">
        <v>6</v>
      </c>
      <c r="B64" s="939" t="str">
        <f>DADOS!B85</f>
        <v xml:space="preserve">Salário Educação </v>
      </c>
      <c r="C64" s="1024"/>
      <c r="D64" s="1024"/>
      <c r="E64" s="1052"/>
      <c r="F64" s="576">
        <f>DADOS!C85</f>
        <v>2.5000000000000001E-2</v>
      </c>
      <c r="G64" s="548">
        <f t="shared" si="0"/>
        <v>69.400000000000006</v>
      </c>
      <c r="H64" s="576">
        <f>DADOS!C85</f>
        <v>2.5000000000000001E-2</v>
      </c>
      <c r="I64" s="548">
        <f t="shared" si="1"/>
        <v>69.400000000000006</v>
      </c>
      <c r="J64" s="533">
        <f>DADOS!C85</f>
        <v>2.5000000000000001E-2</v>
      </c>
      <c r="K64" s="593">
        <f t="shared" si="2"/>
        <v>72.319999999999993</v>
      </c>
      <c r="L64" s="576">
        <f t="shared" si="3"/>
        <v>2.5000000000000001E-2</v>
      </c>
      <c r="M64" s="548">
        <f t="shared" si="4"/>
        <v>72.319999999999993</v>
      </c>
      <c r="N64" s="576">
        <v>2.5000000000000001E-2</v>
      </c>
      <c r="O64" s="548">
        <f t="shared" si="5"/>
        <v>73.819999999999993</v>
      </c>
      <c r="P64" s="576">
        <v>2.5000000000000001E-2</v>
      </c>
      <c r="Q64" s="679">
        <f t="shared" si="6"/>
        <v>76.349999999999994</v>
      </c>
      <c r="R64" s="576">
        <v>2.5000000000000001E-2</v>
      </c>
      <c r="S64" s="679">
        <f t="shared" si="7"/>
        <v>76.349999999999994</v>
      </c>
    </row>
    <row r="65" spans="1:19" s="44" customFormat="1" ht="14.25" customHeight="1" x14ac:dyDescent="0.2">
      <c r="A65" s="538" t="s">
        <v>7</v>
      </c>
      <c r="B65" s="939" t="str">
        <f>DADOS!B86</f>
        <v>FGTS</v>
      </c>
      <c r="C65" s="1024"/>
      <c r="D65" s="1024"/>
      <c r="E65" s="1052"/>
      <c r="F65" s="576">
        <f>DADOS!C86</f>
        <v>0.08</v>
      </c>
      <c r="G65" s="548">
        <f t="shared" si="0"/>
        <v>222.07</v>
      </c>
      <c r="H65" s="576">
        <f>DADOS!C86</f>
        <v>0.08</v>
      </c>
      <c r="I65" s="548">
        <f t="shared" si="1"/>
        <v>222.07</v>
      </c>
      <c r="J65" s="533">
        <f>DADOS!C86</f>
        <v>0.08</v>
      </c>
      <c r="K65" s="593">
        <f t="shared" si="2"/>
        <v>231.42</v>
      </c>
      <c r="L65" s="576">
        <f t="shared" si="3"/>
        <v>0.08</v>
      </c>
      <c r="M65" s="548">
        <f t="shared" si="4"/>
        <v>231.42</v>
      </c>
      <c r="N65" s="576">
        <v>0.08</v>
      </c>
      <c r="O65" s="548">
        <f t="shared" si="5"/>
        <v>236.21</v>
      </c>
      <c r="P65" s="576">
        <v>0.08</v>
      </c>
      <c r="Q65" s="679">
        <f t="shared" si="6"/>
        <v>244.32</v>
      </c>
      <c r="R65" s="576">
        <v>0.08</v>
      </c>
      <c r="S65" s="679">
        <f t="shared" si="7"/>
        <v>244.32</v>
      </c>
    </row>
    <row r="66" spans="1:19" s="44" customFormat="1" ht="14.25" customHeight="1" x14ac:dyDescent="0.2">
      <c r="A66" s="538" t="s">
        <v>8</v>
      </c>
      <c r="B66" s="939" t="str">
        <f>DADOS!B87</f>
        <v>Seguro Acidente do Trabalho - RAT x FAP</v>
      </c>
      <c r="C66" s="1024"/>
      <c r="D66" s="1024"/>
      <c r="E66" s="1052"/>
      <c r="F66" s="576">
        <f>DADOS!C87</f>
        <v>2.1299999999999999E-2</v>
      </c>
      <c r="G66" s="548">
        <f t="shared" si="0"/>
        <v>59.13</v>
      </c>
      <c r="H66" s="576">
        <f>DADOS!C87</f>
        <v>2.1299999999999999E-2</v>
      </c>
      <c r="I66" s="548">
        <f t="shared" si="1"/>
        <v>59.13</v>
      </c>
      <c r="J66" s="533">
        <f>DADOS!C87</f>
        <v>2.1299999999999999E-2</v>
      </c>
      <c r="K66" s="593">
        <f t="shared" si="2"/>
        <v>61.62</v>
      </c>
      <c r="L66" s="576">
        <f t="shared" si="3"/>
        <v>2.1299999999999999E-2</v>
      </c>
      <c r="M66" s="548">
        <f t="shared" si="4"/>
        <v>61.62</v>
      </c>
      <c r="N66" s="576">
        <v>2.4299999999999999E-2</v>
      </c>
      <c r="O66" s="548">
        <f t="shared" si="5"/>
        <v>71.75</v>
      </c>
      <c r="P66" s="583">
        <v>2.4899999999999999E-2</v>
      </c>
      <c r="Q66" s="679">
        <f t="shared" si="6"/>
        <v>76.040000000000006</v>
      </c>
      <c r="R66" s="583">
        <v>2.4899999999999999E-2</v>
      </c>
      <c r="S66" s="679">
        <f t="shared" si="7"/>
        <v>76.040000000000006</v>
      </c>
    </row>
    <row r="67" spans="1:19" s="44" customFormat="1" ht="14.25" customHeight="1" x14ac:dyDescent="0.2">
      <c r="A67" s="538" t="s">
        <v>9</v>
      </c>
      <c r="B67" s="939" t="str">
        <f>DADOS!B88</f>
        <v>SEBRAE</v>
      </c>
      <c r="C67" s="1024"/>
      <c r="D67" s="1024"/>
      <c r="E67" s="1052"/>
      <c r="F67" s="576">
        <f>DADOS!C88</f>
        <v>6.0000000000000001E-3</v>
      </c>
      <c r="G67" s="548">
        <f t="shared" si="0"/>
        <v>16.66</v>
      </c>
      <c r="H67" s="576">
        <f>DADOS!C88</f>
        <v>6.0000000000000001E-3</v>
      </c>
      <c r="I67" s="548">
        <f t="shared" si="1"/>
        <v>16.66</v>
      </c>
      <c r="J67" s="533">
        <f>DADOS!C88</f>
        <v>6.0000000000000001E-3</v>
      </c>
      <c r="K67" s="593">
        <f t="shared" si="2"/>
        <v>17.36</v>
      </c>
      <c r="L67" s="576">
        <f t="shared" si="3"/>
        <v>6.0000000000000001E-3</v>
      </c>
      <c r="M67" s="548">
        <f t="shared" si="4"/>
        <v>17.36</v>
      </c>
      <c r="N67" s="576">
        <v>6.0000000000000001E-3</v>
      </c>
      <c r="O67" s="548">
        <f>N67*$O$33</f>
        <v>17.72</v>
      </c>
      <c r="P67" s="576">
        <v>6.0000000000000001E-3</v>
      </c>
      <c r="Q67" s="679">
        <f t="shared" si="6"/>
        <v>18.32</v>
      </c>
      <c r="R67" s="576">
        <v>6.0000000000000001E-3</v>
      </c>
      <c r="S67" s="679">
        <f t="shared" si="7"/>
        <v>18.32</v>
      </c>
    </row>
    <row r="68" spans="1:19" s="46" customFormat="1" ht="18" customHeight="1" x14ac:dyDescent="0.2">
      <c r="A68" s="967" t="s">
        <v>57</v>
      </c>
      <c r="B68" s="968"/>
      <c r="C68" s="968"/>
      <c r="D68" s="968"/>
      <c r="E68" s="1054"/>
      <c r="F68" s="577">
        <f t="shared" ref="F68:K68" si="8">SUM(F60:F67)</f>
        <v>0.35930000000000001</v>
      </c>
      <c r="G68" s="553">
        <f t="shared" si="8"/>
        <v>997.39</v>
      </c>
      <c r="H68" s="577">
        <f t="shared" si="8"/>
        <v>0.35930000000000001</v>
      </c>
      <c r="I68" s="553">
        <f t="shared" si="8"/>
        <v>997.39</v>
      </c>
      <c r="J68" s="534">
        <f t="shared" si="8"/>
        <v>0.35930000000000001</v>
      </c>
      <c r="K68" s="595">
        <f t="shared" si="8"/>
        <v>1039.3900000000001</v>
      </c>
      <c r="L68" s="577">
        <f>SUM(L60:L67)</f>
        <v>0.35930000000000001</v>
      </c>
      <c r="M68" s="553">
        <f>SUM(M60:M67)</f>
        <v>1039.3900000000001</v>
      </c>
      <c r="N68" s="577">
        <f>SUM(N60:N67)</f>
        <v>0.36230000000000001</v>
      </c>
      <c r="O68" s="553">
        <f t="shared" ref="O68:Q68" si="9">SUM(O60:O67)</f>
        <v>1069.76</v>
      </c>
      <c r="P68" s="577">
        <f>SUM(P60:P67)</f>
        <v>0.3629</v>
      </c>
      <c r="Q68" s="553">
        <f t="shared" si="9"/>
        <v>1108.28</v>
      </c>
      <c r="R68" s="577">
        <f>SUM(R60:R67)</f>
        <v>0.3629</v>
      </c>
      <c r="S68" s="553">
        <f t="shared" ref="S68" si="10">SUM(S60:S67)</f>
        <v>1108.28</v>
      </c>
    </row>
    <row r="69" spans="1:19" s="22" customFormat="1" ht="18" customHeight="1" x14ac:dyDescent="0.2">
      <c r="A69" s="555"/>
      <c r="B69" s="1008"/>
      <c r="C69" s="1058"/>
      <c r="D69" s="1058"/>
      <c r="E69" s="1059"/>
      <c r="F69" s="890"/>
      <c r="G69" s="891"/>
      <c r="H69" s="890"/>
      <c r="I69" s="891"/>
      <c r="J69" s="892"/>
      <c r="K69" s="892"/>
      <c r="L69" s="890"/>
      <c r="M69" s="891"/>
      <c r="N69" s="890"/>
      <c r="O69" s="891"/>
      <c r="P69" s="890"/>
      <c r="Q69" s="891"/>
      <c r="R69" s="890"/>
      <c r="S69" s="891"/>
    </row>
    <row r="70" spans="1:19" s="44" customFormat="1" x14ac:dyDescent="0.2">
      <c r="A70" s="1049" t="s">
        <v>113</v>
      </c>
      <c r="B70" s="1050"/>
      <c r="C70" s="1050"/>
      <c r="D70" s="1050"/>
      <c r="E70" s="1051"/>
      <c r="F70" s="890"/>
      <c r="G70" s="891"/>
      <c r="H70" s="890"/>
      <c r="I70" s="891"/>
      <c r="J70" s="892"/>
      <c r="K70" s="892"/>
      <c r="L70" s="890"/>
      <c r="M70" s="891"/>
      <c r="N70" s="890"/>
      <c r="O70" s="891"/>
      <c r="P70" s="890"/>
      <c r="Q70" s="891"/>
      <c r="R70" s="890"/>
      <c r="S70" s="891"/>
    </row>
    <row r="71" spans="1:19" s="47" customFormat="1" ht="18" customHeight="1" x14ac:dyDescent="0.2">
      <c r="A71" s="538" t="s">
        <v>65</v>
      </c>
      <c r="B71" s="965" t="s">
        <v>115</v>
      </c>
      <c r="C71" s="1067"/>
      <c r="D71" s="1067"/>
      <c r="E71" s="1068"/>
      <c r="F71" s="622" t="s">
        <v>12</v>
      </c>
      <c r="G71" s="623" t="s">
        <v>98</v>
      </c>
      <c r="H71" s="622" t="s">
        <v>12</v>
      </c>
      <c r="I71" s="623" t="s">
        <v>98</v>
      </c>
      <c r="J71" s="620" t="s">
        <v>12</v>
      </c>
      <c r="K71" s="629" t="s">
        <v>98</v>
      </c>
      <c r="L71" s="622" t="s">
        <v>12</v>
      </c>
      <c r="M71" s="623" t="s">
        <v>98</v>
      </c>
      <c r="N71" s="622" t="s">
        <v>12</v>
      </c>
      <c r="O71" s="623" t="s">
        <v>98</v>
      </c>
      <c r="P71" s="622" t="s">
        <v>12</v>
      </c>
      <c r="Q71" s="623" t="s">
        <v>98</v>
      </c>
      <c r="R71" s="622" t="s">
        <v>12</v>
      </c>
      <c r="S71" s="623" t="s">
        <v>98</v>
      </c>
    </row>
    <row r="72" spans="1:19" s="44" customFormat="1" ht="14.25" customHeight="1" x14ac:dyDescent="0.2">
      <c r="A72" s="538" t="s">
        <v>1</v>
      </c>
      <c r="B72" s="939" t="str">
        <f>DADOS!B91</f>
        <v xml:space="preserve">13º (décimo terceiro) Salário </v>
      </c>
      <c r="C72" s="1024"/>
      <c r="D72" s="1024"/>
      <c r="E72" s="1052"/>
      <c r="F72" s="576">
        <f>DADOS!C91</f>
        <v>8.3299999999999999E-2</v>
      </c>
      <c r="G72" s="548">
        <f>F72*$G$33</f>
        <v>231.23</v>
      </c>
      <c r="H72" s="576">
        <f>DADOS!C91</f>
        <v>8.3299999999999999E-2</v>
      </c>
      <c r="I72" s="548">
        <f>H72*$I$33</f>
        <v>231.23</v>
      </c>
      <c r="J72" s="533">
        <f>DADOS!C91</f>
        <v>8.3299999999999999E-2</v>
      </c>
      <c r="K72" s="593">
        <f>J72*$K$33</f>
        <v>240.97</v>
      </c>
      <c r="L72" s="576">
        <f>H72</f>
        <v>8.3299999999999999E-2</v>
      </c>
      <c r="M72" s="548">
        <f>L72*$M$33</f>
        <v>240.97</v>
      </c>
      <c r="N72" s="576">
        <v>8.3299999999999999E-2</v>
      </c>
      <c r="O72" s="548">
        <f>N72*$O$33</f>
        <v>245.96</v>
      </c>
      <c r="P72" s="576">
        <v>8.3299999999999999E-2</v>
      </c>
      <c r="Q72" s="679">
        <f>P72*$Q$33</f>
        <v>254.39</v>
      </c>
      <c r="R72" s="576">
        <v>8.3299999999999999E-2</v>
      </c>
      <c r="S72" s="679">
        <f>R72*$S$33</f>
        <v>254.39</v>
      </c>
    </row>
    <row r="73" spans="1:19" s="44" customFormat="1" ht="14.25" customHeight="1" x14ac:dyDescent="0.2">
      <c r="A73" s="538" t="s">
        <v>2</v>
      </c>
      <c r="B73" s="939" t="str">
        <f>DADOS!B92</f>
        <v>Adicional de férias</v>
      </c>
      <c r="C73" s="1024"/>
      <c r="D73" s="1024"/>
      <c r="E73" s="1052"/>
      <c r="F73" s="576">
        <f>DADOS!C92</f>
        <v>2.7799999999999998E-2</v>
      </c>
      <c r="G73" s="548">
        <f>F73*$G$33</f>
        <v>77.17</v>
      </c>
      <c r="H73" s="576">
        <f>DADOS!C92</f>
        <v>2.7799999999999998E-2</v>
      </c>
      <c r="I73" s="548">
        <f>H73*$I$33</f>
        <v>77.17</v>
      </c>
      <c r="J73" s="533">
        <f>DADOS!C92</f>
        <v>2.7799999999999998E-2</v>
      </c>
      <c r="K73" s="593">
        <f>J73*$K$33</f>
        <v>80.42</v>
      </c>
      <c r="L73" s="576">
        <f>H73</f>
        <v>2.7799999999999998E-2</v>
      </c>
      <c r="M73" s="548">
        <f>L73*$M$33</f>
        <v>80.42</v>
      </c>
      <c r="N73" s="576">
        <v>2.7799999999999998E-2</v>
      </c>
      <c r="O73" s="548">
        <f>N73*$O$33</f>
        <v>82.08</v>
      </c>
      <c r="P73" s="576">
        <v>2.7799999999999998E-2</v>
      </c>
      <c r="Q73" s="679">
        <f>P73*$Q$33</f>
        <v>84.9</v>
      </c>
      <c r="R73" s="576">
        <v>2.7799999999999998E-2</v>
      </c>
      <c r="S73" s="679">
        <f>R73*$S$33</f>
        <v>84.9</v>
      </c>
    </row>
    <row r="74" spans="1:19" s="44" customFormat="1" ht="14.25" customHeight="1" x14ac:dyDescent="0.2">
      <c r="A74" s="1071" t="s">
        <v>103</v>
      </c>
      <c r="B74" s="1072"/>
      <c r="C74" s="1072"/>
      <c r="D74" s="1072"/>
      <c r="E74" s="1073"/>
      <c r="F74" s="577">
        <f t="shared" ref="F74:K74" si="11">SUM(F72:F73)</f>
        <v>0.1111</v>
      </c>
      <c r="G74" s="552">
        <f t="shared" si="11"/>
        <v>308.39999999999998</v>
      </c>
      <c r="H74" s="577">
        <f t="shared" si="11"/>
        <v>0.1111</v>
      </c>
      <c r="I74" s="552">
        <f>SUM(I72:I73)</f>
        <v>308.39999999999998</v>
      </c>
      <c r="J74" s="534">
        <f t="shared" si="11"/>
        <v>0.1111</v>
      </c>
      <c r="K74" s="594">
        <f t="shared" si="11"/>
        <v>321.39</v>
      </c>
      <c r="L74" s="604">
        <f>H74</f>
        <v>0.1111</v>
      </c>
      <c r="M74" s="552">
        <f>L74*$M$33</f>
        <v>321.39</v>
      </c>
      <c r="N74" s="577">
        <f t="shared" ref="N74" si="12">SUM(N72:N73)</f>
        <v>0.1111</v>
      </c>
      <c r="O74" s="552">
        <f>SUM(O72:O73)</f>
        <v>328.04</v>
      </c>
      <c r="P74" s="577">
        <f t="shared" ref="P74:R74" si="13">SUM(P72:P73)</f>
        <v>0.1111</v>
      </c>
      <c r="Q74" s="552">
        <f>SUM(Q72:Q73)</f>
        <v>339.29</v>
      </c>
      <c r="R74" s="577">
        <f t="shared" si="13"/>
        <v>0.1111</v>
      </c>
      <c r="S74" s="552">
        <f>SUM(S72:S73)</f>
        <v>339.29</v>
      </c>
    </row>
    <row r="75" spans="1:19" s="44" customFormat="1" ht="22.5" customHeight="1" x14ac:dyDescent="0.2">
      <c r="A75" s="538" t="s">
        <v>2</v>
      </c>
      <c r="B75" s="950" t="str">
        <f>DADOS!B94</f>
        <v xml:space="preserve">Incidência dos encargos previstos no Submódulo 4.1 sobre 13° (décimo terceiro) salário </v>
      </c>
      <c r="C75" s="1075"/>
      <c r="D75" s="1075"/>
      <c r="E75" s="1076"/>
      <c r="F75" s="576">
        <f>F68*F74</f>
        <v>3.9899999999999998E-2</v>
      </c>
      <c r="G75" s="548">
        <f>F75*$G$33</f>
        <v>110.76</v>
      </c>
      <c r="H75" s="576">
        <f>H68*H74</f>
        <v>3.9899999999999998E-2</v>
      </c>
      <c r="I75" s="548">
        <f>H75*$I$33</f>
        <v>110.76</v>
      </c>
      <c r="J75" s="533">
        <f>J68*J74</f>
        <v>3.9899999999999998E-2</v>
      </c>
      <c r="K75" s="593">
        <f>J75*$K$33</f>
        <v>115.42</v>
      </c>
      <c r="L75" s="576">
        <f>H75</f>
        <v>3.9899999999999998E-2</v>
      </c>
      <c r="M75" s="548">
        <f>L75*$M$33</f>
        <v>115.42</v>
      </c>
      <c r="N75" s="576">
        <f>N68*N74</f>
        <v>4.0300000000000002E-2</v>
      </c>
      <c r="O75" s="548">
        <f>N75*$O$33</f>
        <v>118.99</v>
      </c>
      <c r="P75" s="576">
        <f>P68*P74</f>
        <v>4.0300000000000002E-2</v>
      </c>
      <c r="Q75" s="679">
        <f>P75*$Q$33</f>
        <v>123.07</v>
      </c>
      <c r="R75" s="576">
        <f>R68*R74</f>
        <v>4.0300000000000002E-2</v>
      </c>
      <c r="S75" s="679">
        <f>R75*$S$33</f>
        <v>123.07</v>
      </c>
    </row>
    <row r="76" spans="1:19" s="46" customFormat="1" ht="18" customHeight="1" x14ac:dyDescent="0.2">
      <c r="A76" s="967" t="s">
        <v>57</v>
      </c>
      <c r="B76" s="968"/>
      <c r="C76" s="968"/>
      <c r="D76" s="968"/>
      <c r="E76" s="1054"/>
      <c r="F76" s="577">
        <f t="shared" ref="F76:K76" si="14">SUM(F74:F75)</f>
        <v>0.151</v>
      </c>
      <c r="G76" s="553">
        <f t="shared" si="14"/>
        <v>419.16</v>
      </c>
      <c r="H76" s="577">
        <f t="shared" si="14"/>
        <v>0.151</v>
      </c>
      <c r="I76" s="553">
        <f t="shared" si="14"/>
        <v>419.16</v>
      </c>
      <c r="J76" s="534">
        <f t="shared" si="14"/>
        <v>0.151</v>
      </c>
      <c r="K76" s="595">
        <f t="shared" si="14"/>
        <v>436.81</v>
      </c>
      <c r="L76" s="577">
        <f>SUM(L74:L75)</f>
        <v>0.151</v>
      </c>
      <c r="M76" s="553">
        <f>SUM(M74:M75)</f>
        <v>436.81</v>
      </c>
      <c r="N76" s="577">
        <f t="shared" ref="N76" si="15">SUM(N74:N75)</f>
        <v>0.15140000000000001</v>
      </c>
      <c r="O76" s="553">
        <f>SUM(O74:O75)</f>
        <v>447.03</v>
      </c>
      <c r="P76" s="577">
        <f t="shared" ref="P76:R76" si="16">SUM(P74:P75)</f>
        <v>0.15140000000000001</v>
      </c>
      <c r="Q76" s="553">
        <f>SUM(Q74:Q75)</f>
        <v>462.36</v>
      </c>
      <c r="R76" s="577">
        <f t="shared" si="16"/>
        <v>0.15140000000000001</v>
      </c>
      <c r="S76" s="553">
        <f>SUM(S74:S75)</f>
        <v>462.36</v>
      </c>
    </row>
    <row r="77" spans="1:19" s="46" customFormat="1" x14ac:dyDescent="0.2">
      <c r="A77" s="556"/>
      <c r="B77" s="945"/>
      <c r="C77" s="909"/>
      <c r="D77" s="909"/>
      <c r="E77" s="897"/>
      <c r="F77" s="890"/>
      <c r="G77" s="891"/>
      <c r="H77" s="890"/>
      <c r="I77" s="891"/>
      <c r="J77" s="892"/>
      <c r="K77" s="892"/>
      <c r="L77" s="890"/>
      <c r="M77" s="891"/>
      <c r="N77" s="890"/>
      <c r="O77" s="891"/>
      <c r="P77" s="890"/>
      <c r="Q77" s="891"/>
      <c r="R77" s="890"/>
      <c r="S77" s="891"/>
    </row>
    <row r="78" spans="1:19" s="44" customFormat="1" x14ac:dyDescent="0.2">
      <c r="A78" s="1049" t="s">
        <v>104</v>
      </c>
      <c r="B78" s="1050"/>
      <c r="C78" s="1050"/>
      <c r="D78" s="1050"/>
      <c r="E78" s="1051"/>
      <c r="F78" s="890"/>
      <c r="G78" s="891"/>
      <c r="H78" s="890"/>
      <c r="I78" s="891"/>
      <c r="J78" s="892"/>
      <c r="K78" s="892"/>
      <c r="L78" s="890"/>
      <c r="M78" s="891"/>
      <c r="N78" s="890"/>
      <c r="O78" s="891"/>
      <c r="P78" s="890"/>
      <c r="Q78" s="891"/>
      <c r="R78" s="890"/>
      <c r="S78" s="891"/>
    </row>
    <row r="79" spans="1:19" s="44" customFormat="1" ht="18" customHeight="1" x14ac:dyDescent="0.2">
      <c r="A79" s="538" t="s">
        <v>58</v>
      </c>
      <c r="B79" s="964" t="s">
        <v>26</v>
      </c>
      <c r="C79" s="964"/>
      <c r="D79" s="964"/>
      <c r="E79" s="1055"/>
      <c r="F79" s="622" t="s">
        <v>12</v>
      </c>
      <c r="G79" s="623" t="s">
        <v>98</v>
      </c>
      <c r="H79" s="622" t="s">
        <v>12</v>
      </c>
      <c r="I79" s="623" t="s">
        <v>98</v>
      </c>
      <c r="J79" s="620" t="s">
        <v>12</v>
      </c>
      <c r="K79" s="629" t="s">
        <v>98</v>
      </c>
      <c r="L79" s="622" t="s">
        <v>12</v>
      </c>
      <c r="M79" s="623" t="s">
        <v>98</v>
      </c>
      <c r="N79" s="622" t="s">
        <v>12</v>
      </c>
      <c r="O79" s="623" t="s">
        <v>98</v>
      </c>
      <c r="P79" s="622" t="s">
        <v>12</v>
      </c>
      <c r="Q79" s="623" t="s">
        <v>98</v>
      </c>
      <c r="R79" s="622" t="s">
        <v>12</v>
      </c>
      <c r="S79" s="623" t="s">
        <v>98</v>
      </c>
    </row>
    <row r="80" spans="1:19" s="44" customFormat="1" ht="14.25" customHeight="1" x14ac:dyDescent="0.2">
      <c r="A80" s="538" t="s">
        <v>1</v>
      </c>
      <c r="B80" s="939" t="str">
        <f>DADOS!B97</f>
        <v>Afastamento Maternidade</v>
      </c>
      <c r="C80" s="1024"/>
      <c r="D80" s="1024"/>
      <c r="E80" s="1052"/>
      <c r="F80" s="576">
        <f>DADOS!C97</f>
        <v>0</v>
      </c>
      <c r="G80" s="548">
        <f>F80*$G$33</f>
        <v>0</v>
      </c>
      <c r="H80" s="576">
        <f>DADOS!E97</f>
        <v>0</v>
      </c>
      <c r="I80" s="548">
        <f>H80*$I$33</f>
        <v>0</v>
      </c>
      <c r="J80" s="533">
        <f>DADOS!G97</f>
        <v>0</v>
      </c>
      <c r="K80" s="593">
        <f>J80*$I$33</f>
        <v>0</v>
      </c>
      <c r="L80" s="576">
        <f>DADOS!I97</f>
        <v>0</v>
      </c>
      <c r="M80" s="548">
        <f>L80*$M$33</f>
        <v>0</v>
      </c>
      <c r="N80" s="576">
        <f>DADOS!K97</f>
        <v>0</v>
      </c>
      <c r="O80" s="548">
        <f>N80*$K$33</f>
        <v>0</v>
      </c>
      <c r="P80" s="576">
        <f>DADOS!M97</f>
        <v>0</v>
      </c>
      <c r="Q80" s="548">
        <f>P80*$K$33</f>
        <v>0</v>
      </c>
      <c r="R80" s="576">
        <f>DADOS!O97</f>
        <v>0</v>
      </c>
      <c r="S80" s="659">
        <f>R80*$K$33</f>
        <v>0</v>
      </c>
    </row>
    <row r="81" spans="1:19" s="44" customFormat="1" ht="14.25" customHeight="1" x14ac:dyDescent="0.2">
      <c r="A81" s="538" t="s">
        <v>2</v>
      </c>
      <c r="B81" s="939" t="str">
        <f>DADOS!B98</f>
        <v>Incidência dos encargos do Submódulo 4.1 sobre o afastamento maternidade</v>
      </c>
      <c r="C81" s="1024"/>
      <c r="D81" s="1024"/>
      <c r="E81" s="1052"/>
      <c r="F81" s="576">
        <f>DADOS!C98</f>
        <v>0</v>
      </c>
      <c r="G81" s="548">
        <f>F81*$G$33</f>
        <v>0</v>
      </c>
      <c r="H81" s="576">
        <f>DADOS!E98</f>
        <v>0</v>
      </c>
      <c r="I81" s="548">
        <f>H81*$I$33</f>
        <v>0</v>
      </c>
      <c r="J81" s="533">
        <f>DADOS!G98</f>
        <v>0</v>
      </c>
      <c r="K81" s="593">
        <f>J81*$K$33</f>
        <v>0</v>
      </c>
      <c r="L81" s="576">
        <f>DADOS!I98</f>
        <v>0</v>
      </c>
      <c r="M81" s="548">
        <f>L81*$M$33</f>
        <v>0</v>
      </c>
      <c r="N81" s="576">
        <f>DADOS!K98</f>
        <v>0</v>
      </c>
      <c r="O81" s="548">
        <f>N81*$K$33</f>
        <v>0</v>
      </c>
      <c r="P81" s="576">
        <f>DADOS!M98</f>
        <v>0</v>
      </c>
      <c r="Q81" s="548">
        <f>P81*$K$33</f>
        <v>0</v>
      </c>
      <c r="R81" s="576">
        <f>DADOS!O98</f>
        <v>0</v>
      </c>
      <c r="S81" s="659">
        <f>R81*$K$33</f>
        <v>0</v>
      </c>
    </row>
    <row r="82" spans="1:19" s="46" customFormat="1" ht="18" customHeight="1" x14ac:dyDescent="0.2">
      <c r="A82" s="967" t="s">
        <v>57</v>
      </c>
      <c r="B82" s="968"/>
      <c r="C82" s="968"/>
      <c r="D82" s="968"/>
      <c r="E82" s="1054"/>
      <c r="F82" s="577">
        <f t="shared" ref="F82:K82" si="17">SUM(F80:F81)</f>
        <v>0</v>
      </c>
      <c r="G82" s="553">
        <f t="shared" si="17"/>
        <v>0</v>
      </c>
      <c r="H82" s="577">
        <f t="shared" si="17"/>
        <v>0</v>
      </c>
      <c r="I82" s="553">
        <f t="shared" si="17"/>
        <v>0</v>
      </c>
      <c r="J82" s="534">
        <f t="shared" si="17"/>
        <v>0</v>
      </c>
      <c r="K82" s="595">
        <f t="shared" si="17"/>
        <v>0</v>
      </c>
      <c r="L82" s="577">
        <f>SUM(L80:L81)</f>
        <v>0</v>
      </c>
      <c r="M82" s="553">
        <f>SUM(M80:M81)</f>
        <v>0</v>
      </c>
      <c r="N82" s="577">
        <f t="shared" ref="N82:O82" si="18">SUM(N80:N81)</f>
        <v>0</v>
      </c>
      <c r="O82" s="553">
        <f t="shared" si="18"/>
        <v>0</v>
      </c>
      <c r="P82" s="577">
        <f t="shared" ref="P82:Q82" si="19">SUM(P80:P81)</f>
        <v>0</v>
      </c>
      <c r="Q82" s="553">
        <f t="shared" si="19"/>
        <v>0</v>
      </c>
      <c r="R82" s="577">
        <f t="shared" ref="R82:S82" si="20">SUM(R80:R81)</f>
        <v>0</v>
      </c>
      <c r="S82" s="553">
        <f t="shared" si="20"/>
        <v>0</v>
      </c>
    </row>
    <row r="83" spans="1:19" s="46" customFormat="1" ht="18" customHeight="1" x14ac:dyDescent="0.2">
      <c r="A83" s="972"/>
      <c r="B83" s="974"/>
      <c r="C83" s="974"/>
      <c r="D83" s="974"/>
      <c r="E83" s="973"/>
      <c r="F83" s="890"/>
      <c r="G83" s="891"/>
      <c r="H83" s="890"/>
      <c r="I83" s="891"/>
      <c r="J83" s="892"/>
      <c r="K83" s="892"/>
      <c r="L83" s="890"/>
      <c r="M83" s="891"/>
      <c r="N83" s="890"/>
      <c r="O83" s="891"/>
      <c r="P83" s="890"/>
      <c r="Q83" s="891"/>
      <c r="R83" s="890"/>
      <c r="S83" s="891"/>
    </row>
    <row r="84" spans="1:19" s="44" customFormat="1" x14ac:dyDescent="0.2">
      <c r="A84" s="1049" t="s">
        <v>105</v>
      </c>
      <c r="B84" s="1050"/>
      <c r="C84" s="1050"/>
      <c r="D84" s="1050"/>
      <c r="E84" s="1051"/>
      <c r="F84" s="890"/>
      <c r="G84" s="891"/>
      <c r="H84" s="890"/>
      <c r="I84" s="891"/>
      <c r="J84" s="892"/>
      <c r="K84" s="892"/>
      <c r="L84" s="890"/>
      <c r="M84" s="891"/>
      <c r="N84" s="890"/>
      <c r="O84" s="891"/>
      <c r="P84" s="890"/>
      <c r="Q84" s="891"/>
      <c r="R84" s="890"/>
      <c r="S84" s="891"/>
    </row>
    <row r="85" spans="1:19" s="44" customFormat="1" ht="18" customHeight="1" x14ac:dyDescent="0.2">
      <c r="A85" s="538" t="s">
        <v>69</v>
      </c>
      <c r="B85" s="964" t="s">
        <v>106</v>
      </c>
      <c r="C85" s="964"/>
      <c r="D85" s="964"/>
      <c r="E85" s="1055"/>
      <c r="F85" s="622" t="s">
        <v>12</v>
      </c>
      <c r="G85" s="623" t="s">
        <v>98</v>
      </c>
      <c r="H85" s="622" t="s">
        <v>12</v>
      </c>
      <c r="I85" s="623" t="s">
        <v>98</v>
      </c>
      <c r="J85" s="620" t="s">
        <v>12</v>
      </c>
      <c r="K85" s="629" t="s">
        <v>98</v>
      </c>
      <c r="L85" s="622" t="s">
        <v>12</v>
      </c>
      <c r="M85" s="623" t="s">
        <v>98</v>
      </c>
      <c r="N85" s="622" t="s">
        <v>12</v>
      </c>
      <c r="O85" s="623" t="s">
        <v>98</v>
      </c>
      <c r="P85" s="622" t="s">
        <v>12</v>
      </c>
      <c r="Q85" s="623" t="s">
        <v>98</v>
      </c>
      <c r="R85" s="622" t="s">
        <v>12</v>
      </c>
      <c r="S85" s="623" t="s">
        <v>98</v>
      </c>
    </row>
    <row r="86" spans="1:19" s="44" customFormat="1" ht="14.25" customHeight="1" x14ac:dyDescent="0.2">
      <c r="A86" s="538" t="s">
        <v>1</v>
      </c>
      <c r="B86" s="939" t="str">
        <f>DADOS!B101</f>
        <v>Aviso Prévio Indenizado </v>
      </c>
      <c r="C86" s="1024"/>
      <c r="D86" s="1024"/>
      <c r="E86" s="1052"/>
      <c r="F86" s="576">
        <f>DADOS!C101</f>
        <v>4.1999999999999997E-3</v>
      </c>
      <c r="G86" s="548">
        <f t="shared" ref="G86:G91" si="21">F86*$G$33</f>
        <v>11.66</v>
      </c>
      <c r="H86" s="583">
        <v>4.0000000000000002E-4</v>
      </c>
      <c r="I86" s="548">
        <f>ROUND(H86*$I$33,2)</f>
        <v>1.1100000000000001</v>
      </c>
      <c r="J86" s="533">
        <v>4.1999999999999997E-3</v>
      </c>
      <c r="K86" s="593">
        <f t="shared" ref="K86:K91" si="22">J86*$K$33</f>
        <v>12.15</v>
      </c>
      <c r="L86" s="576">
        <f t="shared" ref="L86:L91" si="23">H86</f>
        <v>4.0000000000000002E-4</v>
      </c>
      <c r="M86" s="548">
        <f t="shared" ref="M86:M91" si="24">ROUND(L86*$M$33,2)</f>
        <v>1.1599999999999999</v>
      </c>
      <c r="N86" s="576">
        <v>4.0000000000000002E-4</v>
      </c>
      <c r="O86" s="548">
        <f>N86*$O$33</f>
        <v>1.18</v>
      </c>
      <c r="P86" s="576">
        <v>4.0000000000000002E-4</v>
      </c>
      <c r="Q86" s="679">
        <f>P86*$Q$33</f>
        <v>1.22</v>
      </c>
      <c r="R86" s="576">
        <v>4.0000000000000002E-4</v>
      </c>
      <c r="S86" s="679">
        <f>R86*$S$33</f>
        <v>1.22</v>
      </c>
    </row>
    <row r="87" spans="1:19" s="44" customFormat="1" ht="14.25" customHeight="1" x14ac:dyDescent="0.2">
      <c r="A87" s="538" t="s">
        <v>2</v>
      </c>
      <c r="B87" s="519" t="str">
        <f>DADOS!B102</f>
        <v>Incidência dos encargos do submódulo 4.1 sobre aviso prévio indenizado</v>
      </c>
      <c r="C87" s="519"/>
      <c r="D87" s="520"/>
      <c r="E87" s="628"/>
      <c r="F87" s="576">
        <f>DADOS!C102</f>
        <v>1.5E-3</v>
      </c>
      <c r="G87" s="548">
        <f t="shared" si="21"/>
        <v>4.16</v>
      </c>
      <c r="H87" s="583">
        <v>1E-4</v>
      </c>
      <c r="I87" s="548">
        <f>H87*$I$33</f>
        <v>0.28000000000000003</v>
      </c>
      <c r="J87" s="533">
        <v>1.5E-3</v>
      </c>
      <c r="K87" s="593">
        <f t="shared" si="22"/>
        <v>4.34</v>
      </c>
      <c r="L87" s="576">
        <f t="shared" si="23"/>
        <v>1E-4</v>
      </c>
      <c r="M87" s="548">
        <f t="shared" si="24"/>
        <v>0.28999999999999998</v>
      </c>
      <c r="N87" s="576">
        <v>1E-4</v>
      </c>
      <c r="O87" s="548">
        <f t="shared" ref="O87:O91" si="25">N87*$O$33</f>
        <v>0.3</v>
      </c>
      <c r="P87" s="576">
        <v>1E-4</v>
      </c>
      <c r="Q87" s="679">
        <f>P87*$Q$33</f>
        <v>0.31</v>
      </c>
      <c r="R87" s="576">
        <v>1E-4</v>
      </c>
      <c r="S87" s="679">
        <f t="shared" ref="S87:S91" si="26">R87*$S$33</f>
        <v>0.31</v>
      </c>
    </row>
    <row r="88" spans="1:19" s="44" customFormat="1" ht="14.25" customHeight="1" x14ac:dyDescent="0.2">
      <c r="A88" s="538" t="s">
        <v>4</v>
      </c>
      <c r="B88" s="519" t="str">
        <f>DADOS!B103</f>
        <v xml:space="preserve">Multa do FGTS e contribuições sociais sobre o aviso prévio indenizado </v>
      </c>
      <c r="C88" s="519"/>
      <c r="D88" s="520"/>
      <c r="E88" s="628"/>
      <c r="F88" s="576">
        <f>DADOS!C103</f>
        <v>4.3499999999999997E-2</v>
      </c>
      <c r="G88" s="548">
        <f t="shared" si="21"/>
        <v>120.75</v>
      </c>
      <c r="H88" s="576">
        <f>DADOS!C103</f>
        <v>4.3499999999999997E-2</v>
      </c>
      <c r="I88" s="548">
        <f>H88*$I$33</f>
        <v>120.75</v>
      </c>
      <c r="J88" s="533">
        <v>4.3499999999999997E-2</v>
      </c>
      <c r="K88" s="593">
        <f t="shared" si="22"/>
        <v>125.84</v>
      </c>
      <c r="L88" s="576">
        <f t="shared" si="23"/>
        <v>4.3499999999999997E-2</v>
      </c>
      <c r="M88" s="548">
        <f t="shared" si="24"/>
        <v>125.84</v>
      </c>
      <c r="N88" s="576">
        <v>4.3499999999999997E-2</v>
      </c>
      <c r="O88" s="548">
        <f t="shared" si="25"/>
        <v>128.44</v>
      </c>
      <c r="P88" s="576">
        <v>4.3499999999999997E-2</v>
      </c>
      <c r="Q88" s="679">
        <f>P88*$Q$33</f>
        <v>132.85</v>
      </c>
      <c r="R88" s="576">
        <v>4.3499999999999997E-2</v>
      </c>
      <c r="S88" s="679">
        <f t="shared" si="26"/>
        <v>132.85</v>
      </c>
    </row>
    <row r="89" spans="1:19" s="44" customFormat="1" ht="14.25" customHeight="1" x14ac:dyDescent="0.2">
      <c r="A89" s="538" t="s">
        <v>5</v>
      </c>
      <c r="B89" s="939" t="str">
        <f>DADOS!B104</f>
        <v>Aviso Prévio trabalhado</v>
      </c>
      <c r="C89" s="1024"/>
      <c r="D89" s="1024"/>
      <c r="E89" s="1052"/>
      <c r="F89" s="576">
        <f>DADOS!C104</f>
        <v>1.9400000000000001E-2</v>
      </c>
      <c r="G89" s="548">
        <f t="shared" si="21"/>
        <v>53.85</v>
      </c>
      <c r="H89" s="583">
        <v>0</v>
      </c>
      <c r="I89" s="548">
        <f>H89*$I$33</f>
        <v>0</v>
      </c>
      <c r="J89" s="533">
        <v>1.9400000000000001E-2</v>
      </c>
      <c r="K89" s="593">
        <f t="shared" si="22"/>
        <v>56.12</v>
      </c>
      <c r="L89" s="576">
        <f t="shared" si="23"/>
        <v>0</v>
      </c>
      <c r="M89" s="548">
        <f t="shared" si="24"/>
        <v>0</v>
      </c>
      <c r="N89" s="576">
        <v>0</v>
      </c>
      <c r="O89" s="548">
        <f t="shared" si="25"/>
        <v>0</v>
      </c>
      <c r="P89" s="576">
        <v>0</v>
      </c>
      <c r="Q89" s="679">
        <f>P89*$Q$33</f>
        <v>0</v>
      </c>
      <c r="R89" s="576">
        <v>0</v>
      </c>
      <c r="S89" s="679">
        <f t="shared" si="26"/>
        <v>0</v>
      </c>
    </row>
    <row r="90" spans="1:19" s="44" customFormat="1" ht="14.25" customHeight="1" x14ac:dyDescent="0.2">
      <c r="A90" s="538" t="s">
        <v>6</v>
      </c>
      <c r="B90" s="939" t="str">
        <f>DADOS!B105</f>
        <v>Incidência dos encargos do submódulo 4.1 sobre aviso prévio trabalhado</v>
      </c>
      <c r="C90" s="1024"/>
      <c r="D90" s="1024"/>
      <c r="E90" s="1052"/>
      <c r="F90" s="576">
        <f>DADOS!C105</f>
        <v>7.0000000000000001E-3</v>
      </c>
      <c r="G90" s="548">
        <f t="shared" si="21"/>
        <v>19.43</v>
      </c>
      <c r="H90" s="583">
        <v>0</v>
      </c>
      <c r="I90" s="548">
        <f>H90*$I$33</f>
        <v>0</v>
      </c>
      <c r="J90" s="533">
        <v>7.0000000000000001E-3</v>
      </c>
      <c r="K90" s="593">
        <f t="shared" si="22"/>
        <v>20.25</v>
      </c>
      <c r="L90" s="576">
        <f t="shared" si="23"/>
        <v>0</v>
      </c>
      <c r="M90" s="548">
        <f t="shared" si="24"/>
        <v>0</v>
      </c>
      <c r="N90" s="576">
        <v>0</v>
      </c>
      <c r="O90" s="548">
        <f t="shared" si="25"/>
        <v>0</v>
      </c>
      <c r="P90" s="576">
        <v>0</v>
      </c>
      <c r="Q90" s="679">
        <f t="shared" ref="Q90:Q91" si="27">P90*$Q$33</f>
        <v>0</v>
      </c>
      <c r="R90" s="576">
        <v>0</v>
      </c>
      <c r="S90" s="679">
        <f t="shared" si="26"/>
        <v>0</v>
      </c>
    </row>
    <row r="91" spans="1:19" s="44" customFormat="1" ht="14.25" customHeight="1" x14ac:dyDescent="0.2">
      <c r="A91" s="538" t="s">
        <v>7</v>
      </c>
      <c r="B91" s="939" t="str">
        <f>DADOS!B106</f>
        <v>Multa do FGTS e contribuições sociais sobre o aviso prévio trabalhado</v>
      </c>
      <c r="C91" s="1024"/>
      <c r="D91" s="1024"/>
      <c r="E91" s="1052"/>
      <c r="F91" s="576">
        <f>DADOS!C106</f>
        <v>6.4999999999999997E-3</v>
      </c>
      <c r="G91" s="548">
        <f t="shared" si="21"/>
        <v>18.04</v>
      </c>
      <c r="H91" s="576">
        <f>DADOS!C106</f>
        <v>6.4999999999999997E-3</v>
      </c>
      <c r="I91" s="548">
        <f>H91*$I$33</f>
        <v>18.04</v>
      </c>
      <c r="J91" s="533">
        <v>6.4999999999999997E-3</v>
      </c>
      <c r="K91" s="593">
        <f t="shared" si="22"/>
        <v>18.8</v>
      </c>
      <c r="L91" s="576">
        <f t="shared" si="23"/>
        <v>6.4999999999999997E-3</v>
      </c>
      <c r="M91" s="548">
        <f t="shared" si="24"/>
        <v>18.8</v>
      </c>
      <c r="N91" s="576">
        <v>6.4999999999999997E-3</v>
      </c>
      <c r="O91" s="548">
        <f t="shared" si="25"/>
        <v>19.190000000000001</v>
      </c>
      <c r="P91" s="576">
        <v>6.4999999999999997E-3</v>
      </c>
      <c r="Q91" s="679">
        <f t="shared" si="27"/>
        <v>19.850000000000001</v>
      </c>
      <c r="R91" s="576">
        <v>6.4999999999999997E-3</v>
      </c>
      <c r="S91" s="679">
        <f t="shared" si="26"/>
        <v>19.850000000000001</v>
      </c>
    </row>
    <row r="92" spans="1:19" s="46" customFormat="1" ht="18" customHeight="1" x14ac:dyDescent="0.2">
      <c r="A92" s="967" t="s">
        <v>57</v>
      </c>
      <c r="B92" s="968"/>
      <c r="C92" s="968"/>
      <c r="D92" s="968"/>
      <c r="E92" s="1054"/>
      <c r="F92" s="577">
        <f t="shared" ref="F92:K92" si="28">SUM(F86:F91)</f>
        <v>8.2100000000000006E-2</v>
      </c>
      <c r="G92" s="553">
        <f t="shared" si="28"/>
        <v>227.89</v>
      </c>
      <c r="H92" s="577">
        <f t="shared" si="28"/>
        <v>5.0500000000000003E-2</v>
      </c>
      <c r="I92" s="553">
        <f t="shared" si="28"/>
        <v>140.18</v>
      </c>
      <c r="J92" s="534">
        <f t="shared" si="28"/>
        <v>8.2100000000000006E-2</v>
      </c>
      <c r="K92" s="595">
        <f t="shared" si="28"/>
        <v>237.5</v>
      </c>
      <c r="L92" s="577">
        <f>SUM(L86:L91)</f>
        <v>5.0500000000000003E-2</v>
      </c>
      <c r="M92" s="553">
        <f>SUM(M86:M91)</f>
        <v>146.09</v>
      </c>
      <c r="N92" s="577">
        <f t="shared" ref="N92:O92" si="29">SUM(N86:N91)</f>
        <v>5.0500000000000003E-2</v>
      </c>
      <c r="O92" s="553">
        <f t="shared" si="29"/>
        <v>149.11000000000001</v>
      </c>
      <c r="P92" s="577">
        <f t="shared" ref="P92:Q92" si="30">SUM(P86:P91)</f>
        <v>5.0500000000000003E-2</v>
      </c>
      <c r="Q92" s="553">
        <f t="shared" si="30"/>
        <v>154.22999999999999</v>
      </c>
      <c r="R92" s="577">
        <f t="shared" ref="R92" si="31">SUM(R86:R91)</f>
        <v>5.0500000000000003E-2</v>
      </c>
      <c r="S92" s="552">
        <f>SUM(S86:S91)</f>
        <v>154.22999999999999</v>
      </c>
    </row>
    <row r="93" spans="1:19" s="46" customFormat="1" ht="18" customHeight="1" x14ac:dyDescent="0.2">
      <c r="A93" s="972"/>
      <c r="B93" s="974"/>
      <c r="C93" s="974"/>
      <c r="D93" s="974"/>
      <c r="E93" s="973"/>
      <c r="F93" s="890"/>
      <c r="G93" s="891"/>
      <c r="H93" s="890"/>
      <c r="I93" s="891"/>
      <c r="J93" s="892"/>
      <c r="K93" s="892"/>
      <c r="L93" s="890"/>
      <c r="M93" s="891"/>
      <c r="N93" s="890"/>
      <c r="O93" s="891"/>
      <c r="P93" s="890"/>
      <c r="Q93" s="891"/>
      <c r="R93" s="890"/>
      <c r="S93" s="891"/>
    </row>
    <row r="94" spans="1:19" s="44" customFormat="1" x14ac:dyDescent="0.2">
      <c r="A94" s="1049" t="s">
        <v>107</v>
      </c>
      <c r="B94" s="1050"/>
      <c r="C94" s="1050"/>
      <c r="D94" s="1050"/>
      <c r="E94" s="1051"/>
      <c r="F94" s="890"/>
      <c r="G94" s="891"/>
      <c r="H94" s="890"/>
      <c r="I94" s="891"/>
      <c r="J94" s="892"/>
      <c r="K94" s="892"/>
      <c r="L94" s="890"/>
      <c r="M94" s="891"/>
      <c r="N94" s="890"/>
      <c r="O94" s="891"/>
      <c r="P94" s="890"/>
      <c r="Q94" s="891"/>
      <c r="R94" s="890"/>
      <c r="S94" s="891"/>
    </row>
    <row r="95" spans="1:19" s="44" customFormat="1" ht="18" customHeight="1" x14ac:dyDescent="0.2">
      <c r="A95" s="538" t="s">
        <v>72</v>
      </c>
      <c r="B95" s="964" t="s">
        <v>117</v>
      </c>
      <c r="C95" s="964"/>
      <c r="D95" s="964"/>
      <c r="E95" s="1055"/>
      <c r="F95" s="622" t="s">
        <v>12</v>
      </c>
      <c r="G95" s="623" t="s">
        <v>98</v>
      </c>
      <c r="H95" s="622" t="s">
        <v>12</v>
      </c>
      <c r="I95" s="623" t="s">
        <v>98</v>
      </c>
      <c r="J95" s="620" t="s">
        <v>12</v>
      </c>
      <c r="K95" s="629" t="s">
        <v>98</v>
      </c>
      <c r="L95" s="622" t="s">
        <v>12</v>
      </c>
      <c r="M95" s="623" t="s">
        <v>98</v>
      </c>
      <c r="N95" s="622" t="s">
        <v>12</v>
      </c>
      <c r="O95" s="623" t="s">
        <v>98</v>
      </c>
      <c r="P95" s="622" t="s">
        <v>12</v>
      </c>
      <c r="Q95" s="623" t="s">
        <v>98</v>
      </c>
      <c r="R95" s="622" t="s">
        <v>12</v>
      </c>
      <c r="S95" s="623" t="s">
        <v>98</v>
      </c>
    </row>
    <row r="96" spans="1:19" s="44" customFormat="1" ht="14.25" customHeight="1" x14ac:dyDescent="0.2">
      <c r="A96" s="538" t="s">
        <v>1</v>
      </c>
      <c r="B96" s="939" t="str">
        <f>DADOS!B109</f>
        <v xml:space="preserve">Férias </v>
      </c>
      <c r="C96" s="1024"/>
      <c r="D96" s="1024"/>
      <c r="E96" s="1052"/>
      <c r="F96" s="576">
        <f>DADOS!C109</f>
        <v>8.3299999999999999E-2</v>
      </c>
      <c r="G96" s="550">
        <f t="shared" ref="G96:G103" si="32">F96*$G$33</f>
        <v>231.23</v>
      </c>
      <c r="H96" s="576">
        <f>DADOS!C109</f>
        <v>8.3299999999999999E-2</v>
      </c>
      <c r="I96" s="550">
        <f t="shared" ref="I96:I101" si="33">H96*$I$33</f>
        <v>231.23</v>
      </c>
      <c r="J96" s="533">
        <f>DADOS!C109</f>
        <v>8.3299999999999999E-2</v>
      </c>
      <c r="K96" s="592">
        <f t="shared" ref="K96:K101" si="34">J96*$K$33</f>
        <v>240.97</v>
      </c>
      <c r="L96" s="576">
        <f t="shared" ref="L96:L101" si="35">H96</f>
        <v>8.3299999999999999E-2</v>
      </c>
      <c r="M96" s="550">
        <f t="shared" ref="M96:M101" si="36">L96*$M$33</f>
        <v>240.97</v>
      </c>
      <c r="N96" s="576">
        <v>8.3299999999999999E-2</v>
      </c>
      <c r="O96" s="550">
        <f>N96*$O$33</f>
        <v>245.96</v>
      </c>
      <c r="P96" s="576">
        <v>8.3299999999999999E-2</v>
      </c>
      <c r="Q96" s="680">
        <f>P96*$Q$33</f>
        <v>254.39</v>
      </c>
      <c r="R96" s="576">
        <v>8.3299999999999999E-2</v>
      </c>
      <c r="S96" s="680">
        <f>R96*$S$33</f>
        <v>254.39</v>
      </c>
    </row>
    <row r="97" spans="1:19" s="44" customFormat="1" ht="14.25" customHeight="1" x14ac:dyDescent="0.2">
      <c r="A97" s="538" t="s">
        <v>2</v>
      </c>
      <c r="B97" s="939" t="str">
        <f>DADOS!B110</f>
        <v>Ausência por doença</v>
      </c>
      <c r="C97" s="1024"/>
      <c r="D97" s="1024"/>
      <c r="E97" s="1052"/>
      <c r="F97" s="576">
        <f>DADOS!C110</f>
        <v>1.3899999999999999E-2</v>
      </c>
      <c r="G97" s="550">
        <f t="shared" si="32"/>
        <v>38.58</v>
      </c>
      <c r="H97" s="576">
        <f>DADOS!C110</f>
        <v>1.3899999999999999E-2</v>
      </c>
      <c r="I97" s="550">
        <f t="shared" si="33"/>
        <v>38.58</v>
      </c>
      <c r="J97" s="533">
        <f>DADOS!C110</f>
        <v>1.3899999999999999E-2</v>
      </c>
      <c r="K97" s="592">
        <f t="shared" si="34"/>
        <v>40.21</v>
      </c>
      <c r="L97" s="576">
        <f t="shared" si="35"/>
        <v>1.3899999999999999E-2</v>
      </c>
      <c r="M97" s="550">
        <f t="shared" si="36"/>
        <v>40.21</v>
      </c>
      <c r="N97" s="576">
        <v>1.3899999999999999E-2</v>
      </c>
      <c r="O97" s="550">
        <f t="shared" ref="O97:O101" si="37">N97*$O$33</f>
        <v>41.04</v>
      </c>
      <c r="P97" s="576">
        <v>1.3899999999999999E-2</v>
      </c>
      <c r="Q97" s="680">
        <f t="shared" ref="Q97:Q101" si="38">P97*$Q$33</f>
        <v>42.45</v>
      </c>
      <c r="R97" s="576">
        <v>1.3899999999999999E-2</v>
      </c>
      <c r="S97" s="680">
        <f t="shared" ref="S97:S101" si="39">R97*$S$33</f>
        <v>42.45</v>
      </c>
    </row>
    <row r="98" spans="1:19" s="44" customFormat="1" ht="14.25" customHeight="1" x14ac:dyDescent="0.2">
      <c r="A98" s="538" t="s">
        <v>4</v>
      </c>
      <c r="B98" s="939" t="str">
        <f>DADOS!B111</f>
        <v>Licença Paternidade</v>
      </c>
      <c r="C98" s="1024"/>
      <c r="D98" s="1024"/>
      <c r="E98" s="1052"/>
      <c r="F98" s="576">
        <f>DADOS!C111</f>
        <v>1.2999999999999999E-3</v>
      </c>
      <c r="G98" s="550">
        <f t="shared" si="32"/>
        <v>3.61</v>
      </c>
      <c r="H98" s="576">
        <f>DADOS!C111</f>
        <v>1.2999999999999999E-3</v>
      </c>
      <c r="I98" s="550">
        <f t="shared" si="33"/>
        <v>3.61</v>
      </c>
      <c r="J98" s="533">
        <f>DADOS!C111</f>
        <v>1.2999999999999999E-3</v>
      </c>
      <c r="K98" s="592">
        <f t="shared" si="34"/>
        <v>3.76</v>
      </c>
      <c r="L98" s="576">
        <f t="shared" si="35"/>
        <v>1.2999999999999999E-3</v>
      </c>
      <c r="M98" s="550">
        <f t="shared" si="36"/>
        <v>3.76</v>
      </c>
      <c r="N98" s="576">
        <v>1.2999999999999999E-3</v>
      </c>
      <c r="O98" s="550">
        <f t="shared" si="37"/>
        <v>3.84</v>
      </c>
      <c r="P98" s="576">
        <v>1.2999999999999999E-3</v>
      </c>
      <c r="Q98" s="680">
        <f t="shared" si="38"/>
        <v>3.97</v>
      </c>
      <c r="R98" s="576">
        <v>1.2999999999999999E-3</v>
      </c>
      <c r="S98" s="680">
        <f t="shared" si="39"/>
        <v>3.97</v>
      </c>
    </row>
    <row r="99" spans="1:19" s="44" customFormat="1" ht="14.25" customHeight="1" x14ac:dyDescent="0.2">
      <c r="A99" s="538" t="s">
        <v>5</v>
      </c>
      <c r="B99" s="939" t="str">
        <f>DADOS!B112</f>
        <v>Ausências legais</v>
      </c>
      <c r="C99" s="1024"/>
      <c r="D99" s="1024"/>
      <c r="E99" s="1052"/>
      <c r="F99" s="576">
        <f>DADOS!C112</f>
        <v>2.8E-3</v>
      </c>
      <c r="G99" s="550">
        <f t="shared" si="32"/>
        <v>7.77</v>
      </c>
      <c r="H99" s="576">
        <f>DADOS!C112</f>
        <v>2.8E-3</v>
      </c>
      <c r="I99" s="550">
        <f t="shared" si="33"/>
        <v>7.77</v>
      </c>
      <c r="J99" s="533">
        <f>DADOS!C112</f>
        <v>2.8E-3</v>
      </c>
      <c r="K99" s="592">
        <f t="shared" si="34"/>
        <v>8.1</v>
      </c>
      <c r="L99" s="576">
        <f t="shared" si="35"/>
        <v>2.8E-3</v>
      </c>
      <c r="M99" s="550">
        <f t="shared" si="36"/>
        <v>8.1</v>
      </c>
      <c r="N99" s="576">
        <v>2.8E-3</v>
      </c>
      <c r="O99" s="550">
        <f t="shared" si="37"/>
        <v>8.27</v>
      </c>
      <c r="P99" s="576">
        <v>2.8E-3</v>
      </c>
      <c r="Q99" s="680">
        <f t="shared" si="38"/>
        <v>8.5500000000000007</v>
      </c>
      <c r="R99" s="576">
        <v>2.8E-3</v>
      </c>
      <c r="S99" s="680">
        <f t="shared" si="39"/>
        <v>8.5500000000000007</v>
      </c>
    </row>
    <row r="100" spans="1:19" s="44" customFormat="1" ht="14.25" customHeight="1" x14ac:dyDescent="0.2">
      <c r="A100" s="538" t="s">
        <v>6</v>
      </c>
      <c r="B100" s="939" t="str">
        <f>DADOS!B113</f>
        <v>Ausência por Acidente de trabalho</v>
      </c>
      <c r="C100" s="1024"/>
      <c r="D100" s="1024"/>
      <c r="E100" s="1052"/>
      <c r="F100" s="576">
        <f>DADOS!C113</f>
        <v>3.3E-3</v>
      </c>
      <c r="G100" s="550">
        <f t="shared" si="32"/>
        <v>9.16</v>
      </c>
      <c r="H100" s="576">
        <f>DADOS!C113</f>
        <v>3.3E-3</v>
      </c>
      <c r="I100" s="550">
        <f t="shared" si="33"/>
        <v>9.16</v>
      </c>
      <c r="J100" s="533">
        <f>DADOS!C113</f>
        <v>3.3E-3</v>
      </c>
      <c r="K100" s="592">
        <f t="shared" si="34"/>
        <v>9.5500000000000007</v>
      </c>
      <c r="L100" s="576">
        <f t="shared" si="35"/>
        <v>3.3E-3</v>
      </c>
      <c r="M100" s="550">
        <f t="shared" si="36"/>
        <v>9.5500000000000007</v>
      </c>
      <c r="N100" s="576">
        <v>3.3E-3</v>
      </c>
      <c r="O100" s="550">
        <f t="shared" si="37"/>
        <v>9.74</v>
      </c>
      <c r="P100" s="576">
        <v>3.3E-3</v>
      </c>
      <c r="Q100" s="680">
        <f t="shared" si="38"/>
        <v>10.08</v>
      </c>
      <c r="R100" s="576">
        <v>3.3E-3</v>
      </c>
      <c r="S100" s="680">
        <f t="shared" si="39"/>
        <v>10.08</v>
      </c>
    </row>
    <row r="101" spans="1:19" s="44" customFormat="1" ht="14.25" customHeight="1" x14ac:dyDescent="0.2">
      <c r="A101" s="538" t="s">
        <v>7</v>
      </c>
      <c r="B101" s="939" t="str">
        <f>DADOS!B114</f>
        <v>Outros (especificar)</v>
      </c>
      <c r="C101" s="1024"/>
      <c r="D101" s="1024"/>
      <c r="E101" s="1052"/>
      <c r="F101" s="576">
        <f>DADOS!C114</f>
        <v>0</v>
      </c>
      <c r="G101" s="550">
        <f t="shared" si="32"/>
        <v>0</v>
      </c>
      <c r="H101" s="576">
        <f>DADOS!C114</f>
        <v>0</v>
      </c>
      <c r="I101" s="550">
        <f t="shared" si="33"/>
        <v>0</v>
      </c>
      <c r="J101" s="533">
        <f>DADOS!C114</f>
        <v>0</v>
      </c>
      <c r="K101" s="592">
        <f t="shared" si="34"/>
        <v>0</v>
      </c>
      <c r="L101" s="576">
        <f t="shared" si="35"/>
        <v>0</v>
      </c>
      <c r="M101" s="550">
        <f t="shared" si="36"/>
        <v>0</v>
      </c>
      <c r="N101" s="576">
        <v>0</v>
      </c>
      <c r="O101" s="550">
        <f t="shared" si="37"/>
        <v>0</v>
      </c>
      <c r="P101" s="576">
        <v>0</v>
      </c>
      <c r="Q101" s="680">
        <f t="shared" si="38"/>
        <v>0</v>
      </c>
      <c r="R101" s="576">
        <v>0</v>
      </c>
      <c r="S101" s="680">
        <f t="shared" si="39"/>
        <v>0</v>
      </c>
    </row>
    <row r="102" spans="1:19" s="44" customFormat="1" ht="15" customHeight="1" x14ac:dyDescent="0.2">
      <c r="A102" s="967" t="s">
        <v>103</v>
      </c>
      <c r="B102" s="968"/>
      <c r="C102" s="968"/>
      <c r="D102" s="968"/>
      <c r="E102" s="1054"/>
      <c r="F102" s="577">
        <f t="shared" ref="F102:K102" si="40">SUM(F96:F101)</f>
        <v>0.1046</v>
      </c>
      <c r="G102" s="552">
        <f t="shared" si="40"/>
        <v>290.35000000000002</v>
      </c>
      <c r="H102" s="577">
        <f t="shared" si="40"/>
        <v>0.1046</v>
      </c>
      <c r="I102" s="552">
        <f t="shared" si="40"/>
        <v>290.35000000000002</v>
      </c>
      <c r="J102" s="534">
        <f t="shared" si="40"/>
        <v>0.1046</v>
      </c>
      <c r="K102" s="594">
        <f t="shared" si="40"/>
        <v>302.58999999999997</v>
      </c>
      <c r="L102" s="577">
        <f>SUM(L96:L101)</f>
        <v>0.1046</v>
      </c>
      <c r="M102" s="552">
        <f>SUM(M96:M101)</f>
        <v>302.58999999999997</v>
      </c>
      <c r="N102" s="577">
        <f t="shared" ref="N102" si="41">SUM(N96:N101)</f>
        <v>0.1046</v>
      </c>
      <c r="O102" s="552">
        <f>SUM(O96:O101)</f>
        <v>308.85000000000002</v>
      </c>
      <c r="P102" s="577">
        <f t="shared" ref="P102:R102" si="42">SUM(P96:P101)</f>
        <v>0.1046</v>
      </c>
      <c r="Q102" s="552">
        <f>SUM(Q96:Q101)</f>
        <v>319.44</v>
      </c>
      <c r="R102" s="577">
        <f t="shared" si="42"/>
        <v>0.1046</v>
      </c>
      <c r="S102" s="552">
        <f>SUM(S96:S101)</f>
        <v>319.44</v>
      </c>
    </row>
    <row r="103" spans="1:19" s="44" customFormat="1" ht="28.5" customHeight="1" x14ac:dyDescent="0.2">
      <c r="A103" s="538" t="s">
        <v>8</v>
      </c>
      <c r="B103" s="949" t="str">
        <f>DADOS!B116</f>
        <v>Incidência dos encargos previstos no Submódulo 4.1 sobre o custo de reposição do profissional ausente</v>
      </c>
      <c r="C103" s="949"/>
      <c r="D103" s="949"/>
      <c r="E103" s="1053"/>
      <c r="F103" s="576">
        <f>DADOS!C116</f>
        <v>3.7600000000000001E-2</v>
      </c>
      <c r="G103" s="550">
        <f t="shared" si="32"/>
        <v>104.37</v>
      </c>
      <c r="H103" s="576">
        <f>DADOS!C116</f>
        <v>3.7600000000000001E-2</v>
      </c>
      <c r="I103" s="550">
        <f>H103*$I$33</f>
        <v>104.37</v>
      </c>
      <c r="J103" s="533">
        <f>DADOS!C116</f>
        <v>3.7600000000000001E-2</v>
      </c>
      <c r="K103" s="592">
        <f>J103*$K$33</f>
        <v>108.77</v>
      </c>
      <c r="L103" s="576">
        <f>H103</f>
        <v>3.7600000000000001E-2</v>
      </c>
      <c r="M103" s="550">
        <f>L103*$M$33</f>
        <v>108.77</v>
      </c>
      <c r="N103" s="576">
        <f>N102*N68</f>
        <v>3.7900000000000003E-2</v>
      </c>
      <c r="O103" s="550">
        <f>N103*$O$33</f>
        <v>111.91</v>
      </c>
      <c r="P103" s="576">
        <f>P102*P68</f>
        <v>3.7999999999999999E-2</v>
      </c>
      <c r="Q103" s="680">
        <f>P103*$Q$33</f>
        <v>116.05</v>
      </c>
      <c r="R103" s="576">
        <f>R102*R68</f>
        <v>3.7999999999999999E-2</v>
      </c>
      <c r="S103" s="680">
        <f>R103*$S$33</f>
        <v>116.05</v>
      </c>
    </row>
    <row r="104" spans="1:19" s="49" customFormat="1" ht="18" customHeight="1" x14ac:dyDescent="0.2">
      <c r="A104" s="967" t="s">
        <v>57</v>
      </c>
      <c r="B104" s="968"/>
      <c r="C104" s="968"/>
      <c r="D104" s="968"/>
      <c r="E104" s="1054"/>
      <c r="F104" s="577">
        <f t="shared" ref="F104:K104" si="43">SUM(F102:F103)</f>
        <v>0.14219999999999999</v>
      </c>
      <c r="G104" s="553">
        <f t="shared" si="43"/>
        <v>394.72</v>
      </c>
      <c r="H104" s="577">
        <f t="shared" si="43"/>
        <v>0.14219999999999999</v>
      </c>
      <c r="I104" s="553">
        <f t="shared" si="43"/>
        <v>394.72</v>
      </c>
      <c r="J104" s="534">
        <f t="shared" si="43"/>
        <v>0.14219999999999999</v>
      </c>
      <c r="K104" s="595">
        <f t="shared" si="43"/>
        <v>411.36</v>
      </c>
      <c r="L104" s="577">
        <f>SUM(L102:L103)</f>
        <v>0.14219999999999999</v>
      </c>
      <c r="M104" s="553">
        <f>SUM(M102:M103)</f>
        <v>411.36</v>
      </c>
      <c r="N104" s="577">
        <f t="shared" ref="N104" si="44">SUM(N102:N103)</f>
        <v>0.14249999999999999</v>
      </c>
      <c r="O104" s="553">
        <f>SUM(O102:O103)</f>
        <v>420.76</v>
      </c>
      <c r="P104" s="577">
        <f t="shared" ref="P104:R104" si="45">SUM(P102:P103)</f>
        <v>0.1426</v>
      </c>
      <c r="Q104" s="553">
        <f>SUM(Q102:Q103)</f>
        <v>435.49</v>
      </c>
      <c r="R104" s="577">
        <f t="shared" si="45"/>
        <v>0.1426</v>
      </c>
      <c r="S104" s="553">
        <f>SUM(S102:S103)</f>
        <v>435.49</v>
      </c>
    </row>
    <row r="105" spans="1:19" s="46" customFormat="1" x14ac:dyDescent="0.2">
      <c r="A105" s="972"/>
      <c r="B105" s="974"/>
      <c r="C105" s="974"/>
      <c r="D105" s="974"/>
      <c r="E105" s="973"/>
      <c r="F105" s="890"/>
      <c r="G105" s="891"/>
      <c r="H105" s="890"/>
      <c r="I105" s="891"/>
      <c r="J105" s="892"/>
      <c r="K105" s="892"/>
      <c r="L105" s="890"/>
      <c r="M105" s="891"/>
      <c r="N105" s="890"/>
      <c r="O105" s="891"/>
      <c r="P105" s="890"/>
      <c r="Q105" s="891"/>
      <c r="R105" s="890"/>
      <c r="S105" s="891"/>
    </row>
    <row r="106" spans="1:19" s="44" customFormat="1" x14ac:dyDescent="0.2">
      <c r="A106" s="1002" t="s">
        <v>137</v>
      </c>
      <c r="B106" s="1066"/>
      <c r="C106" s="1066"/>
      <c r="D106" s="1066"/>
      <c r="E106" s="1003"/>
      <c r="F106" s="890"/>
      <c r="G106" s="891"/>
      <c r="H106" s="890"/>
      <c r="I106" s="891"/>
      <c r="J106" s="892"/>
      <c r="K106" s="892"/>
      <c r="L106" s="890"/>
      <c r="M106" s="891"/>
      <c r="N106" s="890"/>
      <c r="O106" s="891"/>
      <c r="P106" s="890"/>
      <c r="Q106" s="891"/>
      <c r="R106" s="890"/>
      <c r="S106" s="891"/>
    </row>
    <row r="107" spans="1:19" s="44" customFormat="1" ht="18" customHeight="1" x14ac:dyDescent="0.2">
      <c r="A107" s="538">
        <v>4</v>
      </c>
      <c r="B107" s="964" t="s">
        <v>108</v>
      </c>
      <c r="C107" s="964"/>
      <c r="D107" s="964"/>
      <c r="E107" s="1055"/>
      <c r="F107" s="622" t="s">
        <v>12</v>
      </c>
      <c r="G107" s="623" t="s">
        <v>98</v>
      </c>
      <c r="H107" s="622" t="s">
        <v>12</v>
      </c>
      <c r="I107" s="623" t="s">
        <v>98</v>
      </c>
      <c r="J107" s="620" t="s">
        <v>12</v>
      </c>
      <c r="K107" s="629" t="s">
        <v>98</v>
      </c>
      <c r="L107" s="622" t="s">
        <v>12</v>
      </c>
      <c r="M107" s="623" t="s">
        <v>98</v>
      </c>
      <c r="N107" s="622" t="s">
        <v>12</v>
      </c>
      <c r="O107" s="623" t="s">
        <v>98</v>
      </c>
      <c r="P107" s="622" t="s">
        <v>12</v>
      </c>
      <c r="Q107" s="623" t="s">
        <v>98</v>
      </c>
      <c r="R107" s="622" t="s">
        <v>12</v>
      </c>
      <c r="S107" s="623" t="s">
        <v>98</v>
      </c>
    </row>
    <row r="108" spans="1:19" s="44" customFormat="1" ht="14.25" customHeight="1" x14ac:dyDescent="0.2">
      <c r="A108" s="538" t="s">
        <v>58</v>
      </c>
      <c r="B108" s="939" t="str">
        <f>B59</f>
        <v>Encargos previdenciários, FGTS e outras contribuições</v>
      </c>
      <c r="C108" s="1024"/>
      <c r="D108" s="1024"/>
      <c r="E108" s="1052"/>
      <c r="F108" s="576">
        <f t="shared" ref="F108:K108" si="46">F68</f>
        <v>0.35930000000000001</v>
      </c>
      <c r="G108" s="548">
        <f t="shared" si="46"/>
        <v>997.39</v>
      </c>
      <c r="H108" s="576">
        <f t="shared" si="46"/>
        <v>0.35930000000000001</v>
      </c>
      <c r="I108" s="548">
        <f t="shared" si="46"/>
        <v>997.39</v>
      </c>
      <c r="J108" s="533">
        <f t="shared" si="46"/>
        <v>0.35930000000000001</v>
      </c>
      <c r="K108" s="593">
        <f t="shared" si="46"/>
        <v>1039.3900000000001</v>
      </c>
      <c r="L108" s="576">
        <f t="shared" ref="L108:L113" si="47">H108</f>
        <v>0.35930000000000001</v>
      </c>
      <c r="M108" s="548">
        <f>M68</f>
        <v>1039.3900000000001</v>
      </c>
      <c r="N108" s="576">
        <f t="shared" ref="N108:O108" si="48">N68</f>
        <v>0.36230000000000001</v>
      </c>
      <c r="O108" s="548">
        <f t="shared" si="48"/>
        <v>1069.76</v>
      </c>
      <c r="P108" s="576">
        <f t="shared" ref="P108:Q108" si="49">P68</f>
        <v>0.3629</v>
      </c>
      <c r="Q108" s="679">
        <f t="shared" si="49"/>
        <v>1108.28</v>
      </c>
      <c r="R108" s="576">
        <f t="shared" ref="R108:S108" si="50">R68</f>
        <v>0.3629</v>
      </c>
      <c r="S108" s="679">
        <f t="shared" si="50"/>
        <v>1108.28</v>
      </c>
    </row>
    <row r="109" spans="1:19" s="44" customFormat="1" ht="14.25" customHeight="1" x14ac:dyDescent="0.2">
      <c r="A109" s="538" t="s">
        <v>65</v>
      </c>
      <c r="B109" s="939" t="str">
        <f>B71</f>
        <v xml:space="preserve">13º (décimo terceiro) Salário </v>
      </c>
      <c r="C109" s="1024"/>
      <c r="D109" s="1024"/>
      <c r="E109" s="1052"/>
      <c r="F109" s="576">
        <f t="shared" ref="F109:K109" si="51">F76</f>
        <v>0.151</v>
      </c>
      <c r="G109" s="548">
        <f t="shared" si="51"/>
        <v>419.16</v>
      </c>
      <c r="H109" s="576">
        <f t="shared" si="51"/>
        <v>0.151</v>
      </c>
      <c r="I109" s="548">
        <f t="shared" si="51"/>
        <v>419.16</v>
      </c>
      <c r="J109" s="533">
        <f t="shared" si="51"/>
        <v>0.151</v>
      </c>
      <c r="K109" s="593">
        <f t="shared" si="51"/>
        <v>436.81</v>
      </c>
      <c r="L109" s="576">
        <f t="shared" si="47"/>
        <v>0.151</v>
      </c>
      <c r="M109" s="548">
        <f>M76</f>
        <v>436.81</v>
      </c>
      <c r="N109" s="576">
        <f t="shared" ref="N109:O109" si="52">N76</f>
        <v>0.15140000000000001</v>
      </c>
      <c r="O109" s="548">
        <f t="shared" si="52"/>
        <v>447.03</v>
      </c>
      <c r="P109" s="576">
        <f t="shared" ref="P109:Q109" si="53">P76</f>
        <v>0.15140000000000001</v>
      </c>
      <c r="Q109" s="679">
        <f t="shared" si="53"/>
        <v>462.36</v>
      </c>
      <c r="R109" s="576">
        <f t="shared" ref="R109:S109" si="54">R76</f>
        <v>0.15140000000000001</v>
      </c>
      <c r="S109" s="679">
        <f t="shared" si="54"/>
        <v>462.36</v>
      </c>
    </row>
    <row r="110" spans="1:19" s="44" customFormat="1" ht="14.25" customHeight="1" x14ac:dyDescent="0.2">
      <c r="A110" s="538" t="s">
        <v>67</v>
      </c>
      <c r="B110" s="939" t="str">
        <f>B79</f>
        <v>Afastamento Maternidade</v>
      </c>
      <c r="C110" s="1024"/>
      <c r="D110" s="1024"/>
      <c r="E110" s="1052"/>
      <c r="F110" s="576">
        <f t="shared" ref="F110:K110" si="55">F82</f>
        <v>0</v>
      </c>
      <c r="G110" s="548">
        <f t="shared" si="55"/>
        <v>0</v>
      </c>
      <c r="H110" s="576">
        <f t="shared" si="55"/>
        <v>0</v>
      </c>
      <c r="I110" s="548">
        <f t="shared" si="55"/>
        <v>0</v>
      </c>
      <c r="J110" s="533">
        <f t="shared" si="55"/>
        <v>0</v>
      </c>
      <c r="K110" s="593">
        <f t="shared" si="55"/>
        <v>0</v>
      </c>
      <c r="L110" s="576">
        <f t="shared" si="47"/>
        <v>0</v>
      </c>
      <c r="M110" s="548">
        <f>M82</f>
        <v>0</v>
      </c>
      <c r="N110" s="576">
        <f t="shared" ref="N110:O110" si="56">N82</f>
        <v>0</v>
      </c>
      <c r="O110" s="548">
        <f t="shared" si="56"/>
        <v>0</v>
      </c>
      <c r="P110" s="576">
        <f t="shared" ref="P110:Q110" si="57">P82</f>
        <v>0</v>
      </c>
      <c r="Q110" s="679">
        <f t="shared" si="57"/>
        <v>0</v>
      </c>
      <c r="R110" s="576">
        <f t="shared" ref="R110:S110" si="58">R82</f>
        <v>0</v>
      </c>
      <c r="S110" s="679">
        <f t="shared" si="58"/>
        <v>0</v>
      </c>
    </row>
    <row r="111" spans="1:19" s="44" customFormat="1" ht="14.25" customHeight="1" x14ac:dyDescent="0.2">
      <c r="A111" s="538" t="s">
        <v>69</v>
      </c>
      <c r="B111" s="939" t="str">
        <f>B85</f>
        <v>Provisão para Rescisão</v>
      </c>
      <c r="C111" s="1024"/>
      <c r="D111" s="1024"/>
      <c r="E111" s="1052"/>
      <c r="F111" s="576">
        <f t="shared" ref="F111:K111" si="59">F92</f>
        <v>8.2100000000000006E-2</v>
      </c>
      <c r="G111" s="548">
        <f t="shared" si="59"/>
        <v>227.89</v>
      </c>
      <c r="H111" s="576">
        <f t="shared" si="59"/>
        <v>5.0500000000000003E-2</v>
      </c>
      <c r="I111" s="548">
        <f t="shared" si="59"/>
        <v>140.18</v>
      </c>
      <c r="J111" s="533">
        <f t="shared" si="59"/>
        <v>8.2100000000000006E-2</v>
      </c>
      <c r="K111" s="593">
        <f t="shared" si="59"/>
        <v>237.5</v>
      </c>
      <c r="L111" s="576">
        <f t="shared" si="47"/>
        <v>5.0500000000000003E-2</v>
      </c>
      <c r="M111" s="548">
        <f>M92</f>
        <v>146.09</v>
      </c>
      <c r="N111" s="576">
        <f t="shared" ref="N111:O111" si="60">N92</f>
        <v>5.0500000000000003E-2</v>
      </c>
      <c r="O111" s="548">
        <f t="shared" si="60"/>
        <v>149.11000000000001</v>
      </c>
      <c r="P111" s="576">
        <f t="shared" ref="P111:Q111" si="61">P92</f>
        <v>5.0500000000000003E-2</v>
      </c>
      <c r="Q111" s="679">
        <f t="shared" si="61"/>
        <v>154.22999999999999</v>
      </c>
      <c r="R111" s="576">
        <f t="shared" ref="R111:S111" si="62">R92</f>
        <v>5.0500000000000003E-2</v>
      </c>
      <c r="S111" s="679">
        <f t="shared" si="62"/>
        <v>154.22999999999999</v>
      </c>
    </row>
    <row r="112" spans="1:19" s="44" customFormat="1" ht="14.25" customHeight="1" x14ac:dyDescent="0.2">
      <c r="A112" s="538" t="s">
        <v>72</v>
      </c>
      <c r="B112" s="939" t="str">
        <f>B95</f>
        <v>Composição do Custo de Reposição do Profissional Ausente</v>
      </c>
      <c r="C112" s="1024"/>
      <c r="D112" s="1024"/>
      <c r="E112" s="1052"/>
      <c r="F112" s="576">
        <f t="shared" ref="F112:K112" si="63">F104</f>
        <v>0.14219999999999999</v>
      </c>
      <c r="G112" s="548">
        <f t="shared" si="63"/>
        <v>394.72</v>
      </c>
      <c r="H112" s="576">
        <f t="shared" si="63"/>
        <v>0.14219999999999999</v>
      </c>
      <c r="I112" s="548">
        <f t="shared" si="63"/>
        <v>394.72</v>
      </c>
      <c r="J112" s="533">
        <f t="shared" si="63"/>
        <v>0.14219999999999999</v>
      </c>
      <c r="K112" s="593">
        <f t="shared" si="63"/>
        <v>411.36</v>
      </c>
      <c r="L112" s="576">
        <f t="shared" si="47"/>
        <v>0.14219999999999999</v>
      </c>
      <c r="M112" s="548">
        <f>M104</f>
        <v>411.36</v>
      </c>
      <c r="N112" s="576">
        <f t="shared" ref="N112:O112" si="64">N104</f>
        <v>0.14249999999999999</v>
      </c>
      <c r="O112" s="548">
        <f t="shared" si="64"/>
        <v>420.76</v>
      </c>
      <c r="P112" s="576">
        <f t="shared" ref="P112:Q112" si="65">P104</f>
        <v>0.1426</v>
      </c>
      <c r="Q112" s="679">
        <f t="shared" si="65"/>
        <v>435.49</v>
      </c>
      <c r="R112" s="576">
        <f t="shared" ref="R112:S112" si="66">R104</f>
        <v>0.1426</v>
      </c>
      <c r="S112" s="679">
        <f t="shared" si="66"/>
        <v>435.49</v>
      </c>
    </row>
    <row r="113" spans="1:19" s="44" customFormat="1" ht="14.25" customHeight="1" x14ac:dyDescent="0.2">
      <c r="A113" s="538" t="s">
        <v>125</v>
      </c>
      <c r="B113" s="939" t="s">
        <v>76</v>
      </c>
      <c r="C113" s="1024"/>
      <c r="D113" s="1024"/>
      <c r="E113" s="1052"/>
      <c r="F113" s="576">
        <f>F106</f>
        <v>0</v>
      </c>
      <c r="G113" s="548"/>
      <c r="H113" s="576">
        <f>H106</f>
        <v>0</v>
      </c>
      <c r="I113" s="548"/>
      <c r="J113" s="533">
        <f>J106</f>
        <v>0</v>
      </c>
      <c r="K113" s="593"/>
      <c r="L113" s="576">
        <f t="shared" si="47"/>
        <v>0</v>
      </c>
      <c r="M113" s="548"/>
      <c r="N113" s="576">
        <f>N106</f>
        <v>0</v>
      </c>
      <c r="O113" s="548"/>
      <c r="P113" s="576">
        <f>P106</f>
        <v>0</v>
      </c>
      <c r="Q113" s="704"/>
      <c r="R113" s="576">
        <f>R106</f>
        <v>0</v>
      </c>
      <c r="S113" s="704"/>
    </row>
    <row r="114" spans="1:19" s="44" customFormat="1" ht="18" customHeight="1" x14ac:dyDescent="0.2">
      <c r="A114" s="557"/>
      <c r="B114" s="978" t="s">
        <v>138</v>
      </c>
      <c r="C114" s="978"/>
      <c r="D114" s="978"/>
      <c r="E114" s="1074"/>
      <c r="F114" s="577">
        <f t="shared" ref="F114:M114" si="67">SUM(F108:F113)</f>
        <v>0.73460000000000003</v>
      </c>
      <c r="G114" s="553">
        <f t="shared" si="67"/>
        <v>2039.16</v>
      </c>
      <c r="H114" s="577">
        <f t="shared" si="67"/>
        <v>0.70299999999999996</v>
      </c>
      <c r="I114" s="553">
        <f t="shared" si="67"/>
        <v>1951.45</v>
      </c>
      <c r="J114" s="534">
        <f t="shared" si="67"/>
        <v>0.73460000000000003</v>
      </c>
      <c r="K114" s="595">
        <f t="shared" si="67"/>
        <v>2125.06</v>
      </c>
      <c r="L114" s="577">
        <f t="shared" si="67"/>
        <v>0.70299999999999996</v>
      </c>
      <c r="M114" s="553">
        <f t="shared" si="67"/>
        <v>2033.65</v>
      </c>
      <c r="N114" s="577">
        <f t="shared" ref="N114:O114" si="68">SUM(N108:N113)</f>
        <v>0.70669999999999999</v>
      </c>
      <c r="O114" s="553">
        <f t="shared" si="68"/>
        <v>2086.66</v>
      </c>
      <c r="P114" s="577">
        <f t="shared" ref="P114:Q114" si="69">SUM(P108:P113)</f>
        <v>0.70740000000000003</v>
      </c>
      <c r="Q114" s="553">
        <f t="shared" si="69"/>
        <v>2160.36</v>
      </c>
      <c r="R114" s="577">
        <f t="shared" ref="R114:S114" si="70">SUM(R108:R113)</f>
        <v>0.70740000000000003</v>
      </c>
      <c r="S114" s="553">
        <f t="shared" si="70"/>
        <v>2160.36</v>
      </c>
    </row>
    <row r="115" spans="1:19" s="44" customFormat="1" x14ac:dyDescent="0.2">
      <c r="A115" s="538"/>
      <c r="B115" s="945"/>
      <c r="C115" s="909"/>
      <c r="D115" s="909"/>
      <c r="E115" s="897"/>
      <c r="F115" s="890"/>
      <c r="G115" s="891"/>
      <c r="H115" s="890"/>
      <c r="I115" s="891"/>
      <c r="J115" s="892"/>
      <c r="K115" s="892"/>
      <c r="L115" s="890"/>
      <c r="M115" s="891"/>
      <c r="N115" s="890"/>
      <c r="O115" s="891"/>
      <c r="P115" s="890"/>
      <c r="Q115" s="891"/>
      <c r="R115" s="890"/>
      <c r="S115" s="891"/>
    </row>
    <row r="116" spans="1:19" s="44" customFormat="1" x14ac:dyDescent="0.2">
      <c r="A116" s="1002" t="s">
        <v>35</v>
      </c>
      <c r="B116" s="1066"/>
      <c r="C116" s="1066"/>
      <c r="D116" s="1066"/>
      <c r="E116" s="1003"/>
      <c r="F116" s="890"/>
      <c r="G116" s="891"/>
      <c r="H116" s="890"/>
      <c r="I116" s="891"/>
      <c r="J116" s="892"/>
      <c r="K116" s="892"/>
      <c r="L116" s="890"/>
      <c r="M116" s="891"/>
      <c r="N116" s="890"/>
      <c r="O116" s="891"/>
      <c r="P116" s="890"/>
      <c r="Q116" s="891"/>
      <c r="R116" s="890"/>
      <c r="S116" s="891"/>
    </row>
    <row r="117" spans="1:19" s="44" customFormat="1" ht="18" customHeight="1" x14ac:dyDescent="0.2">
      <c r="A117" s="538">
        <v>5</v>
      </c>
      <c r="B117" s="964" t="s">
        <v>29</v>
      </c>
      <c r="C117" s="964"/>
      <c r="D117" s="964"/>
      <c r="E117" s="1055"/>
      <c r="F117" s="622" t="s">
        <v>12</v>
      </c>
      <c r="G117" s="623" t="s">
        <v>98</v>
      </c>
      <c r="H117" s="622" t="s">
        <v>12</v>
      </c>
      <c r="I117" s="623" t="s">
        <v>98</v>
      </c>
      <c r="J117" s="620" t="s">
        <v>12</v>
      </c>
      <c r="K117" s="629" t="s">
        <v>98</v>
      </c>
      <c r="L117" s="622" t="s">
        <v>12</v>
      </c>
      <c r="M117" s="623" t="s">
        <v>98</v>
      </c>
      <c r="N117" s="622" t="s">
        <v>12</v>
      </c>
      <c r="O117" s="623" t="s">
        <v>98</v>
      </c>
      <c r="P117" s="622" t="s">
        <v>12</v>
      </c>
      <c r="Q117" s="623" t="s">
        <v>98</v>
      </c>
      <c r="R117" s="622" t="s">
        <v>12</v>
      </c>
      <c r="S117" s="623" t="s">
        <v>98</v>
      </c>
    </row>
    <row r="118" spans="1:19" s="44" customFormat="1" x14ac:dyDescent="0.2">
      <c r="A118" s="538" t="s">
        <v>1</v>
      </c>
      <c r="B118" s="943" t="s">
        <v>30</v>
      </c>
      <c r="C118" s="1061"/>
      <c r="D118" s="1061"/>
      <c r="E118" s="1062"/>
      <c r="F118" s="576">
        <f>DADOS!F60</f>
        <v>6.9000000000000006E-2</v>
      </c>
      <c r="G118" s="558">
        <f>G131*F118</f>
        <v>391</v>
      </c>
      <c r="H118" s="576">
        <v>6.6299999999999998E-2</v>
      </c>
      <c r="I118" s="558">
        <f>I131*H118</f>
        <v>369.88</v>
      </c>
      <c r="J118" s="533">
        <v>6.9000000000000006E-2</v>
      </c>
      <c r="K118" s="596">
        <f>K131*J118</f>
        <v>406.74</v>
      </c>
      <c r="L118" s="576">
        <f>H118</f>
        <v>6.6299999999999998E-2</v>
      </c>
      <c r="M118" s="558">
        <f>M131*L118</f>
        <v>384.61</v>
      </c>
      <c r="N118" s="610">
        <v>6.6299999999999998E-2</v>
      </c>
      <c r="O118" s="558">
        <f>O131*N118</f>
        <v>392.66</v>
      </c>
      <c r="P118" s="576">
        <v>6.6299999999999998E-2</v>
      </c>
      <c r="Q118" s="558">
        <f>Q131*P118</f>
        <v>405.02</v>
      </c>
      <c r="R118" s="576">
        <v>6.6299999999999998E-2</v>
      </c>
      <c r="S118" s="558">
        <f>S131*R118</f>
        <v>404.78</v>
      </c>
    </row>
    <row r="119" spans="1:19" s="44" customFormat="1" x14ac:dyDescent="0.2">
      <c r="A119" s="898" t="s">
        <v>2</v>
      </c>
      <c r="B119" s="965" t="s">
        <v>23</v>
      </c>
      <c r="C119" s="1067"/>
      <c r="D119" s="1067"/>
      <c r="E119" s="1068"/>
      <c r="F119" s="576">
        <f>SUM(F120:F121)</f>
        <v>8.6499999999999994E-2</v>
      </c>
      <c r="G119" s="558"/>
      <c r="H119" s="576">
        <f>SUM(H120:H121)</f>
        <v>8.6499999999999994E-2</v>
      </c>
      <c r="I119" s="558"/>
      <c r="J119" s="533">
        <f>SUM(J120:J121)</f>
        <v>8.6499999999999994E-2</v>
      </c>
      <c r="K119" s="596"/>
      <c r="L119" s="576">
        <f>H119</f>
        <v>8.6499999999999994E-2</v>
      </c>
      <c r="M119" s="558"/>
      <c r="N119" s="576">
        <f>SUM(N120:N121)</f>
        <v>8.6499999999999994E-2</v>
      </c>
      <c r="O119" s="558"/>
      <c r="P119" s="576">
        <f>SUM(P120:P121)</f>
        <v>8.6499999999999994E-2</v>
      </c>
      <c r="Q119" s="558"/>
      <c r="R119" s="576">
        <f>SUM(R120:R121)</f>
        <v>8.6499999999999994E-2</v>
      </c>
      <c r="S119" s="558"/>
    </row>
    <row r="120" spans="1:19" s="44" customFormat="1" x14ac:dyDescent="0.2">
      <c r="A120" s="898"/>
      <c r="B120" s="939" t="s">
        <v>511</v>
      </c>
      <c r="C120" s="1024"/>
      <c r="D120" s="1024"/>
      <c r="E120" s="1052"/>
      <c r="F120" s="576">
        <f>DADOS!C75+DADOS!C74</f>
        <v>3.6499999999999998E-2</v>
      </c>
      <c r="G120" s="559">
        <f>($G$131+$G$118+$G$122)/DADOS!C$77*F120</f>
        <v>251.36</v>
      </c>
      <c r="H120" s="576">
        <f>DADOS!C75+DADOS!C74</f>
        <v>3.6499999999999998E-2</v>
      </c>
      <c r="I120" s="559">
        <f>($I$131+$I$118+$I$122)/(1-H119)*H120</f>
        <v>244.82</v>
      </c>
      <c r="J120" s="533">
        <f>DADOS!C75+DADOS!C74</f>
        <v>3.6499999999999998E-2</v>
      </c>
      <c r="K120" s="597">
        <f>($K$131+$K$118+$K$122)/(1-J119)*J120</f>
        <v>261.48</v>
      </c>
      <c r="L120" s="576">
        <f>H120</f>
        <v>3.6499999999999998E-2</v>
      </c>
      <c r="M120" s="559">
        <f>($M$131+$M$118+$M$122)/(1-L119)*L120</f>
        <v>254.57</v>
      </c>
      <c r="N120" s="576">
        <v>3.6499999999999998E-2</v>
      </c>
      <c r="O120" s="559">
        <f>($O$131+$O$118+$O$122)/(1-$N$119)*N120</f>
        <v>259.89999999999998</v>
      </c>
      <c r="P120" s="576">
        <v>3.6499999999999998E-2</v>
      </c>
      <c r="Q120" s="559">
        <f>($Q$131+$Q$118+$Q$122)/(1-$P$119)*P120</f>
        <v>268.08</v>
      </c>
      <c r="R120" s="576">
        <v>3.6499999999999998E-2</v>
      </c>
      <c r="S120" s="559">
        <f>($S$131+$S$118+$S$122)/(1-$R$119)*R120</f>
        <v>267.92</v>
      </c>
    </row>
    <row r="121" spans="1:19" s="44" customFormat="1" x14ac:dyDescent="0.2">
      <c r="A121" s="898"/>
      <c r="B121" s="939" t="s">
        <v>512</v>
      </c>
      <c r="C121" s="1024"/>
      <c r="D121" s="1024"/>
      <c r="E121" s="1052"/>
      <c r="F121" s="576">
        <f>DADOS!C73</f>
        <v>0.05</v>
      </c>
      <c r="G121" s="559">
        <f>($G$131+$G$118+$G$122)/DADOS!C$77*F121</f>
        <v>344.33</v>
      </c>
      <c r="H121" s="576">
        <f>DADOS!C73</f>
        <v>0.05</v>
      </c>
      <c r="I121" s="559">
        <f>($I$131+$I$118+$I$122)/(1-H119)*H121</f>
        <v>335.37</v>
      </c>
      <c r="J121" s="533">
        <f>DADOS!C73</f>
        <v>0.05</v>
      </c>
      <c r="K121" s="597">
        <f>($K$131+$K$118+$K$122)/(1-J119)*J121</f>
        <v>358.19</v>
      </c>
      <c r="L121" s="576">
        <f>H121</f>
        <v>0.05</v>
      </c>
      <c r="M121" s="559">
        <f>($M$131+$M$118+$M$122)/(1-L119)*L121</f>
        <v>348.73</v>
      </c>
      <c r="N121" s="576">
        <v>0.05</v>
      </c>
      <c r="O121" s="559">
        <f>($O$131+$O$118+$O$122)/(1-$N$119)*N121</f>
        <v>356.03</v>
      </c>
      <c r="P121" s="576">
        <v>0.05</v>
      </c>
      <c r="Q121" s="559">
        <f>($Q$131+$Q$118+$Q$122)/(1-$P$119)*P121</f>
        <v>367.23</v>
      </c>
      <c r="R121" s="576">
        <v>0.05</v>
      </c>
      <c r="S121" s="559">
        <f>($S$131+$S$118+$S$122)/(1-$R$119)*R121</f>
        <v>367.01</v>
      </c>
    </row>
    <row r="122" spans="1:19" s="44" customFormat="1" x14ac:dyDescent="0.2">
      <c r="A122" s="538" t="s">
        <v>2</v>
      </c>
      <c r="B122" s="965" t="s">
        <v>20</v>
      </c>
      <c r="C122" s="1067"/>
      <c r="D122" s="1067"/>
      <c r="E122" s="1068"/>
      <c r="F122" s="576">
        <f>DADOS!F61</f>
        <v>3.85E-2</v>
      </c>
      <c r="G122" s="560">
        <f>(G131+G118)*F122</f>
        <v>233.22</v>
      </c>
      <c r="H122" s="576">
        <v>0.03</v>
      </c>
      <c r="I122" s="560">
        <f>(I131+I118)*H122</f>
        <v>178.46</v>
      </c>
      <c r="J122" s="533">
        <v>3.85E-2</v>
      </c>
      <c r="K122" s="598">
        <f>(K131+K118)*J122</f>
        <v>242.61</v>
      </c>
      <c r="L122" s="576">
        <f>H122</f>
        <v>0.03</v>
      </c>
      <c r="M122" s="560">
        <f>(M131+M118)*L122</f>
        <v>185.57</v>
      </c>
      <c r="N122" s="610">
        <v>0.03</v>
      </c>
      <c r="O122" s="560">
        <f>(O131+O118)*N122</f>
        <v>189.46</v>
      </c>
      <c r="P122" s="576">
        <v>0.03</v>
      </c>
      <c r="Q122" s="560">
        <f>(Q131+Q118)*P122</f>
        <v>195.42</v>
      </c>
      <c r="R122" s="576">
        <v>0.03</v>
      </c>
      <c r="S122" s="560">
        <f>(S131+S118)*R122</f>
        <v>195.3</v>
      </c>
    </row>
    <row r="123" spans="1:19" s="44" customFormat="1" ht="18" customHeight="1" x14ac:dyDescent="0.2">
      <c r="A123" s="972" t="s">
        <v>329</v>
      </c>
      <c r="B123" s="974"/>
      <c r="C123" s="974"/>
      <c r="D123" s="974"/>
      <c r="E123" s="973"/>
      <c r="F123" s="540"/>
      <c r="G123" s="561">
        <f>G118+G120+G121+G122</f>
        <v>1219.9100000000001</v>
      </c>
      <c r="H123" s="584"/>
      <c r="I123" s="561">
        <f>I118+I120+I121+I122</f>
        <v>1128.53</v>
      </c>
      <c r="J123" s="536"/>
      <c r="K123" s="599">
        <f>K118+K120+K121+K122</f>
        <v>1269.02</v>
      </c>
      <c r="L123" s="584"/>
      <c r="M123" s="561">
        <f>M118+M120+M121+M122</f>
        <v>1173.48</v>
      </c>
      <c r="N123" s="584"/>
      <c r="O123" s="561">
        <f>O118+O120+O121+O122</f>
        <v>1198.05</v>
      </c>
      <c r="P123" s="584"/>
      <c r="Q123" s="561">
        <f>Q118+Q120+Q121+Q122</f>
        <v>1235.75</v>
      </c>
      <c r="R123" s="584"/>
      <c r="S123" s="561">
        <f>S118+S120+S121+S122</f>
        <v>1235.01</v>
      </c>
    </row>
    <row r="124" spans="1:19" s="44" customFormat="1" x14ac:dyDescent="0.2">
      <c r="A124" s="972"/>
      <c r="B124" s="974"/>
      <c r="C124" s="974"/>
      <c r="D124" s="974"/>
      <c r="E124" s="973"/>
      <c r="F124" s="896"/>
      <c r="G124" s="897"/>
      <c r="H124" s="896"/>
      <c r="I124" s="897"/>
      <c r="J124" s="909"/>
      <c r="K124" s="909"/>
      <c r="L124" s="896"/>
      <c r="M124" s="897"/>
      <c r="N124" s="896"/>
      <c r="O124" s="897"/>
      <c r="P124" s="896"/>
      <c r="Q124" s="897"/>
      <c r="R124" s="896"/>
      <c r="S124" s="897"/>
    </row>
    <row r="125" spans="1:19" s="44" customFormat="1" x14ac:dyDescent="0.2">
      <c r="A125" s="1002" t="s">
        <v>330</v>
      </c>
      <c r="B125" s="1066"/>
      <c r="C125" s="1066"/>
      <c r="D125" s="1066"/>
      <c r="E125" s="1003"/>
      <c r="F125" s="896"/>
      <c r="G125" s="897"/>
      <c r="H125" s="896"/>
      <c r="I125" s="897"/>
      <c r="J125" s="909"/>
      <c r="K125" s="909"/>
      <c r="L125" s="896"/>
      <c r="M125" s="897"/>
      <c r="N125" s="896"/>
      <c r="O125" s="897"/>
      <c r="P125" s="896"/>
      <c r="Q125" s="897"/>
      <c r="R125" s="896"/>
      <c r="S125" s="897"/>
    </row>
    <row r="126" spans="1:19" s="44" customFormat="1" ht="16.5" customHeight="1" x14ac:dyDescent="0.2">
      <c r="A126" s="1002" t="s">
        <v>331</v>
      </c>
      <c r="B126" s="1066"/>
      <c r="C126" s="1066"/>
      <c r="D126" s="1066"/>
      <c r="E126" s="1003"/>
      <c r="F126" s="638"/>
      <c r="G126" s="623" t="s">
        <v>156</v>
      </c>
      <c r="H126" s="622"/>
      <c r="I126" s="623" t="s">
        <v>156</v>
      </c>
      <c r="J126" s="620"/>
      <c r="K126" s="629" t="s">
        <v>156</v>
      </c>
      <c r="L126" s="622"/>
      <c r="M126" s="623" t="s">
        <v>156</v>
      </c>
      <c r="N126" s="622"/>
      <c r="O126" s="623" t="s">
        <v>156</v>
      </c>
      <c r="P126" s="622"/>
      <c r="Q126" s="623" t="s">
        <v>156</v>
      </c>
      <c r="R126" s="622"/>
      <c r="S126" s="623" t="s">
        <v>156</v>
      </c>
    </row>
    <row r="127" spans="1:19" s="44" customFormat="1" ht="14.25" customHeight="1" x14ac:dyDescent="0.2">
      <c r="A127" s="538" t="s">
        <v>1</v>
      </c>
      <c r="B127" s="939" t="s">
        <v>406</v>
      </c>
      <c r="C127" s="1024"/>
      <c r="D127" s="1024"/>
      <c r="E127" s="1052"/>
      <c r="F127" s="575"/>
      <c r="G127" s="548">
        <f>G33</f>
        <v>2775.88</v>
      </c>
      <c r="H127" s="575"/>
      <c r="I127" s="548">
        <f>I33</f>
        <v>2775.88</v>
      </c>
      <c r="J127" s="522"/>
      <c r="K127" s="593">
        <f>K33</f>
        <v>2892.8</v>
      </c>
      <c r="L127" s="575"/>
      <c r="M127" s="548">
        <f>M33</f>
        <v>2892.8</v>
      </c>
      <c r="N127" s="575"/>
      <c r="O127" s="548">
        <f>O33</f>
        <v>2952.67</v>
      </c>
      <c r="P127" s="575"/>
      <c r="Q127" s="548">
        <f>Q33</f>
        <v>3053.95</v>
      </c>
      <c r="R127" s="657"/>
      <c r="S127" s="659">
        <f>S33</f>
        <v>3053.95</v>
      </c>
    </row>
    <row r="128" spans="1:19" s="44" customFormat="1" ht="14.25" customHeight="1" x14ac:dyDescent="0.2">
      <c r="A128" s="538" t="s">
        <v>2</v>
      </c>
      <c r="B128" s="939" t="s">
        <v>407</v>
      </c>
      <c r="C128" s="1024"/>
      <c r="D128" s="1024"/>
      <c r="E128" s="1052"/>
      <c r="F128" s="575"/>
      <c r="G128" s="548">
        <f>G48</f>
        <v>575.83000000000004</v>
      </c>
      <c r="H128" s="575"/>
      <c r="I128" s="548">
        <f>I48</f>
        <v>575.83000000000004</v>
      </c>
      <c r="J128" s="522"/>
      <c r="K128" s="593">
        <f>K48</f>
        <v>601.09</v>
      </c>
      <c r="L128" s="575"/>
      <c r="M128" s="548">
        <f>M48</f>
        <v>601.09</v>
      </c>
      <c r="N128" s="575"/>
      <c r="O128" s="548">
        <f>O48</f>
        <v>609.64</v>
      </c>
      <c r="P128" s="575"/>
      <c r="Q128" s="548">
        <f>Q48</f>
        <v>621.05999999999995</v>
      </c>
      <c r="R128" s="657"/>
      <c r="S128" s="659">
        <f>S48</f>
        <v>621.05999999999995</v>
      </c>
    </row>
    <row r="129" spans="1:19" s="44" customFormat="1" ht="14.25" customHeight="1" x14ac:dyDescent="0.2">
      <c r="A129" s="538" t="s">
        <v>4</v>
      </c>
      <c r="B129" s="939" t="s">
        <v>408</v>
      </c>
      <c r="C129" s="1024"/>
      <c r="D129" s="1024"/>
      <c r="E129" s="1052"/>
      <c r="F129" s="575"/>
      <c r="G129" s="548">
        <f>G55</f>
        <v>275.79000000000002</v>
      </c>
      <c r="H129" s="575"/>
      <c r="I129" s="548">
        <f>I55</f>
        <v>275.79000000000002</v>
      </c>
      <c r="J129" s="522"/>
      <c r="K129" s="593">
        <f>K55</f>
        <v>275.79000000000002</v>
      </c>
      <c r="L129" s="575"/>
      <c r="M129" s="548">
        <f>M55</f>
        <v>273.55</v>
      </c>
      <c r="N129" s="575"/>
      <c r="O129" s="548">
        <f>O55</f>
        <v>273.55</v>
      </c>
      <c r="P129" s="575"/>
      <c r="Q129" s="548">
        <f>Q55</f>
        <v>273.55</v>
      </c>
      <c r="R129" s="657"/>
      <c r="S129" s="659">
        <f>S55</f>
        <v>269.85000000000002</v>
      </c>
    </row>
    <row r="130" spans="1:19" s="44" customFormat="1" ht="14.25" customHeight="1" x14ac:dyDescent="0.2">
      <c r="A130" s="538" t="s">
        <v>5</v>
      </c>
      <c r="B130" s="939" t="s">
        <v>409</v>
      </c>
      <c r="C130" s="1024"/>
      <c r="D130" s="1024"/>
      <c r="E130" s="1052"/>
      <c r="F130" s="575"/>
      <c r="G130" s="548">
        <f>G114</f>
        <v>2039.16</v>
      </c>
      <c r="H130" s="575"/>
      <c r="I130" s="548">
        <f>I114</f>
        <v>1951.45</v>
      </c>
      <c r="J130" s="522"/>
      <c r="K130" s="593">
        <f>K114</f>
        <v>2125.06</v>
      </c>
      <c r="L130" s="575"/>
      <c r="M130" s="548">
        <f>M114</f>
        <v>2033.65</v>
      </c>
      <c r="N130" s="575"/>
      <c r="O130" s="548">
        <f>O114</f>
        <v>2086.66</v>
      </c>
      <c r="P130" s="575"/>
      <c r="Q130" s="548">
        <f>Q114</f>
        <v>2160.36</v>
      </c>
      <c r="R130" s="657"/>
      <c r="S130" s="659">
        <f>S114</f>
        <v>2160.36</v>
      </c>
    </row>
    <row r="131" spans="1:19" s="44" customFormat="1" x14ac:dyDescent="0.2">
      <c r="A131" s="1002" t="s">
        <v>109</v>
      </c>
      <c r="B131" s="1066"/>
      <c r="C131" s="1066"/>
      <c r="D131" s="1066"/>
      <c r="E131" s="1003"/>
      <c r="F131" s="578"/>
      <c r="G131" s="548">
        <f>SUM(G127:G130)</f>
        <v>5666.66</v>
      </c>
      <c r="H131" s="585"/>
      <c r="I131" s="548">
        <f>SUM(I127:I130)</f>
        <v>5578.95</v>
      </c>
      <c r="J131" s="530"/>
      <c r="K131" s="593">
        <f>SUM(K127:K130)</f>
        <v>5894.74</v>
      </c>
      <c r="L131" s="585"/>
      <c r="M131" s="548">
        <f>SUM(M127:M130)</f>
        <v>5801.09</v>
      </c>
      <c r="N131" s="585"/>
      <c r="O131" s="548">
        <f>SUM(O127:O130)</f>
        <v>5922.52</v>
      </c>
      <c r="P131" s="585"/>
      <c r="Q131" s="548">
        <f>SUM(Q127:Q130)</f>
        <v>6108.92</v>
      </c>
      <c r="R131" s="658"/>
      <c r="S131" s="659">
        <f>SUM(S127:S130)</f>
        <v>6105.22</v>
      </c>
    </row>
    <row r="132" spans="1:19" s="44" customFormat="1" ht="14.25" customHeight="1" x14ac:dyDescent="0.2">
      <c r="A132" s="538" t="s">
        <v>6</v>
      </c>
      <c r="B132" s="939" t="s">
        <v>410</v>
      </c>
      <c r="C132" s="1024"/>
      <c r="D132" s="1024"/>
      <c r="E132" s="1052"/>
      <c r="F132" s="575"/>
      <c r="G132" s="548">
        <f>G123</f>
        <v>1219.9100000000001</v>
      </c>
      <c r="H132" s="575"/>
      <c r="I132" s="548">
        <f>I123</f>
        <v>1128.53</v>
      </c>
      <c r="J132" s="522"/>
      <c r="K132" s="593">
        <f>K123</f>
        <v>1269.02</v>
      </c>
      <c r="L132" s="575"/>
      <c r="M132" s="548">
        <f>M123</f>
        <v>1173.48</v>
      </c>
      <c r="N132" s="575"/>
      <c r="O132" s="548">
        <f>O123</f>
        <v>1198.05</v>
      </c>
      <c r="P132" s="575"/>
      <c r="Q132" s="548">
        <f>Q123</f>
        <v>1235.75</v>
      </c>
      <c r="R132" s="657"/>
      <c r="S132" s="659">
        <f>S123</f>
        <v>1235.01</v>
      </c>
    </row>
    <row r="133" spans="1:19" s="44" customFormat="1" ht="27" customHeight="1" thickBot="1" x14ac:dyDescent="0.25">
      <c r="A133" s="1099" t="s">
        <v>332</v>
      </c>
      <c r="B133" s="1100"/>
      <c r="C133" s="1100"/>
      <c r="D133" s="1100"/>
      <c r="E133" s="1101"/>
      <c r="F133" s="640"/>
      <c r="G133" s="564">
        <f>SUM(G131:G132)</f>
        <v>6886.57</v>
      </c>
      <c r="H133" s="586"/>
      <c r="I133" s="564">
        <f>SUM(I131:I132)</f>
        <v>6707.48</v>
      </c>
      <c r="J133" s="537"/>
      <c r="K133" s="600">
        <f>SUM(K131:K132)</f>
        <v>7163.76</v>
      </c>
      <c r="L133" s="586"/>
      <c r="M133" s="564">
        <f>SUM(M131:M132)</f>
        <v>6974.57</v>
      </c>
      <c r="N133" s="586"/>
      <c r="O133" s="564">
        <f>SUM(O131:O132)</f>
        <v>7120.57</v>
      </c>
      <c r="P133" s="586"/>
      <c r="Q133" s="564">
        <f>SUM(Q131:Q132)</f>
        <v>7344.67</v>
      </c>
      <c r="R133" s="586"/>
      <c r="S133" s="564">
        <f>SUM(S131:S132)</f>
        <v>7340.23</v>
      </c>
    </row>
    <row r="134" spans="1:19" s="46" customFormat="1" x14ac:dyDescent="0.2">
      <c r="A134" s="484"/>
      <c r="B134" s="24"/>
      <c r="C134" s="24"/>
      <c r="D134" s="24"/>
      <c r="E134" s="24"/>
      <c r="F134" s="25"/>
      <c r="G134" s="26"/>
      <c r="H134" s="25"/>
      <c r="I134" s="26"/>
      <c r="J134" s="25"/>
      <c r="K134" s="26"/>
    </row>
    <row r="135" spans="1:19" s="44" customFormat="1" x14ac:dyDescent="0.2">
      <c r="A135" s="485"/>
      <c r="B135" s="19"/>
      <c r="C135" s="19"/>
      <c r="D135" s="19"/>
      <c r="E135" s="19"/>
      <c r="F135" s="19"/>
      <c r="G135" s="20"/>
      <c r="H135" s="19"/>
      <c r="I135" s="20"/>
      <c r="J135" s="19"/>
      <c r="K135" s="20"/>
      <c r="O135" s="391"/>
      <c r="Q135" s="391"/>
      <c r="S135" s="391"/>
    </row>
    <row r="136" spans="1:19" s="44" customFormat="1" x14ac:dyDescent="0.2">
      <c r="A136" s="485"/>
      <c r="B136" s="19"/>
      <c r="C136" s="19"/>
      <c r="D136" s="19"/>
      <c r="E136" s="19"/>
      <c r="F136" s="19"/>
      <c r="G136" s="20"/>
      <c r="H136" s="19"/>
      <c r="I136" s="20"/>
      <c r="J136" s="19"/>
      <c r="K136" s="20"/>
    </row>
    <row r="137" spans="1:19" s="44" customFormat="1" x14ac:dyDescent="0.2">
      <c r="A137" s="485"/>
      <c r="B137" s="19"/>
      <c r="C137" s="19"/>
      <c r="D137" s="19"/>
      <c r="E137" s="19"/>
      <c r="F137" s="19"/>
      <c r="G137" s="20"/>
      <c r="H137" s="19"/>
      <c r="I137" s="20"/>
      <c r="J137" s="19"/>
      <c r="K137" s="20"/>
    </row>
    <row r="138" spans="1:19" s="44" customFormat="1" x14ac:dyDescent="0.2">
      <c r="A138" s="485"/>
      <c r="B138" s="19"/>
      <c r="C138" s="19"/>
      <c r="D138" s="19"/>
      <c r="E138" s="19"/>
      <c r="F138" s="19"/>
      <c r="G138" s="20"/>
      <c r="H138" s="19"/>
      <c r="I138" s="20"/>
      <c r="J138" s="19"/>
      <c r="K138" s="20"/>
    </row>
    <row r="139" spans="1:19" s="44" customFormat="1" x14ac:dyDescent="0.2">
      <c r="A139" s="485"/>
      <c r="B139" s="19"/>
      <c r="C139" s="19"/>
      <c r="D139" s="19"/>
      <c r="E139" s="19"/>
      <c r="F139" s="19"/>
      <c r="G139" s="20"/>
      <c r="H139" s="19"/>
      <c r="I139" s="20"/>
      <c r="J139" s="19"/>
      <c r="K139" s="20"/>
    </row>
    <row r="140" spans="1:19" s="44" customFormat="1" x14ac:dyDescent="0.2">
      <c r="A140" s="485"/>
      <c r="B140" s="19"/>
      <c r="C140" s="19"/>
      <c r="D140" s="19"/>
      <c r="E140" s="19"/>
      <c r="F140" s="19"/>
      <c r="G140" s="20"/>
      <c r="H140" s="19"/>
      <c r="I140" s="20"/>
      <c r="J140" s="19"/>
      <c r="K140" s="20"/>
    </row>
    <row r="141" spans="1:19" s="44" customFormat="1" x14ac:dyDescent="0.2">
      <c r="A141" s="485"/>
      <c r="B141" s="19"/>
      <c r="C141" s="19"/>
      <c r="D141" s="19"/>
      <c r="E141" s="19"/>
      <c r="F141" s="19"/>
      <c r="G141" s="20"/>
      <c r="H141" s="19"/>
      <c r="I141" s="20"/>
      <c r="J141" s="19"/>
      <c r="K141" s="20"/>
    </row>
  </sheetData>
  <mergeCells count="436">
    <mergeCell ref="N124:O124"/>
    <mergeCell ref="P124:Q124"/>
    <mergeCell ref="N125:O125"/>
    <mergeCell ref="P125:Q125"/>
    <mergeCell ref="N106:O106"/>
    <mergeCell ref="N93:O93"/>
    <mergeCell ref="N94:O94"/>
    <mergeCell ref="P93:Q93"/>
    <mergeCell ref="P94:Q94"/>
    <mergeCell ref="N105:O105"/>
    <mergeCell ref="P105:Q105"/>
    <mergeCell ref="P106:Q106"/>
    <mergeCell ref="N115:O115"/>
    <mergeCell ref="N116:O116"/>
    <mergeCell ref="P115:Q115"/>
    <mergeCell ref="P116:Q116"/>
    <mergeCell ref="N70:O70"/>
    <mergeCell ref="P69:Q69"/>
    <mergeCell ref="P70:Q70"/>
    <mergeCell ref="N77:O77"/>
    <mergeCell ref="N78:O78"/>
    <mergeCell ref="P77:Q77"/>
    <mergeCell ref="P78:Q78"/>
    <mergeCell ref="N83:O83"/>
    <mergeCell ref="N84:O84"/>
    <mergeCell ref="P83:Q83"/>
    <mergeCell ref="P84:Q84"/>
    <mergeCell ref="N56:O56"/>
    <mergeCell ref="N57:O57"/>
    <mergeCell ref="N58:O58"/>
    <mergeCell ref="P56:Q56"/>
    <mergeCell ref="P57:Q57"/>
    <mergeCell ref="P58:Q58"/>
    <mergeCell ref="N35:O35"/>
    <mergeCell ref="P35:Q35"/>
    <mergeCell ref="N69:O69"/>
    <mergeCell ref="N50:O50"/>
    <mergeCell ref="P50:Q50"/>
    <mergeCell ref="P27:Q27"/>
    <mergeCell ref="P28:Q28"/>
    <mergeCell ref="P29:Q29"/>
    <mergeCell ref="P30:Q30"/>
    <mergeCell ref="J21:K21"/>
    <mergeCell ref="L21:M21"/>
    <mergeCell ref="F10:G10"/>
    <mergeCell ref="H10:I10"/>
    <mergeCell ref="J10:K10"/>
    <mergeCell ref="L10:M10"/>
    <mergeCell ref="N10:O10"/>
    <mergeCell ref="P10:Q10"/>
    <mergeCell ref="N13:O13"/>
    <mergeCell ref="P13:Q13"/>
    <mergeCell ref="N27:O27"/>
    <mergeCell ref="H18:I18"/>
    <mergeCell ref="J18:K18"/>
    <mergeCell ref="H19:I19"/>
    <mergeCell ref="F29:G29"/>
    <mergeCell ref="F30:G30"/>
    <mergeCell ref="L18:M18"/>
    <mergeCell ref="L14:M14"/>
    <mergeCell ref="L15:M15"/>
    <mergeCell ref="L16:M16"/>
    <mergeCell ref="N34:O34"/>
    <mergeCell ref="P34:Q34"/>
    <mergeCell ref="N49:O49"/>
    <mergeCell ref="P49:Q49"/>
    <mergeCell ref="P21:Q21"/>
    <mergeCell ref="H22:I22"/>
    <mergeCell ref="J22:K22"/>
    <mergeCell ref="L22:M22"/>
    <mergeCell ref="N22:O22"/>
    <mergeCell ref="P22:Q22"/>
    <mergeCell ref="J27:K27"/>
    <mergeCell ref="L27:M27"/>
    <mergeCell ref="H28:I28"/>
    <mergeCell ref="J28:K28"/>
    <mergeCell ref="L28:M28"/>
    <mergeCell ref="H29:I29"/>
    <mergeCell ref="J29:K29"/>
    <mergeCell ref="L29:M29"/>
    <mergeCell ref="H40:I40"/>
    <mergeCell ref="J40:K40"/>
    <mergeCell ref="L40:M40"/>
    <mergeCell ref="N28:O28"/>
    <mergeCell ref="N29:O29"/>
    <mergeCell ref="N30:O30"/>
    <mergeCell ref="A50:E50"/>
    <mergeCell ref="A35:E35"/>
    <mergeCell ref="B33:E33"/>
    <mergeCell ref="B48:E48"/>
    <mergeCell ref="B43:E43"/>
    <mergeCell ref="B44:E44"/>
    <mergeCell ref="B46:E46"/>
    <mergeCell ref="B31:E31"/>
    <mergeCell ref="B32:E32"/>
    <mergeCell ref="B36:E36"/>
    <mergeCell ref="A37:A38"/>
    <mergeCell ref="B39:E39"/>
    <mergeCell ref="B41:E41"/>
    <mergeCell ref="B42:E42"/>
    <mergeCell ref="B40:E40"/>
    <mergeCell ref="F50:G50"/>
    <mergeCell ref="A133:E133"/>
    <mergeCell ref="H2:I3"/>
    <mergeCell ref="F21:G21"/>
    <mergeCell ref="F22:G22"/>
    <mergeCell ref="H21:I21"/>
    <mergeCell ref="F35:G35"/>
    <mergeCell ref="H35:I35"/>
    <mergeCell ref="H7:I7"/>
    <mergeCell ref="B12:D12"/>
    <mergeCell ref="B17:E17"/>
    <mergeCell ref="F17:G17"/>
    <mergeCell ref="B18:E18"/>
    <mergeCell ref="F18:G18"/>
    <mergeCell ref="B60:E60"/>
    <mergeCell ref="B61:E61"/>
    <mergeCell ref="B62:E62"/>
    <mergeCell ref="B19:E19"/>
    <mergeCell ref="F19:G19"/>
    <mergeCell ref="B20:E20"/>
    <mergeCell ref="F20:G20"/>
    <mergeCell ref="B23:E23"/>
    <mergeCell ref="H6:I6"/>
    <mergeCell ref="B107:E107"/>
    <mergeCell ref="J6:K6"/>
    <mergeCell ref="A3:G3"/>
    <mergeCell ref="P18:Q18"/>
    <mergeCell ref="P19:Q19"/>
    <mergeCell ref="P20:Q20"/>
    <mergeCell ref="P4:Q4"/>
    <mergeCell ref="P5:Q5"/>
    <mergeCell ref="P6:Q6"/>
    <mergeCell ref="P7:Q7"/>
    <mergeCell ref="P8:Q8"/>
    <mergeCell ref="P9:Q9"/>
    <mergeCell ref="P17:Q17"/>
    <mergeCell ref="P14:Q14"/>
    <mergeCell ref="P15:Q15"/>
    <mergeCell ref="P16:Q16"/>
    <mergeCell ref="H8:I8"/>
    <mergeCell ref="J17:K17"/>
    <mergeCell ref="B11:D11"/>
    <mergeCell ref="N20:O20"/>
    <mergeCell ref="N7:O7"/>
    <mergeCell ref="N8:O8"/>
    <mergeCell ref="N17:O17"/>
    <mergeCell ref="L9:M9"/>
    <mergeCell ref="L17:M17"/>
    <mergeCell ref="J2:M2"/>
    <mergeCell ref="N21:O21"/>
    <mergeCell ref="A4:E4"/>
    <mergeCell ref="A2:G2"/>
    <mergeCell ref="F5:G5"/>
    <mergeCell ref="L5:M5"/>
    <mergeCell ref="F6:G6"/>
    <mergeCell ref="N4:O4"/>
    <mergeCell ref="N5:O5"/>
    <mergeCell ref="N6:O6"/>
    <mergeCell ref="N2:O2"/>
    <mergeCell ref="J3:K3"/>
    <mergeCell ref="L3:M3"/>
    <mergeCell ref="N3:O3"/>
    <mergeCell ref="B5:E5"/>
    <mergeCell ref="B6:E6"/>
    <mergeCell ref="H4:I4"/>
    <mergeCell ref="J4:K4"/>
    <mergeCell ref="L4:M4"/>
    <mergeCell ref="H5:I5"/>
    <mergeCell ref="J5:K5"/>
    <mergeCell ref="N18:O18"/>
    <mergeCell ref="N19:O19"/>
    <mergeCell ref="N9:O9"/>
    <mergeCell ref="B112:E112"/>
    <mergeCell ref="B113:E113"/>
    <mergeCell ref="L6:M6"/>
    <mergeCell ref="L7:M7"/>
    <mergeCell ref="B75:E75"/>
    <mergeCell ref="B51:E51"/>
    <mergeCell ref="B59:E59"/>
    <mergeCell ref="A39:A40"/>
    <mergeCell ref="B47:E47"/>
    <mergeCell ref="B49:E49"/>
    <mergeCell ref="B52:E52"/>
    <mergeCell ref="B53:E53"/>
    <mergeCell ref="B54:E54"/>
    <mergeCell ref="B55:E55"/>
    <mergeCell ref="A57:E57"/>
    <mergeCell ref="A58:E58"/>
    <mergeCell ref="B56:E56"/>
    <mergeCell ref="L19:M19"/>
    <mergeCell ref="L20:M20"/>
    <mergeCell ref="H27:I27"/>
    <mergeCell ref="H20:I20"/>
    <mergeCell ref="J20:K20"/>
    <mergeCell ref="J7:K7"/>
    <mergeCell ref="L8:M8"/>
    <mergeCell ref="B115:E115"/>
    <mergeCell ref="B118:E118"/>
    <mergeCell ref="B119:E119"/>
    <mergeCell ref="B120:E120"/>
    <mergeCell ref="B121:E121"/>
    <mergeCell ref="A123:E123"/>
    <mergeCell ref="B26:E26"/>
    <mergeCell ref="B45:E45"/>
    <mergeCell ref="B29:E29"/>
    <mergeCell ref="B30:E30"/>
    <mergeCell ref="B34:E34"/>
    <mergeCell ref="B37:E37"/>
    <mergeCell ref="B38:E38"/>
    <mergeCell ref="B122:E122"/>
    <mergeCell ref="A116:E116"/>
    <mergeCell ref="A92:E92"/>
    <mergeCell ref="B95:E95"/>
    <mergeCell ref="B71:E71"/>
    <mergeCell ref="A74:E74"/>
    <mergeCell ref="B114:E114"/>
    <mergeCell ref="B108:E108"/>
    <mergeCell ref="B109:E109"/>
    <mergeCell ref="B110:E110"/>
    <mergeCell ref="B111:E111"/>
    <mergeCell ref="N14:O14"/>
    <mergeCell ref="N15:O15"/>
    <mergeCell ref="N16:O16"/>
    <mergeCell ref="H16:I16"/>
    <mergeCell ref="J14:K14"/>
    <mergeCell ref="J15:K15"/>
    <mergeCell ref="J16:K16"/>
    <mergeCell ref="B9:E9"/>
    <mergeCell ref="A10:E10"/>
    <mergeCell ref="B132:E132"/>
    <mergeCell ref="A124:E124"/>
    <mergeCell ref="A126:E126"/>
    <mergeCell ref="F124:G124"/>
    <mergeCell ref="H9:I9"/>
    <mergeCell ref="J9:K9"/>
    <mergeCell ref="H17:I17"/>
    <mergeCell ref="F115:G115"/>
    <mergeCell ref="F116:G116"/>
    <mergeCell ref="B127:E127"/>
    <mergeCell ref="B128:E128"/>
    <mergeCell ref="B129:E129"/>
    <mergeCell ref="B130:E130"/>
    <mergeCell ref="A131:E131"/>
    <mergeCell ref="A125:E125"/>
    <mergeCell ref="F125:G125"/>
    <mergeCell ref="B117:E117"/>
    <mergeCell ref="A119:A121"/>
    <mergeCell ref="A106:E106"/>
    <mergeCell ref="F106:G106"/>
    <mergeCell ref="A76:E76"/>
    <mergeCell ref="B63:E63"/>
    <mergeCell ref="B64:E64"/>
    <mergeCell ref="B98:E98"/>
    <mergeCell ref="A1:G1"/>
    <mergeCell ref="B24:E24"/>
    <mergeCell ref="B25:E25"/>
    <mergeCell ref="B27:E27"/>
    <mergeCell ref="B28:E28"/>
    <mergeCell ref="B13:E13"/>
    <mergeCell ref="F27:G27"/>
    <mergeCell ref="F28:G28"/>
    <mergeCell ref="A7:A8"/>
    <mergeCell ref="B7:E8"/>
    <mergeCell ref="F7:G7"/>
    <mergeCell ref="F8:G8"/>
    <mergeCell ref="F4:G4"/>
    <mergeCell ref="F9:G9"/>
    <mergeCell ref="A14:E14"/>
    <mergeCell ref="A15:E15"/>
    <mergeCell ref="F14:G14"/>
    <mergeCell ref="F15:G15"/>
    <mergeCell ref="A16:E16"/>
    <mergeCell ref="F16:G16"/>
    <mergeCell ref="A22:E22"/>
    <mergeCell ref="B21:E21"/>
    <mergeCell ref="B65:E65"/>
    <mergeCell ref="B66:E66"/>
    <mergeCell ref="B67:E67"/>
    <mergeCell ref="B69:E69"/>
    <mergeCell ref="B72:E72"/>
    <mergeCell ref="B73:E73"/>
    <mergeCell ref="B77:E77"/>
    <mergeCell ref="B80:E80"/>
    <mergeCell ref="B81:E81"/>
    <mergeCell ref="B79:E79"/>
    <mergeCell ref="A82:E82"/>
    <mergeCell ref="B85:E85"/>
    <mergeCell ref="A68:E68"/>
    <mergeCell ref="F49:G49"/>
    <mergeCell ref="H49:I49"/>
    <mergeCell ref="J49:K49"/>
    <mergeCell ref="L49:M49"/>
    <mergeCell ref="F56:G56"/>
    <mergeCell ref="H30:I30"/>
    <mergeCell ref="J30:K30"/>
    <mergeCell ref="L30:M30"/>
    <mergeCell ref="F34:G34"/>
    <mergeCell ref="H34:I34"/>
    <mergeCell ref="J34:K34"/>
    <mergeCell ref="L34:M34"/>
    <mergeCell ref="J35:K35"/>
    <mergeCell ref="L35:M35"/>
    <mergeCell ref="H56:I56"/>
    <mergeCell ref="J56:K56"/>
    <mergeCell ref="L56:M56"/>
    <mergeCell ref="F40:G40"/>
    <mergeCell ref="H50:I50"/>
    <mergeCell ref="J50:K50"/>
    <mergeCell ref="L50:M50"/>
    <mergeCell ref="B86:E86"/>
    <mergeCell ref="B89:E89"/>
    <mergeCell ref="B90:E90"/>
    <mergeCell ref="B91:E91"/>
    <mergeCell ref="A93:E93"/>
    <mergeCell ref="B96:E96"/>
    <mergeCell ref="B97:E97"/>
    <mergeCell ref="H57:I57"/>
    <mergeCell ref="J57:K57"/>
    <mergeCell ref="H58:I58"/>
    <mergeCell ref="J58:K58"/>
    <mergeCell ref="F69:G69"/>
    <mergeCell ref="A70:E70"/>
    <mergeCell ref="F70:G70"/>
    <mergeCell ref="H69:I69"/>
    <mergeCell ref="J69:K69"/>
    <mergeCell ref="H70:I70"/>
    <mergeCell ref="J70:K70"/>
    <mergeCell ref="F57:G57"/>
    <mergeCell ref="F58:G58"/>
    <mergeCell ref="F77:G77"/>
    <mergeCell ref="A78:E78"/>
    <mergeCell ref="F78:G78"/>
    <mergeCell ref="F83:G83"/>
    <mergeCell ref="A84:E84"/>
    <mergeCell ref="F84:G84"/>
    <mergeCell ref="H83:I83"/>
    <mergeCell ref="J83:K83"/>
    <mergeCell ref="L83:M83"/>
    <mergeCell ref="H84:I84"/>
    <mergeCell ref="J84:K84"/>
    <mergeCell ref="L84:M84"/>
    <mergeCell ref="A83:E83"/>
    <mergeCell ref="F105:G105"/>
    <mergeCell ref="F93:G93"/>
    <mergeCell ref="A94:E94"/>
    <mergeCell ref="F94:G94"/>
    <mergeCell ref="H93:I93"/>
    <mergeCell ref="J93:K93"/>
    <mergeCell ref="L93:M93"/>
    <mergeCell ref="H94:I94"/>
    <mergeCell ref="J94:K94"/>
    <mergeCell ref="L94:M94"/>
    <mergeCell ref="B99:E99"/>
    <mergeCell ref="B100:E100"/>
    <mergeCell ref="B101:E101"/>
    <mergeCell ref="A105:E105"/>
    <mergeCell ref="B103:E103"/>
    <mergeCell ref="A104:E104"/>
    <mergeCell ref="A102:E102"/>
    <mergeCell ref="H125:I125"/>
    <mergeCell ref="J125:K125"/>
    <mergeCell ref="L125:M125"/>
    <mergeCell ref="H105:I105"/>
    <mergeCell ref="J105:K105"/>
    <mergeCell ref="L105:M105"/>
    <mergeCell ref="H115:I115"/>
    <mergeCell ref="J115:K115"/>
    <mergeCell ref="L115:M115"/>
    <mergeCell ref="H116:I116"/>
    <mergeCell ref="J116:K116"/>
    <mergeCell ref="L116:M116"/>
    <mergeCell ref="H106:I106"/>
    <mergeCell ref="J106:K106"/>
    <mergeCell ref="L106:M106"/>
    <mergeCell ref="R4:S4"/>
    <mergeCell ref="R5:S5"/>
    <mergeCell ref="R6:S6"/>
    <mergeCell ref="R7:S7"/>
    <mergeCell ref="R8:S8"/>
    <mergeCell ref="R9:S9"/>
    <mergeCell ref="R10:S10"/>
    <mergeCell ref="H124:I124"/>
    <mergeCell ref="J124:K124"/>
    <mergeCell ref="L124:M124"/>
    <mergeCell ref="H77:I77"/>
    <mergeCell ref="J77:K77"/>
    <mergeCell ref="L77:M77"/>
    <mergeCell ref="H78:I78"/>
    <mergeCell ref="J78:K78"/>
    <mergeCell ref="L78:M78"/>
    <mergeCell ref="L57:M57"/>
    <mergeCell ref="L58:M58"/>
    <mergeCell ref="L69:M69"/>
    <mergeCell ref="L70:M70"/>
    <mergeCell ref="J8:K8"/>
    <mergeCell ref="J19:K19"/>
    <mergeCell ref="H14:I14"/>
    <mergeCell ref="H15:I15"/>
    <mergeCell ref="R34:S34"/>
    <mergeCell ref="R35:S35"/>
    <mergeCell ref="R49:S49"/>
    <mergeCell ref="R50:S50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93:S93"/>
    <mergeCell ref="R94:S94"/>
    <mergeCell ref="R105:S105"/>
    <mergeCell ref="R106:S106"/>
    <mergeCell ref="R115:S115"/>
    <mergeCell ref="R116:S116"/>
    <mergeCell ref="R124:S124"/>
    <mergeCell ref="R125:S125"/>
    <mergeCell ref="P2:S2"/>
    <mergeCell ref="P3:S3"/>
    <mergeCell ref="R56:S56"/>
    <mergeCell ref="R57:S57"/>
    <mergeCell ref="R58:S58"/>
    <mergeCell ref="R69:S69"/>
    <mergeCell ref="R70:S70"/>
    <mergeCell ref="R77:S77"/>
    <mergeCell ref="R78:S78"/>
    <mergeCell ref="R83:S83"/>
    <mergeCell ref="R84:S84"/>
    <mergeCell ref="R22:S22"/>
    <mergeCell ref="R27:S27"/>
    <mergeCell ref="R28:S28"/>
    <mergeCell ref="R29:S29"/>
    <mergeCell ref="R30:S30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1" fitToHeight="0" orientation="portrait" r:id="rId1"/>
  <headerFooter alignWithMargins="0">
    <oddHeader>&amp;L&amp;"Cambria,Negrito"&amp;8PROPOSTA Nº 011/2017 - MME</oddHeader>
  </headerFooter>
  <rowBreaks count="1" manualBreakCount="1">
    <brk id="68" max="18" man="1"/>
  </rowBreaks>
  <ignoredErrors>
    <ignoredError sqref="F11:G12 F18:G20 G38 G52 G26 G5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8" tint="0.79998168889431442"/>
  </sheetPr>
  <dimension ref="A1:T141"/>
  <sheetViews>
    <sheetView view="pageBreakPreview" topLeftCell="D1" zoomScale="80" zoomScaleNormal="100" zoomScaleSheetLayoutView="80" workbookViewId="0">
      <pane ySplit="4" topLeftCell="A110" activePane="bottomLeft" state="frozen"/>
      <selection pane="bottomLeft" activeCell="N119" sqref="N119"/>
    </sheetView>
  </sheetViews>
  <sheetFormatPr defaultRowHeight="14.25" x14ac:dyDescent="0.2"/>
  <cols>
    <col min="1" max="1" width="5.7109375" style="485" customWidth="1"/>
    <col min="2" max="2" width="37.85546875" style="19" customWidth="1"/>
    <col min="3" max="3" width="19.85546875" style="19" customWidth="1"/>
    <col min="4" max="4" width="19" style="19" customWidth="1"/>
    <col min="5" max="5" width="24" style="19" customWidth="1"/>
    <col min="6" max="6" width="18.85546875" style="19" customWidth="1"/>
    <col min="7" max="7" width="17.140625" style="20" customWidth="1"/>
    <col min="8" max="8" width="15.28515625" style="20" customWidth="1"/>
    <col min="9" max="9" width="16.85546875" style="20" customWidth="1"/>
    <col min="10" max="10" width="15.28515625" style="20" customWidth="1"/>
    <col min="11" max="11" width="18.140625" style="20" customWidth="1"/>
    <col min="12" max="12" width="15.28515625" style="20" customWidth="1"/>
    <col min="13" max="13" width="18.140625" style="44" customWidth="1"/>
    <col min="14" max="14" width="18" style="44" customWidth="1"/>
    <col min="15" max="15" width="16.85546875" style="44" customWidth="1"/>
    <col min="16" max="16" width="18" style="44" customWidth="1"/>
    <col min="17" max="17" width="18.140625" style="44" bestFit="1" customWidth="1"/>
    <col min="18" max="18" width="18" style="44" customWidth="1"/>
    <col min="19" max="19" width="18.140625" style="44" bestFit="1" customWidth="1"/>
    <col min="20" max="21" width="9.140625" style="43"/>
    <col min="22" max="22" width="9.140625" style="43" customWidth="1"/>
    <col min="23" max="16384" width="9.140625" style="43"/>
  </cols>
  <sheetData>
    <row r="1" spans="1:19" ht="21.75" customHeight="1" thickBot="1" x14ac:dyDescent="0.25">
      <c r="A1" s="1115"/>
      <c r="B1" s="1115"/>
      <c r="C1" s="1115"/>
      <c r="D1" s="1115"/>
      <c r="E1" s="1115"/>
      <c r="F1" s="1115"/>
      <c r="G1" s="1115"/>
      <c r="H1" s="18"/>
      <c r="I1" s="18"/>
      <c r="J1" s="18"/>
      <c r="K1" s="18"/>
      <c r="L1" s="18"/>
    </row>
    <row r="2" spans="1:19" s="44" customFormat="1" ht="15.75" customHeight="1" thickBot="1" x14ac:dyDescent="0.25">
      <c r="A2" s="1009" t="s">
        <v>517</v>
      </c>
      <c r="B2" s="1010"/>
      <c r="C2" s="1010"/>
      <c r="D2" s="1010"/>
      <c r="E2" s="1010"/>
      <c r="F2" s="1010"/>
      <c r="G2" s="1011"/>
      <c r="H2" s="1020" t="s">
        <v>508</v>
      </c>
      <c r="I2" s="1021"/>
      <c r="J2" s="986" t="s">
        <v>412</v>
      </c>
      <c r="K2" s="987"/>
      <c r="L2" s="987"/>
      <c r="M2" s="994"/>
      <c r="N2" s="986" t="s">
        <v>413</v>
      </c>
      <c r="O2" s="994"/>
      <c r="P2" s="1034" t="s">
        <v>509</v>
      </c>
      <c r="Q2" s="1035"/>
      <c r="R2" s="1035"/>
      <c r="S2" s="1036"/>
    </row>
    <row r="3" spans="1:19" s="44" customFormat="1" ht="105.75" customHeight="1" thickBot="1" x14ac:dyDescent="0.25">
      <c r="A3" s="893" t="s">
        <v>524</v>
      </c>
      <c r="B3" s="894"/>
      <c r="C3" s="894"/>
      <c r="D3" s="894"/>
      <c r="E3" s="894"/>
      <c r="F3" s="894"/>
      <c r="G3" s="895"/>
      <c r="H3" s="1022"/>
      <c r="I3" s="1023"/>
      <c r="J3" s="1116" t="s">
        <v>405</v>
      </c>
      <c r="K3" s="1117"/>
      <c r="L3" s="1117" t="s">
        <v>414</v>
      </c>
      <c r="M3" s="1118"/>
      <c r="N3" s="1116" t="s">
        <v>416</v>
      </c>
      <c r="O3" s="1118"/>
      <c r="P3" s="1037" t="s">
        <v>531</v>
      </c>
      <c r="Q3" s="1038"/>
      <c r="R3" s="1038"/>
      <c r="S3" s="1039"/>
    </row>
    <row r="4" spans="1:19" s="44" customFormat="1" ht="42" customHeight="1" thickBot="1" x14ac:dyDescent="0.25">
      <c r="A4" s="951" t="s">
        <v>132</v>
      </c>
      <c r="B4" s="952"/>
      <c r="C4" s="952"/>
      <c r="D4" s="952"/>
      <c r="E4" s="1085"/>
      <c r="F4" s="954" t="s">
        <v>403</v>
      </c>
      <c r="G4" s="955"/>
      <c r="H4" s="954" t="s">
        <v>507</v>
      </c>
      <c r="I4" s="955"/>
      <c r="J4" s="954" t="s">
        <v>391</v>
      </c>
      <c r="K4" s="955"/>
      <c r="L4" s="954" t="s">
        <v>392</v>
      </c>
      <c r="M4" s="955"/>
      <c r="N4" s="954" t="s">
        <v>392</v>
      </c>
      <c r="O4" s="955"/>
      <c r="P4" s="1031" t="s">
        <v>528</v>
      </c>
      <c r="Q4" s="1032"/>
      <c r="R4" s="1032"/>
      <c r="S4" s="1033"/>
    </row>
    <row r="5" spans="1:19" s="44" customFormat="1" ht="15.75" customHeight="1" x14ac:dyDescent="0.2">
      <c r="A5" s="538" t="s">
        <v>1</v>
      </c>
      <c r="B5" s="1093" t="s">
        <v>128</v>
      </c>
      <c r="C5" s="1094"/>
      <c r="D5" s="1094"/>
      <c r="E5" s="1095"/>
      <c r="F5" s="992">
        <f>[2]DADOS!C4</f>
        <v>42788</v>
      </c>
      <c r="G5" s="993"/>
      <c r="H5" s="992"/>
      <c r="I5" s="993"/>
      <c r="J5" s="992"/>
      <c r="K5" s="993"/>
      <c r="L5" s="992"/>
      <c r="M5" s="993"/>
      <c r="N5" s="929"/>
      <c r="O5" s="940"/>
      <c r="P5" s="998"/>
      <c r="Q5" s="999"/>
      <c r="R5" s="998"/>
      <c r="S5" s="999"/>
    </row>
    <row r="6" spans="1:19" s="44" customFormat="1" ht="15.75" customHeight="1" x14ac:dyDescent="0.2">
      <c r="A6" s="538" t="s">
        <v>2</v>
      </c>
      <c r="B6" s="943" t="s">
        <v>3</v>
      </c>
      <c r="C6" s="1061"/>
      <c r="D6" s="1061"/>
      <c r="E6" s="1062"/>
      <c r="F6" s="929" t="str">
        <f>[2]DADOS!C5</f>
        <v>Brasília - DF</v>
      </c>
      <c r="G6" s="940"/>
      <c r="H6" s="929" t="s">
        <v>39</v>
      </c>
      <c r="I6" s="940"/>
      <c r="J6" s="929" t="str">
        <f>[2]DADOS!C5</f>
        <v>Brasília - DF</v>
      </c>
      <c r="K6" s="940"/>
      <c r="L6" s="929" t="str">
        <f>[2]DADOS!C5</f>
        <v>Brasília - DF</v>
      </c>
      <c r="M6" s="940"/>
      <c r="N6" s="929">
        <f>DADOS!I5</f>
        <v>0</v>
      </c>
      <c r="O6" s="940"/>
      <c r="P6" s="1044" t="s">
        <v>526</v>
      </c>
      <c r="Q6" s="1045"/>
      <c r="R6" s="1044" t="s">
        <v>526</v>
      </c>
      <c r="S6" s="1045"/>
    </row>
    <row r="7" spans="1:19" s="44" customFormat="1" ht="15" customHeight="1" x14ac:dyDescent="0.2">
      <c r="A7" s="898" t="s">
        <v>4</v>
      </c>
      <c r="B7" s="938" t="s">
        <v>127</v>
      </c>
      <c r="C7" s="938"/>
      <c r="D7" s="938"/>
      <c r="E7" s="1063"/>
      <c r="F7" s="931" t="str">
        <f>[2]DADOS!H82</f>
        <v>SINDESV/SINDESP-DF</v>
      </c>
      <c r="G7" s="940"/>
      <c r="H7" s="931" t="s">
        <v>64</v>
      </c>
      <c r="I7" s="940"/>
      <c r="J7" s="931" t="s">
        <v>64</v>
      </c>
      <c r="K7" s="940"/>
      <c r="L7" s="931" t="s">
        <v>64</v>
      </c>
      <c r="M7" s="940"/>
      <c r="N7" s="931" t="s">
        <v>64</v>
      </c>
      <c r="O7" s="940"/>
      <c r="P7" s="931" t="s">
        <v>64</v>
      </c>
      <c r="Q7" s="940"/>
      <c r="R7" s="931" t="s">
        <v>64</v>
      </c>
      <c r="S7" s="940"/>
    </row>
    <row r="8" spans="1:19" s="44" customFormat="1" ht="15" customHeight="1" x14ac:dyDescent="0.2">
      <c r="A8" s="898"/>
      <c r="B8" s="938"/>
      <c r="C8" s="938"/>
      <c r="D8" s="938"/>
      <c r="E8" s="1063"/>
      <c r="F8" s="1120" t="str">
        <f>[2]DADOS!C11</f>
        <v>2016/2016</v>
      </c>
      <c r="G8" s="1121"/>
      <c r="H8" s="1120" t="s">
        <v>150</v>
      </c>
      <c r="I8" s="1121"/>
      <c r="J8" s="1120" t="s">
        <v>387</v>
      </c>
      <c r="K8" s="1121"/>
      <c r="L8" s="1120" t="s">
        <v>387</v>
      </c>
      <c r="M8" s="1121"/>
      <c r="N8" s="1120" t="s">
        <v>525</v>
      </c>
      <c r="O8" s="1121"/>
      <c r="P8" s="916" t="s">
        <v>530</v>
      </c>
      <c r="Q8" s="917"/>
      <c r="R8" s="916" t="s">
        <v>530</v>
      </c>
      <c r="S8" s="917"/>
    </row>
    <row r="9" spans="1:19" s="44" customFormat="1" ht="15" customHeight="1" x14ac:dyDescent="0.2">
      <c r="A9" s="538" t="s">
        <v>5</v>
      </c>
      <c r="B9" s="939" t="s">
        <v>129</v>
      </c>
      <c r="C9" s="1024"/>
      <c r="D9" s="1024"/>
      <c r="E9" s="1052"/>
      <c r="F9" s="931">
        <f>[2]DADOS!C13</f>
        <v>12</v>
      </c>
      <c r="G9" s="940"/>
      <c r="H9" s="931">
        <v>12</v>
      </c>
      <c r="I9" s="940"/>
      <c r="J9" s="931">
        <v>12</v>
      </c>
      <c r="K9" s="940"/>
      <c r="L9" s="931">
        <v>12</v>
      </c>
      <c r="M9" s="940"/>
      <c r="N9" s="931">
        <v>12</v>
      </c>
      <c r="O9" s="940"/>
      <c r="P9" s="931">
        <v>12</v>
      </c>
      <c r="Q9" s="940"/>
      <c r="R9" s="931">
        <v>12</v>
      </c>
      <c r="S9" s="940"/>
    </row>
    <row r="10" spans="1:19" s="44" customFormat="1" ht="16.5" customHeight="1" x14ac:dyDescent="0.2">
      <c r="A10" s="972" t="s">
        <v>111</v>
      </c>
      <c r="B10" s="974"/>
      <c r="C10" s="974"/>
      <c r="D10" s="974"/>
      <c r="E10" s="973"/>
      <c r="F10" s="570"/>
      <c r="G10" s="567"/>
      <c r="H10" s="579"/>
      <c r="I10" s="580"/>
      <c r="J10" s="579"/>
      <c r="K10" s="580"/>
      <c r="L10" s="579"/>
      <c r="M10" s="580"/>
      <c r="N10" s="579"/>
      <c r="O10" s="580"/>
      <c r="P10" s="556"/>
      <c r="Q10" s="569"/>
      <c r="R10" s="556"/>
      <c r="S10" s="682"/>
    </row>
    <row r="11" spans="1:19" s="44" customFormat="1" ht="34.5" customHeight="1" x14ac:dyDescent="0.2">
      <c r="A11" s="542">
        <v>1</v>
      </c>
      <c r="B11" s="899" t="s">
        <v>96</v>
      </c>
      <c r="C11" s="899"/>
      <c r="D11" s="899"/>
      <c r="E11" s="563" t="s">
        <v>126</v>
      </c>
      <c r="F11" s="622" t="s">
        <v>90</v>
      </c>
      <c r="G11" s="623" t="s">
        <v>131</v>
      </c>
      <c r="H11" s="622" t="s">
        <v>90</v>
      </c>
      <c r="I11" s="623" t="s">
        <v>131</v>
      </c>
      <c r="J11" s="622" t="s">
        <v>90</v>
      </c>
      <c r="K11" s="623" t="s">
        <v>131</v>
      </c>
      <c r="L11" s="622" t="s">
        <v>90</v>
      </c>
      <c r="M11" s="623" t="s">
        <v>131</v>
      </c>
      <c r="N11" s="622" t="s">
        <v>90</v>
      </c>
      <c r="O11" s="623" t="s">
        <v>131</v>
      </c>
      <c r="P11" s="622" t="s">
        <v>90</v>
      </c>
      <c r="Q11" s="623" t="s">
        <v>131</v>
      </c>
      <c r="R11" s="622" t="s">
        <v>90</v>
      </c>
      <c r="S11" s="623" t="s">
        <v>131</v>
      </c>
    </row>
    <row r="12" spans="1:19" s="44" customFormat="1" ht="30.75" customHeight="1" x14ac:dyDescent="0.2">
      <c r="A12" s="542" t="s">
        <v>130</v>
      </c>
      <c r="B12" s="899" t="s">
        <v>352</v>
      </c>
      <c r="C12" s="899"/>
      <c r="D12" s="899"/>
      <c r="E12" s="541" t="str">
        <f>DADOS!C12</f>
        <v>Posto de Serviço</v>
      </c>
      <c r="F12" s="645">
        <f>DADOS!J75</f>
        <v>1</v>
      </c>
      <c r="G12" s="646">
        <f>DADOS!L75</f>
        <v>2</v>
      </c>
      <c r="H12" s="645">
        <v>1</v>
      </c>
      <c r="I12" s="646">
        <v>2</v>
      </c>
      <c r="J12" s="645">
        <v>1</v>
      </c>
      <c r="K12" s="646">
        <v>2</v>
      </c>
      <c r="L12" s="645">
        <v>1</v>
      </c>
      <c r="M12" s="646">
        <v>2</v>
      </c>
      <c r="N12" s="645">
        <v>1</v>
      </c>
      <c r="O12" s="646">
        <v>2</v>
      </c>
      <c r="P12" s="645">
        <v>1</v>
      </c>
      <c r="Q12" s="646">
        <v>2</v>
      </c>
      <c r="R12" s="645">
        <v>1</v>
      </c>
      <c r="S12" s="646">
        <v>2</v>
      </c>
    </row>
    <row r="13" spans="1:19" s="44" customFormat="1" ht="14.25" customHeight="1" x14ac:dyDescent="0.2">
      <c r="A13" s="538"/>
      <c r="B13" s="945"/>
      <c r="C13" s="909"/>
      <c r="D13" s="909"/>
      <c r="E13" s="897"/>
      <c r="F13" s="1040">
        <v>1</v>
      </c>
      <c r="G13" s="1041"/>
      <c r="H13" s="1040">
        <v>1</v>
      </c>
      <c r="I13" s="1041"/>
      <c r="J13" s="1040">
        <v>1</v>
      </c>
      <c r="K13" s="1041"/>
      <c r="L13" s="1040">
        <v>1</v>
      </c>
      <c r="M13" s="1041"/>
      <c r="N13" s="1040">
        <v>1</v>
      </c>
      <c r="O13" s="1041"/>
      <c r="P13" s="1040">
        <v>1</v>
      </c>
      <c r="Q13" s="1041"/>
      <c r="R13" s="1040">
        <v>1</v>
      </c>
      <c r="S13" s="1041"/>
    </row>
    <row r="14" spans="1:19" s="44" customFormat="1" ht="14.25" customHeight="1" x14ac:dyDescent="0.2">
      <c r="A14" s="1002" t="s">
        <v>301</v>
      </c>
      <c r="B14" s="1066"/>
      <c r="C14" s="1066"/>
      <c r="D14" s="1066"/>
      <c r="E14" s="1003"/>
      <c r="F14" s="1040">
        <v>2</v>
      </c>
      <c r="G14" s="1041"/>
      <c r="H14" s="1040">
        <v>2</v>
      </c>
      <c r="I14" s="1041"/>
      <c r="J14" s="1040">
        <v>2</v>
      </c>
      <c r="K14" s="1041"/>
      <c r="L14" s="1040">
        <v>2</v>
      </c>
      <c r="M14" s="1041"/>
      <c r="N14" s="1040">
        <v>2</v>
      </c>
      <c r="O14" s="1041"/>
      <c r="P14" s="1040">
        <v>2</v>
      </c>
      <c r="Q14" s="1041"/>
      <c r="R14" s="1040">
        <v>2</v>
      </c>
      <c r="S14" s="1041"/>
    </row>
    <row r="15" spans="1:19" s="44" customFormat="1" ht="14.25" customHeight="1" x14ac:dyDescent="0.2">
      <c r="A15" s="972" t="s">
        <v>112</v>
      </c>
      <c r="B15" s="974"/>
      <c r="C15" s="974"/>
      <c r="D15" s="974"/>
      <c r="E15" s="973"/>
      <c r="F15" s="1040">
        <v>3</v>
      </c>
      <c r="G15" s="1041"/>
      <c r="H15" s="1040">
        <v>4</v>
      </c>
      <c r="I15" s="1041"/>
      <c r="J15" s="1040">
        <v>5</v>
      </c>
      <c r="K15" s="1041"/>
      <c r="L15" s="1040">
        <v>6</v>
      </c>
      <c r="M15" s="1041"/>
      <c r="N15" s="1040">
        <v>7</v>
      </c>
      <c r="O15" s="1041"/>
      <c r="P15" s="1040">
        <v>8</v>
      </c>
      <c r="Q15" s="1041"/>
      <c r="R15" s="1040">
        <v>8</v>
      </c>
      <c r="S15" s="1041"/>
    </row>
    <row r="16" spans="1:19" s="44" customFormat="1" ht="15" customHeight="1" x14ac:dyDescent="0.2">
      <c r="A16" s="972" t="s">
        <v>176</v>
      </c>
      <c r="B16" s="974"/>
      <c r="C16" s="974"/>
      <c r="D16" s="974"/>
      <c r="E16" s="973"/>
      <c r="F16" s="1040">
        <v>4</v>
      </c>
      <c r="G16" s="1041"/>
      <c r="H16" s="1040">
        <v>5</v>
      </c>
      <c r="I16" s="1041"/>
      <c r="J16" s="1040">
        <v>6</v>
      </c>
      <c r="K16" s="1041"/>
      <c r="L16" s="1040">
        <v>7</v>
      </c>
      <c r="M16" s="1041"/>
      <c r="N16" s="1040">
        <v>8</v>
      </c>
      <c r="O16" s="1041"/>
      <c r="P16" s="1040">
        <v>9</v>
      </c>
      <c r="Q16" s="1041"/>
      <c r="R16" s="1040">
        <v>9</v>
      </c>
      <c r="S16" s="1041"/>
    </row>
    <row r="17" spans="1:20" s="44" customFormat="1" ht="38.25" customHeight="1" x14ac:dyDescent="0.2">
      <c r="A17" s="538">
        <v>1</v>
      </c>
      <c r="B17" s="942" t="s">
        <v>96</v>
      </c>
      <c r="C17" s="942"/>
      <c r="D17" s="942"/>
      <c r="E17" s="1102"/>
      <c r="F17" s="898" t="str">
        <f>B12</f>
        <v>Vigilante Noturno Desarmado - 12x36hs</v>
      </c>
      <c r="G17" s="913"/>
      <c r="H17" s="898" t="s">
        <v>352</v>
      </c>
      <c r="I17" s="913"/>
      <c r="J17" s="898" t="str">
        <f>B12</f>
        <v>Vigilante Noturno Desarmado - 12x36hs</v>
      </c>
      <c r="K17" s="913"/>
      <c r="L17" s="898" t="str">
        <f>B12</f>
        <v>Vigilante Noturno Desarmado - 12x36hs</v>
      </c>
      <c r="M17" s="913"/>
      <c r="N17" s="898" t="s">
        <v>352</v>
      </c>
      <c r="O17" s="913"/>
      <c r="P17" s="898" t="s">
        <v>352</v>
      </c>
      <c r="Q17" s="913"/>
      <c r="R17" s="898" t="s">
        <v>352</v>
      </c>
      <c r="S17" s="913"/>
    </row>
    <row r="18" spans="1:20" s="44" customFormat="1" ht="18.75" customHeight="1" x14ac:dyDescent="0.2">
      <c r="A18" s="538">
        <v>2</v>
      </c>
      <c r="B18" s="942" t="s">
        <v>97</v>
      </c>
      <c r="C18" s="942"/>
      <c r="D18" s="942"/>
      <c r="E18" s="1102"/>
      <c r="F18" s="1103">
        <f>DADOS!M75</f>
        <v>1888.29</v>
      </c>
      <c r="G18" s="1104"/>
      <c r="H18" s="914">
        <v>1888.29</v>
      </c>
      <c r="I18" s="915"/>
      <c r="J18" s="914">
        <v>2012.54</v>
      </c>
      <c r="K18" s="915"/>
      <c r="L18" s="914">
        <v>2012.54</v>
      </c>
      <c r="M18" s="915"/>
      <c r="N18" s="914">
        <v>2054.19</v>
      </c>
      <c r="O18" s="915"/>
      <c r="P18" s="996">
        <v>2124.65</v>
      </c>
      <c r="Q18" s="997"/>
      <c r="R18" s="996">
        <v>2124.65</v>
      </c>
      <c r="S18" s="997"/>
    </row>
    <row r="19" spans="1:20" s="44" customFormat="1" ht="68.25" customHeight="1" x14ac:dyDescent="0.2">
      <c r="A19" s="538">
        <v>3</v>
      </c>
      <c r="B19" s="942" t="s">
        <v>10</v>
      </c>
      <c r="C19" s="942"/>
      <c r="D19" s="942"/>
      <c r="E19" s="1102"/>
      <c r="F19" s="916" t="str">
        <f>DADOS!H75</f>
        <v>Vigilante Noturno Desarmado - 12 horas de segunda-feira a domingo, envolvendo 2 (dois) vigilantes em turnos de 12x36hs</v>
      </c>
      <c r="G19" s="917"/>
      <c r="H19" s="916" t="s">
        <v>229</v>
      </c>
      <c r="I19" s="917"/>
      <c r="J19" s="916" t="str">
        <f>DADOS!H75</f>
        <v>Vigilante Noturno Desarmado - 12 horas de segunda-feira a domingo, envolvendo 2 (dois) vigilantes em turnos de 12x36hs</v>
      </c>
      <c r="K19" s="917"/>
      <c r="L19" s="916" t="str">
        <f>DADOS!H75</f>
        <v>Vigilante Noturno Desarmado - 12 horas de segunda-feira a domingo, envolvendo 2 (dois) vigilantes em turnos de 12x36hs</v>
      </c>
      <c r="M19" s="917"/>
      <c r="N19" s="916" t="str">
        <f>DADOS!H75</f>
        <v>Vigilante Noturno Desarmado - 12 horas de segunda-feira a domingo, envolvendo 2 (dois) vigilantes em turnos de 12x36hs</v>
      </c>
      <c r="O19" s="917"/>
      <c r="P19" s="916" t="str">
        <f>DADOS!H75</f>
        <v>Vigilante Noturno Desarmado - 12 horas de segunda-feira a domingo, envolvendo 2 (dois) vigilantes em turnos de 12x36hs</v>
      </c>
      <c r="Q19" s="917"/>
      <c r="R19" s="916" t="str">
        <f>DADOS!H75</f>
        <v>Vigilante Noturno Desarmado - 12 horas de segunda-feira a domingo, envolvendo 2 (dois) vigilantes em turnos de 12x36hs</v>
      </c>
      <c r="S19" s="917"/>
    </row>
    <row r="20" spans="1:20" s="44" customFormat="1" ht="16.5" customHeight="1" x14ac:dyDescent="0.2">
      <c r="A20" s="538">
        <v>4</v>
      </c>
      <c r="B20" s="942" t="s">
        <v>11</v>
      </c>
      <c r="C20" s="942"/>
      <c r="D20" s="942"/>
      <c r="E20" s="1102"/>
      <c r="F20" s="929" t="str">
        <f>DADOS!M82</f>
        <v>1º de Janeiro</v>
      </c>
      <c r="G20" s="959"/>
      <c r="H20" s="929" t="s">
        <v>303</v>
      </c>
      <c r="I20" s="959"/>
      <c r="J20" s="929" t="str">
        <f>DADOS!M82</f>
        <v>1º de Janeiro</v>
      </c>
      <c r="K20" s="959"/>
      <c r="L20" s="929" t="str">
        <f>DADOS!M82</f>
        <v>1º de Janeiro</v>
      </c>
      <c r="M20" s="959"/>
      <c r="N20" s="929" t="s">
        <v>303</v>
      </c>
      <c r="O20" s="959"/>
      <c r="P20" s="929" t="s">
        <v>303</v>
      </c>
      <c r="Q20" s="959"/>
      <c r="R20" s="929" t="s">
        <v>303</v>
      </c>
      <c r="S20" s="959"/>
    </row>
    <row r="21" spans="1:20" s="44" customFormat="1" x14ac:dyDescent="0.2">
      <c r="A21" s="540"/>
      <c r="B21" s="945"/>
      <c r="C21" s="909"/>
      <c r="D21" s="909"/>
      <c r="E21" s="897"/>
      <c r="F21" s="896"/>
      <c r="G21" s="897"/>
      <c r="H21" s="896"/>
      <c r="I21" s="897"/>
      <c r="J21" s="896"/>
      <c r="K21" s="897"/>
      <c r="L21" s="896"/>
      <c r="M21" s="897"/>
      <c r="N21" s="896"/>
      <c r="O21" s="897"/>
      <c r="P21" s="896"/>
      <c r="Q21" s="897"/>
      <c r="R21" s="896"/>
      <c r="S21" s="897"/>
    </row>
    <row r="22" spans="1:20" s="45" customFormat="1" ht="14.25" customHeight="1" x14ac:dyDescent="0.2">
      <c r="A22" s="972" t="s">
        <v>31</v>
      </c>
      <c r="B22" s="974"/>
      <c r="C22" s="974"/>
      <c r="D22" s="974"/>
      <c r="E22" s="973"/>
      <c r="F22" s="972"/>
      <c r="G22" s="973"/>
      <c r="H22" s="972"/>
      <c r="I22" s="973"/>
      <c r="J22" s="972"/>
      <c r="K22" s="973"/>
      <c r="L22" s="972"/>
      <c r="M22" s="973"/>
      <c r="N22" s="972"/>
      <c r="O22" s="973"/>
      <c r="P22" s="972"/>
      <c r="Q22" s="973"/>
      <c r="R22" s="972"/>
      <c r="S22" s="973"/>
    </row>
    <row r="23" spans="1:20" s="44" customFormat="1" ht="18" customHeight="1" x14ac:dyDescent="0.2">
      <c r="A23" s="542">
        <v>1</v>
      </c>
      <c r="B23" s="960" t="s">
        <v>99</v>
      </c>
      <c r="C23" s="960"/>
      <c r="D23" s="960"/>
      <c r="E23" s="1105"/>
      <c r="F23" s="631" t="s">
        <v>13</v>
      </c>
      <c r="G23" s="632" t="s">
        <v>135</v>
      </c>
      <c r="H23" s="631" t="s">
        <v>13</v>
      </c>
      <c r="I23" s="632" t="s">
        <v>135</v>
      </c>
      <c r="J23" s="631" t="s">
        <v>13</v>
      </c>
      <c r="K23" s="632" t="s">
        <v>135</v>
      </c>
      <c r="L23" s="631" t="s">
        <v>13</v>
      </c>
      <c r="M23" s="632" t="s">
        <v>135</v>
      </c>
      <c r="N23" s="631" t="s">
        <v>13</v>
      </c>
      <c r="O23" s="632" t="s">
        <v>135</v>
      </c>
      <c r="P23" s="631" t="s">
        <v>13</v>
      </c>
      <c r="Q23" s="632" t="s">
        <v>135</v>
      </c>
      <c r="R23" s="631" t="s">
        <v>13</v>
      </c>
      <c r="S23" s="632" t="s">
        <v>135</v>
      </c>
    </row>
    <row r="24" spans="1:20" s="44" customFormat="1" ht="16.5" customHeight="1" x14ac:dyDescent="0.2">
      <c r="A24" s="542" t="s">
        <v>1</v>
      </c>
      <c r="B24" s="943" t="s">
        <v>175</v>
      </c>
      <c r="C24" s="1061"/>
      <c r="D24" s="1061"/>
      <c r="E24" s="1062"/>
      <c r="F24" s="571"/>
      <c r="G24" s="544">
        <f>$F$18*F13</f>
        <v>1888.29</v>
      </c>
      <c r="H24" s="571"/>
      <c r="I24" s="544">
        <f>H18</f>
        <v>1888.29</v>
      </c>
      <c r="J24" s="571"/>
      <c r="K24" s="544">
        <f>J18</f>
        <v>2012.54</v>
      </c>
      <c r="L24" s="571"/>
      <c r="M24" s="544">
        <f>$L$18</f>
        <v>2012.54</v>
      </c>
      <c r="N24" s="571"/>
      <c r="O24" s="544">
        <f>N18</f>
        <v>2054.19</v>
      </c>
      <c r="P24" s="571"/>
      <c r="Q24" s="544">
        <f>P18</f>
        <v>2124.65</v>
      </c>
      <c r="R24" s="571"/>
      <c r="S24" s="544">
        <f>R18</f>
        <v>2124.65</v>
      </c>
    </row>
    <row r="25" spans="1:20" s="44" customFormat="1" ht="19.5" customHeight="1" x14ac:dyDescent="0.2">
      <c r="A25" s="542" t="s">
        <v>2</v>
      </c>
      <c r="B25" s="943" t="str">
        <f>DADOS!A26</f>
        <v>Adicional Motorizado - Cláusula 3ª, alínea "f" da CCT</v>
      </c>
      <c r="C25" s="1061"/>
      <c r="D25" s="1061"/>
      <c r="E25" s="1062"/>
      <c r="F25" s="571">
        <f>DADOS!D26</f>
        <v>0.1</v>
      </c>
      <c r="G25" s="545"/>
      <c r="H25" s="571">
        <f>DADOS!D27</f>
        <v>1.5</v>
      </c>
      <c r="I25" s="545"/>
      <c r="J25" s="571">
        <f>DADOS!H26</f>
        <v>0</v>
      </c>
      <c r="K25" s="545"/>
      <c r="L25" s="571">
        <f>DADOS!J26</f>
        <v>0</v>
      </c>
      <c r="M25" s="545"/>
      <c r="N25" s="571">
        <f>DADOS!L26</f>
        <v>0</v>
      </c>
      <c r="O25" s="545"/>
      <c r="P25" s="571">
        <f>DADOS!N26</f>
        <v>0</v>
      </c>
      <c r="Q25" s="545"/>
      <c r="R25" s="571">
        <f>DADOS!P26</f>
        <v>0</v>
      </c>
      <c r="S25" s="545"/>
    </row>
    <row r="26" spans="1:20" s="44" customFormat="1" x14ac:dyDescent="0.2">
      <c r="A26" s="542" t="s">
        <v>2</v>
      </c>
      <c r="B26" s="949" t="str">
        <f>DADOS!A25</f>
        <v>Adicional de Periculosidade/Risco de Vida - (Lei nº 12.740/2012 e Cláusula 3ª § 4º da CCT/2016)</v>
      </c>
      <c r="C26" s="949"/>
      <c r="D26" s="949"/>
      <c r="E26" s="1053"/>
      <c r="F26" s="571">
        <f>DADOS!D25</f>
        <v>0.3</v>
      </c>
      <c r="G26" s="546">
        <f>(G24+G25)*F26</f>
        <v>566.49</v>
      </c>
      <c r="H26" s="571">
        <v>0.3</v>
      </c>
      <c r="I26" s="546">
        <f>(I24+I25)*H26</f>
        <v>566.49</v>
      </c>
      <c r="J26" s="571">
        <f>DADOS!D25</f>
        <v>0.3</v>
      </c>
      <c r="K26" s="546">
        <f>(K24)*J26</f>
        <v>603.76</v>
      </c>
      <c r="L26" s="571">
        <v>0.3</v>
      </c>
      <c r="M26" s="546">
        <f>(M24)*L26</f>
        <v>603.76</v>
      </c>
      <c r="N26" s="571">
        <v>0.3</v>
      </c>
      <c r="O26" s="546">
        <f>N26*O24</f>
        <v>616.26</v>
      </c>
      <c r="P26" s="571">
        <v>0.3</v>
      </c>
      <c r="Q26" s="546">
        <f>P26*Q24</f>
        <v>637.4</v>
      </c>
      <c r="R26" s="571">
        <v>0.3</v>
      </c>
      <c r="S26" s="546">
        <f>R26*S24</f>
        <v>637.4</v>
      </c>
    </row>
    <row r="27" spans="1:20" s="44" customFormat="1" x14ac:dyDescent="0.2">
      <c r="A27" s="542" t="s">
        <v>4</v>
      </c>
      <c r="B27" s="943" t="s">
        <v>304</v>
      </c>
      <c r="C27" s="1061"/>
      <c r="D27" s="1061"/>
      <c r="E27" s="1062"/>
      <c r="F27" s="571"/>
      <c r="G27" s="546"/>
      <c r="H27" s="571"/>
      <c r="I27" s="546"/>
      <c r="J27" s="571"/>
      <c r="K27" s="546"/>
      <c r="L27" s="571"/>
      <c r="M27" s="546"/>
      <c r="N27" s="571"/>
      <c r="O27" s="546"/>
      <c r="P27" s="571"/>
      <c r="Q27" s="546"/>
      <c r="R27" s="571"/>
      <c r="S27" s="546"/>
    </row>
    <row r="28" spans="1:20" s="44" customFormat="1" x14ac:dyDescent="0.2">
      <c r="A28" s="542" t="s">
        <v>5</v>
      </c>
      <c r="B28" s="949" t="s">
        <v>353</v>
      </c>
      <c r="C28" s="949"/>
      <c r="D28" s="949"/>
      <c r="E28" s="1053"/>
      <c r="F28" s="571">
        <f>DADOS!D24</f>
        <v>0.2</v>
      </c>
      <c r="G28" s="546">
        <f>((((G24+G26)/220)*F28)*(9/52.5*60)*DADOS!L23)</f>
        <v>355.78</v>
      </c>
      <c r="H28" s="571">
        <v>0.2</v>
      </c>
      <c r="I28" s="546">
        <f>((((I24+I26)/220)*H28)*(9/52.5*60)*15.5)</f>
        <v>355.78</v>
      </c>
      <c r="J28" s="571">
        <v>0.2</v>
      </c>
      <c r="K28" s="546">
        <f>((((K24+K26)/220)*J28)*(9/52.5*60)*15.5)</f>
        <v>379.19</v>
      </c>
      <c r="L28" s="571">
        <v>0.2</v>
      </c>
      <c r="M28" s="546">
        <f>((((M24+M26)/220)*L28)*(9/52.5*60)*15.5)</f>
        <v>379.19</v>
      </c>
      <c r="N28" s="571">
        <v>0.14019999999999999</v>
      </c>
      <c r="O28" s="546">
        <f>(O26+O24)*N28</f>
        <v>374.4</v>
      </c>
      <c r="P28" s="709">
        <v>0.109</v>
      </c>
      <c r="Q28" s="546">
        <f>(Q26+Q24)*P28</f>
        <v>301.06</v>
      </c>
      <c r="R28" s="709">
        <v>0.109</v>
      </c>
      <c r="S28" s="546">
        <f>(S26+S24)*R28</f>
        <v>301.06</v>
      </c>
    </row>
    <row r="29" spans="1:20" s="44" customFormat="1" x14ac:dyDescent="0.2">
      <c r="A29" s="542" t="s">
        <v>6</v>
      </c>
      <c r="B29" s="943" t="s">
        <v>24</v>
      </c>
      <c r="C29" s="1061"/>
      <c r="D29" s="1061"/>
      <c r="E29" s="1062"/>
      <c r="F29" s="571"/>
      <c r="G29" s="546"/>
      <c r="H29" s="571"/>
      <c r="I29" s="546"/>
      <c r="J29" s="571"/>
      <c r="K29" s="546"/>
      <c r="L29" s="571"/>
      <c r="M29" s="546"/>
      <c r="N29" s="571"/>
      <c r="O29" s="603"/>
      <c r="P29" s="571"/>
      <c r="Q29" s="603"/>
      <c r="R29" s="571"/>
      <c r="S29" s="603"/>
    </row>
    <row r="30" spans="1:20" s="44" customFormat="1" x14ac:dyDescent="0.2">
      <c r="A30" s="542" t="s">
        <v>7</v>
      </c>
      <c r="B30" s="943" t="s">
        <v>100</v>
      </c>
      <c r="C30" s="1061"/>
      <c r="D30" s="1061"/>
      <c r="E30" s="1062"/>
      <c r="F30" s="571"/>
      <c r="G30" s="546"/>
      <c r="H30" s="571"/>
      <c r="I30" s="546"/>
      <c r="J30" s="571"/>
      <c r="K30" s="546"/>
      <c r="L30" s="571"/>
      <c r="M30" s="546"/>
      <c r="N30" s="571"/>
      <c r="O30" s="546"/>
      <c r="P30" s="571"/>
      <c r="Q30" s="546"/>
      <c r="R30" s="571"/>
      <c r="S30" s="546"/>
    </row>
    <row r="31" spans="1:20" s="44" customFormat="1" x14ac:dyDescent="0.2">
      <c r="A31" s="542" t="s">
        <v>8</v>
      </c>
      <c r="B31" s="949" t="str">
        <f>DADOS!A28</f>
        <v xml:space="preserve">Intervalo Intrajornada - {[(Salário Base + Adicionais) ÷ 220] x 1,50 (hora extra acrescida de 50%) x 15,5 dias) </v>
      </c>
      <c r="C31" s="949"/>
      <c r="D31" s="949"/>
      <c r="E31" s="1053"/>
      <c r="F31" s="612">
        <f>DADOS!D27</f>
        <v>1.5</v>
      </c>
      <c r="G31" s="546">
        <f>(((G24+G26+G28)/220)*F31)*DADOS!L23</f>
        <v>297.02999999999997</v>
      </c>
      <c r="H31" s="612">
        <f>DADOS!B27</f>
        <v>0</v>
      </c>
      <c r="I31" s="546">
        <f>(((G24+G26+G28)/220)*F31)*DADOS!L23</f>
        <v>297.02999999999997</v>
      </c>
      <c r="J31" s="572"/>
      <c r="K31" s="546">
        <f>(((K24+K26+K28)/220)*1.5)*DADOS!L23</f>
        <v>316.57</v>
      </c>
      <c r="L31" s="572"/>
      <c r="M31" s="546">
        <f>(((M24+M26+M28)/220)*1.5)*15.5</f>
        <v>316.57</v>
      </c>
      <c r="N31" s="572"/>
      <c r="O31" s="546">
        <f>(((O24+O26+O28)/220)*1.5)*15.5</f>
        <v>321.79000000000002</v>
      </c>
      <c r="P31" s="572"/>
      <c r="Q31" s="546">
        <f>(((Q24+Q26+Q28)/220)*1.5)*15.5</f>
        <v>323.72000000000003</v>
      </c>
      <c r="R31" s="572"/>
      <c r="S31" s="546">
        <f>(((S24+S26+S28)/220)*1.5)*15.5</f>
        <v>323.72000000000003</v>
      </c>
    </row>
    <row r="32" spans="1:20" s="44" customFormat="1" ht="29.25" customHeight="1" x14ac:dyDescent="0.2">
      <c r="A32" s="542" t="s">
        <v>9</v>
      </c>
      <c r="B32" s="949" t="s">
        <v>307</v>
      </c>
      <c r="C32" s="949"/>
      <c r="D32" s="949"/>
      <c r="E32" s="1053"/>
      <c r="F32" s="571"/>
      <c r="G32" s="546">
        <v>70.63</v>
      </c>
      <c r="H32" s="571"/>
      <c r="I32" s="546">
        <v>70.63</v>
      </c>
      <c r="J32" s="571"/>
      <c r="K32" s="546"/>
      <c r="L32" s="571"/>
      <c r="M32" s="546"/>
      <c r="N32" s="571"/>
      <c r="O32" s="546"/>
      <c r="P32" s="571"/>
      <c r="Q32" s="546"/>
      <c r="R32" s="571"/>
      <c r="S32" s="546"/>
      <c r="T32" s="48"/>
    </row>
    <row r="33" spans="1:20" s="44" customFormat="1" ht="18.75" customHeight="1" x14ac:dyDescent="0.2">
      <c r="A33" s="547"/>
      <c r="B33" s="979" t="s">
        <v>133</v>
      </c>
      <c r="C33" s="1106"/>
      <c r="D33" s="1106"/>
      <c r="E33" s="1107"/>
      <c r="F33" s="568"/>
      <c r="G33" s="633">
        <f>SUM(G24:G32)</f>
        <v>3178.22</v>
      </c>
      <c r="H33" s="606"/>
      <c r="I33" s="607">
        <f>SUM(I24:I32)</f>
        <v>3178.22</v>
      </c>
      <c r="J33" s="606"/>
      <c r="K33" s="607">
        <f>SUM(K24:K32)</f>
        <v>3312.06</v>
      </c>
      <c r="L33" s="606"/>
      <c r="M33" s="607">
        <f>SUM(M24:M32)</f>
        <v>3312.06</v>
      </c>
      <c r="N33" s="606"/>
      <c r="O33" s="607">
        <f>SUM(O24:O32)</f>
        <v>3366.64</v>
      </c>
      <c r="P33" s="606"/>
      <c r="Q33" s="607">
        <f>SUM(Q24:Q32)</f>
        <v>3386.83</v>
      </c>
      <c r="R33" s="606"/>
      <c r="S33" s="607">
        <f>SUM(S24:S32)</f>
        <v>3386.83</v>
      </c>
      <c r="T33" s="367"/>
    </row>
    <row r="34" spans="1:20" s="46" customFormat="1" x14ac:dyDescent="0.2">
      <c r="A34" s="538"/>
      <c r="B34" s="1122"/>
      <c r="C34" s="1123"/>
      <c r="D34" s="1123"/>
      <c r="E34" s="1124"/>
      <c r="F34" s="890"/>
      <c r="G34" s="891"/>
      <c r="H34" s="890"/>
      <c r="I34" s="891"/>
      <c r="J34" s="890"/>
      <c r="K34" s="891"/>
      <c r="L34" s="890"/>
      <c r="M34" s="891"/>
      <c r="N34" s="890"/>
      <c r="O34" s="891"/>
      <c r="P34" s="890"/>
      <c r="Q34" s="891"/>
      <c r="R34" s="890"/>
      <c r="S34" s="891"/>
    </row>
    <row r="35" spans="1:20" s="44" customFormat="1" ht="15" customHeight="1" x14ac:dyDescent="0.2">
      <c r="A35" s="972" t="s">
        <v>32</v>
      </c>
      <c r="B35" s="974"/>
      <c r="C35" s="974"/>
      <c r="D35" s="974"/>
      <c r="E35" s="973"/>
      <c r="F35" s="890"/>
      <c r="G35" s="891"/>
      <c r="H35" s="890"/>
      <c r="I35" s="891"/>
      <c r="J35" s="890"/>
      <c r="K35" s="891"/>
      <c r="L35" s="890"/>
      <c r="M35" s="891"/>
      <c r="N35" s="890"/>
      <c r="O35" s="891"/>
      <c r="P35" s="890"/>
      <c r="Q35" s="891"/>
      <c r="R35" s="890"/>
      <c r="S35" s="891"/>
    </row>
    <row r="36" spans="1:20" s="44" customFormat="1" ht="18" customHeight="1" x14ac:dyDescent="0.2">
      <c r="A36" s="538">
        <v>2</v>
      </c>
      <c r="B36" s="964" t="s">
        <v>25</v>
      </c>
      <c r="C36" s="964"/>
      <c r="D36" s="964"/>
      <c r="E36" s="1055"/>
      <c r="F36" s="631" t="s">
        <v>13</v>
      </c>
      <c r="G36" s="632" t="s">
        <v>135</v>
      </c>
      <c r="H36" s="631" t="s">
        <v>13</v>
      </c>
      <c r="I36" s="632" t="s">
        <v>135</v>
      </c>
      <c r="J36" s="631" t="s">
        <v>13</v>
      </c>
      <c r="K36" s="632" t="s">
        <v>135</v>
      </c>
      <c r="L36" s="631" t="s">
        <v>13</v>
      </c>
      <c r="M36" s="632" t="s">
        <v>135</v>
      </c>
      <c r="N36" s="631" t="s">
        <v>13</v>
      </c>
      <c r="O36" s="632" t="s">
        <v>135</v>
      </c>
      <c r="P36" s="631" t="s">
        <v>13</v>
      </c>
      <c r="Q36" s="632" t="s">
        <v>135</v>
      </c>
      <c r="R36" s="631" t="s">
        <v>13</v>
      </c>
      <c r="S36" s="632" t="s">
        <v>135</v>
      </c>
    </row>
    <row r="37" spans="1:20" s="44" customFormat="1" ht="18.75" customHeight="1" x14ac:dyDescent="0.2">
      <c r="A37" s="898" t="s">
        <v>1</v>
      </c>
      <c r="B37" s="939" t="str">
        <f>DADOS!A34</f>
        <v>Transporte [(R$ 5,00) x 2] x 15,5 dias - Cláusula 13ª da CCT/2016</v>
      </c>
      <c r="C37" s="1024"/>
      <c r="D37" s="1024"/>
      <c r="E37" s="1052"/>
      <c r="F37" s="608">
        <f>DADOS!F33</f>
        <v>10</v>
      </c>
      <c r="G37" s="549">
        <f>(F37*DADOS!L23*$F$13)</f>
        <v>155</v>
      </c>
      <c r="H37" s="608">
        <f>DADOS!F33</f>
        <v>10</v>
      </c>
      <c r="I37" s="549">
        <f>G37</f>
        <v>155</v>
      </c>
      <c r="J37" s="573">
        <f>DADOS!J33</f>
        <v>0</v>
      </c>
      <c r="K37" s="549">
        <f>(5*2*15.5)</f>
        <v>155</v>
      </c>
      <c r="L37" s="573"/>
      <c r="M37" s="549">
        <f>(5*2*15.5)</f>
        <v>155</v>
      </c>
      <c r="N37" s="608">
        <f>DADOS!N33</f>
        <v>0</v>
      </c>
      <c r="O37" s="549">
        <f>(5*2*15.5)</f>
        <v>155</v>
      </c>
      <c r="P37" s="608">
        <f>DADOS!P33</f>
        <v>0</v>
      </c>
      <c r="Q37" s="549">
        <f>(5*2*15.5)</f>
        <v>155</v>
      </c>
      <c r="R37" s="608">
        <f>DADOS!R33</f>
        <v>0</v>
      </c>
      <c r="S37" s="549">
        <f>(5*2*15.5)</f>
        <v>155</v>
      </c>
      <c r="T37" s="46"/>
    </row>
    <row r="38" spans="1:20" s="44" customFormat="1" ht="21" customHeight="1" x14ac:dyDescent="0.2">
      <c r="A38" s="898"/>
      <c r="B38" s="939" t="s">
        <v>101</v>
      </c>
      <c r="C38" s="1024"/>
      <c r="D38" s="1024"/>
      <c r="E38" s="1052"/>
      <c r="F38" s="574">
        <f>DADOS!F35</f>
        <v>0.06</v>
      </c>
      <c r="G38" s="550">
        <f>-MIN(G37,(F38*G24))</f>
        <v>-113.3</v>
      </c>
      <c r="H38" s="574">
        <f>F38</f>
        <v>0.06</v>
      </c>
      <c r="I38" s="550">
        <f>-MIN(I37,(H38*I24))</f>
        <v>-113.3</v>
      </c>
      <c r="J38" s="574">
        <f>DADOS!F35</f>
        <v>0.06</v>
      </c>
      <c r="K38" s="550">
        <f>-MIN(K37,(J38*K24))</f>
        <v>-120.75</v>
      </c>
      <c r="L38" s="574">
        <v>0.06</v>
      </c>
      <c r="M38" s="550">
        <f>-MIN(M37,(L38*M24))</f>
        <v>-120.75</v>
      </c>
      <c r="N38" s="574">
        <v>0.06</v>
      </c>
      <c r="O38" s="550">
        <f>-MIN(O37,(N38*O24))</f>
        <v>-123.25</v>
      </c>
      <c r="P38" s="574">
        <v>0.06</v>
      </c>
      <c r="Q38" s="550">
        <f>-MIN(Q37,(P38*Q24))</f>
        <v>-127.48</v>
      </c>
      <c r="R38" s="574">
        <v>0.06</v>
      </c>
      <c r="S38" s="680">
        <f>-MIN(S37,(R38*S24))</f>
        <v>-127.48</v>
      </c>
    </row>
    <row r="39" spans="1:20" s="44" customFormat="1" ht="29.25" customHeight="1" x14ac:dyDescent="0.2">
      <c r="A39" s="1078" t="s">
        <v>2</v>
      </c>
      <c r="B39" s="949" t="str">
        <f>DADOS!A38</f>
        <v>Auxílio alimentação (Tiquete refeição de R$ 32,00 x 15,5 dias efetivamente trabalhados) - Cláusula 12ª da CCT/2016</v>
      </c>
      <c r="C39" s="949"/>
      <c r="D39" s="949"/>
      <c r="E39" s="1053"/>
      <c r="F39" s="608">
        <f>DADOS!F37</f>
        <v>32</v>
      </c>
      <c r="G39" s="549">
        <f>(F39*DADOS!L23)*$F$13</f>
        <v>496</v>
      </c>
      <c r="H39" s="608">
        <f>DADOS!F37</f>
        <v>32</v>
      </c>
      <c r="I39" s="549">
        <f>G39</f>
        <v>496</v>
      </c>
      <c r="J39" s="573"/>
      <c r="K39" s="549">
        <f>(34.11*15.5)</f>
        <v>528.71</v>
      </c>
      <c r="L39" s="573"/>
      <c r="M39" s="549">
        <f>15.5*34.11</f>
        <v>528.71</v>
      </c>
      <c r="N39" s="608">
        <f>DADOS!N37</f>
        <v>0</v>
      </c>
      <c r="O39" s="549">
        <f>34.84*15.5</f>
        <v>540.02</v>
      </c>
      <c r="P39" s="608">
        <f>DADOS!P37</f>
        <v>0</v>
      </c>
      <c r="Q39" s="626">
        <f>36.5*15.5</f>
        <v>565.75</v>
      </c>
      <c r="R39" s="608">
        <f>DADOS!R37</f>
        <v>0</v>
      </c>
      <c r="S39" s="626">
        <f>36.5*15.5</f>
        <v>565.75</v>
      </c>
    </row>
    <row r="40" spans="1:20" s="44" customFormat="1" ht="29.25" customHeight="1" x14ac:dyDescent="0.2">
      <c r="A40" s="1079"/>
      <c r="B40" s="947" t="s">
        <v>415</v>
      </c>
      <c r="C40" s="1108"/>
      <c r="D40" s="1108"/>
      <c r="E40" s="1109"/>
      <c r="F40" s="608"/>
      <c r="G40" s="549"/>
      <c r="H40" s="608"/>
      <c r="I40" s="549"/>
      <c r="J40" s="573"/>
      <c r="K40" s="549"/>
      <c r="L40" s="573"/>
      <c r="M40" s="549"/>
      <c r="N40" s="608"/>
      <c r="O40" s="549">
        <f>-0.03*15.5</f>
        <v>-0.47</v>
      </c>
      <c r="P40" s="705">
        <v>0.02</v>
      </c>
      <c r="Q40" s="626">
        <f>-Q39*0.02</f>
        <v>-11.32</v>
      </c>
      <c r="R40" s="705">
        <v>0.02</v>
      </c>
      <c r="S40" s="626">
        <f>-S39*0.02</f>
        <v>-11.32</v>
      </c>
    </row>
    <row r="41" spans="1:20" s="44" customFormat="1" ht="28.5" customHeight="1" x14ac:dyDescent="0.2">
      <c r="A41" s="538" t="s">
        <v>4</v>
      </c>
      <c r="B41" s="962" t="str">
        <f>DADOS!A46</f>
        <v>Auxílio Saúde - Cláusula 14ª da CCT/2016 - NÃO SE APLICA CONFORME PARECER Nº 15/2014/CPLC/ DEPCONSU/PGF/AGU</v>
      </c>
      <c r="C41" s="962"/>
      <c r="D41" s="962"/>
      <c r="E41" s="1119"/>
      <c r="F41" s="608">
        <f>DADOS!F46</f>
        <v>0</v>
      </c>
      <c r="G41" s="550">
        <f t="shared" ref="G41:G46" si="0">F41*$F$13</f>
        <v>0</v>
      </c>
      <c r="H41" s="608">
        <f>DADOS!F46</f>
        <v>0</v>
      </c>
      <c r="I41" s="550">
        <f>H41*$F$13</f>
        <v>0</v>
      </c>
      <c r="J41" s="573"/>
      <c r="K41" s="550">
        <f>J41*$F$13</f>
        <v>0</v>
      </c>
      <c r="L41" s="573"/>
      <c r="M41" s="550"/>
      <c r="N41" s="608">
        <f>DADOS!N46</f>
        <v>0</v>
      </c>
      <c r="O41" s="550">
        <f>N41*$F$13</f>
        <v>0</v>
      </c>
      <c r="P41" s="608">
        <f>DADOS!P46</f>
        <v>0</v>
      </c>
      <c r="Q41" s="680">
        <f>P41*$F$13</f>
        <v>0</v>
      </c>
      <c r="R41" s="608">
        <f>DADOS!R46</f>
        <v>0</v>
      </c>
      <c r="S41" s="680">
        <f>R41*$F$13</f>
        <v>0</v>
      </c>
    </row>
    <row r="42" spans="1:20" s="44" customFormat="1" ht="55.5" customHeight="1" x14ac:dyDescent="0.2">
      <c r="A42" s="538" t="s">
        <v>5</v>
      </c>
      <c r="B42" s="962" t="str">
        <f>DADOS!A44</f>
        <v>Fundo Social e Odontológico - Cláusula 18ª - CCT/2016 - NÃO SE APLIC CONF.PARECER Nº 15/2014/CPLC/ DEPCONSU/PGF/AGU, por entender que integra ao Auxílio Saúde</v>
      </c>
      <c r="C42" s="962"/>
      <c r="D42" s="962"/>
      <c r="E42" s="1119"/>
      <c r="F42" s="608">
        <f>DADOS!F44</f>
        <v>0</v>
      </c>
      <c r="G42" s="550">
        <f t="shared" si="0"/>
        <v>0</v>
      </c>
      <c r="H42" s="608">
        <f>DADOS!F44</f>
        <v>0</v>
      </c>
      <c r="I42" s="550">
        <f>H42*$F$13</f>
        <v>0</v>
      </c>
      <c r="J42" s="573"/>
      <c r="K42" s="550">
        <f>J42*$F$13</f>
        <v>0</v>
      </c>
      <c r="L42" s="573"/>
      <c r="M42" s="550">
        <f>L42*$F$13</f>
        <v>0</v>
      </c>
      <c r="N42" s="608"/>
      <c r="O42" s="550"/>
      <c r="P42" s="608"/>
      <c r="Q42" s="680"/>
      <c r="R42" s="608"/>
      <c r="S42" s="680"/>
    </row>
    <row r="43" spans="1:20" s="44" customFormat="1" x14ac:dyDescent="0.2">
      <c r="A43" s="538" t="s">
        <v>6</v>
      </c>
      <c r="B43" s="971" t="str">
        <f>DADOS!A39</f>
        <v>Fundo Ind. Aposent. Ou Doença - Cláusula 15ª da CCT/2016</v>
      </c>
      <c r="C43" s="1080"/>
      <c r="D43" s="1080"/>
      <c r="E43" s="1081"/>
      <c r="F43" s="608">
        <f>DADOS!F39</f>
        <v>14</v>
      </c>
      <c r="G43" s="550">
        <f t="shared" si="0"/>
        <v>14</v>
      </c>
      <c r="H43" s="608">
        <f>DADOS!F39</f>
        <v>14</v>
      </c>
      <c r="I43" s="550">
        <f>G43</f>
        <v>14</v>
      </c>
      <c r="J43" s="573">
        <f>DADOS!J39</f>
        <v>0</v>
      </c>
      <c r="K43" s="550">
        <f>G43</f>
        <v>14</v>
      </c>
      <c r="L43" s="573"/>
      <c r="M43" s="550">
        <f>I43</f>
        <v>14</v>
      </c>
      <c r="N43" s="608">
        <f>DADOS!N39</f>
        <v>0</v>
      </c>
      <c r="O43" s="550">
        <v>14</v>
      </c>
      <c r="P43" s="608">
        <f>DADOS!P39</f>
        <v>0</v>
      </c>
      <c r="Q43" s="680">
        <v>14</v>
      </c>
      <c r="R43" s="608">
        <f>DADOS!R39</f>
        <v>0</v>
      </c>
      <c r="S43" s="680">
        <v>14</v>
      </c>
    </row>
    <row r="44" spans="1:20" s="44" customFormat="1" ht="19.5" customHeight="1" x14ac:dyDescent="0.2">
      <c r="A44" s="538" t="s">
        <v>7</v>
      </c>
      <c r="B44" s="971" t="str">
        <f>DADOS!A40</f>
        <v>Seguro de vida, inclusive invalidez - Cláusula 16ª da CCT/2016</v>
      </c>
      <c r="C44" s="1080"/>
      <c r="D44" s="1080"/>
      <c r="E44" s="1081"/>
      <c r="F44" s="608">
        <f>DADOS!L40</f>
        <v>10.25</v>
      </c>
      <c r="G44" s="550">
        <f t="shared" si="0"/>
        <v>10.25</v>
      </c>
      <c r="H44" s="608">
        <f>DADOS!L41</f>
        <v>12.22</v>
      </c>
      <c r="I44" s="550">
        <f>G44</f>
        <v>10.25</v>
      </c>
      <c r="J44" s="573">
        <f>DADOS!P41</f>
        <v>0</v>
      </c>
      <c r="K44" s="550">
        <f>G44</f>
        <v>10.25</v>
      </c>
      <c r="L44" s="573"/>
      <c r="M44" s="550">
        <f>I44</f>
        <v>10.25</v>
      </c>
      <c r="N44" s="608">
        <f>DADOS!T41</f>
        <v>0</v>
      </c>
      <c r="O44" s="550">
        <v>10.46</v>
      </c>
      <c r="P44" s="608">
        <f>DADOS!V41</f>
        <v>0</v>
      </c>
      <c r="Q44" s="627">
        <v>10.82</v>
      </c>
      <c r="R44" s="608">
        <f>DADOS!X41</f>
        <v>0</v>
      </c>
      <c r="S44" s="627">
        <v>10.82</v>
      </c>
    </row>
    <row r="45" spans="1:20" s="44" customFormat="1" ht="37.5" customHeight="1" x14ac:dyDescent="0.2">
      <c r="A45" s="538" t="s">
        <v>8</v>
      </c>
      <c r="B45" s="962" t="str">
        <f>DADOS!A41</f>
        <v>Auxílio Funeral (Despesas de sepultamento - R$ 3.560,00 - Cláusula 16ª alínea "d" da CCT/2016</v>
      </c>
      <c r="C45" s="962"/>
      <c r="D45" s="962"/>
      <c r="E45" s="1119"/>
      <c r="F45" s="608">
        <f>DADOS!F41</f>
        <v>1.8</v>
      </c>
      <c r="G45" s="550">
        <f t="shared" si="0"/>
        <v>1.8</v>
      </c>
      <c r="H45" s="608">
        <f>DADOS!F41</f>
        <v>1.8</v>
      </c>
      <c r="I45" s="550">
        <f>G45</f>
        <v>1.8</v>
      </c>
      <c r="J45" s="573">
        <f>DADOS!J41</f>
        <v>0</v>
      </c>
      <c r="K45" s="550">
        <f>G45</f>
        <v>1.8</v>
      </c>
      <c r="L45" s="573"/>
      <c r="M45" s="550">
        <f>I45</f>
        <v>1.8</v>
      </c>
      <c r="N45" s="608">
        <f>DADOS!N41</f>
        <v>0</v>
      </c>
      <c r="O45" s="550">
        <v>1.8</v>
      </c>
      <c r="P45" s="608">
        <f>DADOS!P41</f>
        <v>0</v>
      </c>
      <c r="Q45" s="550">
        <v>1.8</v>
      </c>
      <c r="R45" s="608">
        <f>DADOS!R41</f>
        <v>0</v>
      </c>
      <c r="S45" s="680">
        <v>1.8</v>
      </c>
    </row>
    <row r="46" spans="1:20" s="44" customFormat="1" x14ac:dyDescent="0.2">
      <c r="A46" s="538" t="s">
        <v>9</v>
      </c>
      <c r="B46" s="971" t="str">
        <f>DADOS!A42</f>
        <v>Treinamento/Capacitação/Reciclagem - Cláusula 28ª da CCT/2016</v>
      </c>
      <c r="C46" s="1080"/>
      <c r="D46" s="1080"/>
      <c r="E46" s="1081"/>
      <c r="F46" s="608">
        <f>DADOS!F42</f>
        <v>12.08</v>
      </c>
      <c r="G46" s="550">
        <f t="shared" si="0"/>
        <v>12.08</v>
      </c>
      <c r="H46" s="608">
        <f>DADOS!F42</f>
        <v>12.08</v>
      </c>
      <c r="I46" s="550">
        <f>G46</f>
        <v>12.08</v>
      </c>
      <c r="J46" s="573">
        <f>DADOS!J42</f>
        <v>0</v>
      </c>
      <c r="K46" s="550">
        <f>G46</f>
        <v>12.08</v>
      </c>
      <c r="L46" s="573"/>
      <c r="M46" s="550">
        <f>I46</f>
        <v>12.08</v>
      </c>
      <c r="N46" s="608">
        <f>DADOS!N42</f>
        <v>0</v>
      </c>
      <c r="O46" s="550">
        <v>12.08</v>
      </c>
      <c r="P46" s="608">
        <f>DADOS!P42</f>
        <v>0</v>
      </c>
      <c r="Q46" s="627">
        <v>12.49</v>
      </c>
      <c r="R46" s="608">
        <f>DADOS!R42</f>
        <v>0</v>
      </c>
      <c r="S46" s="627">
        <v>12.49</v>
      </c>
    </row>
    <row r="47" spans="1:20" s="44" customFormat="1" x14ac:dyDescent="0.2">
      <c r="A47" s="538" t="s">
        <v>139</v>
      </c>
      <c r="B47" s="971" t="s">
        <v>76</v>
      </c>
      <c r="C47" s="1080"/>
      <c r="D47" s="1080"/>
      <c r="E47" s="1081"/>
      <c r="F47" s="575"/>
      <c r="G47" s="548"/>
      <c r="H47" s="575"/>
      <c r="I47" s="548"/>
      <c r="J47" s="575"/>
      <c r="K47" s="548"/>
      <c r="L47" s="575"/>
      <c r="M47" s="548"/>
      <c r="N47" s="575"/>
      <c r="O47" s="548"/>
      <c r="P47" s="575"/>
      <c r="Q47" s="548"/>
      <c r="R47" s="677"/>
      <c r="S47" s="679"/>
    </row>
    <row r="48" spans="1:20" s="44" customFormat="1" ht="18" customHeight="1" x14ac:dyDescent="0.2">
      <c r="A48" s="547"/>
      <c r="B48" s="958" t="s">
        <v>134</v>
      </c>
      <c r="C48" s="1066"/>
      <c r="D48" s="1066"/>
      <c r="E48" s="1003"/>
      <c r="F48" s="568"/>
      <c r="G48" s="552">
        <f>SUM(G37:G47)</f>
        <v>575.83000000000004</v>
      </c>
      <c r="H48" s="581"/>
      <c r="I48" s="552">
        <f>SUM(I37:I47)</f>
        <v>575.83000000000004</v>
      </c>
      <c r="J48" s="581"/>
      <c r="K48" s="552">
        <f>SUM(K37:K47)</f>
        <v>601.09</v>
      </c>
      <c r="L48" s="581"/>
      <c r="M48" s="552">
        <f>SUM(M37:M47)</f>
        <v>601.09</v>
      </c>
      <c r="N48" s="581"/>
      <c r="O48" s="552">
        <f>SUM(O37:O47)</f>
        <v>609.64</v>
      </c>
      <c r="P48" s="581"/>
      <c r="Q48" s="552">
        <f>SUM(Q37:Q47)</f>
        <v>621.05999999999995</v>
      </c>
      <c r="R48" s="581"/>
      <c r="S48" s="552">
        <f>SUM(S37:S47)</f>
        <v>621.05999999999995</v>
      </c>
    </row>
    <row r="49" spans="1:19" s="46" customFormat="1" x14ac:dyDescent="0.2">
      <c r="A49" s="898"/>
      <c r="B49" s="899"/>
      <c r="C49" s="899"/>
      <c r="D49" s="899"/>
      <c r="E49" s="913"/>
      <c r="F49" s="896"/>
      <c r="G49" s="897"/>
      <c r="H49" s="896"/>
      <c r="I49" s="897"/>
      <c r="J49" s="896"/>
      <c r="K49" s="897"/>
      <c r="L49" s="896"/>
      <c r="M49" s="897"/>
      <c r="N49" s="896"/>
      <c r="O49" s="897"/>
      <c r="P49" s="896"/>
      <c r="Q49" s="897"/>
      <c r="R49" s="896"/>
      <c r="S49" s="897"/>
    </row>
    <row r="50" spans="1:19" s="44" customFormat="1" ht="14.25" customHeight="1" x14ac:dyDescent="0.2">
      <c r="A50" s="972" t="s">
        <v>33</v>
      </c>
      <c r="B50" s="974"/>
      <c r="C50" s="974"/>
      <c r="D50" s="974"/>
      <c r="E50" s="973"/>
      <c r="F50" s="896"/>
      <c r="G50" s="897"/>
      <c r="H50" s="896"/>
      <c r="I50" s="897"/>
      <c r="J50" s="896"/>
      <c r="K50" s="897"/>
      <c r="L50" s="896"/>
      <c r="M50" s="897"/>
      <c r="N50" s="896"/>
      <c r="O50" s="897"/>
      <c r="P50" s="896"/>
      <c r="Q50" s="897"/>
      <c r="R50" s="896"/>
      <c r="S50" s="897"/>
    </row>
    <row r="51" spans="1:19" s="44" customFormat="1" ht="18" customHeight="1" x14ac:dyDescent="0.2">
      <c r="A51" s="542">
        <v>3</v>
      </c>
      <c r="B51" s="957" t="s">
        <v>102</v>
      </c>
      <c r="C51" s="957"/>
      <c r="D51" s="957"/>
      <c r="E51" s="1077"/>
      <c r="F51" s="542" t="s">
        <v>13</v>
      </c>
      <c r="G51" s="543" t="s">
        <v>135</v>
      </c>
      <c r="H51" s="542" t="s">
        <v>13</v>
      </c>
      <c r="I51" s="543" t="s">
        <v>135</v>
      </c>
      <c r="J51" s="542" t="s">
        <v>13</v>
      </c>
      <c r="K51" s="543" t="s">
        <v>135</v>
      </c>
      <c r="L51" s="542" t="s">
        <v>13</v>
      </c>
      <c r="M51" s="543" t="s">
        <v>135</v>
      </c>
      <c r="N51" s="542" t="s">
        <v>13</v>
      </c>
      <c r="O51" s="543" t="s">
        <v>135</v>
      </c>
      <c r="P51" s="542" t="s">
        <v>13</v>
      </c>
      <c r="Q51" s="543" t="s">
        <v>135</v>
      </c>
      <c r="R51" s="675" t="s">
        <v>13</v>
      </c>
      <c r="S51" s="681" t="s">
        <v>135</v>
      </c>
    </row>
    <row r="52" spans="1:19" s="44" customFormat="1" ht="15.75" customHeight="1" x14ac:dyDescent="0.2">
      <c r="A52" s="542" t="s">
        <v>1</v>
      </c>
      <c r="B52" s="939" t="str">
        <f>DADOS!A53</f>
        <v>Uniformes</v>
      </c>
      <c r="C52" s="1024"/>
      <c r="D52" s="1024"/>
      <c r="E52" s="1052"/>
      <c r="F52" s="571"/>
      <c r="G52" s="549">
        <f>DADOS!F53*$F$13</f>
        <v>240.13</v>
      </c>
      <c r="H52" s="571"/>
      <c r="I52" s="549">
        <f>G52</f>
        <v>240.13</v>
      </c>
      <c r="J52" s="571"/>
      <c r="K52" s="549">
        <f>UNIFORMES!G37</f>
        <v>240.13</v>
      </c>
      <c r="L52" s="571"/>
      <c r="M52" s="549">
        <f>UNIFORMES!G52</f>
        <v>240.13</v>
      </c>
      <c r="N52" s="571"/>
      <c r="O52" s="549">
        <f>M52</f>
        <v>240.13</v>
      </c>
      <c r="P52" s="571"/>
      <c r="Q52" s="549">
        <f>O52</f>
        <v>240.13</v>
      </c>
      <c r="R52" s="571"/>
      <c r="S52" s="549">
        <f>Q52</f>
        <v>240.13</v>
      </c>
    </row>
    <row r="53" spans="1:19" s="44" customFormat="1" ht="16.5" customHeight="1" x14ac:dyDescent="0.2">
      <c r="A53" s="542" t="s">
        <v>2</v>
      </c>
      <c r="B53" s="939" t="str">
        <f>DADOS!A54</f>
        <v>Materiais de Consumo Mensal</v>
      </c>
      <c r="C53" s="1024"/>
      <c r="D53" s="1024"/>
      <c r="E53" s="1052"/>
      <c r="F53" s="571"/>
      <c r="G53" s="549">
        <f>DADOS!F54*$F$13</f>
        <v>8.5299999999999994</v>
      </c>
      <c r="H53" s="571"/>
      <c r="I53" s="549">
        <f>G53</f>
        <v>8.5299999999999994</v>
      </c>
      <c r="J53" s="571"/>
      <c r="K53" s="549">
        <f>'MAT e EQUIPS'!H19</f>
        <v>8.5299999999999994</v>
      </c>
      <c r="L53" s="571"/>
      <c r="M53" s="549">
        <f>'MAT e EQUIPS'!H45</f>
        <v>7.99</v>
      </c>
      <c r="N53" s="571"/>
      <c r="O53" s="549">
        <f>M53</f>
        <v>7.99</v>
      </c>
      <c r="P53" s="571"/>
      <c r="Q53" s="707">
        <f>'MAT e EQUIPS'!H45</f>
        <v>7.99</v>
      </c>
      <c r="R53" s="571"/>
      <c r="S53" s="707">
        <f>'MAT e EQUIPS'!I45</f>
        <v>7.11</v>
      </c>
    </row>
    <row r="54" spans="1:19" s="44" customFormat="1" ht="15.75" customHeight="1" x14ac:dyDescent="0.2">
      <c r="A54" s="542" t="s">
        <v>4</v>
      </c>
      <c r="B54" s="939" t="str">
        <f>DADOS!A55</f>
        <v>Equipamentos para desenvolvimento das atividades</v>
      </c>
      <c r="C54" s="1024"/>
      <c r="D54" s="1024"/>
      <c r="E54" s="1052"/>
      <c r="F54" s="571"/>
      <c r="G54" s="549">
        <f>DADOS!F55*$F$13</f>
        <v>27.13</v>
      </c>
      <c r="H54" s="571"/>
      <c r="I54" s="549">
        <f>G54</f>
        <v>27.13</v>
      </c>
      <c r="J54" s="571"/>
      <c r="K54" s="549">
        <f>'MAT e EQUIPS'!H30</f>
        <v>27.13</v>
      </c>
      <c r="L54" s="571"/>
      <c r="M54" s="549">
        <f>'MAT e EQUIPS'!H56</f>
        <v>25.43</v>
      </c>
      <c r="N54" s="571"/>
      <c r="O54" s="549">
        <f>M54</f>
        <v>25.43</v>
      </c>
      <c r="P54" s="571"/>
      <c r="Q54" s="707">
        <f>'MAT e EQUIPS'!H56</f>
        <v>25.43</v>
      </c>
      <c r="R54" s="571"/>
      <c r="S54" s="707">
        <f>'MAT e EQUIPS'!I56</f>
        <v>22.61</v>
      </c>
    </row>
    <row r="55" spans="1:19" s="44" customFormat="1" ht="18" customHeight="1" x14ac:dyDescent="0.2">
      <c r="A55" s="547"/>
      <c r="B55" s="958" t="s">
        <v>136</v>
      </c>
      <c r="C55" s="1066"/>
      <c r="D55" s="1066"/>
      <c r="E55" s="1003"/>
      <c r="F55" s="568"/>
      <c r="G55" s="553">
        <f>SUM(G52:G54)</f>
        <v>275.79000000000002</v>
      </c>
      <c r="H55" s="582"/>
      <c r="I55" s="553">
        <f>SUM(I52:I54)</f>
        <v>275.79000000000002</v>
      </c>
      <c r="J55" s="582"/>
      <c r="K55" s="553">
        <f>SUM(K52:K54)</f>
        <v>275.79000000000002</v>
      </c>
      <c r="L55" s="582"/>
      <c r="M55" s="553">
        <f>SUM(M52:M54)</f>
        <v>273.55</v>
      </c>
      <c r="N55" s="582"/>
      <c r="O55" s="553">
        <f>SUM(O52:O54)</f>
        <v>273.55</v>
      </c>
      <c r="P55" s="582"/>
      <c r="Q55" s="553">
        <f>SUM(Q52:Q54)</f>
        <v>273.55</v>
      </c>
      <c r="R55" s="582"/>
      <c r="S55" s="553">
        <f>SUM(S52:S54)</f>
        <v>269.85000000000002</v>
      </c>
    </row>
    <row r="56" spans="1:19" s="46" customFormat="1" x14ac:dyDescent="0.2">
      <c r="A56" s="538"/>
      <c r="B56" s="945"/>
      <c r="C56" s="909"/>
      <c r="D56" s="909"/>
      <c r="E56" s="897"/>
      <c r="F56" s="890"/>
      <c r="G56" s="891"/>
      <c r="H56" s="890"/>
      <c r="I56" s="891"/>
      <c r="J56" s="890"/>
      <c r="K56" s="891"/>
      <c r="L56" s="890"/>
      <c r="M56" s="891"/>
      <c r="N56" s="890"/>
      <c r="O56" s="891"/>
      <c r="P56" s="890"/>
      <c r="Q56" s="891"/>
      <c r="R56" s="890"/>
      <c r="S56" s="891"/>
    </row>
    <row r="57" spans="1:19" s="22" customFormat="1" x14ac:dyDescent="0.2">
      <c r="A57" s="1002" t="s">
        <v>34</v>
      </c>
      <c r="B57" s="1066"/>
      <c r="C57" s="1066"/>
      <c r="D57" s="1066"/>
      <c r="E57" s="1003"/>
      <c r="F57" s="890"/>
      <c r="G57" s="891"/>
      <c r="H57" s="890"/>
      <c r="I57" s="891"/>
      <c r="J57" s="890"/>
      <c r="K57" s="891"/>
      <c r="L57" s="890"/>
      <c r="M57" s="891"/>
      <c r="N57" s="890"/>
      <c r="O57" s="891"/>
      <c r="P57" s="890"/>
      <c r="Q57" s="891"/>
      <c r="R57" s="890"/>
      <c r="S57" s="891"/>
    </row>
    <row r="58" spans="1:19" s="22" customFormat="1" x14ac:dyDescent="0.2">
      <c r="A58" s="1002" t="s">
        <v>118</v>
      </c>
      <c r="B58" s="1066"/>
      <c r="C58" s="1066"/>
      <c r="D58" s="1066"/>
      <c r="E58" s="1003"/>
      <c r="F58" s="890"/>
      <c r="G58" s="891"/>
      <c r="H58" s="1002"/>
      <c r="I58" s="1003"/>
      <c r="J58" s="1002"/>
      <c r="K58" s="1003"/>
      <c r="L58" s="1002"/>
      <c r="M58" s="1003"/>
      <c r="N58" s="1002"/>
      <c r="O58" s="1003"/>
      <c r="P58" s="1002"/>
      <c r="Q58" s="1003"/>
      <c r="R58" s="1002"/>
      <c r="S58" s="1003"/>
    </row>
    <row r="59" spans="1:19" s="47" customFormat="1" ht="23.25" customHeight="1" x14ac:dyDescent="0.2">
      <c r="A59" s="538" t="s">
        <v>58</v>
      </c>
      <c r="B59" s="964" t="s">
        <v>116</v>
      </c>
      <c r="C59" s="964"/>
      <c r="D59" s="964"/>
      <c r="E59" s="1055"/>
      <c r="F59" s="622" t="s">
        <v>12</v>
      </c>
      <c r="G59" s="623" t="s">
        <v>98</v>
      </c>
      <c r="H59" s="622" t="s">
        <v>12</v>
      </c>
      <c r="I59" s="623" t="s">
        <v>98</v>
      </c>
      <c r="J59" s="622" t="s">
        <v>12</v>
      </c>
      <c r="K59" s="623" t="s">
        <v>98</v>
      </c>
      <c r="L59" s="622" t="s">
        <v>12</v>
      </c>
      <c r="M59" s="623" t="s">
        <v>98</v>
      </c>
      <c r="N59" s="622" t="s">
        <v>12</v>
      </c>
      <c r="O59" s="623" t="s">
        <v>98</v>
      </c>
      <c r="P59" s="622" t="s">
        <v>12</v>
      </c>
      <c r="Q59" s="623" t="s">
        <v>98</v>
      </c>
      <c r="R59" s="622" t="s">
        <v>12</v>
      </c>
      <c r="S59" s="623" t="s">
        <v>98</v>
      </c>
    </row>
    <row r="60" spans="1:19" s="44" customFormat="1" ht="14.25" customHeight="1" x14ac:dyDescent="0.2">
      <c r="A60" s="538" t="s">
        <v>1</v>
      </c>
      <c r="B60" s="939" t="str">
        <f>DADOS!B81</f>
        <v>INSS</v>
      </c>
      <c r="C60" s="1024"/>
      <c r="D60" s="1024"/>
      <c r="E60" s="1052"/>
      <c r="F60" s="576">
        <f>DADOS!C81</f>
        <v>0.2</v>
      </c>
      <c r="G60" s="548">
        <f>F60*$G$33</f>
        <v>635.64</v>
      </c>
      <c r="H60" s="576">
        <f>F60</f>
        <v>0.2</v>
      </c>
      <c r="I60" s="548">
        <f>H60*$G$33</f>
        <v>635.64</v>
      </c>
      <c r="J60" s="576">
        <f>DADOS!C81</f>
        <v>0.2</v>
      </c>
      <c r="K60" s="548">
        <f>J60*$K$33</f>
        <v>662.41</v>
      </c>
      <c r="L60" s="576">
        <f>H60</f>
        <v>0.2</v>
      </c>
      <c r="M60" s="548">
        <f>L60*$M$33</f>
        <v>662.41</v>
      </c>
      <c r="N60" s="576">
        <v>0.2</v>
      </c>
      <c r="O60" s="548">
        <f>N60*$O$33</f>
        <v>673.33</v>
      </c>
      <c r="P60" s="576">
        <v>0.2</v>
      </c>
      <c r="Q60" s="548">
        <f>P60*$Q$33</f>
        <v>677.37</v>
      </c>
      <c r="R60" s="576">
        <v>0.2</v>
      </c>
      <c r="S60" s="679">
        <f>R60*$S$33</f>
        <v>677.37</v>
      </c>
    </row>
    <row r="61" spans="1:19" s="44" customFormat="1" ht="14.25" customHeight="1" x14ac:dyDescent="0.2">
      <c r="A61" s="538" t="s">
        <v>2</v>
      </c>
      <c r="B61" s="939" t="str">
        <f>DADOS!B82</f>
        <v>SESI ou SESC</v>
      </c>
      <c r="C61" s="1024"/>
      <c r="D61" s="1024"/>
      <c r="E61" s="1052"/>
      <c r="F61" s="576">
        <f>DADOS!C82</f>
        <v>1.4999999999999999E-2</v>
      </c>
      <c r="G61" s="548">
        <f t="shared" ref="G61:I67" si="1">F61*$G$33</f>
        <v>47.67</v>
      </c>
      <c r="H61" s="576">
        <f t="shared" ref="H61:H67" si="2">F61</f>
        <v>1.4999999999999999E-2</v>
      </c>
      <c r="I61" s="548">
        <f t="shared" si="1"/>
        <v>47.67</v>
      </c>
      <c r="J61" s="576">
        <f>DADOS!C82</f>
        <v>1.4999999999999999E-2</v>
      </c>
      <c r="K61" s="548">
        <f t="shared" ref="K61:K67" si="3">J61*$K$33</f>
        <v>49.68</v>
      </c>
      <c r="L61" s="576">
        <f t="shared" ref="L61:L67" si="4">H61</f>
        <v>1.4999999999999999E-2</v>
      </c>
      <c r="M61" s="548">
        <f t="shared" ref="M61:M67" si="5">L61*$M$33</f>
        <v>49.68</v>
      </c>
      <c r="N61" s="576">
        <v>1.4999999999999999E-2</v>
      </c>
      <c r="O61" s="548">
        <f t="shared" ref="O61:O66" si="6">N61*$O$33</f>
        <v>50.5</v>
      </c>
      <c r="P61" s="576">
        <v>1.4999999999999999E-2</v>
      </c>
      <c r="Q61" s="679">
        <f t="shared" ref="Q61:Q67" si="7">P61*$Q$33</f>
        <v>50.8</v>
      </c>
      <c r="R61" s="576">
        <v>1.4999999999999999E-2</v>
      </c>
      <c r="S61" s="679">
        <f t="shared" ref="S61:S67" si="8">R61*$S$33</f>
        <v>50.8</v>
      </c>
    </row>
    <row r="62" spans="1:19" s="44" customFormat="1" ht="14.25" customHeight="1" x14ac:dyDescent="0.2">
      <c r="A62" s="538" t="s">
        <v>4</v>
      </c>
      <c r="B62" s="939" t="str">
        <f>DADOS!B83</f>
        <v>SENAI ou SENAC</v>
      </c>
      <c r="C62" s="1024"/>
      <c r="D62" s="1024"/>
      <c r="E62" s="1052"/>
      <c r="F62" s="576">
        <f>DADOS!C83</f>
        <v>0.01</v>
      </c>
      <c r="G62" s="548">
        <f t="shared" si="1"/>
        <v>31.78</v>
      </c>
      <c r="H62" s="576">
        <f t="shared" si="2"/>
        <v>0.01</v>
      </c>
      <c r="I62" s="548">
        <f t="shared" si="1"/>
        <v>31.78</v>
      </c>
      <c r="J62" s="576">
        <f>DADOS!C83</f>
        <v>0.01</v>
      </c>
      <c r="K62" s="548">
        <f t="shared" si="3"/>
        <v>33.119999999999997</v>
      </c>
      <c r="L62" s="576">
        <f t="shared" si="4"/>
        <v>0.01</v>
      </c>
      <c r="M62" s="548">
        <f t="shared" si="5"/>
        <v>33.119999999999997</v>
      </c>
      <c r="N62" s="576">
        <v>0.01</v>
      </c>
      <c r="O62" s="548">
        <f t="shared" si="6"/>
        <v>33.67</v>
      </c>
      <c r="P62" s="576">
        <v>0.01</v>
      </c>
      <c r="Q62" s="679">
        <f t="shared" si="7"/>
        <v>33.869999999999997</v>
      </c>
      <c r="R62" s="576">
        <v>0.01</v>
      </c>
      <c r="S62" s="679">
        <f t="shared" si="8"/>
        <v>33.869999999999997</v>
      </c>
    </row>
    <row r="63" spans="1:19" s="44" customFormat="1" ht="14.25" customHeight="1" x14ac:dyDescent="0.2">
      <c r="A63" s="538" t="s">
        <v>5</v>
      </c>
      <c r="B63" s="939" t="str">
        <f>DADOS!B84</f>
        <v>INCRA</v>
      </c>
      <c r="C63" s="1024"/>
      <c r="D63" s="1024"/>
      <c r="E63" s="1052"/>
      <c r="F63" s="576">
        <f>DADOS!C84</f>
        <v>2E-3</v>
      </c>
      <c r="G63" s="548">
        <f t="shared" si="1"/>
        <v>6.36</v>
      </c>
      <c r="H63" s="576">
        <f t="shared" si="2"/>
        <v>2E-3</v>
      </c>
      <c r="I63" s="548">
        <f t="shared" si="1"/>
        <v>6.36</v>
      </c>
      <c r="J63" s="576">
        <f>DADOS!C84</f>
        <v>2E-3</v>
      </c>
      <c r="K63" s="548">
        <f t="shared" si="3"/>
        <v>6.62</v>
      </c>
      <c r="L63" s="576">
        <f t="shared" si="4"/>
        <v>2E-3</v>
      </c>
      <c r="M63" s="548">
        <f t="shared" si="5"/>
        <v>6.62</v>
      </c>
      <c r="N63" s="576">
        <v>2E-3</v>
      </c>
      <c r="O63" s="548">
        <f t="shared" si="6"/>
        <v>6.73</v>
      </c>
      <c r="P63" s="576">
        <v>2E-3</v>
      </c>
      <c r="Q63" s="679">
        <f t="shared" si="7"/>
        <v>6.77</v>
      </c>
      <c r="R63" s="576">
        <v>2E-3</v>
      </c>
      <c r="S63" s="679">
        <f t="shared" si="8"/>
        <v>6.77</v>
      </c>
    </row>
    <row r="64" spans="1:19" s="44" customFormat="1" ht="14.25" customHeight="1" x14ac:dyDescent="0.2">
      <c r="A64" s="538" t="s">
        <v>6</v>
      </c>
      <c r="B64" s="939" t="str">
        <f>DADOS!B85</f>
        <v xml:space="preserve">Salário Educação </v>
      </c>
      <c r="C64" s="1024"/>
      <c r="D64" s="1024"/>
      <c r="E64" s="1052"/>
      <c r="F64" s="576">
        <f>DADOS!C85</f>
        <v>2.5000000000000001E-2</v>
      </c>
      <c r="G64" s="548">
        <f t="shared" si="1"/>
        <v>79.459999999999994</v>
      </c>
      <c r="H64" s="576">
        <f t="shared" si="2"/>
        <v>2.5000000000000001E-2</v>
      </c>
      <c r="I64" s="548">
        <f t="shared" si="1"/>
        <v>79.459999999999994</v>
      </c>
      <c r="J64" s="576">
        <f>DADOS!C85</f>
        <v>2.5000000000000001E-2</v>
      </c>
      <c r="K64" s="548">
        <f t="shared" si="3"/>
        <v>82.8</v>
      </c>
      <c r="L64" s="576">
        <f t="shared" si="4"/>
        <v>2.5000000000000001E-2</v>
      </c>
      <c r="M64" s="548">
        <f t="shared" si="5"/>
        <v>82.8</v>
      </c>
      <c r="N64" s="576">
        <v>2.5000000000000001E-2</v>
      </c>
      <c r="O64" s="548">
        <f t="shared" si="6"/>
        <v>84.17</v>
      </c>
      <c r="P64" s="576">
        <v>2.5000000000000001E-2</v>
      </c>
      <c r="Q64" s="679">
        <f t="shared" si="7"/>
        <v>84.67</v>
      </c>
      <c r="R64" s="576">
        <v>2.5000000000000001E-2</v>
      </c>
      <c r="S64" s="679">
        <f t="shared" si="8"/>
        <v>84.67</v>
      </c>
    </row>
    <row r="65" spans="1:19" s="44" customFormat="1" ht="14.25" customHeight="1" x14ac:dyDescent="0.2">
      <c r="A65" s="538" t="s">
        <v>7</v>
      </c>
      <c r="B65" s="939" t="str">
        <f>DADOS!B86</f>
        <v>FGTS</v>
      </c>
      <c r="C65" s="1024"/>
      <c r="D65" s="1024"/>
      <c r="E65" s="1052"/>
      <c r="F65" s="576">
        <f>DADOS!C86</f>
        <v>0.08</v>
      </c>
      <c r="G65" s="548">
        <f t="shared" si="1"/>
        <v>254.26</v>
      </c>
      <c r="H65" s="576">
        <f t="shared" si="2"/>
        <v>0.08</v>
      </c>
      <c r="I65" s="548">
        <f t="shared" si="1"/>
        <v>254.26</v>
      </c>
      <c r="J65" s="576">
        <f>DADOS!C86</f>
        <v>0.08</v>
      </c>
      <c r="K65" s="548">
        <f t="shared" si="3"/>
        <v>264.95999999999998</v>
      </c>
      <c r="L65" s="576">
        <f t="shared" si="4"/>
        <v>0.08</v>
      </c>
      <c r="M65" s="548">
        <f t="shared" si="5"/>
        <v>264.95999999999998</v>
      </c>
      <c r="N65" s="576">
        <v>0.08</v>
      </c>
      <c r="O65" s="548">
        <f t="shared" si="6"/>
        <v>269.33</v>
      </c>
      <c r="P65" s="576">
        <v>0.08</v>
      </c>
      <c r="Q65" s="679">
        <f t="shared" si="7"/>
        <v>270.95</v>
      </c>
      <c r="R65" s="576">
        <v>0.08</v>
      </c>
      <c r="S65" s="679">
        <f t="shared" si="8"/>
        <v>270.95</v>
      </c>
    </row>
    <row r="66" spans="1:19" s="44" customFormat="1" ht="14.25" customHeight="1" x14ac:dyDescent="0.2">
      <c r="A66" s="538" t="s">
        <v>8</v>
      </c>
      <c r="B66" s="939" t="str">
        <f>DADOS!B87</f>
        <v>Seguro Acidente do Trabalho - RAT x FAP</v>
      </c>
      <c r="C66" s="1024"/>
      <c r="D66" s="1024"/>
      <c r="E66" s="1052"/>
      <c r="F66" s="576">
        <f>DADOS!C87</f>
        <v>2.1299999999999999E-2</v>
      </c>
      <c r="G66" s="548">
        <f t="shared" si="1"/>
        <v>67.7</v>
      </c>
      <c r="H66" s="576">
        <f t="shared" si="2"/>
        <v>2.1299999999999999E-2</v>
      </c>
      <c r="I66" s="548">
        <f t="shared" si="1"/>
        <v>67.7</v>
      </c>
      <c r="J66" s="576">
        <f>DADOS!C87</f>
        <v>2.1299999999999999E-2</v>
      </c>
      <c r="K66" s="548">
        <f t="shared" si="3"/>
        <v>70.55</v>
      </c>
      <c r="L66" s="576">
        <f t="shared" si="4"/>
        <v>2.1299999999999999E-2</v>
      </c>
      <c r="M66" s="548">
        <f t="shared" si="5"/>
        <v>70.55</v>
      </c>
      <c r="N66" s="576">
        <v>2.4299999999999999E-2</v>
      </c>
      <c r="O66" s="679">
        <f t="shared" si="6"/>
        <v>81.81</v>
      </c>
      <c r="P66" s="583">
        <v>2.4899999999999999E-2</v>
      </c>
      <c r="Q66" s="679">
        <f t="shared" si="7"/>
        <v>84.33</v>
      </c>
      <c r="R66" s="583">
        <v>2.4899999999999999E-2</v>
      </c>
      <c r="S66" s="679">
        <f t="shared" si="8"/>
        <v>84.33</v>
      </c>
    </row>
    <row r="67" spans="1:19" s="44" customFormat="1" ht="14.25" customHeight="1" x14ac:dyDescent="0.2">
      <c r="A67" s="538" t="s">
        <v>9</v>
      </c>
      <c r="B67" s="939" t="str">
        <f>DADOS!B88</f>
        <v>SEBRAE</v>
      </c>
      <c r="C67" s="1024"/>
      <c r="D67" s="1024"/>
      <c r="E67" s="1052"/>
      <c r="F67" s="576">
        <f>DADOS!C88</f>
        <v>6.0000000000000001E-3</v>
      </c>
      <c r="G67" s="548">
        <f t="shared" si="1"/>
        <v>19.07</v>
      </c>
      <c r="H67" s="576">
        <f t="shared" si="2"/>
        <v>6.0000000000000001E-3</v>
      </c>
      <c r="I67" s="548">
        <f t="shared" si="1"/>
        <v>19.07</v>
      </c>
      <c r="J67" s="576">
        <f>DADOS!C88</f>
        <v>6.0000000000000001E-3</v>
      </c>
      <c r="K67" s="548">
        <f t="shared" si="3"/>
        <v>19.87</v>
      </c>
      <c r="L67" s="576">
        <f t="shared" si="4"/>
        <v>6.0000000000000001E-3</v>
      </c>
      <c r="M67" s="548">
        <f t="shared" si="5"/>
        <v>19.87</v>
      </c>
      <c r="N67" s="576">
        <v>6.0000000000000001E-3</v>
      </c>
      <c r="O67" s="548">
        <f>N67*$O$33</f>
        <v>20.2</v>
      </c>
      <c r="P67" s="576">
        <v>6.0000000000000001E-3</v>
      </c>
      <c r="Q67" s="679">
        <f t="shared" si="7"/>
        <v>20.32</v>
      </c>
      <c r="R67" s="576">
        <v>6.0000000000000001E-3</v>
      </c>
      <c r="S67" s="679">
        <f t="shared" si="8"/>
        <v>20.32</v>
      </c>
    </row>
    <row r="68" spans="1:19" s="46" customFormat="1" ht="18" customHeight="1" x14ac:dyDescent="0.2">
      <c r="A68" s="967" t="s">
        <v>57</v>
      </c>
      <c r="B68" s="968"/>
      <c r="C68" s="968"/>
      <c r="D68" s="968"/>
      <c r="E68" s="1054"/>
      <c r="F68" s="577">
        <f t="shared" ref="F68:M68" si="9">SUM(F60:F67)</f>
        <v>0.35930000000000001</v>
      </c>
      <c r="G68" s="553">
        <f t="shared" si="9"/>
        <v>1141.94</v>
      </c>
      <c r="H68" s="577">
        <f t="shared" si="9"/>
        <v>0.35930000000000001</v>
      </c>
      <c r="I68" s="553">
        <f t="shared" si="9"/>
        <v>1141.94</v>
      </c>
      <c r="J68" s="577">
        <f t="shared" si="9"/>
        <v>0.35930000000000001</v>
      </c>
      <c r="K68" s="553">
        <f t="shared" si="9"/>
        <v>1190.01</v>
      </c>
      <c r="L68" s="577">
        <f t="shared" si="9"/>
        <v>0.35930000000000001</v>
      </c>
      <c r="M68" s="553">
        <f t="shared" si="9"/>
        <v>1190.01</v>
      </c>
      <c r="N68" s="577">
        <f>SUM(N60:N67)</f>
        <v>0.36230000000000001</v>
      </c>
      <c r="O68" s="553">
        <f t="shared" ref="O68:Q68" si="10">SUM(O60:O67)</f>
        <v>1219.74</v>
      </c>
      <c r="P68" s="577">
        <f>SUM(P60:P67)</f>
        <v>0.3629</v>
      </c>
      <c r="Q68" s="553">
        <f t="shared" si="10"/>
        <v>1229.08</v>
      </c>
      <c r="R68" s="577">
        <f>SUM(R60:R67)</f>
        <v>0.3629</v>
      </c>
      <c r="S68" s="553">
        <f t="shared" ref="S68" si="11">SUM(S60:S67)</f>
        <v>1229.08</v>
      </c>
    </row>
    <row r="69" spans="1:19" s="22" customFormat="1" ht="18" customHeight="1" x14ac:dyDescent="0.2">
      <c r="A69" s="1112"/>
      <c r="B69" s="1113"/>
      <c r="C69" s="1113"/>
      <c r="D69" s="1113"/>
      <c r="E69" s="1114"/>
      <c r="F69" s="890"/>
      <c r="G69" s="891"/>
      <c r="H69" s="890"/>
      <c r="I69" s="891"/>
      <c r="J69" s="890"/>
      <c r="K69" s="891"/>
      <c r="L69" s="890"/>
      <c r="M69" s="891"/>
      <c r="N69" s="890"/>
      <c r="O69" s="891"/>
      <c r="P69" s="890"/>
      <c r="Q69" s="891"/>
      <c r="R69" s="890"/>
      <c r="S69" s="891"/>
    </row>
    <row r="70" spans="1:19" s="44" customFormat="1" x14ac:dyDescent="0.2">
      <c r="A70" s="1002" t="s">
        <v>113</v>
      </c>
      <c r="B70" s="1066"/>
      <c r="C70" s="1066"/>
      <c r="D70" s="1066"/>
      <c r="E70" s="1003"/>
      <c r="F70" s="1002"/>
      <c r="G70" s="1003"/>
      <c r="H70" s="1002"/>
      <c r="I70" s="1003"/>
      <c r="J70" s="1002"/>
      <c r="K70" s="1003"/>
      <c r="L70" s="1002"/>
      <c r="M70" s="1003"/>
      <c r="N70" s="1002"/>
      <c r="O70" s="1003"/>
      <c r="P70" s="1002"/>
      <c r="Q70" s="1003"/>
      <c r="R70" s="1002"/>
      <c r="S70" s="1003"/>
    </row>
    <row r="71" spans="1:19" s="47" customFormat="1" ht="28.5" x14ac:dyDescent="0.2">
      <c r="A71" s="538" t="s">
        <v>65</v>
      </c>
      <c r="B71" s="964" t="s">
        <v>115</v>
      </c>
      <c r="C71" s="964"/>
      <c r="D71" s="964"/>
      <c r="E71" s="1055"/>
      <c r="F71" s="622" t="s">
        <v>12</v>
      </c>
      <c r="G71" s="623" t="s">
        <v>98</v>
      </c>
      <c r="H71" s="622" t="s">
        <v>12</v>
      </c>
      <c r="I71" s="623" t="s">
        <v>98</v>
      </c>
      <c r="J71" s="622" t="s">
        <v>12</v>
      </c>
      <c r="K71" s="623" t="s">
        <v>98</v>
      </c>
      <c r="L71" s="622" t="s">
        <v>12</v>
      </c>
      <c r="M71" s="623" t="s">
        <v>98</v>
      </c>
      <c r="N71" s="622" t="s">
        <v>12</v>
      </c>
      <c r="O71" s="623" t="s">
        <v>98</v>
      </c>
      <c r="P71" s="622" t="s">
        <v>12</v>
      </c>
      <c r="Q71" s="623" t="s">
        <v>98</v>
      </c>
      <c r="R71" s="622" t="s">
        <v>12</v>
      </c>
      <c r="S71" s="623" t="s">
        <v>98</v>
      </c>
    </row>
    <row r="72" spans="1:19" s="44" customFormat="1" ht="14.25" customHeight="1" x14ac:dyDescent="0.2">
      <c r="A72" s="538" t="s">
        <v>1</v>
      </c>
      <c r="B72" s="939" t="str">
        <f>DADOS!B91</f>
        <v xml:space="preserve">13º (décimo terceiro) Salário </v>
      </c>
      <c r="C72" s="1024"/>
      <c r="D72" s="1024"/>
      <c r="E72" s="1052"/>
      <c r="F72" s="576">
        <f>DADOS!C91</f>
        <v>8.3299999999999999E-2</v>
      </c>
      <c r="G72" s="548">
        <f>F72*$G$33</f>
        <v>264.75</v>
      </c>
      <c r="H72" s="576">
        <f>F72</f>
        <v>8.3299999999999999E-2</v>
      </c>
      <c r="I72" s="548">
        <f>H72*$I$33</f>
        <v>264.75</v>
      </c>
      <c r="J72" s="576">
        <f>DADOS!C91</f>
        <v>8.3299999999999999E-2</v>
      </c>
      <c r="K72" s="548">
        <f>J72*$K$33</f>
        <v>275.89</v>
      </c>
      <c r="L72" s="576">
        <f>H72</f>
        <v>8.3299999999999999E-2</v>
      </c>
      <c r="M72" s="548">
        <f>L72*$M$33</f>
        <v>275.89</v>
      </c>
      <c r="N72" s="576">
        <v>8.3299999999999999E-2</v>
      </c>
      <c r="O72" s="548">
        <f>N72*$O$33</f>
        <v>280.44</v>
      </c>
      <c r="P72" s="576">
        <v>8.3299999999999999E-2</v>
      </c>
      <c r="Q72" s="679">
        <f>P72*$Q$33</f>
        <v>282.12</v>
      </c>
      <c r="R72" s="576">
        <v>8.3299999999999999E-2</v>
      </c>
      <c r="S72" s="679">
        <f>R72*$S$33</f>
        <v>282.12</v>
      </c>
    </row>
    <row r="73" spans="1:19" s="44" customFormat="1" ht="14.25" customHeight="1" x14ac:dyDescent="0.2">
      <c r="A73" s="538" t="s">
        <v>2</v>
      </c>
      <c r="B73" s="939" t="str">
        <f>DADOS!B92</f>
        <v>Adicional de férias</v>
      </c>
      <c r="C73" s="1024"/>
      <c r="D73" s="1024"/>
      <c r="E73" s="1052"/>
      <c r="F73" s="576">
        <f>DADOS!C92</f>
        <v>2.7799999999999998E-2</v>
      </c>
      <c r="G73" s="548">
        <f>F73*$G$33</f>
        <v>88.35</v>
      </c>
      <c r="H73" s="576">
        <f>F73</f>
        <v>2.7799999999999998E-2</v>
      </c>
      <c r="I73" s="548">
        <f>H73*$I$33</f>
        <v>88.35</v>
      </c>
      <c r="J73" s="576">
        <f>DADOS!C92</f>
        <v>2.7799999999999998E-2</v>
      </c>
      <c r="K73" s="548">
        <f>J73*$K$33</f>
        <v>92.08</v>
      </c>
      <c r="L73" s="576">
        <f>H73</f>
        <v>2.7799999999999998E-2</v>
      </c>
      <c r="M73" s="548">
        <f>L73*$M$33</f>
        <v>92.08</v>
      </c>
      <c r="N73" s="576">
        <v>2.7799999999999998E-2</v>
      </c>
      <c r="O73" s="548">
        <f>N73*$O$33</f>
        <v>93.59</v>
      </c>
      <c r="P73" s="576">
        <v>2.7799999999999998E-2</v>
      </c>
      <c r="Q73" s="679">
        <f>P73*$Q$33</f>
        <v>94.15</v>
      </c>
      <c r="R73" s="576">
        <v>2.7799999999999998E-2</v>
      </c>
      <c r="S73" s="679">
        <f>R73*$S$33</f>
        <v>94.15</v>
      </c>
    </row>
    <row r="74" spans="1:19" s="44" customFormat="1" ht="14.25" customHeight="1" x14ac:dyDescent="0.2">
      <c r="A74" s="967" t="s">
        <v>103</v>
      </c>
      <c r="B74" s="968"/>
      <c r="C74" s="968"/>
      <c r="D74" s="968"/>
      <c r="E74" s="1054"/>
      <c r="F74" s="577">
        <f t="shared" ref="F74:K74" si="12">SUM(F72:F73)</f>
        <v>0.1111</v>
      </c>
      <c r="G74" s="552">
        <f t="shared" si="12"/>
        <v>353.1</v>
      </c>
      <c r="H74" s="577">
        <f t="shared" si="12"/>
        <v>0.1111</v>
      </c>
      <c r="I74" s="552">
        <f t="shared" si="12"/>
        <v>353.1</v>
      </c>
      <c r="J74" s="577">
        <f t="shared" si="12"/>
        <v>0.1111</v>
      </c>
      <c r="K74" s="552">
        <f t="shared" si="12"/>
        <v>367.97</v>
      </c>
      <c r="L74" s="604">
        <f>H74</f>
        <v>0.1111</v>
      </c>
      <c r="M74" s="552">
        <f>L74*$M$33</f>
        <v>367.97</v>
      </c>
      <c r="N74" s="577">
        <f t="shared" ref="N74:P74" si="13">SUM(N72:N73)</f>
        <v>0.1111</v>
      </c>
      <c r="O74" s="552">
        <f>SUM(O72:O73)</f>
        <v>374.03</v>
      </c>
      <c r="P74" s="577">
        <f t="shared" si="13"/>
        <v>0.1111</v>
      </c>
      <c r="Q74" s="552">
        <f>SUM(Q72:Q73)</f>
        <v>376.27</v>
      </c>
      <c r="R74" s="577">
        <f t="shared" ref="R74" si="14">SUM(R72:R73)</f>
        <v>0.1111</v>
      </c>
      <c r="S74" s="552">
        <f>SUM(S72:S73)</f>
        <v>376.27</v>
      </c>
    </row>
    <row r="75" spans="1:19" s="44" customFormat="1" ht="28.5" customHeight="1" x14ac:dyDescent="0.2">
      <c r="A75" s="538" t="s">
        <v>2</v>
      </c>
      <c r="B75" s="949" t="str">
        <f>DADOS!B94</f>
        <v xml:space="preserve">Incidência dos encargos previstos no Submódulo 4.1 sobre 13° (décimo terceiro) salário </v>
      </c>
      <c r="C75" s="949"/>
      <c r="D75" s="949"/>
      <c r="E75" s="1053"/>
      <c r="F75" s="576">
        <f>F68*F74</f>
        <v>3.9899999999999998E-2</v>
      </c>
      <c r="G75" s="548">
        <f>F75*$G$33</f>
        <v>126.81</v>
      </c>
      <c r="H75" s="576">
        <f>H68*H74</f>
        <v>3.9899999999999998E-2</v>
      </c>
      <c r="I75" s="548">
        <f>H75*$I$33</f>
        <v>126.81</v>
      </c>
      <c r="J75" s="576">
        <f>J68*J74</f>
        <v>3.9899999999999998E-2</v>
      </c>
      <c r="K75" s="548">
        <f>J75*$K$33</f>
        <v>132.15</v>
      </c>
      <c r="L75" s="576">
        <f>H75</f>
        <v>3.9899999999999998E-2</v>
      </c>
      <c r="M75" s="548">
        <f>L75*$M$33</f>
        <v>132.15</v>
      </c>
      <c r="N75" s="576">
        <f>N68*N74</f>
        <v>4.0300000000000002E-2</v>
      </c>
      <c r="O75" s="548">
        <f>N75*$O$33</f>
        <v>135.68</v>
      </c>
      <c r="P75" s="576">
        <f>P68*P74</f>
        <v>4.0300000000000002E-2</v>
      </c>
      <c r="Q75" s="679">
        <f>P75*$Q$33</f>
        <v>136.49</v>
      </c>
      <c r="R75" s="576">
        <f>R68*R74</f>
        <v>4.0300000000000002E-2</v>
      </c>
      <c r="S75" s="679">
        <f>R75*$S$33</f>
        <v>136.49</v>
      </c>
    </row>
    <row r="76" spans="1:19" s="46" customFormat="1" ht="18" customHeight="1" x14ac:dyDescent="0.2">
      <c r="A76" s="967" t="s">
        <v>57</v>
      </c>
      <c r="B76" s="968"/>
      <c r="C76" s="968"/>
      <c r="D76" s="968"/>
      <c r="E76" s="1054"/>
      <c r="F76" s="577">
        <f t="shared" ref="F76:N76" si="15">SUM(F74:F75)</f>
        <v>0.151</v>
      </c>
      <c r="G76" s="553">
        <f t="shared" si="15"/>
        <v>479.91</v>
      </c>
      <c r="H76" s="577">
        <f t="shared" si="15"/>
        <v>0.151</v>
      </c>
      <c r="I76" s="553">
        <f t="shared" si="15"/>
        <v>479.91</v>
      </c>
      <c r="J76" s="577">
        <f t="shared" si="15"/>
        <v>0.151</v>
      </c>
      <c r="K76" s="553">
        <f t="shared" si="15"/>
        <v>500.12</v>
      </c>
      <c r="L76" s="577">
        <f t="shared" si="15"/>
        <v>0.151</v>
      </c>
      <c r="M76" s="553">
        <f t="shared" si="15"/>
        <v>500.12</v>
      </c>
      <c r="N76" s="577">
        <f t="shared" si="15"/>
        <v>0.15140000000000001</v>
      </c>
      <c r="O76" s="553">
        <f>SUM(O74:O75)</f>
        <v>509.71</v>
      </c>
      <c r="P76" s="577">
        <f t="shared" ref="P76" si="16">SUM(P74:P75)</f>
        <v>0.15140000000000001</v>
      </c>
      <c r="Q76" s="553">
        <f>SUM(Q74:Q75)</f>
        <v>512.76</v>
      </c>
      <c r="R76" s="577">
        <f t="shared" ref="R76" si="17">SUM(R74:R75)</f>
        <v>0.15140000000000001</v>
      </c>
      <c r="S76" s="553">
        <f>SUM(S74:S75)</f>
        <v>512.76</v>
      </c>
    </row>
    <row r="77" spans="1:19" s="46" customFormat="1" x14ac:dyDescent="0.2">
      <c r="A77" s="972"/>
      <c r="B77" s="974"/>
      <c r="C77" s="974"/>
      <c r="D77" s="974"/>
      <c r="E77" s="973"/>
      <c r="F77" s="890"/>
      <c r="G77" s="891"/>
      <c r="H77" s="890"/>
      <c r="I77" s="891"/>
      <c r="J77" s="890"/>
      <c r="K77" s="891"/>
      <c r="L77" s="890"/>
      <c r="M77" s="891"/>
      <c r="N77" s="890"/>
      <c r="O77" s="891"/>
      <c r="P77" s="890"/>
      <c r="Q77" s="891"/>
      <c r="R77" s="890"/>
      <c r="S77" s="891"/>
    </row>
    <row r="78" spans="1:19" s="44" customFormat="1" x14ac:dyDescent="0.2">
      <c r="A78" s="1002" t="s">
        <v>104</v>
      </c>
      <c r="B78" s="1066"/>
      <c r="C78" s="1066"/>
      <c r="D78" s="1066"/>
      <c r="E78" s="1003"/>
      <c r="F78" s="890"/>
      <c r="G78" s="891"/>
      <c r="H78" s="890"/>
      <c r="I78" s="891"/>
      <c r="J78" s="890"/>
      <c r="K78" s="891"/>
      <c r="L78" s="890"/>
      <c r="M78" s="891"/>
      <c r="N78" s="890"/>
      <c r="O78" s="891"/>
      <c r="P78" s="890"/>
      <c r="Q78" s="891"/>
      <c r="R78" s="890"/>
      <c r="S78" s="891"/>
    </row>
    <row r="79" spans="1:19" s="44" customFormat="1" ht="27" customHeight="1" x14ac:dyDescent="0.2">
      <c r="A79" s="538" t="s">
        <v>58</v>
      </c>
      <c r="B79" s="964" t="s">
        <v>26</v>
      </c>
      <c r="C79" s="964"/>
      <c r="D79" s="964"/>
      <c r="E79" s="1055"/>
      <c r="F79" s="622" t="s">
        <v>12</v>
      </c>
      <c r="G79" s="623" t="s">
        <v>98</v>
      </c>
      <c r="H79" s="622" t="s">
        <v>12</v>
      </c>
      <c r="I79" s="623" t="s">
        <v>98</v>
      </c>
      <c r="J79" s="622" t="s">
        <v>12</v>
      </c>
      <c r="K79" s="623" t="s">
        <v>98</v>
      </c>
      <c r="L79" s="622" t="s">
        <v>12</v>
      </c>
      <c r="M79" s="623" t="s">
        <v>98</v>
      </c>
      <c r="N79" s="622" t="s">
        <v>12</v>
      </c>
      <c r="O79" s="623" t="s">
        <v>98</v>
      </c>
      <c r="P79" s="622" t="s">
        <v>12</v>
      </c>
      <c r="Q79" s="623" t="s">
        <v>98</v>
      </c>
      <c r="R79" s="622" t="s">
        <v>12</v>
      </c>
      <c r="S79" s="623" t="s">
        <v>98</v>
      </c>
    </row>
    <row r="80" spans="1:19" s="44" customFormat="1" ht="14.25" customHeight="1" x14ac:dyDescent="0.2">
      <c r="A80" s="538" t="s">
        <v>1</v>
      </c>
      <c r="B80" s="939" t="str">
        <f>DADOS!B97</f>
        <v>Afastamento Maternidade</v>
      </c>
      <c r="C80" s="1024"/>
      <c r="D80" s="1024"/>
      <c r="E80" s="1052"/>
      <c r="F80" s="576">
        <f>DADOS!C97</f>
        <v>0</v>
      </c>
      <c r="G80" s="548">
        <f>F80*$G$33</f>
        <v>0</v>
      </c>
      <c r="H80" s="576">
        <f>DADOS!C97</f>
        <v>0</v>
      </c>
      <c r="I80" s="548">
        <f>H80*$K$33</f>
        <v>0</v>
      </c>
      <c r="J80" s="576">
        <f>DADOS!G97</f>
        <v>0</v>
      </c>
      <c r="K80" s="548">
        <f>J80*$I$33</f>
        <v>0</v>
      </c>
      <c r="L80" s="576">
        <f>DADOS!I97</f>
        <v>0</v>
      </c>
      <c r="M80" s="548">
        <f>L80*$M$33</f>
        <v>0</v>
      </c>
      <c r="N80" s="576">
        <f>DADOS!K97</f>
        <v>0</v>
      </c>
      <c r="O80" s="548">
        <f>N80*$K$33</f>
        <v>0</v>
      </c>
      <c r="P80" s="576">
        <f>DADOS!M97</f>
        <v>0</v>
      </c>
      <c r="Q80" s="548">
        <f>P80*$K$33</f>
        <v>0</v>
      </c>
      <c r="R80" s="576">
        <f>DADOS!O97</f>
        <v>0</v>
      </c>
      <c r="S80" s="679">
        <f>R80*$K$33</f>
        <v>0</v>
      </c>
    </row>
    <row r="81" spans="1:19" s="44" customFormat="1" ht="14.25" customHeight="1" x14ac:dyDescent="0.2">
      <c r="A81" s="538" t="s">
        <v>2</v>
      </c>
      <c r="B81" s="939" t="str">
        <f>DADOS!B98</f>
        <v>Incidência dos encargos do Submódulo 4.1 sobre o afastamento maternidade</v>
      </c>
      <c r="C81" s="1024"/>
      <c r="D81" s="1024"/>
      <c r="E81" s="1052"/>
      <c r="F81" s="576">
        <f>DADOS!C98</f>
        <v>0</v>
      </c>
      <c r="G81" s="548">
        <f>F81*$G$33</f>
        <v>0</v>
      </c>
      <c r="H81" s="576">
        <f>DADOS!C98</f>
        <v>0</v>
      </c>
      <c r="I81" s="548">
        <f>H81*$K$33</f>
        <v>0</v>
      </c>
      <c r="J81" s="576">
        <f>DADOS!G98</f>
        <v>0</v>
      </c>
      <c r="K81" s="548">
        <f>J81*$I$33</f>
        <v>0</v>
      </c>
      <c r="L81" s="576">
        <f>DADOS!I98</f>
        <v>0</v>
      </c>
      <c r="M81" s="548">
        <f>L81*$M$33</f>
        <v>0</v>
      </c>
      <c r="N81" s="576">
        <f>DADOS!K98</f>
        <v>0</v>
      </c>
      <c r="O81" s="548">
        <f>N81*$K$33</f>
        <v>0</v>
      </c>
      <c r="P81" s="576">
        <f>DADOS!M98</f>
        <v>0</v>
      </c>
      <c r="Q81" s="548">
        <f>P81*$K$33</f>
        <v>0</v>
      </c>
      <c r="R81" s="576">
        <f>DADOS!O98</f>
        <v>0</v>
      </c>
      <c r="S81" s="679">
        <f>R81*$K$33</f>
        <v>0</v>
      </c>
    </row>
    <row r="82" spans="1:19" s="46" customFormat="1" ht="18" customHeight="1" x14ac:dyDescent="0.2">
      <c r="A82" s="967" t="s">
        <v>57</v>
      </c>
      <c r="B82" s="968"/>
      <c r="C82" s="968"/>
      <c r="D82" s="968"/>
      <c r="E82" s="1054"/>
      <c r="F82" s="577">
        <f t="shared" ref="F82:O82" si="18">SUM(F80:F81)</f>
        <v>0</v>
      </c>
      <c r="G82" s="553">
        <f t="shared" si="18"/>
        <v>0</v>
      </c>
      <c r="H82" s="577">
        <f t="shared" si="18"/>
        <v>0</v>
      </c>
      <c r="I82" s="635">
        <f t="shared" si="18"/>
        <v>0</v>
      </c>
      <c r="J82" s="577">
        <f t="shared" si="18"/>
        <v>0</v>
      </c>
      <c r="K82" s="553">
        <f t="shared" si="18"/>
        <v>0</v>
      </c>
      <c r="L82" s="577">
        <f t="shared" si="18"/>
        <v>0</v>
      </c>
      <c r="M82" s="553">
        <f t="shared" si="18"/>
        <v>0</v>
      </c>
      <c r="N82" s="577">
        <f t="shared" si="18"/>
        <v>0</v>
      </c>
      <c r="O82" s="553">
        <f t="shared" si="18"/>
        <v>0</v>
      </c>
      <c r="P82" s="577">
        <f t="shared" ref="P82:Q82" si="19">SUM(P80:P81)</f>
        <v>0</v>
      </c>
      <c r="Q82" s="553">
        <f t="shared" si="19"/>
        <v>0</v>
      </c>
      <c r="R82" s="577">
        <f t="shared" ref="R82:S82" si="20">SUM(R80:R81)</f>
        <v>0</v>
      </c>
      <c r="S82" s="553">
        <f t="shared" si="20"/>
        <v>0</v>
      </c>
    </row>
    <row r="83" spans="1:19" s="46" customFormat="1" ht="18" customHeight="1" x14ac:dyDescent="0.2">
      <c r="A83" s="972"/>
      <c r="B83" s="974"/>
      <c r="C83" s="974"/>
      <c r="D83" s="974"/>
      <c r="E83" s="973"/>
      <c r="F83" s="890"/>
      <c r="G83" s="891"/>
      <c r="H83" s="890"/>
      <c r="I83" s="891"/>
      <c r="J83" s="890"/>
      <c r="K83" s="891"/>
      <c r="L83" s="890"/>
      <c r="M83" s="891"/>
      <c r="N83" s="890"/>
      <c r="O83" s="891"/>
      <c r="P83" s="890"/>
      <c r="Q83" s="891"/>
      <c r="R83" s="890"/>
      <c r="S83" s="891"/>
    </row>
    <row r="84" spans="1:19" s="44" customFormat="1" x14ac:dyDescent="0.2">
      <c r="A84" s="1002" t="s">
        <v>105</v>
      </c>
      <c r="B84" s="1066"/>
      <c r="C84" s="1066"/>
      <c r="D84" s="1066"/>
      <c r="E84" s="1003"/>
      <c r="F84" s="890"/>
      <c r="G84" s="891"/>
      <c r="H84" s="890"/>
      <c r="I84" s="891"/>
      <c r="J84" s="890"/>
      <c r="K84" s="891"/>
      <c r="L84" s="890"/>
      <c r="M84" s="891"/>
      <c r="N84" s="890"/>
      <c r="O84" s="891"/>
      <c r="P84" s="890"/>
      <c r="Q84" s="891"/>
      <c r="R84" s="890"/>
      <c r="S84" s="891"/>
    </row>
    <row r="85" spans="1:19" s="44" customFormat="1" ht="28.5" x14ac:dyDescent="0.2">
      <c r="A85" s="538" t="s">
        <v>69</v>
      </c>
      <c r="B85" s="964" t="s">
        <v>106</v>
      </c>
      <c r="C85" s="964"/>
      <c r="D85" s="964"/>
      <c r="E85" s="1055"/>
      <c r="F85" s="622" t="s">
        <v>12</v>
      </c>
      <c r="G85" s="623" t="s">
        <v>98</v>
      </c>
      <c r="H85" s="622" t="s">
        <v>12</v>
      </c>
      <c r="I85" s="623" t="s">
        <v>98</v>
      </c>
      <c r="J85" s="622" t="s">
        <v>12</v>
      </c>
      <c r="K85" s="623" t="s">
        <v>98</v>
      </c>
      <c r="L85" s="622" t="s">
        <v>12</v>
      </c>
      <c r="M85" s="623" t="s">
        <v>98</v>
      </c>
      <c r="N85" s="622" t="s">
        <v>12</v>
      </c>
      <c r="O85" s="623" t="s">
        <v>98</v>
      </c>
      <c r="P85" s="622" t="s">
        <v>12</v>
      </c>
      <c r="Q85" s="623" t="s">
        <v>98</v>
      </c>
      <c r="R85" s="622" t="s">
        <v>12</v>
      </c>
      <c r="S85" s="623" t="s">
        <v>98</v>
      </c>
    </row>
    <row r="86" spans="1:19" s="44" customFormat="1" ht="14.25" customHeight="1" x14ac:dyDescent="0.2">
      <c r="A86" s="538" t="s">
        <v>1</v>
      </c>
      <c r="B86" s="939" t="str">
        <f>DADOS!B101</f>
        <v>Aviso Prévio Indenizado </v>
      </c>
      <c r="C86" s="1024"/>
      <c r="D86" s="1024"/>
      <c r="E86" s="1052"/>
      <c r="F86" s="576">
        <f>DADOS!C101</f>
        <v>4.1999999999999997E-3</v>
      </c>
      <c r="G86" s="548">
        <f t="shared" ref="G86:G91" si="21">F86*$G$33</f>
        <v>13.35</v>
      </c>
      <c r="H86" s="583">
        <v>4.0000000000000002E-4</v>
      </c>
      <c r="I86" s="548">
        <f t="shared" ref="I86:I91" si="22">ROUND(H86*$I$33,2)</f>
        <v>1.27</v>
      </c>
      <c r="J86" s="576">
        <v>4.1999999999999997E-3</v>
      </c>
      <c r="K86" s="548">
        <f t="shared" ref="K86:K91" si="23">J86*$K$33</f>
        <v>13.91</v>
      </c>
      <c r="L86" s="576">
        <f t="shared" ref="L86:L91" si="24">H86</f>
        <v>4.0000000000000002E-4</v>
      </c>
      <c r="M86" s="548">
        <f t="shared" ref="M86:M91" si="25">ROUND(L86*$M$33,2)</f>
        <v>1.32</v>
      </c>
      <c r="N86" s="576">
        <v>4.0000000000000002E-4</v>
      </c>
      <c r="O86" s="548">
        <f>N86*$O$33</f>
        <v>1.35</v>
      </c>
      <c r="P86" s="576">
        <v>4.0000000000000002E-4</v>
      </c>
      <c r="Q86" s="679">
        <f>P86*$Q$33</f>
        <v>1.35</v>
      </c>
      <c r="R86" s="576">
        <v>4.0000000000000002E-4</v>
      </c>
      <c r="S86" s="679">
        <f>R86*$S$33</f>
        <v>1.35</v>
      </c>
    </row>
    <row r="87" spans="1:19" s="44" customFormat="1" ht="14.25" customHeight="1" x14ac:dyDescent="0.2">
      <c r="A87" s="538" t="s">
        <v>2</v>
      </c>
      <c r="B87" s="939" t="str">
        <f>DADOS!B102</f>
        <v>Incidência dos encargos do submódulo 4.1 sobre aviso prévio indenizado</v>
      </c>
      <c r="C87" s="1024"/>
      <c r="D87" s="1024"/>
      <c r="E87" s="1052"/>
      <c r="F87" s="576">
        <f>DADOS!C102</f>
        <v>1.5E-3</v>
      </c>
      <c r="G87" s="548">
        <f t="shared" si="21"/>
        <v>4.7699999999999996</v>
      </c>
      <c r="H87" s="583">
        <v>1E-4</v>
      </c>
      <c r="I87" s="548">
        <f t="shared" si="22"/>
        <v>0.32</v>
      </c>
      <c r="J87" s="576">
        <v>1.5E-3</v>
      </c>
      <c r="K87" s="548">
        <f t="shared" si="23"/>
        <v>4.97</v>
      </c>
      <c r="L87" s="576">
        <f t="shared" si="24"/>
        <v>1E-4</v>
      </c>
      <c r="M87" s="548">
        <f t="shared" si="25"/>
        <v>0.33</v>
      </c>
      <c r="N87" s="576">
        <v>1E-4</v>
      </c>
      <c r="O87" s="548">
        <f t="shared" ref="O87:O91" si="26">N87*$O$33</f>
        <v>0.34</v>
      </c>
      <c r="P87" s="576">
        <v>1E-4</v>
      </c>
      <c r="Q87" s="679">
        <f>P87*$Q$33</f>
        <v>0.34</v>
      </c>
      <c r="R87" s="576">
        <v>1E-4</v>
      </c>
      <c r="S87" s="679">
        <f t="shared" ref="S87:S91" si="27">R87*$S$33</f>
        <v>0.34</v>
      </c>
    </row>
    <row r="88" spans="1:19" s="44" customFormat="1" ht="14.25" customHeight="1" x14ac:dyDescent="0.2">
      <c r="A88" s="538" t="s">
        <v>4</v>
      </c>
      <c r="B88" s="939" t="str">
        <f>DADOS!B103</f>
        <v xml:space="preserve">Multa do FGTS e contribuições sociais sobre o aviso prévio indenizado </v>
      </c>
      <c r="C88" s="1024"/>
      <c r="D88" s="1024"/>
      <c r="E88" s="1052"/>
      <c r="F88" s="576">
        <f>DADOS!C103</f>
        <v>4.3499999999999997E-2</v>
      </c>
      <c r="G88" s="548">
        <f t="shared" si="21"/>
        <v>138.25</v>
      </c>
      <c r="H88" s="576">
        <f>F88</f>
        <v>4.3499999999999997E-2</v>
      </c>
      <c r="I88" s="548">
        <f t="shared" si="22"/>
        <v>138.25</v>
      </c>
      <c r="J88" s="576">
        <v>4.3499999999999997E-2</v>
      </c>
      <c r="K88" s="548">
        <f t="shared" si="23"/>
        <v>144.07</v>
      </c>
      <c r="L88" s="576">
        <f t="shared" si="24"/>
        <v>4.3499999999999997E-2</v>
      </c>
      <c r="M88" s="548">
        <f t="shared" si="25"/>
        <v>144.07</v>
      </c>
      <c r="N88" s="576">
        <v>4.3499999999999997E-2</v>
      </c>
      <c r="O88" s="548">
        <f t="shared" si="26"/>
        <v>146.44999999999999</v>
      </c>
      <c r="P88" s="576">
        <v>4.3499999999999997E-2</v>
      </c>
      <c r="Q88" s="679">
        <f>P88*$Q$33</f>
        <v>147.33000000000001</v>
      </c>
      <c r="R88" s="576">
        <v>4.3499999999999997E-2</v>
      </c>
      <c r="S88" s="679">
        <f t="shared" si="27"/>
        <v>147.33000000000001</v>
      </c>
    </row>
    <row r="89" spans="1:19" s="44" customFormat="1" ht="14.25" customHeight="1" x14ac:dyDescent="0.2">
      <c r="A89" s="538" t="s">
        <v>5</v>
      </c>
      <c r="B89" s="939" t="str">
        <f>DADOS!B104</f>
        <v>Aviso Prévio trabalhado</v>
      </c>
      <c r="C89" s="1024"/>
      <c r="D89" s="1024"/>
      <c r="E89" s="1052"/>
      <c r="F89" s="576">
        <f>DADOS!C104</f>
        <v>1.9400000000000001E-2</v>
      </c>
      <c r="G89" s="548">
        <f t="shared" si="21"/>
        <v>61.66</v>
      </c>
      <c r="H89" s="583">
        <v>0</v>
      </c>
      <c r="I89" s="548">
        <f t="shared" si="22"/>
        <v>0</v>
      </c>
      <c r="J89" s="576">
        <v>1.9400000000000001E-2</v>
      </c>
      <c r="K89" s="548">
        <f t="shared" si="23"/>
        <v>64.25</v>
      </c>
      <c r="L89" s="576">
        <f t="shared" si="24"/>
        <v>0</v>
      </c>
      <c r="M89" s="548">
        <f t="shared" si="25"/>
        <v>0</v>
      </c>
      <c r="N89" s="576">
        <v>0</v>
      </c>
      <c r="O89" s="548">
        <f t="shared" si="26"/>
        <v>0</v>
      </c>
      <c r="P89" s="576">
        <v>0</v>
      </c>
      <c r="Q89" s="679">
        <f t="shared" ref="Q89:Q91" si="28">P89*$Q$33</f>
        <v>0</v>
      </c>
      <c r="R89" s="576">
        <v>0</v>
      </c>
      <c r="S89" s="679">
        <f t="shared" si="27"/>
        <v>0</v>
      </c>
    </row>
    <row r="90" spans="1:19" s="44" customFormat="1" ht="14.25" customHeight="1" x14ac:dyDescent="0.2">
      <c r="A90" s="538" t="s">
        <v>6</v>
      </c>
      <c r="B90" s="939" t="str">
        <f>DADOS!B105</f>
        <v>Incidência dos encargos do submódulo 4.1 sobre aviso prévio trabalhado</v>
      </c>
      <c r="C90" s="1024"/>
      <c r="D90" s="1024"/>
      <c r="E90" s="1052"/>
      <c r="F90" s="576">
        <f>DADOS!C105</f>
        <v>7.0000000000000001E-3</v>
      </c>
      <c r="G90" s="548">
        <f t="shared" si="21"/>
        <v>22.25</v>
      </c>
      <c r="H90" s="583">
        <v>0</v>
      </c>
      <c r="I90" s="548">
        <f t="shared" si="22"/>
        <v>0</v>
      </c>
      <c r="J90" s="576">
        <v>7.0000000000000001E-3</v>
      </c>
      <c r="K90" s="548">
        <f t="shared" si="23"/>
        <v>23.18</v>
      </c>
      <c r="L90" s="576">
        <f t="shared" si="24"/>
        <v>0</v>
      </c>
      <c r="M90" s="548">
        <f t="shared" si="25"/>
        <v>0</v>
      </c>
      <c r="N90" s="576">
        <v>0</v>
      </c>
      <c r="O90" s="548">
        <f t="shared" si="26"/>
        <v>0</v>
      </c>
      <c r="P90" s="576">
        <v>0</v>
      </c>
      <c r="Q90" s="679">
        <f t="shared" si="28"/>
        <v>0</v>
      </c>
      <c r="R90" s="576">
        <v>0</v>
      </c>
      <c r="S90" s="679">
        <f t="shared" si="27"/>
        <v>0</v>
      </c>
    </row>
    <row r="91" spans="1:19" s="44" customFormat="1" ht="14.25" customHeight="1" x14ac:dyDescent="0.2">
      <c r="A91" s="538" t="s">
        <v>7</v>
      </c>
      <c r="B91" s="939" t="str">
        <f>DADOS!B106</f>
        <v>Multa do FGTS e contribuições sociais sobre o aviso prévio trabalhado</v>
      </c>
      <c r="C91" s="1024"/>
      <c r="D91" s="1024"/>
      <c r="E91" s="1052"/>
      <c r="F91" s="576">
        <f>DADOS!C106</f>
        <v>6.4999999999999997E-3</v>
      </c>
      <c r="G91" s="548">
        <f t="shared" si="21"/>
        <v>20.66</v>
      </c>
      <c r="H91" s="576">
        <v>6.4999999999999997E-3</v>
      </c>
      <c r="I91" s="548">
        <f t="shared" si="22"/>
        <v>20.66</v>
      </c>
      <c r="J91" s="576">
        <v>6.4999999999999997E-3</v>
      </c>
      <c r="K91" s="548">
        <f t="shared" si="23"/>
        <v>21.53</v>
      </c>
      <c r="L91" s="576">
        <f t="shared" si="24"/>
        <v>6.4999999999999997E-3</v>
      </c>
      <c r="M91" s="548">
        <f t="shared" si="25"/>
        <v>21.53</v>
      </c>
      <c r="N91" s="576">
        <v>6.4999999999999997E-3</v>
      </c>
      <c r="O91" s="548">
        <f t="shared" si="26"/>
        <v>21.88</v>
      </c>
      <c r="P91" s="576">
        <v>6.4999999999999997E-3</v>
      </c>
      <c r="Q91" s="679">
        <f t="shared" si="28"/>
        <v>22.01</v>
      </c>
      <c r="R91" s="576">
        <v>6.4999999999999997E-3</v>
      </c>
      <c r="S91" s="679">
        <f t="shared" si="27"/>
        <v>22.01</v>
      </c>
    </row>
    <row r="92" spans="1:19" s="46" customFormat="1" ht="18" customHeight="1" x14ac:dyDescent="0.2">
      <c r="A92" s="967" t="s">
        <v>57</v>
      </c>
      <c r="B92" s="968"/>
      <c r="C92" s="968"/>
      <c r="D92" s="968"/>
      <c r="E92" s="1054"/>
      <c r="F92" s="577">
        <f t="shared" ref="F92:M92" si="29">SUM(F86:F91)</f>
        <v>8.2100000000000006E-2</v>
      </c>
      <c r="G92" s="553">
        <f t="shared" si="29"/>
        <v>260.94</v>
      </c>
      <c r="H92" s="577">
        <f t="shared" si="29"/>
        <v>5.0500000000000003E-2</v>
      </c>
      <c r="I92" s="553">
        <f t="shared" si="29"/>
        <v>160.5</v>
      </c>
      <c r="J92" s="577">
        <f t="shared" si="29"/>
        <v>8.2100000000000006E-2</v>
      </c>
      <c r="K92" s="553">
        <f t="shared" si="29"/>
        <v>271.91000000000003</v>
      </c>
      <c r="L92" s="577">
        <f t="shared" si="29"/>
        <v>5.0500000000000003E-2</v>
      </c>
      <c r="M92" s="553">
        <f t="shared" si="29"/>
        <v>167.25</v>
      </c>
      <c r="N92" s="577">
        <f t="shared" ref="N92:O92" si="30">SUM(N86:N91)</f>
        <v>5.0500000000000003E-2</v>
      </c>
      <c r="O92" s="553">
        <f t="shared" si="30"/>
        <v>170.02</v>
      </c>
      <c r="P92" s="577">
        <f t="shared" ref="P92:Q92" si="31">SUM(P86:P91)</f>
        <v>5.0500000000000003E-2</v>
      </c>
      <c r="Q92" s="553">
        <f t="shared" si="31"/>
        <v>171.03</v>
      </c>
      <c r="R92" s="577">
        <f t="shared" ref="R92:S92" si="32">SUM(R86:R91)</f>
        <v>5.0500000000000003E-2</v>
      </c>
      <c r="S92" s="553">
        <f t="shared" si="32"/>
        <v>171.03</v>
      </c>
    </row>
    <row r="93" spans="1:19" s="46" customFormat="1" x14ac:dyDescent="0.2">
      <c r="A93" s="972"/>
      <c r="B93" s="974"/>
      <c r="C93" s="974"/>
      <c r="D93" s="974"/>
      <c r="E93" s="973"/>
      <c r="F93" s="890"/>
      <c r="G93" s="891"/>
      <c r="H93" s="890"/>
      <c r="I93" s="891"/>
      <c r="J93" s="890"/>
      <c r="K93" s="891"/>
      <c r="L93" s="890"/>
      <c r="M93" s="891"/>
      <c r="N93" s="890"/>
      <c r="O93" s="891"/>
      <c r="P93" s="890"/>
      <c r="Q93" s="891"/>
      <c r="R93" s="890"/>
      <c r="S93" s="891"/>
    </row>
    <row r="94" spans="1:19" s="44" customFormat="1" x14ac:dyDescent="0.2">
      <c r="A94" s="1002" t="s">
        <v>107</v>
      </c>
      <c r="B94" s="1066"/>
      <c r="C94" s="1066"/>
      <c r="D94" s="1066"/>
      <c r="E94" s="1003"/>
      <c r="F94" s="890"/>
      <c r="G94" s="891"/>
      <c r="H94" s="890"/>
      <c r="I94" s="891"/>
      <c r="J94" s="890"/>
      <c r="K94" s="891"/>
      <c r="L94" s="890"/>
      <c r="M94" s="891"/>
      <c r="N94" s="890"/>
      <c r="O94" s="891"/>
      <c r="P94" s="890"/>
      <c r="Q94" s="891"/>
      <c r="R94" s="890"/>
      <c r="S94" s="891"/>
    </row>
    <row r="95" spans="1:19" s="44" customFormat="1" ht="32.25" customHeight="1" x14ac:dyDescent="0.2">
      <c r="A95" s="538" t="s">
        <v>72</v>
      </c>
      <c r="B95" s="964" t="s">
        <v>117</v>
      </c>
      <c r="C95" s="964"/>
      <c r="D95" s="964"/>
      <c r="E95" s="1055"/>
      <c r="F95" s="622" t="s">
        <v>12</v>
      </c>
      <c r="G95" s="623" t="s">
        <v>98</v>
      </c>
      <c r="H95" s="622" t="s">
        <v>12</v>
      </c>
      <c r="I95" s="623" t="s">
        <v>98</v>
      </c>
      <c r="J95" s="622" t="s">
        <v>12</v>
      </c>
      <c r="K95" s="623" t="s">
        <v>98</v>
      </c>
      <c r="L95" s="622" t="s">
        <v>12</v>
      </c>
      <c r="M95" s="623" t="s">
        <v>98</v>
      </c>
      <c r="N95" s="622" t="s">
        <v>12</v>
      </c>
      <c r="O95" s="623" t="s">
        <v>98</v>
      </c>
      <c r="P95" s="622" t="s">
        <v>12</v>
      </c>
      <c r="Q95" s="623" t="s">
        <v>98</v>
      </c>
      <c r="R95" s="622" t="s">
        <v>12</v>
      </c>
      <c r="S95" s="623" t="s">
        <v>98</v>
      </c>
    </row>
    <row r="96" spans="1:19" s="44" customFormat="1" ht="14.25" customHeight="1" x14ac:dyDescent="0.2">
      <c r="A96" s="538" t="s">
        <v>1</v>
      </c>
      <c r="B96" s="939" t="str">
        <f>DADOS!B109</f>
        <v xml:space="preserve">Férias </v>
      </c>
      <c r="C96" s="1024"/>
      <c r="D96" s="1024"/>
      <c r="E96" s="1052"/>
      <c r="F96" s="576">
        <f>DADOS!C109</f>
        <v>8.3299999999999999E-2</v>
      </c>
      <c r="G96" s="550">
        <f t="shared" ref="G96:G103" si="33">F96*$G$33</f>
        <v>264.75</v>
      </c>
      <c r="H96" s="576">
        <f t="shared" ref="H96:H101" si="34">F96</f>
        <v>8.3299999999999999E-2</v>
      </c>
      <c r="I96" s="548">
        <f t="shared" ref="I96:I103" si="35">ROUND(H96*$I$33,2)</f>
        <v>264.75</v>
      </c>
      <c r="J96" s="576">
        <f>DADOS!C109</f>
        <v>8.3299999999999999E-2</v>
      </c>
      <c r="K96" s="550">
        <f t="shared" ref="K96:K101" si="36">J96*$K$33</f>
        <v>275.89</v>
      </c>
      <c r="L96" s="576">
        <f t="shared" ref="L96:L101" si="37">H96</f>
        <v>8.3299999999999999E-2</v>
      </c>
      <c r="M96" s="550">
        <f t="shared" ref="M96:M101" si="38">L96*$M$33</f>
        <v>275.89</v>
      </c>
      <c r="N96" s="576">
        <v>8.3299999999999999E-2</v>
      </c>
      <c r="O96" s="550">
        <f>N96*$O$33</f>
        <v>280.44</v>
      </c>
      <c r="P96" s="576">
        <v>8.3299999999999999E-2</v>
      </c>
      <c r="Q96" s="680">
        <f>P96*$Q$33</f>
        <v>282.12</v>
      </c>
      <c r="R96" s="576">
        <v>8.3299999999999999E-2</v>
      </c>
      <c r="S96" s="680">
        <f>R96*$S$33</f>
        <v>282.12</v>
      </c>
    </row>
    <row r="97" spans="1:19" s="44" customFormat="1" ht="14.25" customHeight="1" x14ac:dyDescent="0.2">
      <c r="A97" s="538" t="s">
        <v>2</v>
      </c>
      <c r="B97" s="939" t="str">
        <f>DADOS!B110</f>
        <v>Ausência por doença</v>
      </c>
      <c r="C97" s="1024"/>
      <c r="D97" s="1024"/>
      <c r="E97" s="1052"/>
      <c r="F97" s="576">
        <f>DADOS!C110</f>
        <v>1.3899999999999999E-2</v>
      </c>
      <c r="G97" s="550">
        <f t="shared" si="33"/>
        <v>44.18</v>
      </c>
      <c r="H97" s="576">
        <f t="shared" si="34"/>
        <v>1.3899999999999999E-2</v>
      </c>
      <c r="I97" s="548">
        <f t="shared" si="35"/>
        <v>44.18</v>
      </c>
      <c r="J97" s="576">
        <f>DADOS!C110</f>
        <v>1.3899999999999999E-2</v>
      </c>
      <c r="K97" s="550">
        <f t="shared" si="36"/>
        <v>46.04</v>
      </c>
      <c r="L97" s="576">
        <f t="shared" si="37"/>
        <v>1.3899999999999999E-2</v>
      </c>
      <c r="M97" s="550">
        <f t="shared" si="38"/>
        <v>46.04</v>
      </c>
      <c r="N97" s="576">
        <v>1.3899999999999999E-2</v>
      </c>
      <c r="O97" s="550">
        <f t="shared" ref="O97:O101" si="39">N97*$O$33</f>
        <v>46.8</v>
      </c>
      <c r="P97" s="576">
        <v>1.3899999999999999E-2</v>
      </c>
      <c r="Q97" s="680">
        <f t="shared" ref="Q97:Q101" si="40">P97*$Q$33</f>
        <v>47.08</v>
      </c>
      <c r="R97" s="576">
        <v>1.3899999999999999E-2</v>
      </c>
      <c r="S97" s="680">
        <f t="shared" ref="S97:S101" si="41">R97*$S$33</f>
        <v>47.08</v>
      </c>
    </row>
    <row r="98" spans="1:19" s="44" customFormat="1" ht="14.25" customHeight="1" x14ac:dyDescent="0.2">
      <c r="A98" s="538" t="s">
        <v>4</v>
      </c>
      <c r="B98" s="939" t="str">
        <f>DADOS!B111</f>
        <v>Licença Paternidade</v>
      </c>
      <c r="C98" s="1024"/>
      <c r="D98" s="1024"/>
      <c r="E98" s="1052"/>
      <c r="F98" s="576">
        <f>DADOS!C111</f>
        <v>1.2999999999999999E-3</v>
      </c>
      <c r="G98" s="550">
        <f t="shared" si="33"/>
        <v>4.13</v>
      </c>
      <c r="H98" s="576">
        <f t="shared" si="34"/>
        <v>1.2999999999999999E-3</v>
      </c>
      <c r="I98" s="548">
        <f t="shared" si="35"/>
        <v>4.13</v>
      </c>
      <c r="J98" s="576">
        <f>DADOS!C111</f>
        <v>1.2999999999999999E-3</v>
      </c>
      <c r="K98" s="550">
        <f t="shared" si="36"/>
        <v>4.3099999999999996</v>
      </c>
      <c r="L98" s="576">
        <f t="shared" si="37"/>
        <v>1.2999999999999999E-3</v>
      </c>
      <c r="M98" s="550">
        <f t="shared" si="38"/>
        <v>4.3099999999999996</v>
      </c>
      <c r="N98" s="576">
        <v>1.2999999999999999E-3</v>
      </c>
      <c r="O98" s="550">
        <f t="shared" si="39"/>
        <v>4.38</v>
      </c>
      <c r="P98" s="576">
        <v>1.2999999999999999E-3</v>
      </c>
      <c r="Q98" s="680">
        <f t="shared" si="40"/>
        <v>4.4000000000000004</v>
      </c>
      <c r="R98" s="576">
        <v>1.2999999999999999E-3</v>
      </c>
      <c r="S98" s="680">
        <f t="shared" si="41"/>
        <v>4.4000000000000004</v>
      </c>
    </row>
    <row r="99" spans="1:19" s="44" customFormat="1" ht="14.25" customHeight="1" x14ac:dyDescent="0.2">
      <c r="A99" s="538" t="s">
        <v>5</v>
      </c>
      <c r="B99" s="939" t="str">
        <f>DADOS!B112</f>
        <v>Ausências legais</v>
      </c>
      <c r="C99" s="1024"/>
      <c r="D99" s="1024"/>
      <c r="E99" s="1052"/>
      <c r="F99" s="576">
        <f>DADOS!C112</f>
        <v>2.8E-3</v>
      </c>
      <c r="G99" s="550">
        <f t="shared" si="33"/>
        <v>8.9</v>
      </c>
      <c r="H99" s="576">
        <f t="shared" si="34"/>
        <v>2.8E-3</v>
      </c>
      <c r="I99" s="548">
        <f t="shared" si="35"/>
        <v>8.9</v>
      </c>
      <c r="J99" s="576">
        <f>DADOS!C112</f>
        <v>2.8E-3</v>
      </c>
      <c r="K99" s="550">
        <f t="shared" si="36"/>
        <v>9.27</v>
      </c>
      <c r="L99" s="576">
        <f t="shared" si="37"/>
        <v>2.8E-3</v>
      </c>
      <c r="M99" s="550">
        <f t="shared" si="38"/>
        <v>9.27</v>
      </c>
      <c r="N99" s="576">
        <v>2.8E-3</v>
      </c>
      <c r="O99" s="550">
        <f t="shared" si="39"/>
        <v>9.43</v>
      </c>
      <c r="P99" s="576">
        <v>2.8E-3</v>
      </c>
      <c r="Q99" s="680">
        <f t="shared" si="40"/>
        <v>9.48</v>
      </c>
      <c r="R99" s="576">
        <v>2.8E-3</v>
      </c>
      <c r="S99" s="680">
        <f t="shared" si="41"/>
        <v>9.48</v>
      </c>
    </row>
    <row r="100" spans="1:19" s="44" customFormat="1" ht="14.25" customHeight="1" x14ac:dyDescent="0.2">
      <c r="A100" s="538" t="s">
        <v>6</v>
      </c>
      <c r="B100" s="939" t="str">
        <f>DADOS!B113</f>
        <v>Ausência por Acidente de trabalho</v>
      </c>
      <c r="C100" s="1024"/>
      <c r="D100" s="1024"/>
      <c r="E100" s="1052"/>
      <c r="F100" s="576">
        <f>DADOS!C113</f>
        <v>3.3E-3</v>
      </c>
      <c r="G100" s="550">
        <f t="shared" si="33"/>
        <v>10.49</v>
      </c>
      <c r="H100" s="576">
        <f t="shared" si="34"/>
        <v>3.3E-3</v>
      </c>
      <c r="I100" s="548">
        <f t="shared" si="35"/>
        <v>10.49</v>
      </c>
      <c r="J100" s="576">
        <f>DADOS!C113</f>
        <v>3.3E-3</v>
      </c>
      <c r="K100" s="550">
        <f t="shared" si="36"/>
        <v>10.93</v>
      </c>
      <c r="L100" s="576">
        <f t="shared" si="37"/>
        <v>3.3E-3</v>
      </c>
      <c r="M100" s="550">
        <f t="shared" si="38"/>
        <v>10.93</v>
      </c>
      <c r="N100" s="576">
        <v>3.3E-3</v>
      </c>
      <c r="O100" s="550">
        <f t="shared" si="39"/>
        <v>11.11</v>
      </c>
      <c r="P100" s="576">
        <v>3.3E-3</v>
      </c>
      <c r="Q100" s="680">
        <f t="shared" si="40"/>
        <v>11.18</v>
      </c>
      <c r="R100" s="576">
        <v>3.3E-3</v>
      </c>
      <c r="S100" s="680">
        <f t="shared" si="41"/>
        <v>11.18</v>
      </c>
    </row>
    <row r="101" spans="1:19" s="44" customFormat="1" ht="14.25" customHeight="1" x14ac:dyDescent="0.2">
      <c r="A101" s="538" t="s">
        <v>7</v>
      </c>
      <c r="B101" s="939" t="str">
        <f>DADOS!B114</f>
        <v>Outros (especificar)</v>
      </c>
      <c r="C101" s="1024"/>
      <c r="D101" s="1024"/>
      <c r="E101" s="1052"/>
      <c r="F101" s="576">
        <f>DADOS!C114</f>
        <v>0</v>
      </c>
      <c r="G101" s="550">
        <f t="shared" si="33"/>
        <v>0</v>
      </c>
      <c r="H101" s="576">
        <f t="shared" si="34"/>
        <v>0</v>
      </c>
      <c r="I101" s="548">
        <f t="shared" si="35"/>
        <v>0</v>
      </c>
      <c r="J101" s="576">
        <f>DADOS!C114</f>
        <v>0</v>
      </c>
      <c r="K101" s="550">
        <f t="shared" si="36"/>
        <v>0</v>
      </c>
      <c r="L101" s="576">
        <f t="shared" si="37"/>
        <v>0</v>
      </c>
      <c r="M101" s="550">
        <f t="shared" si="38"/>
        <v>0</v>
      </c>
      <c r="N101" s="576">
        <v>0</v>
      </c>
      <c r="O101" s="550">
        <f t="shared" si="39"/>
        <v>0</v>
      </c>
      <c r="P101" s="576">
        <v>0</v>
      </c>
      <c r="Q101" s="680">
        <f t="shared" si="40"/>
        <v>0</v>
      </c>
      <c r="R101" s="576">
        <v>0</v>
      </c>
      <c r="S101" s="680">
        <f t="shared" si="41"/>
        <v>0</v>
      </c>
    </row>
    <row r="102" spans="1:19" s="44" customFormat="1" ht="15" customHeight="1" x14ac:dyDescent="0.2">
      <c r="A102" s="967" t="s">
        <v>103</v>
      </c>
      <c r="B102" s="968"/>
      <c r="C102" s="968"/>
      <c r="D102" s="968"/>
      <c r="E102" s="1054"/>
      <c r="F102" s="577">
        <f t="shared" ref="F102:M102" si="42">SUM(F96:F101)</f>
        <v>0.1046</v>
      </c>
      <c r="G102" s="552">
        <f t="shared" si="42"/>
        <v>332.45</v>
      </c>
      <c r="H102" s="577">
        <f t="shared" si="42"/>
        <v>0.1046</v>
      </c>
      <c r="I102" s="552">
        <f t="shared" si="42"/>
        <v>332.45</v>
      </c>
      <c r="J102" s="577">
        <f t="shared" si="42"/>
        <v>0.1046</v>
      </c>
      <c r="K102" s="552">
        <f t="shared" si="42"/>
        <v>346.44</v>
      </c>
      <c r="L102" s="577">
        <f t="shared" si="42"/>
        <v>0.1046</v>
      </c>
      <c r="M102" s="552">
        <f t="shared" si="42"/>
        <v>346.44</v>
      </c>
      <c r="N102" s="577">
        <f t="shared" ref="N102:P102" si="43">SUM(N96:N101)</f>
        <v>0.1046</v>
      </c>
      <c r="O102" s="552">
        <f>SUM(O96:O101)</f>
        <v>352.16</v>
      </c>
      <c r="P102" s="577">
        <f t="shared" si="43"/>
        <v>0.1046</v>
      </c>
      <c r="Q102" s="552">
        <f>SUM(Q96:Q101)</f>
        <v>354.26</v>
      </c>
      <c r="R102" s="577">
        <f t="shared" ref="R102" si="44">SUM(R96:R101)</f>
        <v>0.1046</v>
      </c>
      <c r="S102" s="552">
        <f>SUM(S96:S101)</f>
        <v>354.26</v>
      </c>
    </row>
    <row r="103" spans="1:19" s="44" customFormat="1" ht="28.5" customHeight="1" x14ac:dyDescent="0.2">
      <c r="A103" s="538" t="s">
        <v>8</v>
      </c>
      <c r="B103" s="949" t="str">
        <f>DADOS!B116</f>
        <v>Incidência dos encargos previstos no Submódulo 4.1 sobre o custo de reposição do profissional ausente</v>
      </c>
      <c r="C103" s="949"/>
      <c r="D103" s="949"/>
      <c r="E103" s="1053"/>
      <c r="F103" s="576">
        <f>DADOS!C116</f>
        <v>3.7600000000000001E-2</v>
      </c>
      <c r="G103" s="550">
        <f t="shared" si="33"/>
        <v>119.5</v>
      </c>
      <c r="H103" s="576">
        <f>F103</f>
        <v>3.7600000000000001E-2</v>
      </c>
      <c r="I103" s="548">
        <f t="shared" si="35"/>
        <v>119.5</v>
      </c>
      <c r="J103" s="576">
        <f>DADOS!C116</f>
        <v>3.7600000000000001E-2</v>
      </c>
      <c r="K103" s="550">
        <f>J103*$K$33</f>
        <v>124.53</v>
      </c>
      <c r="L103" s="576">
        <f>H103</f>
        <v>3.7600000000000001E-2</v>
      </c>
      <c r="M103" s="550">
        <f>L103*$M$33</f>
        <v>124.53</v>
      </c>
      <c r="N103" s="576">
        <f>N102*N68</f>
        <v>3.7900000000000003E-2</v>
      </c>
      <c r="O103" s="550">
        <f>N103*$O$33</f>
        <v>127.6</v>
      </c>
      <c r="P103" s="576">
        <f>P102*P68</f>
        <v>3.7999999999999999E-2</v>
      </c>
      <c r="Q103" s="680">
        <f>P103*$Q$33</f>
        <v>128.69999999999999</v>
      </c>
      <c r="R103" s="576">
        <f>R102*R68</f>
        <v>3.7999999999999999E-2</v>
      </c>
      <c r="S103" s="680">
        <f>R103*$S$33</f>
        <v>128.69999999999999</v>
      </c>
    </row>
    <row r="104" spans="1:19" s="49" customFormat="1" ht="18" customHeight="1" x14ac:dyDescent="0.2">
      <c r="A104" s="967" t="s">
        <v>57</v>
      </c>
      <c r="B104" s="968"/>
      <c r="C104" s="968"/>
      <c r="D104" s="968"/>
      <c r="E104" s="1054"/>
      <c r="F104" s="577">
        <f t="shared" ref="F104:M104" si="45">SUM(F102:F103)</f>
        <v>0.14219999999999999</v>
      </c>
      <c r="G104" s="553">
        <f t="shared" si="45"/>
        <v>451.95</v>
      </c>
      <c r="H104" s="577">
        <f t="shared" si="45"/>
        <v>0.14219999999999999</v>
      </c>
      <c r="I104" s="553">
        <f t="shared" si="45"/>
        <v>451.95</v>
      </c>
      <c r="J104" s="577">
        <f t="shared" si="45"/>
        <v>0.14219999999999999</v>
      </c>
      <c r="K104" s="553">
        <f t="shared" si="45"/>
        <v>470.97</v>
      </c>
      <c r="L104" s="577">
        <f t="shared" si="45"/>
        <v>0.14219999999999999</v>
      </c>
      <c r="M104" s="553">
        <f t="shared" si="45"/>
        <v>470.97</v>
      </c>
      <c r="N104" s="577">
        <f t="shared" ref="N104:P104" si="46">SUM(N102:N103)</f>
        <v>0.14249999999999999</v>
      </c>
      <c r="O104" s="553">
        <f>SUM(O102:O103)</f>
        <v>479.76</v>
      </c>
      <c r="P104" s="577">
        <f t="shared" si="46"/>
        <v>0.1426</v>
      </c>
      <c r="Q104" s="553">
        <f>SUM(Q102:Q103)</f>
        <v>482.96</v>
      </c>
      <c r="R104" s="577">
        <f t="shared" ref="R104" si="47">SUM(R102:R103)</f>
        <v>0.1426</v>
      </c>
      <c r="S104" s="553">
        <f>SUM(S102:S103)</f>
        <v>482.96</v>
      </c>
    </row>
    <row r="105" spans="1:19" s="46" customFormat="1" x14ac:dyDescent="0.2">
      <c r="A105" s="972"/>
      <c r="B105" s="974"/>
      <c r="C105" s="974"/>
      <c r="D105" s="974"/>
      <c r="E105" s="973"/>
      <c r="F105" s="890"/>
      <c r="G105" s="891"/>
      <c r="H105" s="890"/>
      <c r="I105" s="891"/>
      <c r="J105" s="890"/>
      <c r="K105" s="891"/>
      <c r="L105" s="890"/>
      <c r="M105" s="891"/>
      <c r="N105" s="890"/>
      <c r="O105" s="891"/>
      <c r="P105" s="890"/>
      <c r="Q105" s="891"/>
      <c r="R105" s="890"/>
      <c r="S105" s="891"/>
    </row>
    <row r="106" spans="1:19" s="44" customFormat="1" x14ac:dyDescent="0.2">
      <c r="A106" s="1002" t="s">
        <v>137</v>
      </c>
      <c r="B106" s="1066"/>
      <c r="C106" s="1066"/>
      <c r="D106" s="1066"/>
      <c r="E106" s="1003"/>
      <c r="F106" s="890"/>
      <c r="G106" s="891"/>
      <c r="H106" s="890"/>
      <c r="I106" s="891"/>
      <c r="J106" s="890"/>
      <c r="K106" s="891"/>
      <c r="L106" s="890"/>
      <c r="M106" s="891"/>
      <c r="N106" s="890"/>
      <c r="O106" s="891"/>
      <c r="P106" s="890"/>
      <c r="Q106" s="891"/>
      <c r="R106" s="890"/>
      <c r="S106" s="891"/>
    </row>
    <row r="107" spans="1:19" s="44" customFormat="1" ht="26.25" customHeight="1" x14ac:dyDescent="0.2">
      <c r="A107" s="538">
        <v>4</v>
      </c>
      <c r="B107" s="964" t="s">
        <v>108</v>
      </c>
      <c r="C107" s="964"/>
      <c r="D107" s="964"/>
      <c r="E107" s="1055"/>
      <c r="F107" s="622" t="s">
        <v>12</v>
      </c>
      <c r="G107" s="623" t="s">
        <v>98</v>
      </c>
      <c r="H107" s="622" t="s">
        <v>12</v>
      </c>
      <c r="I107" s="623" t="s">
        <v>98</v>
      </c>
      <c r="J107" s="622" t="s">
        <v>12</v>
      </c>
      <c r="K107" s="623" t="s">
        <v>98</v>
      </c>
      <c r="L107" s="622" t="s">
        <v>12</v>
      </c>
      <c r="M107" s="623" t="s">
        <v>98</v>
      </c>
      <c r="N107" s="622" t="s">
        <v>12</v>
      </c>
      <c r="O107" s="623" t="s">
        <v>98</v>
      </c>
      <c r="P107" s="622" t="s">
        <v>12</v>
      </c>
      <c r="Q107" s="623" t="s">
        <v>98</v>
      </c>
      <c r="R107" s="622" t="s">
        <v>12</v>
      </c>
      <c r="S107" s="623" t="s">
        <v>98</v>
      </c>
    </row>
    <row r="108" spans="1:19" s="44" customFormat="1" ht="14.25" customHeight="1" x14ac:dyDescent="0.2">
      <c r="A108" s="538" t="s">
        <v>58</v>
      </c>
      <c r="B108" s="939" t="str">
        <f>B59</f>
        <v>Encargos previdenciários, FGTS e outras contribuições</v>
      </c>
      <c r="C108" s="1024"/>
      <c r="D108" s="1024"/>
      <c r="E108" s="1052"/>
      <c r="F108" s="576">
        <f t="shared" ref="F108:K108" si="48">F68</f>
        <v>0.35930000000000001</v>
      </c>
      <c r="G108" s="548">
        <f t="shared" si="48"/>
        <v>1141.94</v>
      </c>
      <c r="H108" s="576">
        <f t="shared" si="48"/>
        <v>0.35930000000000001</v>
      </c>
      <c r="I108" s="548">
        <f t="shared" si="48"/>
        <v>1141.94</v>
      </c>
      <c r="J108" s="576">
        <f t="shared" si="48"/>
        <v>0.35930000000000001</v>
      </c>
      <c r="K108" s="548">
        <f t="shared" si="48"/>
        <v>1190.01</v>
      </c>
      <c r="L108" s="576">
        <f t="shared" ref="L108:L113" si="49">H108</f>
        <v>0.35930000000000001</v>
      </c>
      <c r="M108" s="548">
        <f>M68</f>
        <v>1190.01</v>
      </c>
      <c r="N108" s="576">
        <f t="shared" ref="N108:O108" si="50">N68</f>
        <v>0.36230000000000001</v>
      </c>
      <c r="O108" s="548">
        <f t="shared" si="50"/>
        <v>1219.74</v>
      </c>
      <c r="P108" s="576">
        <f t="shared" ref="P108:Q108" si="51">P68</f>
        <v>0.3629</v>
      </c>
      <c r="Q108" s="679">
        <f t="shared" si="51"/>
        <v>1229.08</v>
      </c>
      <c r="R108" s="576">
        <f t="shared" ref="R108:S108" si="52">R68</f>
        <v>0.3629</v>
      </c>
      <c r="S108" s="679">
        <f t="shared" si="52"/>
        <v>1229.08</v>
      </c>
    </row>
    <row r="109" spans="1:19" s="44" customFormat="1" ht="14.25" customHeight="1" x14ac:dyDescent="0.2">
      <c r="A109" s="538" t="s">
        <v>65</v>
      </c>
      <c r="B109" s="939" t="str">
        <f>B71</f>
        <v xml:space="preserve">13º (décimo terceiro) Salário </v>
      </c>
      <c r="C109" s="1024"/>
      <c r="D109" s="1024"/>
      <c r="E109" s="1052"/>
      <c r="F109" s="576">
        <f t="shared" ref="F109:K109" si="53">F76</f>
        <v>0.151</v>
      </c>
      <c r="G109" s="548">
        <f t="shared" si="53"/>
        <v>479.91</v>
      </c>
      <c r="H109" s="576">
        <f t="shared" si="53"/>
        <v>0.151</v>
      </c>
      <c r="I109" s="548">
        <f t="shared" si="53"/>
        <v>479.91</v>
      </c>
      <c r="J109" s="576">
        <f t="shared" si="53"/>
        <v>0.151</v>
      </c>
      <c r="K109" s="548">
        <f t="shared" si="53"/>
        <v>500.12</v>
      </c>
      <c r="L109" s="576">
        <f t="shared" si="49"/>
        <v>0.151</v>
      </c>
      <c r="M109" s="548">
        <f>M76</f>
        <v>500.12</v>
      </c>
      <c r="N109" s="576">
        <f t="shared" ref="N109:O109" si="54">N76</f>
        <v>0.15140000000000001</v>
      </c>
      <c r="O109" s="548">
        <f t="shared" si="54"/>
        <v>509.71</v>
      </c>
      <c r="P109" s="576">
        <f t="shared" ref="P109:Q109" si="55">P76</f>
        <v>0.15140000000000001</v>
      </c>
      <c r="Q109" s="679">
        <f t="shared" si="55"/>
        <v>512.76</v>
      </c>
      <c r="R109" s="576">
        <f t="shared" ref="R109:S109" si="56">R76</f>
        <v>0.15140000000000001</v>
      </c>
      <c r="S109" s="679">
        <f t="shared" si="56"/>
        <v>512.76</v>
      </c>
    </row>
    <row r="110" spans="1:19" s="44" customFormat="1" ht="14.25" customHeight="1" x14ac:dyDescent="0.2">
      <c r="A110" s="538" t="s">
        <v>67</v>
      </c>
      <c r="B110" s="939" t="str">
        <f>B79</f>
        <v>Afastamento Maternidade</v>
      </c>
      <c r="C110" s="1024"/>
      <c r="D110" s="1024"/>
      <c r="E110" s="1052"/>
      <c r="F110" s="576">
        <f t="shared" ref="F110:K110" si="57">F82</f>
        <v>0</v>
      </c>
      <c r="G110" s="548">
        <f t="shared" si="57"/>
        <v>0</v>
      </c>
      <c r="H110" s="576">
        <f t="shared" si="57"/>
        <v>0</v>
      </c>
      <c r="I110" s="548">
        <f t="shared" si="57"/>
        <v>0</v>
      </c>
      <c r="J110" s="576">
        <f t="shared" si="57"/>
        <v>0</v>
      </c>
      <c r="K110" s="548">
        <f t="shared" si="57"/>
        <v>0</v>
      </c>
      <c r="L110" s="576">
        <f t="shared" si="49"/>
        <v>0</v>
      </c>
      <c r="M110" s="548">
        <f>M82</f>
        <v>0</v>
      </c>
      <c r="N110" s="576">
        <f t="shared" ref="N110:O110" si="58">N82</f>
        <v>0</v>
      </c>
      <c r="O110" s="548">
        <f t="shared" si="58"/>
        <v>0</v>
      </c>
      <c r="P110" s="576">
        <f t="shared" ref="P110:Q110" si="59">P82</f>
        <v>0</v>
      </c>
      <c r="Q110" s="679">
        <f t="shared" si="59"/>
        <v>0</v>
      </c>
      <c r="R110" s="576">
        <f t="shared" ref="R110:S110" si="60">R82</f>
        <v>0</v>
      </c>
      <c r="S110" s="679">
        <f t="shared" si="60"/>
        <v>0</v>
      </c>
    </row>
    <row r="111" spans="1:19" s="44" customFormat="1" ht="14.25" customHeight="1" x14ac:dyDescent="0.2">
      <c r="A111" s="538" t="s">
        <v>69</v>
      </c>
      <c r="B111" s="939" t="str">
        <f>B85</f>
        <v>Provisão para Rescisão</v>
      </c>
      <c r="C111" s="1024"/>
      <c r="D111" s="1024"/>
      <c r="E111" s="1052"/>
      <c r="F111" s="576">
        <f t="shared" ref="F111:K111" si="61">F92</f>
        <v>8.2100000000000006E-2</v>
      </c>
      <c r="G111" s="548">
        <f t="shared" si="61"/>
        <v>260.94</v>
      </c>
      <c r="H111" s="576">
        <f t="shared" si="61"/>
        <v>5.0500000000000003E-2</v>
      </c>
      <c r="I111" s="548">
        <f t="shared" si="61"/>
        <v>160.5</v>
      </c>
      <c r="J111" s="576">
        <f t="shared" si="61"/>
        <v>8.2100000000000006E-2</v>
      </c>
      <c r="K111" s="548">
        <f t="shared" si="61"/>
        <v>271.91000000000003</v>
      </c>
      <c r="L111" s="576">
        <f t="shared" si="49"/>
        <v>5.0500000000000003E-2</v>
      </c>
      <c r="M111" s="548">
        <f>M92</f>
        <v>167.25</v>
      </c>
      <c r="N111" s="576">
        <f t="shared" ref="N111:O111" si="62">N92</f>
        <v>5.0500000000000003E-2</v>
      </c>
      <c r="O111" s="548">
        <f t="shared" si="62"/>
        <v>170.02</v>
      </c>
      <c r="P111" s="576">
        <f t="shared" ref="P111:Q111" si="63">P92</f>
        <v>5.0500000000000003E-2</v>
      </c>
      <c r="Q111" s="679">
        <f t="shared" si="63"/>
        <v>171.03</v>
      </c>
      <c r="R111" s="576">
        <f t="shared" ref="R111:S111" si="64">R92</f>
        <v>5.0500000000000003E-2</v>
      </c>
      <c r="S111" s="679">
        <f t="shared" si="64"/>
        <v>171.03</v>
      </c>
    </row>
    <row r="112" spans="1:19" s="44" customFormat="1" ht="14.25" customHeight="1" x14ac:dyDescent="0.2">
      <c r="A112" s="538" t="s">
        <v>72</v>
      </c>
      <c r="B112" s="939" t="str">
        <f>B95</f>
        <v>Composição do Custo de Reposição do Profissional Ausente</v>
      </c>
      <c r="C112" s="1024"/>
      <c r="D112" s="1024"/>
      <c r="E112" s="1052"/>
      <c r="F112" s="576">
        <f t="shared" ref="F112:K112" si="65">F104</f>
        <v>0.14219999999999999</v>
      </c>
      <c r="G112" s="548">
        <f t="shared" si="65"/>
        <v>451.95</v>
      </c>
      <c r="H112" s="576">
        <f t="shared" si="65"/>
        <v>0.14219999999999999</v>
      </c>
      <c r="I112" s="548">
        <f t="shared" si="65"/>
        <v>451.95</v>
      </c>
      <c r="J112" s="576">
        <f t="shared" si="65"/>
        <v>0.14219999999999999</v>
      </c>
      <c r="K112" s="548">
        <f t="shared" si="65"/>
        <v>470.97</v>
      </c>
      <c r="L112" s="576">
        <f t="shared" si="49"/>
        <v>0.14219999999999999</v>
      </c>
      <c r="M112" s="548">
        <f>M104</f>
        <v>470.97</v>
      </c>
      <c r="N112" s="576">
        <f t="shared" ref="N112:O112" si="66">N104</f>
        <v>0.14249999999999999</v>
      </c>
      <c r="O112" s="548">
        <f t="shared" si="66"/>
        <v>479.76</v>
      </c>
      <c r="P112" s="576">
        <f t="shared" ref="P112:Q112" si="67">P104</f>
        <v>0.1426</v>
      </c>
      <c r="Q112" s="679">
        <f t="shared" si="67"/>
        <v>482.96</v>
      </c>
      <c r="R112" s="576">
        <f t="shared" ref="R112:S112" si="68">R104</f>
        <v>0.1426</v>
      </c>
      <c r="S112" s="679">
        <f t="shared" si="68"/>
        <v>482.96</v>
      </c>
    </row>
    <row r="113" spans="1:19" s="44" customFormat="1" ht="14.25" customHeight="1" x14ac:dyDescent="0.2">
      <c r="A113" s="538" t="s">
        <v>125</v>
      </c>
      <c r="B113" s="939" t="s">
        <v>76</v>
      </c>
      <c r="C113" s="1024"/>
      <c r="D113" s="1024"/>
      <c r="E113" s="1052"/>
      <c r="F113" s="576">
        <f>F106</f>
        <v>0</v>
      </c>
      <c r="G113" s="548"/>
      <c r="H113" s="576">
        <f>H106</f>
        <v>0</v>
      </c>
      <c r="I113" s="548"/>
      <c r="J113" s="576">
        <f>J106</f>
        <v>0</v>
      </c>
      <c r="K113" s="548"/>
      <c r="L113" s="576">
        <f t="shared" si="49"/>
        <v>0</v>
      </c>
      <c r="M113" s="548"/>
      <c r="N113" s="576">
        <f>N106</f>
        <v>0</v>
      </c>
      <c r="O113" s="548"/>
      <c r="P113" s="576">
        <f>P106</f>
        <v>0</v>
      </c>
      <c r="Q113" s="679"/>
      <c r="R113" s="576">
        <f>R106</f>
        <v>0</v>
      </c>
      <c r="S113" s="679"/>
    </row>
    <row r="114" spans="1:19" s="44" customFormat="1" ht="18" customHeight="1" x14ac:dyDescent="0.2">
      <c r="A114" s="557"/>
      <c r="B114" s="978" t="s">
        <v>138</v>
      </c>
      <c r="C114" s="978"/>
      <c r="D114" s="978"/>
      <c r="E114" s="1074"/>
      <c r="F114" s="577">
        <f t="shared" ref="F114:M114" si="69">SUM(F108:F113)</f>
        <v>0.73460000000000003</v>
      </c>
      <c r="G114" s="553">
        <f t="shared" si="69"/>
        <v>2334.7399999999998</v>
      </c>
      <c r="H114" s="577">
        <f t="shared" si="69"/>
        <v>0.70299999999999996</v>
      </c>
      <c r="I114" s="553">
        <f t="shared" si="69"/>
        <v>2234.3000000000002</v>
      </c>
      <c r="J114" s="577">
        <f t="shared" si="69"/>
        <v>0.73460000000000003</v>
      </c>
      <c r="K114" s="553">
        <f t="shared" si="69"/>
        <v>2433.0100000000002</v>
      </c>
      <c r="L114" s="577">
        <f t="shared" si="69"/>
        <v>0.70299999999999996</v>
      </c>
      <c r="M114" s="553">
        <f t="shared" si="69"/>
        <v>2328.35</v>
      </c>
      <c r="N114" s="577">
        <f t="shared" ref="N114:O114" si="70">SUM(N108:N113)</f>
        <v>0.70669999999999999</v>
      </c>
      <c r="O114" s="553">
        <f t="shared" si="70"/>
        <v>2379.23</v>
      </c>
      <c r="P114" s="577">
        <f t="shared" ref="P114:Q114" si="71">SUM(P108:P113)</f>
        <v>0.70740000000000003</v>
      </c>
      <c r="Q114" s="553">
        <f t="shared" si="71"/>
        <v>2395.83</v>
      </c>
      <c r="R114" s="577">
        <f t="shared" ref="R114:S114" si="72">SUM(R108:R113)</f>
        <v>0.70740000000000003</v>
      </c>
      <c r="S114" s="553">
        <f t="shared" si="72"/>
        <v>2395.83</v>
      </c>
    </row>
    <row r="115" spans="1:19" s="44" customFormat="1" x14ac:dyDescent="0.2">
      <c r="A115" s="972"/>
      <c r="B115" s="974"/>
      <c r="C115" s="974"/>
      <c r="D115" s="974"/>
      <c r="E115" s="973"/>
      <c r="F115" s="890"/>
      <c r="G115" s="891"/>
      <c r="H115" s="890"/>
      <c r="I115" s="891"/>
      <c r="J115" s="890"/>
      <c r="K115" s="891"/>
      <c r="L115" s="890"/>
      <c r="M115" s="891"/>
      <c r="N115" s="890"/>
      <c r="O115" s="891"/>
      <c r="P115" s="890"/>
      <c r="Q115" s="891"/>
      <c r="R115" s="890"/>
      <c r="S115" s="891"/>
    </row>
    <row r="116" spans="1:19" s="44" customFormat="1" x14ac:dyDescent="0.2">
      <c r="A116" s="1002" t="s">
        <v>35</v>
      </c>
      <c r="B116" s="1066"/>
      <c r="C116" s="1066"/>
      <c r="D116" s="1066"/>
      <c r="E116" s="1003"/>
      <c r="F116" s="890"/>
      <c r="G116" s="891"/>
      <c r="H116" s="890"/>
      <c r="I116" s="891"/>
      <c r="J116" s="890"/>
      <c r="K116" s="891"/>
      <c r="L116" s="890"/>
      <c r="M116" s="891"/>
      <c r="N116" s="890"/>
      <c r="O116" s="891"/>
      <c r="P116" s="890"/>
      <c r="Q116" s="891"/>
      <c r="R116" s="890"/>
      <c r="S116" s="891"/>
    </row>
    <row r="117" spans="1:19" s="44" customFormat="1" ht="22.5" customHeight="1" x14ac:dyDescent="0.2">
      <c r="A117" s="538">
        <v>5</v>
      </c>
      <c r="B117" s="964" t="s">
        <v>29</v>
      </c>
      <c r="C117" s="964"/>
      <c r="D117" s="964"/>
      <c r="E117" s="1055"/>
      <c r="F117" s="622" t="s">
        <v>12</v>
      </c>
      <c r="G117" s="623" t="s">
        <v>98</v>
      </c>
      <c r="H117" s="622" t="s">
        <v>12</v>
      </c>
      <c r="I117" s="623" t="s">
        <v>98</v>
      </c>
      <c r="J117" s="622" t="s">
        <v>12</v>
      </c>
      <c r="K117" s="623" t="s">
        <v>98</v>
      </c>
      <c r="L117" s="622" t="s">
        <v>12</v>
      </c>
      <c r="M117" s="623" t="s">
        <v>98</v>
      </c>
      <c r="N117" s="622" t="s">
        <v>12</v>
      </c>
      <c r="O117" s="623" t="s">
        <v>98</v>
      </c>
      <c r="P117" s="622" t="s">
        <v>12</v>
      </c>
      <c r="Q117" s="623" t="s">
        <v>98</v>
      </c>
      <c r="R117" s="622" t="s">
        <v>12</v>
      </c>
      <c r="S117" s="623" t="s">
        <v>98</v>
      </c>
    </row>
    <row r="118" spans="1:19" s="44" customFormat="1" x14ac:dyDescent="0.2">
      <c r="A118" s="538" t="s">
        <v>1</v>
      </c>
      <c r="B118" s="943" t="s">
        <v>30</v>
      </c>
      <c r="C118" s="1061"/>
      <c r="D118" s="1061"/>
      <c r="E118" s="1062"/>
      <c r="F118" s="576">
        <f>DADOS!G60</f>
        <v>6.9000000000000006E-2</v>
      </c>
      <c r="G118" s="558">
        <f>G131*F118</f>
        <v>439.16</v>
      </c>
      <c r="H118" s="576">
        <v>6.6699999999999995E-2</v>
      </c>
      <c r="I118" s="558">
        <f>I131*H118</f>
        <v>417.82</v>
      </c>
      <c r="J118" s="576">
        <v>6.9000000000000006E-2</v>
      </c>
      <c r="K118" s="558">
        <f>K131*J118</f>
        <v>456.91</v>
      </c>
      <c r="L118" s="576">
        <f>H118</f>
        <v>6.6699999999999995E-2</v>
      </c>
      <c r="M118" s="558">
        <f>M131*L118</f>
        <v>434.55</v>
      </c>
      <c r="N118" s="637">
        <v>6.6299999999999998E-2</v>
      </c>
      <c r="O118" s="558">
        <f>O131*N118</f>
        <v>439.51</v>
      </c>
      <c r="P118" s="576">
        <v>6.6699999999999995E-2</v>
      </c>
      <c r="Q118" s="558">
        <f>Q131*P118</f>
        <v>445.37</v>
      </c>
      <c r="R118" s="576">
        <v>6.6699999999999995E-2</v>
      </c>
      <c r="S118" s="558">
        <f>S131*R118</f>
        <v>445.13</v>
      </c>
    </row>
    <row r="119" spans="1:19" s="44" customFormat="1" x14ac:dyDescent="0.2">
      <c r="A119" s="898" t="s">
        <v>2</v>
      </c>
      <c r="B119" s="965" t="s">
        <v>23</v>
      </c>
      <c r="C119" s="1067"/>
      <c r="D119" s="1067"/>
      <c r="E119" s="1068"/>
      <c r="F119" s="576">
        <f>SUM(F120:F121)</f>
        <v>8.6499999999999994E-2</v>
      </c>
      <c r="G119" s="558"/>
      <c r="H119" s="576">
        <v>8.6499999999999994E-2</v>
      </c>
      <c r="I119" s="558"/>
      <c r="J119" s="576">
        <f>SUM(J120:J121)</f>
        <v>8.6499999999999994E-2</v>
      </c>
      <c r="K119" s="558"/>
      <c r="L119" s="576">
        <f>H119</f>
        <v>8.6499999999999994E-2</v>
      </c>
      <c r="M119" s="558"/>
      <c r="N119" s="576">
        <f>SUM(N120:N121)</f>
        <v>8.6499999999999994E-2</v>
      </c>
      <c r="O119" s="558"/>
      <c r="P119" s="576">
        <f>SUM(P120:P121)</f>
        <v>8.6499999999999994E-2</v>
      </c>
      <c r="Q119" s="558"/>
      <c r="R119" s="576">
        <f>SUM(R120:R121)</f>
        <v>8.6499999999999994E-2</v>
      </c>
      <c r="S119" s="558"/>
    </row>
    <row r="120" spans="1:19" s="44" customFormat="1" x14ac:dyDescent="0.2">
      <c r="A120" s="898"/>
      <c r="B120" s="939" t="s">
        <v>521</v>
      </c>
      <c r="C120" s="1024"/>
      <c r="D120" s="1024"/>
      <c r="E120" s="1052"/>
      <c r="F120" s="576">
        <f>DADOS!C75+DADOS!C74</f>
        <v>3.6499999999999998E-2</v>
      </c>
      <c r="G120" s="559">
        <f>($G$131+$G$118+$G$122)/DADOS!C$77*F120</f>
        <v>282.32</v>
      </c>
      <c r="H120" s="576">
        <f>F120</f>
        <v>3.6499999999999998E-2</v>
      </c>
      <c r="I120" s="559">
        <f>($I$131+$I$118+$I$122)/(1-H$119)*H120</f>
        <v>275</v>
      </c>
      <c r="J120" s="576">
        <f>DADOS!C75+DADOS!C74</f>
        <v>3.6499999999999998E-2</v>
      </c>
      <c r="K120" s="559">
        <f>($K$131+$K$118+$K$122)/(1-J119)*J120</f>
        <v>293.73</v>
      </c>
      <c r="L120" s="576">
        <f>H120</f>
        <v>3.6499999999999998E-2</v>
      </c>
      <c r="M120" s="559">
        <f>($M$131+$M$118+$M$122)/(1-L119)*L120</f>
        <v>286.01</v>
      </c>
      <c r="N120" s="576">
        <v>3.6499999999999998E-2</v>
      </c>
      <c r="O120" s="559">
        <f>($O$131+$O$118+$O$122)/(1-$N$119)*N120</f>
        <v>290.91000000000003</v>
      </c>
      <c r="P120" s="576">
        <v>3.6499999999999998E-2</v>
      </c>
      <c r="Q120" s="559">
        <f>($Q$131+$Q$118+$Q$122)/(1-$P$119)*P120</f>
        <v>293.13</v>
      </c>
      <c r="R120" s="576">
        <v>3.6499999999999998E-2</v>
      </c>
      <c r="S120" s="559">
        <f>($S$131+$S$118+$S$122)/(1-$R$119)*R120</f>
        <v>292.97000000000003</v>
      </c>
    </row>
    <row r="121" spans="1:19" s="44" customFormat="1" x14ac:dyDescent="0.2">
      <c r="A121" s="898"/>
      <c r="B121" s="939" t="s">
        <v>522</v>
      </c>
      <c r="C121" s="1024"/>
      <c r="D121" s="1024"/>
      <c r="E121" s="1052"/>
      <c r="F121" s="576">
        <f>DADOS!C73</f>
        <v>0.05</v>
      </c>
      <c r="G121" s="559">
        <f>($G$131+$G$118+$G$122)/DADOS!C$77*F121</f>
        <v>386.74</v>
      </c>
      <c r="H121" s="576">
        <f>F121</f>
        <v>0.05</v>
      </c>
      <c r="I121" s="559">
        <f>($I$131+$I$118+$I$122)/(1-H$119)*H121</f>
        <v>376.71</v>
      </c>
      <c r="J121" s="576">
        <f>DADOS!C73</f>
        <v>0.05</v>
      </c>
      <c r="K121" s="559">
        <f>($K$131+$K$118+$K$122)/(1-J119)*J121</f>
        <v>402.38</v>
      </c>
      <c r="L121" s="576">
        <f>H121</f>
        <v>0.05</v>
      </c>
      <c r="M121" s="559">
        <f>($M$131+$M$118+$M$122)/(1-L119)*L121</f>
        <v>391.79</v>
      </c>
      <c r="N121" s="576">
        <v>0.05</v>
      </c>
      <c r="O121" s="559">
        <f>($O$131+$O$118+$O$122)/(1-$N$119)*N121</f>
        <v>398.5</v>
      </c>
      <c r="P121" s="576">
        <v>0.05</v>
      </c>
      <c r="Q121" s="559">
        <f>($Q$131+$Q$118+$Q$122)/(1-$P$119)*P121</f>
        <v>401.55</v>
      </c>
      <c r="R121" s="576">
        <v>0.05</v>
      </c>
      <c r="S121" s="559">
        <f>($S$131+$S$118+$S$122)/(1-$R$119)*R121</f>
        <v>401.33</v>
      </c>
    </row>
    <row r="122" spans="1:19" s="44" customFormat="1" x14ac:dyDescent="0.2">
      <c r="A122" s="538" t="s">
        <v>2</v>
      </c>
      <c r="B122" s="965" t="s">
        <v>20</v>
      </c>
      <c r="C122" s="1067"/>
      <c r="D122" s="1067"/>
      <c r="E122" s="1068"/>
      <c r="F122" s="576">
        <f>DADOS!G61</f>
        <v>3.85E-2</v>
      </c>
      <c r="G122" s="560">
        <f>(G131+G118)*F122</f>
        <v>261.94</v>
      </c>
      <c r="H122" s="576">
        <v>0.03</v>
      </c>
      <c r="I122" s="560">
        <f>(I131+I118)*H122</f>
        <v>200.46</v>
      </c>
      <c r="J122" s="576">
        <v>3.85E-2</v>
      </c>
      <c r="K122" s="560">
        <f>(K131+K118)*J122</f>
        <v>272.54000000000002</v>
      </c>
      <c r="L122" s="576">
        <f>H122</f>
        <v>0.03</v>
      </c>
      <c r="M122" s="560">
        <f>(M131+M118)*L122</f>
        <v>208.49</v>
      </c>
      <c r="N122" s="637">
        <v>0.03</v>
      </c>
      <c r="O122" s="560">
        <f>(O131+O118)*N122</f>
        <v>212.06</v>
      </c>
      <c r="P122" s="576">
        <v>0.03</v>
      </c>
      <c r="Q122" s="560">
        <f>(Q131+Q118)*P122</f>
        <v>213.68</v>
      </c>
      <c r="R122" s="576">
        <v>0.03</v>
      </c>
      <c r="S122" s="560">
        <f>(S131+S118)*R122</f>
        <v>213.56</v>
      </c>
    </row>
    <row r="123" spans="1:19" s="44" customFormat="1" ht="18" customHeight="1" x14ac:dyDescent="0.2">
      <c r="A123" s="972" t="s">
        <v>329</v>
      </c>
      <c r="B123" s="974"/>
      <c r="C123" s="974"/>
      <c r="D123" s="974"/>
      <c r="E123" s="973"/>
      <c r="F123" s="540"/>
      <c r="G123" s="561">
        <f>G118+G120+G121+G122</f>
        <v>1370.16</v>
      </c>
      <c r="H123" s="584"/>
      <c r="I123" s="561">
        <f>I118+I120+I121+I122</f>
        <v>1269.99</v>
      </c>
      <c r="J123" s="584"/>
      <c r="K123" s="561">
        <f>K118+K120+K121+K122</f>
        <v>1425.56</v>
      </c>
      <c r="L123" s="584"/>
      <c r="M123" s="561">
        <f>M118+M120+M121+M122</f>
        <v>1320.84</v>
      </c>
      <c r="N123" s="584"/>
      <c r="O123" s="561">
        <f>O118+O120+O121+O122</f>
        <v>1340.98</v>
      </c>
      <c r="P123" s="584"/>
      <c r="Q123" s="561">
        <f>Q118+Q120+Q121+Q122</f>
        <v>1353.73</v>
      </c>
      <c r="R123" s="584"/>
      <c r="S123" s="561">
        <f>S118+S120+S121+S122</f>
        <v>1352.99</v>
      </c>
    </row>
    <row r="124" spans="1:19" s="44" customFormat="1" x14ac:dyDescent="0.2">
      <c r="A124" s="972"/>
      <c r="B124" s="974"/>
      <c r="C124" s="974"/>
      <c r="D124" s="974"/>
      <c r="E124" s="973"/>
      <c r="F124" s="972"/>
      <c r="G124" s="973"/>
      <c r="H124" s="972"/>
      <c r="I124" s="973"/>
      <c r="J124" s="972"/>
      <c r="K124" s="973"/>
      <c r="L124" s="972"/>
      <c r="M124" s="973"/>
      <c r="N124" s="972"/>
      <c r="O124" s="973"/>
      <c r="P124" s="972"/>
      <c r="Q124" s="973"/>
      <c r="R124" s="972"/>
      <c r="S124" s="973"/>
    </row>
    <row r="125" spans="1:19" s="44" customFormat="1" x14ac:dyDescent="0.2">
      <c r="A125" s="1002" t="s">
        <v>330</v>
      </c>
      <c r="B125" s="1066"/>
      <c r="C125" s="1066"/>
      <c r="D125" s="1066"/>
      <c r="E125" s="1003"/>
      <c r="F125" s="972"/>
      <c r="G125" s="973"/>
      <c r="H125" s="972"/>
      <c r="I125" s="973"/>
      <c r="J125" s="972"/>
      <c r="K125" s="973"/>
      <c r="L125" s="972"/>
      <c r="M125" s="973"/>
      <c r="N125" s="972"/>
      <c r="O125" s="973"/>
      <c r="P125" s="972"/>
      <c r="Q125" s="973"/>
      <c r="R125" s="972"/>
      <c r="S125" s="973"/>
    </row>
    <row r="126" spans="1:19" s="44" customFormat="1" ht="16.5" customHeight="1" x14ac:dyDescent="0.2">
      <c r="A126" s="1002" t="s">
        <v>331</v>
      </c>
      <c r="B126" s="1066"/>
      <c r="C126" s="1066"/>
      <c r="D126" s="1066"/>
      <c r="E126" s="1003"/>
      <c r="F126" s="638"/>
      <c r="G126" s="623" t="s">
        <v>156</v>
      </c>
      <c r="H126" s="622"/>
      <c r="I126" s="623" t="s">
        <v>156</v>
      </c>
      <c r="J126" s="622"/>
      <c r="K126" s="623" t="s">
        <v>156</v>
      </c>
      <c r="L126" s="622"/>
      <c r="M126" s="623" t="s">
        <v>156</v>
      </c>
      <c r="N126" s="622"/>
      <c r="O126" s="623" t="s">
        <v>156</v>
      </c>
      <c r="P126" s="622"/>
      <c r="Q126" s="623" t="s">
        <v>156</v>
      </c>
      <c r="R126" s="622"/>
      <c r="S126" s="623" t="s">
        <v>156</v>
      </c>
    </row>
    <row r="127" spans="1:19" s="44" customFormat="1" ht="14.25" customHeight="1" x14ac:dyDescent="0.2">
      <c r="A127" s="538" t="s">
        <v>1</v>
      </c>
      <c r="B127" s="939" t="s">
        <v>378</v>
      </c>
      <c r="C127" s="1024"/>
      <c r="D127" s="1024"/>
      <c r="E127" s="1052"/>
      <c r="F127" s="578"/>
      <c r="G127" s="548">
        <f>G33</f>
        <v>3178.22</v>
      </c>
      <c r="H127" s="575"/>
      <c r="I127" s="548">
        <f>I33</f>
        <v>3178.22</v>
      </c>
      <c r="J127" s="575"/>
      <c r="K127" s="548">
        <f>K33</f>
        <v>3312.06</v>
      </c>
      <c r="L127" s="575"/>
      <c r="M127" s="548">
        <f>M33</f>
        <v>3312.06</v>
      </c>
      <c r="N127" s="575"/>
      <c r="O127" s="548">
        <f>O33</f>
        <v>3366.64</v>
      </c>
      <c r="P127" s="575"/>
      <c r="Q127" s="548">
        <f>Q33</f>
        <v>3386.83</v>
      </c>
      <c r="R127" s="677"/>
      <c r="S127" s="679">
        <f>S33</f>
        <v>3386.83</v>
      </c>
    </row>
    <row r="128" spans="1:19" s="44" customFormat="1" ht="14.25" customHeight="1" x14ac:dyDescent="0.2">
      <c r="A128" s="538" t="s">
        <v>2</v>
      </c>
      <c r="B128" s="939" t="s">
        <v>379</v>
      </c>
      <c r="C128" s="1024"/>
      <c r="D128" s="1024"/>
      <c r="E128" s="1052"/>
      <c r="F128" s="578"/>
      <c r="G128" s="548">
        <f>G48</f>
        <v>575.83000000000004</v>
      </c>
      <c r="H128" s="575"/>
      <c r="I128" s="548">
        <f>I48</f>
        <v>575.83000000000004</v>
      </c>
      <c r="J128" s="575"/>
      <c r="K128" s="548">
        <f>K48</f>
        <v>601.09</v>
      </c>
      <c r="L128" s="575"/>
      <c r="M128" s="548">
        <f>M48</f>
        <v>601.09</v>
      </c>
      <c r="N128" s="575"/>
      <c r="O128" s="548">
        <f>O48</f>
        <v>609.64</v>
      </c>
      <c r="P128" s="575"/>
      <c r="Q128" s="548">
        <f>Q48</f>
        <v>621.05999999999995</v>
      </c>
      <c r="R128" s="677"/>
      <c r="S128" s="679">
        <f>S48</f>
        <v>621.05999999999995</v>
      </c>
    </row>
    <row r="129" spans="1:19" s="44" customFormat="1" ht="14.25" customHeight="1" x14ac:dyDescent="0.2">
      <c r="A129" s="538" t="s">
        <v>4</v>
      </c>
      <c r="B129" s="1125" t="s">
        <v>380</v>
      </c>
      <c r="C129" s="1126"/>
      <c r="D129" s="1126"/>
      <c r="E129" s="1127"/>
      <c r="F129" s="578"/>
      <c r="G129" s="548">
        <f>G55</f>
        <v>275.79000000000002</v>
      </c>
      <c r="H129" s="575"/>
      <c r="I129" s="548">
        <f>I55</f>
        <v>275.79000000000002</v>
      </c>
      <c r="J129" s="575"/>
      <c r="K129" s="548">
        <f>K55</f>
        <v>275.79000000000002</v>
      </c>
      <c r="L129" s="575"/>
      <c r="M129" s="548">
        <f>M55</f>
        <v>273.55</v>
      </c>
      <c r="N129" s="575"/>
      <c r="O129" s="548">
        <f>O55</f>
        <v>273.55</v>
      </c>
      <c r="P129" s="575"/>
      <c r="Q129" s="548">
        <f>Q55</f>
        <v>273.55</v>
      </c>
      <c r="R129" s="677"/>
      <c r="S129" s="679">
        <f>S55</f>
        <v>269.85000000000002</v>
      </c>
    </row>
    <row r="130" spans="1:19" s="44" customFormat="1" ht="14.25" customHeight="1" x14ac:dyDescent="0.2">
      <c r="A130" s="538" t="s">
        <v>5</v>
      </c>
      <c r="B130" s="939" t="s">
        <v>381</v>
      </c>
      <c r="C130" s="1024"/>
      <c r="D130" s="1024"/>
      <c r="E130" s="1052"/>
      <c r="F130" s="578"/>
      <c r="G130" s="548">
        <f>G114</f>
        <v>2334.7399999999998</v>
      </c>
      <c r="H130" s="575"/>
      <c r="I130" s="548">
        <f>I114</f>
        <v>2234.3000000000002</v>
      </c>
      <c r="J130" s="575"/>
      <c r="K130" s="548">
        <f>K114</f>
        <v>2433.0100000000002</v>
      </c>
      <c r="L130" s="575"/>
      <c r="M130" s="548">
        <f>M114</f>
        <v>2328.35</v>
      </c>
      <c r="N130" s="575"/>
      <c r="O130" s="548">
        <f>O114</f>
        <v>2379.23</v>
      </c>
      <c r="P130" s="575"/>
      <c r="Q130" s="548">
        <f>Q114</f>
        <v>2395.83</v>
      </c>
      <c r="R130" s="677"/>
      <c r="S130" s="679">
        <f>S114</f>
        <v>2395.83</v>
      </c>
    </row>
    <row r="131" spans="1:19" s="44" customFormat="1" x14ac:dyDescent="0.2">
      <c r="A131" s="1002" t="s">
        <v>109</v>
      </c>
      <c r="B131" s="1066"/>
      <c r="C131" s="1066"/>
      <c r="D131" s="1066"/>
      <c r="E131" s="1003"/>
      <c r="F131" s="568"/>
      <c r="G131" s="548">
        <f>SUM(G127:G130)</f>
        <v>6364.58</v>
      </c>
      <c r="H131" s="585"/>
      <c r="I131" s="548">
        <f>SUM(I127:I130)</f>
        <v>6264.14</v>
      </c>
      <c r="J131" s="585"/>
      <c r="K131" s="548">
        <f>SUM(K127:K130)</f>
        <v>6621.95</v>
      </c>
      <c r="L131" s="585"/>
      <c r="M131" s="548">
        <f>SUM(M127:M130)</f>
        <v>6515.05</v>
      </c>
      <c r="N131" s="585"/>
      <c r="O131" s="548">
        <f>SUM(O127:O130)</f>
        <v>6629.06</v>
      </c>
      <c r="P131" s="585"/>
      <c r="Q131" s="548">
        <f>SUM(Q127:Q130)</f>
        <v>6677.27</v>
      </c>
      <c r="R131" s="678"/>
      <c r="S131" s="679">
        <f>SUM(S127:S130)</f>
        <v>6673.57</v>
      </c>
    </row>
    <row r="132" spans="1:19" s="44" customFormat="1" ht="14.25" customHeight="1" x14ac:dyDescent="0.2">
      <c r="A132" s="538" t="s">
        <v>6</v>
      </c>
      <c r="B132" s="939" t="s">
        <v>520</v>
      </c>
      <c r="C132" s="1024"/>
      <c r="D132" s="1024"/>
      <c r="E132" s="1052"/>
      <c r="F132" s="578"/>
      <c r="G132" s="548">
        <f>G123</f>
        <v>1370.16</v>
      </c>
      <c r="H132" s="575"/>
      <c r="I132" s="548">
        <f>I123</f>
        <v>1269.99</v>
      </c>
      <c r="J132" s="575"/>
      <c r="K132" s="548">
        <f>K123</f>
        <v>1425.56</v>
      </c>
      <c r="L132" s="575"/>
      <c r="M132" s="548">
        <f>M123</f>
        <v>1320.84</v>
      </c>
      <c r="N132" s="575"/>
      <c r="O132" s="548">
        <f>O123</f>
        <v>1340.98</v>
      </c>
      <c r="P132" s="575"/>
      <c r="Q132" s="548">
        <f>Q123</f>
        <v>1353.73</v>
      </c>
      <c r="R132" s="677"/>
      <c r="S132" s="679">
        <f>S123</f>
        <v>1352.99</v>
      </c>
    </row>
    <row r="133" spans="1:19" s="44" customFormat="1" ht="23.25" customHeight="1" thickBot="1" x14ac:dyDescent="0.25">
      <c r="A133" s="1099" t="s">
        <v>332</v>
      </c>
      <c r="B133" s="1100"/>
      <c r="C133" s="1100"/>
      <c r="D133" s="1100"/>
      <c r="E133" s="1101"/>
      <c r="F133" s="640"/>
      <c r="G133" s="634">
        <f>SUM(G131:G132)</f>
        <v>7734.74</v>
      </c>
      <c r="H133" s="636"/>
      <c r="I133" s="634">
        <f>SUM(I131:I132)</f>
        <v>7534.13</v>
      </c>
      <c r="J133" s="636"/>
      <c r="K133" s="634">
        <f>SUM(K131:K132)</f>
        <v>8047.51</v>
      </c>
      <c r="L133" s="636"/>
      <c r="M133" s="634">
        <f>SUM(M131:M132)</f>
        <v>7835.89</v>
      </c>
      <c r="N133" s="636"/>
      <c r="O133" s="634">
        <f>SUM(O131:O132)</f>
        <v>7970.04</v>
      </c>
      <c r="P133" s="636"/>
      <c r="Q133" s="634">
        <f>SUM(Q131:Q132)</f>
        <v>8031</v>
      </c>
      <c r="R133" s="636"/>
      <c r="S133" s="634">
        <f>SUM(S131:S132)</f>
        <v>8026.56</v>
      </c>
    </row>
    <row r="134" spans="1:19" s="46" customFormat="1" x14ac:dyDescent="0.2">
      <c r="A134" s="484"/>
      <c r="B134" s="24"/>
      <c r="C134" s="24"/>
      <c r="D134" s="24"/>
      <c r="E134" s="24"/>
      <c r="F134" s="25"/>
      <c r="G134" s="26"/>
      <c r="H134" s="26"/>
      <c r="I134" s="26"/>
      <c r="J134" s="26"/>
      <c r="K134" s="26"/>
      <c r="L134" s="26"/>
    </row>
    <row r="135" spans="1:19" s="44" customFormat="1" x14ac:dyDescent="0.2">
      <c r="A135" s="485"/>
      <c r="B135" s="19"/>
      <c r="C135" s="19"/>
      <c r="D135" s="19"/>
      <c r="E135" s="19"/>
      <c r="F135" s="19"/>
      <c r="G135" s="20"/>
      <c r="H135" s="20"/>
      <c r="I135" s="20"/>
      <c r="J135" s="20"/>
      <c r="K135" s="20"/>
      <c r="L135" s="20"/>
    </row>
    <row r="136" spans="1:19" s="44" customFormat="1" x14ac:dyDescent="0.2">
      <c r="A136" s="485"/>
      <c r="B136" s="19"/>
      <c r="C136" s="19"/>
      <c r="D136" s="19"/>
      <c r="E136" s="19"/>
      <c r="F136" s="19"/>
      <c r="G136" s="20"/>
      <c r="H136" s="20"/>
      <c r="I136" s="20"/>
      <c r="J136" s="20"/>
      <c r="K136" s="20"/>
      <c r="L136" s="20"/>
    </row>
    <row r="137" spans="1:19" s="44" customFormat="1" x14ac:dyDescent="0.2">
      <c r="A137" s="485"/>
      <c r="B137" s="19"/>
      <c r="C137" s="19"/>
      <c r="D137" s="19"/>
      <c r="E137" s="19"/>
      <c r="F137" s="19"/>
      <c r="G137" s="20"/>
      <c r="H137" s="20"/>
      <c r="I137" s="20"/>
      <c r="J137" s="20"/>
      <c r="K137" s="20"/>
      <c r="L137" s="20"/>
    </row>
    <row r="138" spans="1:19" s="44" customFormat="1" x14ac:dyDescent="0.2">
      <c r="A138" s="485"/>
      <c r="B138" s="19"/>
      <c r="C138" s="19"/>
      <c r="D138" s="19"/>
      <c r="E138" s="19"/>
      <c r="F138" s="19"/>
      <c r="G138" s="20"/>
      <c r="H138" s="20"/>
      <c r="I138" s="20"/>
      <c r="J138" s="20"/>
      <c r="K138" s="20"/>
      <c r="L138" s="20"/>
    </row>
    <row r="139" spans="1:19" s="44" customFormat="1" x14ac:dyDescent="0.2">
      <c r="A139" s="485"/>
      <c r="B139" s="19"/>
      <c r="C139" s="19"/>
      <c r="D139" s="19"/>
      <c r="E139" s="19"/>
      <c r="F139" s="19"/>
      <c r="G139" s="20"/>
      <c r="H139" s="20"/>
      <c r="I139" s="20"/>
      <c r="J139" s="20"/>
      <c r="K139" s="20"/>
      <c r="L139" s="20"/>
    </row>
    <row r="140" spans="1:19" s="44" customFormat="1" x14ac:dyDescent="0.2">
      <c r="A140" s="485"/>
      <c r="B140" s="19"/>
      <c r="C140" s="19"/>
      <c r="D140" s="19"/>
      <c r="E140" s="19"/>
      <c r="F140" s="19"/>
      <c r="G140" s="20"/>
      <c r="H140" s="20"/>
      <c r="I140" s="20"/>
      <c r="J140" s="20"/>
      <c r="K140" s="20"/>
      <c r="L140" s="20"/>
    </row>
    <row r="141" spans="1:19" s="44" customFormat="1" x14ac:dyDescent="0.2">
      <c r="A141" s="485"/>
      <c r="B141" s="19"/>
      <c r="C141" s="19"/>
      <c r="D141" s="19"/>
      <c r="E141" s="19"/>
      <c r="F141" s="19"/>
      <c r="G141" s="20"/>
      <c r="H141" s="20"/>
      <c r="I141" s="20"/>
      <c r="J141" s="20"/>
      <c r="K141" s="20"/>
      <c r="L141" s="20"/>
    </row>
  </sheetData>
  <mergeCells count="402">
    <mergeCell ref="R116:S116"/>
    <mergeCell ref="R124:S124"/>
    <mergeCell ref="R125:S125"/>
    <mergeCell ref="P4:S4"/>
    <mergeCell ref="P3:S3"/>
    <mergeCell ref="P2:S2"/>
    <mergeCell ref="R77:S77"/>
    <mergeCell ref="R78:S78"/>
    <mergeCell ref="R83:S83"/>
    <mergeCell ref="R84:S84"/>
    <mergeCell ref="R93:S93"/>
    <mergeCell ref="R94:S94"/>
    <mergeCell ref="R105:S105"/>
    <mergeCell ref="R106:S106"/>
    <mergeCell ref="R115:S115"/>
    <mergeCell ref="R34:S34"/>
    <mergeCell ref="R35:S35"/>
    <mergeCell ref="R49:S49"/>
    <mergeCell ref="R50:S50"/>
    <mergeCell ref="R56:S56"/>
    <mergeCell ref="R57:S57"/>
    <mergeCell ref="R58:S58"/>
    <mergeCell ref="R69:S69"/>
    <mergeCell ref="R70:S70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5:S5"/>
    <mergeCell ref="R6:S6"/>
    <mergeCell ref="R7:S7"/>
    <mergeCell ref="R8:S8"/>
    <mergeCell ref="R9:S9"/>
    <mergeCell ref="R13:S13"/>
    <mergeCell ref="P35:Q35"/>
    <mergeCell ref="H2:I3"/>
    <mergeCell ref="H105:I105"/>
    <mergeCell ref="J105:K105"/>
    <mergeCell ref="L105:M105"/>
    <mergeCell ref="N105:O105"/>
    <mergeCell ref="P105:Q105"/>
    <mergeCell ref="H69:I69"/>
    <mergeCell ref="J69:K69"/>
    <mergeCell ref="L69:M69"/>
    <mergeCell ref="H70:I70"/>
    <mergeCell ref="J70:K70"/>
    <mergeCell ref="L70:M70"/>
    <mergeCell ref="N70:O70"/>
    <mergeCell ref="P70:Q70"/>
    <mergeCell ref="N69:O69"/>
    <mergeCell ref="P69:Q69"/>
    <mergeCell ref="N13:O13"/>
    <mergeCell ref="F22:G22"/>
    <mergeCell ref="H22:I22"/>
    <mergeCell ref="J22:K22"/>
    <mergeCell ref="L22:M22"/>
    <mergeCell ref="N22:O22"/>
    <mergeCell ref="P22:Q22"/>
    <mergeCell ref="F58:G58"/>
    <mergeCell ref="F34:G34"/>
    <mergeCell ref="F35:G35"/>
    <mergeCell ref="H34:I34"/>
    <mergeCell ref="J34:K34"/>
    <mergeCell ref="L34:M34"/>
    <mergeCell ref="H35:I35"/>
    <mergeCell ref="J35:K35"/>
    <mergeCell ref="L35:M35"/>
    <mergeCell ref="N34:O34"/>
    <mergeCell ref="N35:O35"/>
    <mergeCell ref="P34:Q34"/>
    <mergeCell ref="F56:G56"/>
    <mergeCell ref="H56:I56"/>
    <mergeCell ref="J56:K56"/>
    <mergeCell ref="L56:M56"/>
    <mergeCell ref="N56:O56"/>
    <mergeCell ref="P56:Q56"/>
    <mergeCell ref="P94:Q94"/>
    <mergeCell ref="H124:I124"/>
    <mergeCell ref="J124:K124"/>
    <mergeCell ref="L124:M124"/>
    <mergeCell ref="N124:O124"/>
    <mergeCell ref="P124:Q124"/>
    <mergeCell ref="H125:I125"/>
    <mergeCell ref="J125:K125"/>
    <mergeCell ref="L125:M125"/>
    <mergeCell ref="N125:O125"/>
    <mergeCell ref="P125:Q125"/>
    <mergeCell ref="P77:Q77"/>
    <mergeCell ref="F115:G115"/>
    <mergeCell ref="F116:G116"/>
    <mergeCell ref="H115:I115"/>
    <mergeCell ref="J115:K115"/>
    <mergeCell ref="L115:M115"/>
    <mergeCell ref="N115:O115"/>
    <mergeCell ref="P115:Q115"/>
    <mergeCell ref="H116:I116"/>
    <mergeCell ref="J116:K116"/>
    <mergeCell ref="L116:M116"/>
    <mergeCell ref="N116:O116"/>
    <mergeCell ref="P116:Q116"/>
    <mergeCell ref="H106:I106"/>
    <mergeCell ref="J106:K106"/>
    <mergeCell ref="L106:M106"/>
    <mergeCell ref="N106:O106"/>
    <mergeCell ref="P106:Q106"/>
    <mergeCell ref="H84:I84"/>
    <mergeCell ref="J84:K84"/>
    <mergeCell ref="L84:M84"/>
    <mergeCell ref="N84:O84"/>
    <mergeCell ref="P84:Q84"/>
    <mergeCell ref="L94:M94"/>
    <mergeCell ref="A133:E133"/>
    <mergeCell ref="B37:E37"/>
    <mergeCell ref="B43:E43"/>
    <mergeCell ref="B44:E44"/>
    <mergeCell ref="B46:E46"/>
    <mergeCell ref="B81:E81"/>
    <mergeCell ref="B87:E87"/>
    <mergeCell ref="B88:E88"/>
    <mergeCell ref="B90:E90"/>
    <mergeCell ref="B91:E91"/>
    <mergeCell ref="B108:E108"/>
    <mergeCell ref="B112:E112"/>
    <mergeCell ref="B120:E120"/>
    <mergeCell ref="B121:E121"/>
    <mergeCell ref="A126:E126"/>
    <mergeCell ref="B127:E127"/>
    <mergeCell ref="B128:E128"/>
    <mergeCell ref="B129:E129"/>
    <mergeCell ref="B130:E130"/>
    <mergeCell ref="B132:E132"/>
    <mergeCell ref="A131:E131"/>
    <mergeCell ref="A124:E124"/>
    <mergeCell ref="A125:E125"/>
    <mergeCell ref="A116:E116"/>
    <mergeCell ref="B33:E33"/>
    <mergeCell ref="A35:E35"/>
    <mergeCell ref="B48:E48"/>
    <mergeCell ref="A70:E70"/>
    <mergeCell ref="A78:E78"/>
    <mergeCell ref="A84:E84"/>
    <mergeCell ref="A94:E94"/>
    <mergeCell ref="A106:E106"/>
    <mergeCell ref="B29:E29"/>
    <mergeCell ref="B30:E30"/>
    <mergeCell ref="B51:E51"/>
    <mergeCell ref="A39:A40"/>
    <mergeCell ref="B40:E40"/>
    <mergeCell ref="B34:E34"/>
    <mergeCell ref="B38:E38"/>
    <mergeCell ref="B59:E59"/>
    <mergeCell ref="A68:E68"/>
    <mergeCell ref="B64:E64"/>
    <mergeCell ref="B65:E65"/>
    <mergeCell ref="B66:E66"/>
    <mergeCell ref="B67:E67"/>
    <mergeCell ref="B72:E72"/>
    <mergeCell ref="A50:E50"/>
    <mergeCell ref="B96:E96"/>
    <mergeCell ref="A123:E123"/>
    <mergeCell ref="B55:E55"/>
    <mergeCell ref="A58:E58"/>
    <mergeCell ref="F70:G70"/>
    <mergeCell ref="F84:G84"/>
    <mergeCell ref="F105:G105"/>
    <mergeCell ref="F106:G106"/>
    <mergeCell ref="F124:G124"/>
    <mergeCell ref="F125:G125"/>
    <mergeCell ref="F83:G83"/>
    <mergeCell ref="B97:E97"/>
    <mergeCell ref="B98:E98"/>
    <mergeCell ref="B99:E99"/>
    <mergeCell ref="A57:E57"/>
    <mergeCell ref="B119:E119"/>
    <mergeCell ref="B122:E122"/>
    <mergeCell ref="A105:E105"/>
    <mergeCell ref="B109:E109"/>
    <mergeCell ref="A74:E74"/>
    <mergeCell ref="B75:E75"/>
    <mergeCell ref="A76:E76"/>
    <mergeCell ref="B100:E100"/>
    <mergeCell ref="B101:E101"/>
    <mergeCell ref="F77:G77"/>
    <mergeCell ref="P83:Q83"/>
    <mergeCell ref="H93:I93"/>
    <mergeCell ref="J93:K93"/>
    <mergeCell ref="L93:M93"/>
    <mergeCell ref="N93:O93"/>
    <mergeCell ref="P93:Q93"/>
    <mergeCell ref="F57:G57"/>
    <mergeCell ref="H57:I57"/>
    <mergeCell ref="J57:K57"/>
    <mergeCell ref="L57:M57"/>
    <mergeCell ref="N57:O57"/>
    <mergeCell ref="P57:Q57"/>
    <mergeCell ref="H58:I58"/>
    <mergeCell ref="J58:K58"/>
    <mergeCell ref="L58:M58"/>
    <mergeCell ref="N58:O58"/>
    <mergeCell ref="P58:Q58"/>
    <mergeCell ref="F78:G78"/>
    <mergeCell ref="H78:I78"/>
    <mergeCell ref="J78:K78"/>
    <mergeCell ref="L78:M78"/>
    <mergeCell ref="N78:O78"/>
    <mergeCell ref="P78:Q78"/>
    <mergeCell ref="H77:I77"/>
    <mergeCell ref="F93:G93"/>
    <mergeCell ref="F94:G94"/>
    <mergeCell ref="H94:I94"/>
    <mergeCell ref="J94:K94"/>
    <mergeCell ref="H83:I83"/>
    <mergeCell ref="J83:K83"/>
    <mergeCell ref="F69:G69"/>
    <mergeCell ref="L83:M83"/>
    <mergeCell ref="N83:O83"/>
    <mergeCell ref="J77:K77"/>
    <mergeCell ref="L77:M77"/>
    <mergeCell ref="N77:O77"/>
    <mergeCell ref="N94:O94"/>
    <mergeCell ref="H21:I21"/>
    <mergeCell ref="J21:K21"/>
    <mergeCell ref="L21:M21"/>
    <mergeCell ref="N21:O21"/>
    <mergeCell ref="P21:Q21"/>
    <mergeCell ref="P18:Q18"/>
    <mergeCell ref="P19:Q19"/>
    <mergeCell ref="P20:Q20"/>
    <mergeCell ref="P13:Q13"/>
    <mergeCell ref="N14:O14"/>
    <mergeCell ref="P14:Q14"/>
    <mergeCell ref="H15:I15"/>
    <mergeCell ref="J15:K15"/>
    <mergeCell ref="L15:M15"/>
    <mergeCell ref="N15:O15"/>
    <mergeCell ref="J18:K18"/>
    <mergeCell ref="L18:M18"/>
    <mergeCell ref="J19:K19"/>
    <mergeCell ref="L19:M19"/>
    <mergeCell ref="J20:K20"/>
    <mergeCell ref="L20:M20"/>
    <mergeCell ref="H17:I17"/>
    <mergeCell ref="H18:I18"/>
    <mergeCell ref="H19:I19"/>
    <mergeCell ref="P17:Q17"/>
    <mergeCell ref="P15:Q15"/>
    <mergeCell ref="L5:M5"/>
    <mergeCell ref="J6:K6"/>
    <mergeCell ref="L6:M6"/>
    <mergeCell ref="J7:K7"/>
    <mergeCell ref="L7:M7"/>
    <mergeCell ref="L8:M8"/>
    <mergeCell ref="J9:K9"/>
    <mergeCell ref="L9:M9"/>
    <mergeCell ref="N7:O7"/>
    <mergeCell ref="N8:O8"/>
    <mergeCell ref="N16:O16"/>
    <mergeCell ref="P16:Q16"/>
    <mergeCell ref="L17:M17"/>
    <mergeCell ref="L16:M16"/>
    <mergeCell ref="J13:K13"/>
    <mergeCell ref="L13:M13"/>
    <mergeCell ref="H14:I14"/>
    <mergeCell ref="J14:K14"/>
    <mergeCell ref="L14:M14"/>
    <mergeCell ref="P8:Q8"/>
    <mergeCell ref="P5:Q5"/>
    <mergeCell ref="P6:Q6"/>
    <mergeCell ref="P7:Q7"/>
    <mergeCell ref="P9:Q9"/>
    <mergeCell ref="H7:I7"/>
    <mergeCell ref="H20:I20"/>
    <mergeCell ref="J8:K8"/>
    <mergeCell ref="B11:D11"/>
    <mergeCell ref="B12:D12"/>
    <mergeCell ref="B17:E17"/>
    <mergeCell ref="F17:G17"/>
    <mergeCell ref="B18:E18"/>
    <mergeCell ref="F18:G18"/>
    <mergeCell ref="B13:E13"/>
    <mergeCell ref="H8:I8"/>
    <mergeCell ref="H9:I9"/>
    <mergeCell ref="H16:I16"/>
    <mergeCell ref="J16:K16"/>
    <mergeCell ref="J17:K17"/>
    <mergeCell ref="B9:E9"/>
    <mergeCell ref="A16:E16"/>
    <mergeCell ref="F16:G16"/>
    <mergeCell ref="A14:E14"/>
    <mergeCell ref="F13:G13"/>
    <mergeCell ref="F14:G14"/>
    <mergeCell ref="F9:G9"/>
    <mergeCell ref="A15:E15"/>
    <mergeCell ref="F15:G15"/>
    <mergeCell ref="H13:I13"/>
    <mergeCell ref="B117:E117"/>
    <mergeCell ref="A119:A121"/>
    <mergeCell ref="B79:E79"/>
    <mergeCell ref="B103:E103"/>
    <mergeCell ref="A104:E104"/>
    <mergeCell ref="B107:E107"/>
    <mergeCell ref="B114:E114"/>
    <mergeCell ref="A82:E82"/>
    <mergeCell ref="B85:E85"/>
    <mergeCell ref="A102:E102"/>
    <mergeCell ref="A92:E92"/>
    <mergeCell ref="A83:E83"/>
    <mergeCell ref="B86:E86"/>
    <mergeCell ref="B89:E89"/>
    <mergeCell ref="B95:E95"/>
    <mergeCell ref="A93:E93"/>
    <mergeCell ref="F50:G50"/>
    <mergeCell ref="F49:G49"/>
    <mergeCell ref="B71:E71"/>
    <mergeCell ref="F5:G5"/>
    <mergeCell ref="F6:G6"/>
    <mergeCell ref="A7:A8"/>
    <mergeCell ref="B7:E8"/>
    <mergeCell ref="F7:G7"/>
    <mergeCell ref="F8:G8"/>
    <mergeCell ref="B19:E19"/>
    <mergeCell ref="F19:G19"/>
    <mergeCell ref="B20:E20"/>
    <mergeCell ref="F20:G20"/>
    <mergeCell ref="B23:E23"/>
    <mergeCell ref="B26:E26"/>
    <mergeCell ref="B31:E31"/>
    <mergeCell ref="B32:E32"/>
    <mergeCell ref="B21:E21"/>
    <mergeCell ref="B24:E24"/>
    <mergeCell ref="B25:E25"/>
    <mergeCell ref="B27:E27"/>
    <mergeCell ref="F21:G21"/>
    <mergeCell ref="B28:E28"/>
    <mergeCell ref="A22:E22"/>
    <mergeCell ref="F4:G4"/>
    <mergeCell ref="B5:E5"/>
    <mergeCell ref="B6:E6"/>
    <mergeCell ref="A2:G2"/>
    <mergeCell ref="H4:I4"/>
    <mergeCell ref="J4:K4"/>
    <mergeCell ref="L4:M4"/>
    <mergeCell ref="N4:O4"/>
    <mergeCell ref="N5:O5"/>
    <mergeCell ref="N6:O6"/>
    <mergeCell ref="A4:E4"/>
    <mergeCell ref="H5:I5"/>
    <mergeCell ref="J5:K5"/>
    <mergeCell ref="H6:I6"/>
    <mergeCell ref="H49:I49"/>
    <mergeCell ref="J49:K49"/>
    <mergeCell ref="L49:M49"/>
    <mergeCell ref="A1:G1"/>
    <mergeCell ref="A10:E10"/>
    <mergeCell ref="J2:M2"/>
    <mergeCell ref="N2:O2"/>
    <mergeCell ref="J3:K3"/>
    <mergeCell ref="L3:M3"/>
    <mergeCell ref="N3:O3"/>
    <mergeCell ref="A3:G3"/>
    <mergeCell ref="N19:O19"/>
    <mergeCell ref="N20:O20"/>
    <mergeCell ref="N9:O9"/>
    <mergeCell ref="N17:O17"/>
    <mergeCell ref="N18:O18"/>
    <mergeCell ref="B36:E36"/>
    <mergeCell ref="A37:A38"/>
    <mergeCell ref="B39:E39"/>
    <mergeCell ref="B41:E41"/>
    <mergeCell ref="B42:E42"/>
    <mergeCell ref="B45:E45"/>
    <mergeCell ref="B47:E47"/>
    <mergeCell ref="A49:E49"/>
    <mergeCell ref="N49:O49"/>
    <mergeCell ref="P49:Q49"/>
    <mergeCell ref="H50:I50"/>
    <mergeCell ref="J50:K50"/>
    <mergeCell ref="L50:M50"/>
    <mergeCell ref="N50:O50"/>
    <mergeCell ref="P50:Q50"/>
    <mergeCell ref="B52:E52"/>
    <mergeCell ref="B118:E118"/>
    <mergeCell ref="B53:E53"/>
    <mergeCell ref="B54:E54"/>
    <mergeCell ref="B56:E56"/>
    <mergeCell ref="B60:E60"/>
    <mergeCell ref="B61:E61"/>
    <mergeCell ref="B62:E62"/>
    <mergeCell ref="B63:E63"/>
    <mergeCell ref="B110:E110"/>
    <mergeCell ref="B111:E111"/>
    <mergeCell ref="B113:E113"/>
    <mergeCell ref="A115:E115"/>
    <mergeCell ref="B73:E73"/>
    <mergeCell ref="A77:E77"/>
    <mergeCell ref="A69:E69"/>
    <mergeCell ref="B80:E80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0" fitToHeight="0" orientation="portrait" r:id="rId1"/>
  <headerFooter alignWithMargins="0">
    <oddHeader>&amp;L&amp;"Cambria,Negrito"&amp;8PROPOSTA Nº 011/2017 - MME</oddHeader>
  </headerFooter>
  <rowBreaks count="1" manualBreakCount="1">
    <brk id="68" max="18" man="1"/>
  </rowBreaks>
  <ignoredErrors>
    <ignoredError sqref="F12:G12 F18:G19 C31:F31 B32:F32 A20:G20 A36:G36 A33:B33 G29:G30 A79:G79 A44:B44 G44 A119:B119 A118:B118 G118 A123 A122:B122 G122 A45:G45 A74:E74 A75:E75 A76:E76 A26:G26 A24:B24 A41:G42 A37:B37 A121 A120 A134:E134 A88:B88 A87:B87 G87 A39:G39 A23:G23 A21:B21 F21 F24 A25:B25 F25:G25 A34:B34 F34 A38:B38 F38:G38 A48:B48 A47:B47 F47:G47 A51:G51 A49 A50 A55:B55 A52:B52 F52:G52 A131 A125 A126 G126 A127:A130 G130 G127 G128 G129 A133 A132 G132 A124 F119:G119 A53:B53 F53:G53 A54:B54 F54:G54 A59:G59 A56:B56 F56 A68:G68 A60:B60 F60:G60 A61:B61 F61:G61 A62:B62 F62:G62 A63:B63 F63:G63 A64:B64 F64:G64 A65:B65 F65:G65 A66:B66 F66:G66 A67:B67 F67:G67 A72:B72 F72:G72 A77 F77 A71:G71 A69 F69 A82:G82 A80:B80 F80:G80 A85:G85 A83 F83 A86:B86 F86:G86 A92:G92 A89:B89 F89:G89 A107:G107 A105 F105 A112:B112 A109:B109 F109:G109 A110:B110 F110:G110 A111:B111 F111:G111 A114:G114 A113:B113 F113:G113 A117:G117 A115 F115 A95:G95 A93 F93 A102:G104 A96:B96 F96:G96 A97:B97 F97:G97 A98:B98 F98:G98 A99:B99 F99:G99 A100:B100 F100:G100 A101:B101 F101:G101 F120 F121:G121 A57 A22 F22 F33 A35 F48:G48 A70 F70 A78 A84 A94 A106 A116 F123:G123 F131:G131 F55:G55 A58 F133:G133 F37 A43:B43 F43:G43 A46:B46 F46:G46 A81:B81 F81:G81 F88:G88 A90:B90 F90:G90 A91:B91 F91:G91 A108:B108 F108:G108 F112:G11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theme="5" tint="0.79998168889431442"/>
    <pageSetUpPr fitToPage="1"/>
  </sheetPr>
  <dimension ref="A2:I53"/>
  <sheetViews>
    <sheetView view="pageBreakPreview" topLeftCell="A28" zoomScale="120" zoomScaleNormal="100" zoomScaleSheetLayoutView="120" workbookViewId="0">
      <selection activeCell="H22" sqref="H22"/>
    </sheetView>
  </sheetViews>
  <sheetFormatPr defaultRowHeight="14.25" x14ac:dyDescent="0.2"/>
  <cols>
    <col min="1" max="1" width="6" style="59" customWidth="1"/>
    <col min="2" max="2" width="28.5703125" style="60" customWidth="1"/>
    <col min="3" max="3" width="36.85546875" style="60" customWidth="1"/>
    <col min="4" max="4" width="11.42578125" style="61" customWidth="1"/>
    <col min="5" max="5" width="17.140625" style="61" customWidth="1"/>
    <col min="6" max="6" width="16" style="60" customWidth="1"/>
    <col min="7" max="7" width="17.28515625" style="60" customWidth="1"/>
    <col min="8" max="8" width="11.28515625" style="27" bestFit="1" customWidth="1"/>
    <col min="9" max="9" width="12" style="27" bestFit="1" customWidth="1"/>
    <col min="10" max="10" width="7.7109375" style="40" customWidth="1"/>
    <col min="11" max="11" width="9.7109375" style="40" bestFit="1" customWidth="1"/>
    <col min="12" max="16384" width="9.140625" style="40"/>
  </cols>
  <sheetData>
    <row r="2" spans="1:9" x14ac:dyDescent="0.2">
      <c r="A2" s="1132" t="str">
        <f>DADOS!A16</f>
        <v>MINISTÉRIO DE MINAS E ENERGIA - MME</v>
      </c>
      <c r="B2" s="1132"/>
      <c r="C2" s="1132"/>
      <c r="D2" s="1132"/>
      <c r="E2" s="1132"/>
      <c r="F2" s="1132"/>
      <c r="G2" s="1132"/>
    </row>
    <row r="3" spans="1:9" x14ac:dyDescent="0.2">
      <c r="A3" s="1132" t="str">
        <f>DADOS!A18</f>
        <v>PREGÃO ELETRÔNICO Nº 001/2017 - MME</v>
      </c>
      <c r="B3" s="1132"/>
      <c r="C3" s="1132"/>
      <c r="D3" s="1132"/>
      <c r="E3" s="1132"/>
      <c r="F3" s="1132"/>
      <c r="G3" s="1132"/>
    </row>
    <row r="4" spans="1:9" ht="10.5" customHeight="1" x14ac:dyDescent="0.2">
      <c r="A4" s="66"/>
      <c r="B4" s="67"/>
      <c r="C4" s="67"/>
      <c r="D4" s="68"/>
      <c r="E4" s="68"/>
      <c r="F4" s="67"/>
      <c r="G4" s="67"/>
    </row>
    <row r="5" spans="1:9" x14ac:dyDescent="0.2">
      <c r="A5" s="1133" t="s">
        <v>239</v>
      </c>
      <c r="B5" s="1133"/>
      <c r="C5" s="1133"/>
      <c r="D5" s="1133"/>
      <c r="E5" s="1133"/>
      <c r="F5" s="1133"/>
      <c r="G5" s="1133"/>
    </row>
    <row r="6" spans="1:9" s="41" customFormat="1" x14ac:dyDescent="0.2">
      <c r="A6" s="1133" t="s">
        <v>240</v>
      </c>
      <c r="B6" s="1133"/>
      <c r="C6" s="1133"/>
      <c r="D6" s="1133"/>
      <c r="E6" s="1133"/>
      <c r="F6" s="1133"/>
      <c r="G6" s="1133"/>
      <c r="H6" s="27"/>
      <c r="I6" s="27"/>
    </row>
    <row r="7" spans="1:9" s="41" customFormat="1" ht="9.75" customHeight="1" x14ac:dyDescent="0.2">
      <c r="A7" s="69"/>
      <c r="B7" s="365"/>
      <c r="C7" s="365"/>
      <c r="D7" s="365"/>
      <c r="E7" s="365"/>
      <c r="F7" s="365"/>
      <c r="G7" s="365"/>
      <c r="H7" s="27"/>
      <c r="I7" s="27"/>
    </row>
    <row r="8" spans="1:9" s="41" customFormat="1" x14ac:dyDescent="0.2">
      <c r="A8" s="1134" t="s">
        <v>241</v>
      </c>
      <c r="B8" s="1134"/>
      <c r="C8" s="1134"/>
      <c r="D8" s="1134"/>
      <c r="E8" s="1134"/>
      <c r="F8" s="1134"/>
      <c r="G8" s="1134"/>
      <c r="H8" s="27"/>
      <c r="I8" s="27"/>
    </row>
    <row r="9" spans="1:9" s="41" customFormat="1" ht="9.75" customHeight="1" x14ac:dyDescent="0.2">
      <c r="A9" s="368"/>
      <c r="B9" s="368"/>
      <c r="C9" s="368"/>
      <c r="D9" s="368"/>
      <c r="E9" s="368"/>
      <c r="F9" s="368"/>
      <c r="G9" s="368"/>
      <c r="H9" s="27"/>
      <c r="I9" s="27"/>
    </row>
    <row r="10" spans="1:9" s="41" customFormat="1" x14ac:dyDescent="0.2">
      <c r="A10" s="1139" t="s">
        <v>399</v>
      </c>
      <c r="B10" s="1139"/>
      <c r="C10" s="1139"/>
      <c r="D10" s="1139"/>
      <c r="E10" s="1139"/>
      <c r="F10" s="1139"/>
      <c r="G10" s="1139"/>
      <c r="H10" s="27"/>
      <c r="I10" s="27"/>
    </row>
    <row r="11" spans="1:9" s="15" customFormat="1" x14ac:dyDescent="0.2">
      <c r="A11" s="1131" t="s">
        <v>89</v>
      </c>
      <c r="B11" s="1131" t="s">
        <v>238</v>
      </c>
      <c r="C11" s="1131"/>
      <c r="D11" s="1131" t="s">
        <v>91</v>
      </c>
      <c r="E11" s="1131" t="s">
        <v>251</v>
      </c>
      <c r="F11" s="1130" t="s">
        <v>242</v>
      </c>
      <c r="G11" s="1131" t="s">
        <v>250</v>
      </c>
      <c r="H11" s="51"/>
      <c r="I11" s="51"/>
    </row>
    <row r="12" spans="1:9" s="15" customFormat="1" x14ac:dyDescent="0.2">
      <c r="A12" s="1131"/>
      <c r="B12" s="1131"/>
      <c r="C12" s="1131"/>
      <c r="D12" s="1131"/>
      <c r="E12" s="1131"/>
      <c r="F12" s="1130"/>
      <c r="G12" s="1131"/>
      <c r="H12" s="51"/>
      <c r="I12" s="51"/>
    </row>
    <row r="13" spans="1:9" s="15" customFormat="1" ht="4.5" customHeight="1" x14ac:dyDescent="0.2">
      <c r="A13" s="1131"/>
      <c r="B13" s="1131"/>
      <c r="C13" s="1131"/>
      <c r="D13" s="1131"/>
      <c r="E13" s="1131"/>
      <c r="F13" s="1130"/>
      <c r="G13" s="1131"/>
      <c r="H13" s="51"/>
      <c r="I13" s="51"/>
    </row>
    <row r="14" spans="1:9" s="15" customFormat="1" ht="0.75" customHeight="1" x14ac:dyDescent="0.2">
      <c r="A14" s="1131"/>
      <c r="B14" s="1131"/>
      <c r="C14" s="1131"/>
      <c r="D14" s="1131"/>
      <c r="E14" s="1131"/>
      <c r="F14" s="1130"/>
      <c r="G14" s="1131"/>
      <c r="H14" s="62" t="s">
        <v>355</v>
      </c>
      <c r="I14" s="62" t="s">
        <v>356</v>
      </c>
    </row>
    <row r="15" spans="1:9" s="15" customFormat="1" ht="23.25" customHeight="1" x14ac:dyDescent="0.2">
      <c r="A15" s="376">
        <v>1</v>
      </c>
      <c r="B15" s="1135" t="s">
        <v>243</v>
      </c>
      <c r="C15" s="1135"/>
      <c r="D15" s="70" t="s">
        <v>91</v>
      </c>
      <c r="E15" s="71">
        <v>4</v>
      </c>
      <c r="F15" s="72">
        <f>183.12*DADOS!$D$53</f>
        <v>291.16000000000003</v>
      </c>
      <c r="G15" s="73">
        <f t="shared" ref="G15:G20" si="0">F15*E15</f>
        <v>1164.6400000000001</v>
      </c>
      <c r="H15" s="63"/>
      <c r="I15" s="63"/>
    </row>
    <row r="16" spans="1:9" s="15" customFormat="1" x14ac:dyDescent="0.2">
      <c r="A16" s="376">
        <v>2</v>
      </c>
      <c r="B16" s="1135" t="s">
        <v>244</v>
      </c>
      <c r="C16" s="1135"/>
      <c r="D16" s="70" t="s">
        <v>91</v>
      </c>
      <c r="E16" s="71">
        <v>4</v>
      </c>
      <c r="F16" s="72">
        <f>19*DADOS!$D$53</f>
        <v>30.21</v>
      </c>
      <c r="G16" s="73">
        <f t="shared" si="0"/>
        <v>120.84</v>
      </c>
      <c r="H16" s="63"/>
      <c r="I16" s="63"/>
    </row>
    <row r="17" spans="1:9" ht="22.5" customHeight="1" x14ac:dyDescent="0.2">
      <c r="A17" s="376">
        <v>3</v>
      </c>
      <c r="B17" s="1135" t="s">
        <v>245</v>
      </c>
      <c r="C17" s="1135"/>
      <c r="D17" s="70" t="s">
        <v>91</v>
      </c>
      <c r="E17" s="71">
        <v>10</v>
      </c>
      <c r="F17" s="72">
        <f>69*DADOS!$D$53</f>
        <v>109.71</v>
      </c>
      <c r="G17" s="73">
        <f t="shared" si="0"/>
        <v>1097.0999999999999</v>
      </c>
      <c r="H17" s="64"/>
      <c r="I17" s="64"/>
    </row>
    <row r="18" spans="1:9" s="42" customFormat="1" ht="25.5" customHeight="1" x14ac:dyDescent="0.2">
      <c r="A18" s="376">
        <v>4</v>
      </c>
      <c r="B18" s="1135" t="s">
        <v>246</v>
      </c>
      <c r="C18" s="1135"/>
      <c r="D18" s="70" t="s">
        <v>92</v>
      </c>
      <c r="E18" s="71">
        <v>4</v>
      </c>
      <c r="F18" s="72">
        <f>51.9*DADOS!$D$53</f>
        <v>82.52</v>
      </c>
      <c r="G18" s="73">
        <f t="shared" si="0"/>
        <v>330.08</v>
      </c>
      <c r="H18" s="65"/>
      <c r="I18" s="65"/>
    </row>
    <row r="19" spans="1:9" s="42" customFormat="1" ht="12.75" x14ac:dyDescent="0.2">
      <c r="A19" s="376">
        <v>5</v>
      </c>
      <c r="B19" s="1135" t="s">
        <v>247</v>
      </c>
      <c r="C19" s="1135"/>
      <c r="D19" s="70" t="s">
        <v>92</v>
      </c>
      <c r="E19" s="71">
        <v>10</v>
      </c>
      <c r="F19" s="72">
        <f>2.62*DADOS!$D$53</f>
        <v>4.17</v>
      </c>
      <c r="G19" s="73">
        <f t="shared" si="0"/>
        <v>41.7</v>
      </c>
      <c r="H19" s="65"/>
      <c r="I19" s="65"/>
    </row>
    <row r="20" spans="1:9" s="42" customFormat="1" ht="12.75" x14ac:dyDescent="0.2">
      <c r="A20" s="376">
        <v>6</v>
      </c>
      <c r="B20" s="1135" t="s">
        <v>248</v>
      </c>
      <c r="C20" s="1135"/>
      <c r="D20" s="70" t="s">
        <v>91</v>
      </c>
      <c r="E20" s="71">
        <v>2</v>
      </c>
      <c r="F20" s="72">
        <f>40*DADOS!$D$53</f>
        <v>63.6</v>
      </c>
      <c r="G20" s="73">
        <f t="shared" si="0"/>
        <v>127.2</v>
      </c>
      <c r="H20" s="65"/>
      <c r="I20" s="65"/>
    </row>
    <row r="21" spans="1:9" s="42" customFormat="1" ht="16.5" customHeight="1" x14ac:dyDescent="0.2">
      <c r="A21" s="1128" t="s">
        <v>396</v>
      </c>
      <c r="B21" s="1129"/>
      <c r="C21" s="1129"/>
      <c r="D21" s="1129"/>
      <c r="E21" s="1129"/>
      <c r="F21" s="1130"/>
      <c r="G21" s="377">
        <f>SUM(G15:G20)</f>
        <v>2881.56</v>
      </c>
      <c r="H21" s="52"/>
      <c r="I21" s="52"/>
    </row>
    <row r="22" spans="1:9" ht="15" customHeight="1" x14ac:dyDescent="0.2">
      <c r="A22" s="1128" t="s">
        <v>397</v>
      </c>
      <c r="B22" s="1129"/>
      <c r="C22" s="1129"/>
      <c r="D22" s="1129"/>
      <c r="E22" s="1129"/>
      <c r="F22" s="1130"/>
      <c r="G22" s="378">
        <f>G21/DADOS!C13</f>
        <v>240.13</v>
      </c>
    </row>
    <row r="23" spans="1:9" ht="15" customHeight="1" x14ac:dyDescent="0.2">
      <c r="A23" s="1128" t="s">
        <v>398</v>
      </c>
      <c r="B23" s="1129"/>
      <c r="C23" s="1129"/>
      <c r="D23" s="1129"/>
      <c r="E23" s="1129"/>
      <c r="F23" s="1130"/>
      <c r="G23" s="378">
        <f>G21*DADOS!L76</f>
        <v>43223.4</v>
      </c>
    </row>
    <row r="24" spans="1:9" ht="9" customHeight="1" x14ac:dyDescent="0.2"/>
    <row r="25" spans="1:9" x14ac:dyDescent="0.2">
      <c r="A25" s="1141" t="s">
        <v>391</v>
      </c>
      <c r="B25" s="1141"/>
      <c r="C25" s="1141"/>
      <c r="D25" s="1141"/>
      <c r="E25" s="1141"/>
      <c r="F25" s="1141"/>
      <c r="G25" s="1141"/>
    </row>
    <row r="26" spans="1:9" ht="10.5" customHeight="1" x14ac:dyDescent="0.2">
      <c r="A26" s="1142" t="s">
        <v>89</v>
      </c>
      <c r="B26" s="1142" t="s">
        <v>238</v>
      </c>
      <c r="C26" s="1142"/>
      <c r="D26" s="1142" t="s">
        <v>91</v>
      </c>
      <c r="E26" s="1142" t="s">
        <v>251</v>
      </c>
      <c r="F26" s="1138" t="s">
        <v>242</v>
      </c>
      <c r="G26" s="1142" t="s">
        <v>250</v>
      </c>
    </row>
    <row r="27" spans="1:9" ht="9" customHeight="1" x14ac:dyDescent="0.2">
      <c r="A27" s="1142"/>
      <c r="B27" s="1142"/>
      <c r="C27" s="1142"/>
      <c r="D27" s="1142"/>
      <c r="E27" s="1142"/>
      <c r="F27" s="1138"/>
      <c r="G27" s="1142"/>
    </row>
    <row r="28" spans="1:9" ht="10.5" customHeight="1" x14ac:dyDescent="0.2">
      <c r="A28" s="1142"/>
      <c r="B28" s="1142"/>
      <c r="C28" s="1142"/>
      <c r="D28" s="1142"/>
      <c r="E28" s="1142"/>
      <c r="F28" s="1138"/>
      <c r="G28" s="1142"/>
    </row>
    <row r="29" spans="1:9" ht="5.25" customHeight="1" x14ac:dyDescent="0.2">
      <c r="A29" s="1142"/>
      <c r="B29" s="1142"/>
      <c r="C29" s="1142"/>
      <c r="D29" s="1142"/>
      <c r="E29" s="1142"/>
      <c r="F29" s="1138"/>
      <c r="G29" s="1142"/>
    </row>
    <row r="30" spans="1:9" ht="24" customHeight="1" x14ac:dyDescent="0.2">
      <c r="A30" s="369">
        <v>1</v>
      </c>
      <c r="B30" s="1140" t="s">
        <v>243</v>
      </c>
      <c r="C30" s="1140"/>
      <c r="D30" s="370" t="s">
        <v>91</v>
      </c>
      <c r="E30" s="371">
        <v>4</v>
      </c>
      <c r="F30" s="372">
        <f>183.12*DADOS!$D$53</f>
        <v>291.16000000000003</v>
      </c>
      <c r="G30" s="373">
        <f t="shared" ref="G30:G35" si="1">F30*E30</f>
        <v>1164.6400000000001</v>
      </c>
    </row>
    <row r="31" spans="1:9" ht="16.5" customHeight="1" x14ac:dyDescent="0.2">
      <c r="A31" s="369">
        <v>2</v>
      </c>
      <c r="B31" s="1140" t="s">
        <v>244</v>
      </c>
      <c r="C31" s="1140"/>
      <c r="D31" s="370" t="s">
        <v>91</v>
      </c>
      <c r="E31" s="371">
        <v>4</v>
      </c>
      <c r="F31" s="372">
        <f>19*DADOS!$D$53</f>
        <v>30.21</v>
      </c>
      <c r="G31" s="373">
        <f t="shared" si="1"/>
        <v>120.84</v>
      </c>
    </row>
    <row r="32" spans="1:9" ht="24" customHeight="1" x14ac:dyDescent="0.2">
      <c r="A32" s="369">
        <v>3</v>
      </c>
      <c r="B32" s="1140" t="s">
        <v>245</v>
      </c>
      <c r="C32" s="1140"/>
      <c r="D32" s="370" t="s">
        <v>91</v>
      </c>
      <c r="E32" s="371">
        <v>10</v>
      </c>
      <c r="F32" s="372">
        <f>69*DADOS!$D$53</f>
        <v>109.71</v>
      </c>
      <c r="G32" s="373">
        <f t="shared" si="1"/>
        <v>1097.0999999999999</v>
      </c>
    </row>
    <row r="33" spans="1:7" ht="22.5" customHeight="1" x14ac:dyDescent="0.2">
      <c r="A33" s="369">
        <v>4</v>
      </c>
      <c r="B33" s="1140" t="s">
        <v>246</v>
      </c>
      <c r="C33" s="1140"/>
      <c r="D33" s="370" t="s">
        <v>92</v>
      </c>
      <c r="E33" s="371">
        <v>4</v>
      </c>
      <c r="F33" s="372">
        <f>51.9*DADOS!$D$53</f>
        <v>82.52</v>
      </c>
      <c r="G33" s="373">
        <f t="shared" si="1"/>
        <v>330.08</v>
      </c>
    </row>
    <row r="34" spans="1:7" x14ac:dyDescent="0.2">
      <c r="A34" s="369">
        <v>5</v>
      </c>
      <c r="B34" s="1140" t="s">
        <v>247</v>
      </c>
      <c r="C34" s="1140"/>
      <c r="D34" s="370" t="s">
        <v>92</v>
      </c>
      <c r="E34" s="371">
        <v>10</v>
      </c>
      <c r="F34" s="372">
        <f>2.62*DADOS!$D$53</f>
        <v>4.17</v>
      </c>
      <c r="G34" s="373">
        <f t="shared" si="1"/>
        <v>41.7</v>
      </c>
    </row>
    <row r="35" spans="1:7" x14ac:dyDescent="0.2">
      <c r="A35" s="369">
        <v>6</v>
      </c>
      <c r="B35" s="1140" t="s">
        <v>248</v>
      </c>
      <c r="C35" s="1140"/>
      <c r="D35" s="370" t="s">
        <v>91</v>
      </c>
      <c r="E35" s="371">
        <v>2</v>
      </c>
      <c r="F35" s="372">
        <f>40*DADOS!$D$53</f>
        <v>63.6</v>
      </c>
      <c r="G35" s="373">
        <f t="shared" si="1"/>
        <v>127.2</v>
      </c>
    </row>
    <row r="36" spans="1:7" x14ac:dyDescent="0.2">
      <c r="A36" s="1136" t="s">
        <v>393</v>
      </c>
      <c r="B36" s="1137"/>
      <c r="C36" s="1137"/>
      <c r="D36" s="1137"/>
      <c r="E36" s="1137"/>
      <c r="F36" s="1138"/>
      <c r="G36" s="374">
        <f>SUM(G30:G35)</f>
        <v>2881.56</v>
      </c>
    </row>
    <row r="37" spans="1:7" x14ac:dyDescent="0.2">
      <c r="A37" s="1136" t="s">
        <v>394</v>
      </c>
      <c r="B37" s="1137"/>
      <c r="C37" s="1137"/>
      <c r="D37" s="1137"/>
      <c r="E37" s="1137"/>
      <c r="F37" s="1138"/>
      <c r="G37" s="375">
        <f>G21/DADOS!C13</f>
        <v>240.13</v>
      </c>
    </row>
    <row r="38" spans="1:7" x14ac:dyDescent="0.2">
      <c r="A38" s="1136" t="s">
        <v>395</v>
      </c>
      <c r="B38" s="1137"/>
      <c r="C38" s="1137"/>
      <c r="D38" s="1137"/>
      <c r="E38" s="1137"/>
      <c r="F38" s="1138"/>
      <c r="G38" s="375">
        <f>G21*DADOS!L96</f>
        <v>43223.4</v>
      </c>
    </row>
    <row r="39" spans="1:7" ht="8.25" customHeight="1" x14ac:dyDescent="0.2"/>
    <row r="40" spans="1:7" x14ac:dyDescent="0.2">
      <c r="A40" s="1141" t="s">
        <v>392</v>
      </c>
      <c r="B40" s="1141"/>
      <c r="C40" s="1141"/>
      <c r="D40" s="1141"/>
      <c r="E40" s="1141"/>
      <c r="F40" s="1141"/>
      <c r="G40" s="1141"/>
    </row>
    <row r="41" spans="1:7" x14ac:dyDescent="0.2">
      <c r="A41" s="1142" t="s">
        <v>89</v>
      </c>
      <c r="B41" s="1142" t="s">
        <v>238</v>
      </c>
      <c r="C41" s="1142"/>
      <c r="D41" s="1142" t="s">
        <v>91</v>
      </c>
      <c r="E41" s="1142" t="s">
        <v>251</v>
      </c>
      <c r="F41" s="1138" t="s">
        <v>242</v>
      </c>
      <c r="G41" s="1142" t="s">
        <v>250</v>
      </c>
    </row>
    <row r="42" spans="1:7" x14ac:dyDescent="0.2">
      <c r="A42" s="1142"/>
      <c r="B42" s="1142"/>
      <c r="C42" s="1142"/>
      <c r="D42" s="1142"/>
      <c r="E42" s="1142"/>
      <c r="F42" s="1138"/>
      <c r="G42" s="1142"/>
    </row>
    <row r="43" spans="1:7" x14ac:dyDescent="0.2">
      <c r="A43" s="1142"/>
      <c r="B43" s="1142"/>
      <c r="C43" s="1142"/>
      <c r="D43" s="1142"/>
      <c r="E43" s="1142"/>
      <c r="F43" s="1138"/>
      <c r="G43" s="1142"/>
    </row>
    <row r="44" spans="1:7" x14ac:dyDescent="0.2">
      <c r="A44" s="1142"/>
      <c r="B44" s="1142"/>
      <c r="C44" s="1142"/>
      <c r="D44" s="1142"/>
      <c r="E44" s="1142"/>
      <c r="F44" s="1138"/>
      <c r="G44" s="1142"/>
    </row>
    <row r="45" spans="1:7" ht="22.5" customHeight="1" x14ac:dyDescent="0.2">
      <c r="A45" s="369">
        <v>1</v>
      </c>
      <c r="B45" s="1140" t="s">
        <v>243</v>
      </c>
      <c r="C45" s="1140"/>
      <c r="D45" s="370" t="s">
        <v>91</v>
      </c>
      <c r="E45" s="371">
        <v>4</v>
      </c>
      <c r="F45" s="372">
        <f>183.12*DADOS!$D$53</f>
        <v>291.16000000000003</v>
      </c>
      <c r="G45" s="373">
        <f t="shared" ref="G45:G50" si="2">F45*E45</f>
        <v>1164.6400000000001</v>
      </c>
    </row>
    <row r="46" spans="1:7" x14ac:dyDescent="0.2">
      <c r="A46" s="369">
        <v>2</v>
      </c>
      <c r="B46" s="1140" t="s">
        <v>244</v>
      </c>
      <c r="C46" s="1140"/>
      <c r="D46" s="370" t="s">
        <v>91</v>
      </c>
      <c r="E46" s="371">
        <v>4</v>
      </c>
      <c r="F46" s="372">
        <f>19*DADOS!$D$53</f>
        <v>30.21</v>
      </c>
      <c r="G46" s="373">
        <f t="shared" si="2"/>
        <v>120.84</v>
      </c>
    </row>
    <row r="47" spans="1:7" ht="21" customHeight="1" x14ac:dyDescent="0.2">
      <c r="A47" s="369">
        <v>3</v>
      </c>
      <c r="B47" s="1140" t="s">
        <v>245</v>
      </c>
      <c r="C47" s="1140"/>
      <c r="D47" s="370" t="s">
        <v>91</v>
      </c>
      <c r="E47" s="371">
        <v>10</v>
      </c>
      <c r="F47" s="372">
        <f>69*DADOS!$D$53</f>
        <v>109.71</v>
      </c>
      <c r="G47" s="373">
        <f t="shared" si="2"/>
        <v>1097.0999999999999</v>
      </c>
    </row>
    <row r="48" spans="1:7" x14ac:dyDescent="0.2">
      <c r="A48" s="369">
        <v>4</v>
      </c>
      <c r="B48" s="1140" t="s">
        <v>246</v>
      </c>
      <c r="C48" s="1140"/>
      <c r="D48" s="370" t="s">
        <v>92</v>
      </c>
      <c r="E48" s="371">
        <v>4</v>
      </c>
      <c r="F48" s="372">
        <f>51.9*DADOS!$D$53</f>
        <v>82.52</v>
      </c>
      <c r="G48" s="373">
        <f t="shared" si="2"/>
        <v>330.08</v>
      </c>
    </row>
    <row r="49" spans="1:7" x14ac:dyDescent="0.2">
      <c r="A49" s="369">
        <v>5</v>
      </c>
      <c r="B49" s="1140" t="s">
        <v>247</v>
      </c>
      <c r="C49" s="1140"/>
      <c r="D49" s="370" t="s">
        <v>92</v>
      </c>
      <c r="E49" s="371">
        <v>10</v>
      </c>
      <c r="F49" s="372">
        <f>2.62*DADOS!$D$53</f>
        <v>4.17</v>
      </c>
      <c r="G49" s="373">
        <f t="shared" si="2"/>
        <v>41.7</v>
      </c>
    </row>
    <row r="50" spans="1:7" x14ac:dyDescent="0.2">
      <c r="A50" s="369">
        <v>6</v>
      </c>
      <c r="B50" s="1140" t="s">
        <v>248</v>
      </c>
      <c r="C50" s="1140"/>
      <c r="D50" s="370" t="s">
        <v>91</v>
      </c>
      <c r="E50" s="371">
        <v>2</v>
      </c>
      <c r="F50" s="372">
        <f>40*DADOS!$D$53</f>
        <v>63.6</v>
      </c>
      <c r="G50" s="373">
        <f t="shared" si="2"/>
        <v>127.2</v>
      </c>
    </row>
    <row r="51" spans="1:7" x14ac:dyDescent="0.2">
      <c r="A51" s="1136" t="s">
        <v>393</v>
      </c>
      <c r="B51" s="1137"/>
      <c r="C51" s="1137"/>
      <c r="D51" s="1137"/>
      <c r="E51" s="1137"/>
      <c r="F51" s="1138"/>
      <c r="G51" s="374">
        <f>SUM(G45:G50)</f>
        <v>2881.56</v>
      </c>
    </row>
    <row r="52" spans="1:7" x14ac:dyDescent="0.2">
      <c r="A52" s="1136" t="s">
        <v>394</v>
      </c>
      <c r="B52" s="1137"/>
      <c r="C52" s="1137"/>
      <c r="D52" s="1137"/>
      <c r="E52" s="1137"/>
      <c r="F52" s="1138"/>
      <c r="G52" s="375">
        <f>G21/DADOS!C13</f>
        <v>240.13</v>
      </c>
    </row>
    <row r="53" spans="1:7" x14ac:dyDescent="0.2">
      <c r="A53" s="1136" t="s">
        <v>395</v>
      </c>
      <c r="B53" s="1137"/>
      <c r="C53" s="1137"/>
      <c r="D53" s="1137"/>
      <c r="E53" s="1137"/>
      <c r="F53" s="1138"/>
      <c r="G53" s="375">
        <f>G36*DADOS!L104</f>
        <v>46104.959999999999</v>
      </c>
    </row>
  </sheetData>
  <mergeCells count="53">
    <mergeCell ref="A51:F51"/>
    <mergeCell ref="A52:F52"/>
    <mergeCell ref="A53:F53"/>
    <mergeCell ref="B45:C45"/>
    <mergeCell ref="B46:C46"/>
    <mergeCell ref="B47:C47"/>
    <mergeCell ref="B48:C48"/>
    <mergeCell ref="B49:C49"/>
    <mergeCell ref="B50:C50"/>
    <mergeCell ref="A38:F38"/>
    <mergeCell ref="A40:G40"/>
    <mergeCell ref="A41:A44"/>
    <mergeCell ref="B41:C44"/>
    <mergeCell ref="D41:D44"/>
    <mergeCell ref="E41:E44"/>
    <mergeCell ref="F41:F44"/>
    <mergeCell ref="G41:G44"/>
    <mergeCell ref="E26:E29"/>
    <mergeCell ref="F26:F29"/>
    <mergeCell ref="B34:C34"/>
    <mergeCell ref="B35:C35"/>
    <mergeCell ref="A36:F36"/>
    <mergeCell ref="A37:F37"/>
    <mergeCell ref="F11:F14"/>
    <mergeCell ref="A10:G10"/>
    <mergeCell ref="B30:C30"/>
    <mergeCell ref="B31:C31"/>
    <mergeCell ref="B32:C32"/>
    <mergeCell ref="B33:C33"/>
    <mergeCell ref="A25:G25"/>
    <mergeCell ref="A26:A29"/>
    <mergeCell ref="B26:C29"/>
    <mergeCell ref="D26:D29"/>
    <mergeCell ref="E11:E14"/>
    <mergeCell ref="B15:C15"/>
    <mergeCell ref="B20:C20"/>
    <mergeCell ref="G26:G29"/>
    <mergeCell ref="A23:F23"/>
    <mergeCell ref="A21:F21"/>
    <mergeCell ref="A22:F22"/>
    <mergeCell ref="G11:G14"/>
    <mergeCell ref="A2:G2"/>
    <mergeCell ref="A3:G3"/>
    <mergeCell ref="A6:G6"/>
    <mergeCell ref="A11:A14"/>
    <mergeCell ref="B11:C14"/>
    <mergeCell ref="A8:G8"/>
    <mergeCell ref="A5:G5"/>
    <mergeCell ref="B18:C18"/>
    <mergeCell ref="B19:C19"/>
    <mergeCell ref="B17:C17"/>
    <mergeCell ref="B16:C16"/>
    <mergeCell ref="D11:D14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1" fitToHeight="0" orientation="portrait" r:id="rId1"/>
  <headerFooter>
    <oddHeader>&amp;L&amp;"Cambria,Negrito"&amp;8PROPOSTA N° 011/2017 - MME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theme="5" tint="0.79998168889431442"/>
    <pageSetUpPr fitToPage="1"/>
  </sheetPr>
  <dimension ref="A1:J56"/>
  <sheetViews>
    <sheetView view="pageBreakPreview" topLeftCell="A40" zoomScale="120" zoomScaleNormal="100" zoomScaleSheetLayoutView="120" workbookViewId="0">
      <selection activeCell="K27" sqref="K27"/>
    </sheetView>
  </sheetViews>
  <sheetFormatPr defaultRowHeight="14.25" x14ac:dyDescent="0.2"/>
  <cols>
    <col min="1" max="1" width="6" style="684" customWidth="1"/>
    <col min="2" max="2" width="26.5703125" style="685" customWidth="1"/>
    <col min="3" max="3" width="28.28515625" style="685" customWidth="1"/>
    <col min="4" max="4" width="11.42578125" style="686" customWidth="1"/>
    <col min="5" max="6" width="11.140625" style="686" customWidth="1"/>
    <col min="7" max="7" width="16" style="685" customWidth="1"/>
    <col min="8" max="8" width="17.28515625" style="685" customWidth="1"/>
    <col min="9" max="9" width="13.7109375" style="27" customWidth="1"/>
    <col min="10" max="10" width="12.28515625" style="27" bestFit="1" customWidth="1"/>
    <col min="11" max="11" width="12.5703125" style="40" bestFit="1" customWidth="1"/>
    <col min="12" max="12" width="9.7109375" style="40" bestFit="1" customWidth="1"/>
    <col min="13" max="16384" width="9.140625" style="40"/>
  </cols>
  <sheetData>
    <row r="1" spans="1:10" ht="10.5" customHeight="1" x14ac:dyDescent="0.2"/>
    <row r="2" spans="1:10" x14ac:dyDescent="0.2">
      <c r="A2" s="1145" t="str">
        <f>DADOS!A16</f>
        <v>MINISTÉRIO DE MINAS E ENERGIA - MME</v>
      </c>
      <c r="B2" s="1145"/>
      <c r="C2" s="1145"/>
      <c r="D2" s="1145"/>
      <c r="E2" s="1145"/>
      <c r="F2" s="1145"/>
      <c r="G2" s="1145"/>
      <c r="H2" s="1145"/>
    </row>
    <row r="3" spans="1:10" x14ac:dyDescent="0.2">
      <c r="A3" s="1145" t="str">
        <f>DADOS!A18</f>
        <v>PREGÃO ELETRÔNICO Nº 001/2017 - MME</v>
      </c>
      <c r="B3" s="1145"/>
      <c r="C3" s="1145"/>
      <c r="D3" s="1145"/>
      <c r="E3" s="1145"/>
      <c r="F3" s="1145"/>
      <c r="G3" s="1145"/>
      <c r="H3" s="1145"/>
    </row>
    <row r="4" spans="1:10" ht="10.5" customHeight="1" x14ac:dyDescent="0.2">
      <c r="A4" s="687"/>
      <c r="B4" s="688"/>
      <c r="C4" s="688"/>
      <c r="D4" s="689"/>
      <c r="E4" s="689"/>
      <c r="F4" s="689"/>
      <c r="G4" s="688"/>
      <c r="H4" s="688"/>
    </row>
    <row r="5" spans="1:10" x14ac:dyDescent="0.2">
      <c r="A5" s="1146" t="s">
        <v>249</v>
      </c>
      <c r="B5" s="1146"/>
      <c r="C5" s="1146"/>
      <c r="D5" s="1146"/>
      <c r="E5" s="1146"/>
      <c r="F5" s="1146"/>
      <c r="G5" s="1146"/>
      <c r="H5" s="1146"/>
    </row>
    <row r="6" spans="1:10" s="41" customFormat="1" x14ac:dyDescent="0.2">
      <c r="A6" s="1146" t="s">
        <v>252</v>
      </c>
      <c r="B6" s="1146"/>
      <c r="C6" s="1146"/>
      <c r="D6" s="1146"/>
      <c r="E6" s="1146"/>
      <c r="F6" s="1146"/>
      <c r="G6" s="1146"/>
      <c r="H6" s="1146"/>
      <c r="I6" s="27"/>
      <c r="J6" s="27"/>
    </row>
    <row r="7" spans="1:10" s="41" customFormat="1" x14ac:dyDescent="0.2">
      <c r="A7" s="690"/>
      <c r="B7" s="691"/>
      <c r="C7" s="691"/>
      <c r="D7" s="691"/>
      <c r="E7" s="691"/>
      <c r="F7" s="691"/>
      <c r="G7" s="691"/>
      <c r="H7" s="691"/>
      <c r="I7" s="27"/>
      <c r="J7" s="27"/>
    </row>
    <row r="8" spans="1:10" s="41" customFormat="1" x14ac:dyDescent="0.2">
      <c r="A8" s="1143" t="s">
        <v>253</v>
      </c>
      <c r="B8" s="1143"/>
      <c r="C8" s="1143"/>
      <c r="D8" s="1143"/>
      <c r="E8" s="1143"/>
      <c r="F8" s="1143"/>
      <c r="G8" s="1143"/>
      <c r="H8" s="1143"/>
      <c r="I8" s="27"/>
      <c r="J8" s="27"/>
    </row>
    <row r="9" spans="1:10" s="41" customFormat="1" x14ac:dyDescent="0.2">
      <c r="A9" s="1143" t="s">
        <v>254</v>
      </c>
      <c r="B9" s="1143"/>
      <c r="C9" s="1143"/>
      <c r="D9" s="1143"/>
      <c r="E9" s="1143"/>
      <c r="F9" s="1143"/>
      <c r="G9" s="1143"/>
      <c r="H9" s="1143"/>
      <c r="I9" s="27"/>
      <c r="J9" s="27"/>
    </row>
    <row r="10" spans="1:10" s="15" customFormat="1" ht="14.25" customHeight="1" x14ac:dyDescent="0.2">
      <c r="A10" s="1144" t="s">
        <v>89</v>
      </c>
      <c r="B10" s="1144" t="s">
        <v>271</v>
      </c>
      <c r="C10" s="1144"/>
      <c r="D10" s="1144" t="s">
        <v>91</v>
      </c>
      <c r="E10" s="1144" t="s">
        <v>255</v>
      </c>
      <c r="F10" s="1144"/>
      <c r="G10" s="1144" t="s">
        <v>256</v>
      </c>
      <c r="H10" s="1144"/>
      <c r="I10" s="51"/>
      <c r="J10" s="51"/>
    </row>
    <row r="11" spans="1:10" s="15" customFormat="1" ht="9.75" customHeight="1" x14ac:dyDescent="0.2">
      <c r="A11" s="1144"/>
      <c r="B11" s="1144"/>
      <c r="C11" s="1144"/>
      <c r="D11" s="1144"/>
      <c r="E11" s="1144" t="s">
        <v>259</v>
      </c>
      <c r="F11" s="1144" t="s">
        <v>260</v>
      </c>
      <c r="G11" s="1144" t="s">
        <v>257</v>
      </c>
      <c r="H11" s="1144" t="s">
        <v>258</v>
      </c>
      <c r="I11" s="51"/>
      <c r="J11" s="51"/>
    </row>
    <row r="12" spans="1:10" s="15" customFormat="1" ht="12.75" customHeight="1" x14ac:dyDescent="0.2">
      <c r="A12" s="1144"/>
      <c r="B12" s="1144"/>
      <c r="C12" s="1144"/>
      <c r="D12" s="1144"/>
      <c r="E12" s="1144"/>
      <c r="F12" s="1144"/>
      <c r="G12" s="1144"/>
      <c r="H12" s="1144"/>
      <c r="I12" s="382"/>
      <c r="J12" s="382"/>
    </row>
    <row r="13" spans="1:10" s="15" customFormat="1" ht="20.25" customHeight="1" x14ac:dyDescent="0.2">
      <c r="A13" s="692">
        <v>1</v>
      </c>
      <c r="B13" s="1150" t="s">
        <v>264</v>
      </c>
      <c r="C13" s="1150"/>
      <c r="D13" s="693" t="s">
        <v>91</v>
      </c>
      <c r="E13" s="694">
        <v>1</v>
      </c>
      <c r="F13" s="695">
        <f>E13*DADOS!$C$13</f>
        <v>12</v>
      </c>
      <c r="G13" s="696">
        <f>8.4*DADOS!$D$54</f>
        <v>8.4</v>
      </c>
      <c r="H13" s="697">
        <f>G13*F13</f>
        <v>100.8</v>
      </c>
      <c r="I13" s="383"/>
      <c r="J13" s="383"/>
    </row>
    <row r="14" spans="1:10" s="15" customFormat="1" x14ac:dyDescent="0.2">
      <c r="A14" s="692">
        <v>2</v>
      </c>
      <c r="B14" s="1150" t="s">
        <v>265</v>
      </c>
      <c r="C14" s="1150"/>
      <c r="D14" s="693" t="s">
        <v>91</v>
      </c>
      <c r="E14" s="694">
        <v>15</v>
      </c>
      <c r="F14" s="695">
        <f>E14*DADOS!$C$13</f>
        <v>180</v>
      </c>
      <c r="G14" s="696">
        <f>1*DADOS!$D$54</f>
        <v>1</v>
      </c>
      <c r="H14" s="697">
        <f>G14*F14</f>
        <v>180</v>
      </c>
      <c r="I14" s="383"/>
      <c r="J14" s="383"/>
    </row>
    <row r="15" spans="1:10" ht="12.75" x14ac:dyDescent="0.2">
      <c r="A15" s="692">
        <v>3</v>
      </c>
      <c r="B15" s="1150" t="s">
        <v>266</v>
      </c>
      <c r="C15" s="1150"/>
      <c r="D15" s="693" t="s">
        <v>91</v>
      </c>
      <c r="E15" s="694">
        <v>1</v>
      </c>
      <c r="F15" s="695">
        <f>E15*DADOS!$C$13</f>
        <v>12</v>
      </c>
      <c r="G15" s="696">
        <f>14.5*DADOS!$D$54</f>
        <v>14.5</v>
      </c>
      <c r="H15" s="697">
        <f>G15*F15</f>
        <v>174</v>
      </c>
      <c r="I15" s="384"/>
      <c r="J15" s="384"/>
    </row>
    <row r="16" spans="1:10" s="42" customFormat="1" ht="12.75" x14ac:dyDescent="0.2">
      <c r="A16" s="692">
        <v>4</v>
      </c>
      <c r="B16" s="1150" t="s">
        <v>267</v>
      </c>
      <c r="C16" s="1150"/>
      <c r="D16" s="693" t="s">
        <v>91</v>
      </c>
      <c r="E16" s="694">
        <v>15</v>
      </c>
      <c r="F16" s="695">
        <f>E16*DADOS!$C$13</f>
        <v>180</v>
      </c>
      <c r="G16" s="696">
        <f>6*DADOS!$D$54</f>
        <v>6</v>
      </c>
      <c r="H16" s="697">
        <f>G16*F16</f>
        <v>1080</v>
      </c>
      <c r="I16" s="385"/>
      <c r="J16" s="385"/>
    </row>
    <row r="17" spans="1:10" s="42" customFormat="1" ht="14.25" customHeight="1" x14ac:dyDescent="0.2">
      <c r="A17" s="1147" t="s">
        <v>261</v>
      </c>
      <c r="B17" s="1148"/>
      <c r="C17" s="1148"/>
      <c r="D17" s="1148"/>
      <c r="E17" s="1148"/>
      <c r="F17" s="1148"/>
      <c r="G17" s="1149"/>
      <c r="H17" s="698">
        <f>SUM(H13:H16)</f>
        <v>1534.8</v>
      </c>
      <c r="I17" s="386"/>
      <c r="J17" s="386"/>
    </row>
    <row r="18" spans="1:10" ht="15" customHeight="1" x14ac:dyDescent="0.2">
      <c r="A18" s="1147" t="s">
        <v>262</v>
      </c>
      <c r="B18" s="1148"/>
      <c r="C18" s="1148"/>
      <c r="D18" s="1148"/>
      <c r="E18" s="1148"/>
      <c r="F18" s="1148"/>
      <c r="G18" s="1149"/>
      <c r="H18" s="699">
        <f>H17/DADOS!$C$13</f>
        <v>127.9</v>
      </c>
      <c r="I18" s="59"/>
      <c r="J18" s="59"/>
    </row>
    <row r="19" spans="1:10" ht="13.5" customHeight="1" x14ac:dyDescent="0.2">
      <c r="A19" s="1147" t="s">
        <v>263</v>
      </c>
      <c r="B19" s="1148"/>
      <c r="C19" s="1148"/>
      <c r="D19" s="1148"/>
      <c r="E19" s="1148"/>
      <c r="F19" s="1148"/>
      <c r="G19" s="1149"/>
      <c r="H19" s="699">
        <f>H18/DADOS!$L$76</f>
        <v>8.5299999999999994</v>
      </c>
      <c r="I19" s="59"/>
      <c r="J19" s="59"/>
    </row>
    <row r="20" spans="1:10" ht="9" customHeight="1" x14ac:dyDescent="0.2">
      <c r="A20" s="690"/>
      <c r="B20" s="700"/>
      <c r="C20" s="700"/>
      <c r="D20" s="701"/>
      <c r="E20" s="701"/>
      <c r="F20" s="701"/>
      <c r="G20" s="700"/>
      <c r="H20" s="700"/>
      <c r="I20" s="59"/>
      <c r="J20" s="59"/>
    </row>
    <row r="21" spans="1:10" ht="16.5" customHeight="1" x14ac:dyDescent="0.2">
      <c r="A21" s="1143" t="s">
        <v>268</v>
      </c>
      <c r="B21" s="1143"/>
      <c r="C21" s="1143"/>
      <c r="D21" s="1143"/>
      <c r="E21" s="1143"/>
      <c r="F21" s="1143"/>
      <c r="G21" s="1143"/>
      <c r="H21" s="1143"/>
      <c r="I21" s="59"/>
      <c r="J21" s="59"/>
    </row>
    <row r="22" spans="1:10" ht="13.5" customHeight="1" x14ac:dyDescent="0.2">
      <c r="A22" s="1144" t="s">
        <v>89</v>
      </c>
      <c r="B22" s="1144" t="s">
        <v>110</v>
      </c>
      <c r="C22" s="1144"/>
      <c r="D22" s="1144" t="s">
        <v>91</v>
      </c>
      <c r="E22" s="1151" t="s">
        <v>255</v>
      </c>
      <c r="F22" s="1152"/>
      <c r="G22" s="1144" t="s">
        <v>256</v>
      </c>
      <c r="H22" s="1144"/>
      <c r="I22" s="59"/>
      <c r="J22" s="59"/>
    </row>
    <row r="23" spans="1:10" ht="9.75" customHeight="1" x14ac:dyDescent="0.2">
      <c r="A23" s="1144"/>
      <c r="B23" s="1144"/>
      <c r="C23" s="1144"/>
      <c r="D23" s="1144"/>
      <c r="E23" s="1144" t="s">
        <v>259</v>
      </c>
      <c r="F23" s="1144" t="s">
        <v>260</v>
      </c>
      <c r="G23" s="1144" t="s">
        <v>257</v>
      </c>
      <c r="H23" s="1144" t="s">
        <v>258</v>
      </c>
      <c r="I23" s="59"/>
      <c r="J23" s="59"/>
    </row>
    <row r="24" spans="1:10" ht="12.75" x14ac:dyDescent="0.2">
      <c r="A24" s="1144"/>
      <c r="B24" s="1144"/>
      <c r="C24" s="1144"/>
      <c r="D24" s="1144"/>
      <c r="E24" s="1144"/>
      <c r="F24" s="1144"/>
      <c r="G24" s="1144"/>
      <c r="H24" s="1144"/>
      <c r="I24" s="382"/>
      <c r="J24" s="382"/>
    </row>
    <row r="25" spans="1:10" ht="43.5" customHeight="1" x14ac:dyDescent="0.2">
      <c r="A25" s="692">
        <v>1</v>
      </c>
      <c r="B25" s="1150" t="s">
        <v>534</v>
      </c>
      <c r="C25" s="1150"/>
      <c r="D25" s="693" t="s">
        <v>91</v>
      </c>
      <c r="E25" s="694">
        <v>6</v>
      </c>
      <c r="F25" s="695">
        <f>E25*DADOS!$C$13</f>
        <v>72</v>
      </c>
      <c r="G25" s="696">
        <f>33.15*DADOS!$D$55</f>
        <v>33.15</v>
      </c>
      <c r="H25" s="697">
        <f>G25*F25</f>
        <v>2386.8000000000002</v>
      </c>
      <c r="I25" s="383"/>
      <c r="J25" s="383"/>
    </row>
    <row r="26" spans="1:10" ht="36" customHeight="1" x14ac:dyDescent="0.2">
      <c r="A26" s="692">
        <v>2</v>
      </c>
      <c r="B26" s="1150" t="s">
        <v>269</v>
      </c>
      <c r="C26" s="1150"/>
      <c r="D26" s="693" t="s">
        <v>91</v>
      </c>
      <c r="E26" s="694">
        <v>5</v>
      </c>
      <c r="F26" s="695">
        <f>E26</f>
        <v>5</v>
      </c>
      <c r="G26" s="696">
        <f>65*DADOS!$D$55</f>
        <v>65</v>
      </c>
      <c r="H26" s="697">
        <f>G26*F26</f>
        <v>325</v>
      </c>
      <c r="I26" s="383"/>
      <c r="J26" s="383"/>
    </row>
    <row r="27" spans="1:10" ht="26.25" customHeight="1" x14ac:dyDescent="0.2">
      <c r="A27" s="692">
        <v>3</v>
      </c>
      <c r="B27" s="1150" t="s">
        <v>270</v>
      </c>
      <c r="C27" s="1150"/>
      <c r="D27" s="693" t="s">
        <v>91</v>
      </c>
      <c r="E27" s="694">
        <v>20</v>
      </c>
      <c r="F27" s="695">
        <f>E27</f>
        <v>20</v>
      </c>
      <c r="G27" s="696">
        <f>108.58*DADOS!$D$55</f>
        <v>108.58</v>
      </c>
      <c r="H27" s="697">
        <f>G27*F27</f>
        <v>2171.6</v>
      </c>
      <c r="I27" s="383"/>
      <c r="J27" s="384"/>
    </row>
    <row r="28" spans="1:10" x14ac:dyDescent="0.2">
      <c r="A28" s="1147" t="s">
        <v>261</v>
      </c>
      <c r="B28" s="1148"/>
      <c r="C28" s="1148"/>
      <c r="D28" s="1148"/>
      <c r="E28" s="1148"/>
      <c r="F28" s="1148"/>
      <c r="G28" s="1149"/>
      <c r="H28" s="698">
        <f>SUM(H25:H27)</f>
        <v>4883.3999999999996</v>
      </c>
    </row>
    <row r="29" spans="1:10" x14ac:dyDescent="0.2">
      <c r="A29" s="1147" t="s">
        <v>262</v>
      </c>
      <c r="B29" s="1148"/>
      <c r="C29" s="1148"/>
      <c r="D29" s="1148"/>
      <c r="E29" s="1148"/>
      <c r="F29" s="1148"/>
      <c r="G29" s="1149"/>
      <c r="H29" s="699">
        <f>H28/DADOS!$C$13</f>
        <v>406.95</v>
      </c>
    </row>
    <row r="30" spans="1:10" x14ac:dyDescent="0.2">
      <c r="A30" s="1147" t="s">
        <v>263</v>
      </c>
      <c r="B30" s="1148"/>
      <c r="C30" s="1148"/>
      <c r="D30" s="1148"/>
      <c r="E30" s="1148"/>
      <c r="F30" s="1148"/>
      <c r="G30" s="1149"/>
      <c r="H30" s="699">
        <f>H29/DADOS!$L$76</f>
        <v>27.13</v>
      </c>
    </row>
    <row r="31" spans="1:10" x14ac:dyDescent="0.2">
      <c r="A31" s="702"/>
      <c r="B31" s="702"/>
      <c r="C31" s="702"/>
      <c r="D31" s="702"/>
      <c r="E31" s="702"/>
      <c r="F31" s="702"/>
      <c r="G31" s="702"/>
      <c r="H31" s="703"/>
    </row>
    <row r="32" spans="1:10" x14ac:dyDescent="0.2">
      <c r="A32" s="1156" t="s">
        <v>404</v>
      </c>
      <c r="B32" s="1156"/>
      <c r="C32" s="1156"/>
      <c r="D32" s="1156"/>
      <c r="E32" s="1156"/>
      <c r="F32" s="1156"/>
      <c r="G32" s="1156"/>
      <c r="H32" s="1156"/>
    </row>
    <row r="33" spans="1:9" ht="8.25" customHeight="1" x14ac:dyDescent="0.2"/>
    <row r="34" spans="1:9" x14ac:dyDescent="0.2">
      <c r="A34" s="1143" t="s">
        <v>253</v>
      </c>
      <c r="B34" s="1143"/>
      <c r="C34" s="1143"/>
      <c r="D34" s="1143"/>
      <c r="E34" s="1143"/>
      <c r="F34" s="1143"/>
      <c r="G34" s="1143"/>
      <c r="H34" s="1143"/>
      <c r="I34" s="1143"/>
    </row>
    <row r="35" spans="1:9" x14ac:dyDescent="0.2">
      <c r="A35" s="1143" t="s">
        <v>254</v>
      </c>
      <c r="B35" s="1143"/>
      <c r="C35" s="1143"/>
      <c r="D35" s="1143"/>
      <c r="E35" s="1143"/>
      <c r="F35" s="1143"/>
      <c r="G35" s="1143"/>
      <c r="H35" s="1143"/>
      <c r="I35" s="1143"/>
    </row>
    <row r="36" spans="1:9" x14ac:dyDescent="0.2">
      <c r="A36" s="1157" t="s">
        <v>89</v>
      </c>
      <c r="B36" s="1157" t="s">
        <v>271</v>
      </c>
      <c r="C36" s="1157"/>
      <c r="D36" s="1157" t="s">
        <v>91</v>
      </c>
      <c r="E36" s="1157" t="s">
        <v>255</v>
      </c>
      <c r="F36" s="1157"/>
      <c r="G36" s="1154" t="s">
        <v>256</v>
      </c>
      <c r="H36" s="1155"/>
      <c r="I36" s="1155"/>
    </row>
    <row r="37" spans="1:9" x14ac:dyDescent="0.2">
      <c r="A37" s="1144"/>
      <c r="B37" s="1144"/>
      <c r="C37" s="1144"/>
      <c r="D37" s="1144"/>
      <c r="E37" s="1144" t="s">
        <v>259</v>
      </c>
      <c r="F37" s="1144" t="s">
        <v>260</v>
      </c>
      <c r="G37" s="1144" t="s">
        <v>257</v>
      </c>
      <c r="H37" s="1144" t="s">
        <v>536</v>
      </c>
      <c r="I37" s="1144" t="s">
        <v>258</v>
      </c>
    </row>
    <row r="38" spans="1:9" x14ac:dyDescent="0.2">
      <c r="A38" s="1144"/>
      <c r="B38" s="1144"/>
      <c r="C38" s="1144"/>
      <c r="D38" s="1144"/>
      <c r="E38" s="1144"/>
      <c r="F38" s="1144"/>
      <c r="G38" s="1144"/>
      <c r="H38" s="1144"/>
      <c r="I38" s="1144"/>
    </row>
    <row r="39" spans="1:9" ht="24" customHeight="1" x14ac:dyDescent="0.2">
      <c r="A39" s="692">
        <v>1</v>
      </c>
      <c r="B39" s="1153" t="s">
        <v>264</v>
      </c>
      <c r="C39" s="1153"/>
      <c r="D39" s="693" t="s">
        <v>91</v>
      </c>
      <c r="E39" s="694">
        <v>1</v>
      </c>
      <c r="F39" s="695">
        <f>E39*DADOS!$C$13</f>
        <v>12</v>
      </c>
      <c r="G39" s="696">
        <f>8.4*DADOS!$D$54</f>
        <v>8.4</v>
      </c>
      <c r="H39" s="697">
        <f>G39*F39</f>
        <v>100.8</v>
      </c>
      <c r="I39" s="697">
        <f>G39*F39</f>
        <v>100.8</v>
      </c>
    </row>
    <row r="40" spans="1:9" x14ac:dyDescent="0.2">
      <c r="A40" s="692">
        <v>2</v>
      </c>
      <c r="B40" s="1153" t="s">
        <v>265</v>
      </c>
      <c r="C40" s="1153"/>
      <c r="D40" s="693" t="s">
        <v>91</v>
      </c>
      <c r="E40" s="694">
        <v>15</v>
      </c>
      <c r="F40" s="695">
        <f>E40*DADOS!$C$13</f>
        <v>180</v>
      </c>
      <c r="G40" s="696">
        <f>1*DADOS!$D$54</f>
        <v>1</v>
      </c>
      <c r="H40" s="697">
        <f>G40*F40</f>
        <v>180</v>
      </c>
      <c r="I40" s="697">
        <f t="shared" ref="I40:I42" si="0">G40*F40</f>
        <v>180</v>
      </c>
    </row>
    <row r="41" spans="1:9" x14ac:dyDescent="0.2">
      <c r="A41" s="692">
        <v>3</v>
      </c>
      <c r="B41" s="1153" t="s">
        <v>266</v>
      </c>
      <c r="C41" s="1153"/>
      <c r="D41" s="693" t="s">
        <v>91</v>
      </c>
      <c r="E41" s="694">
        <v>1</v>
      </c>
      <c r="F41" s="695">
        <f>E41*DADOS!$C$13</f>
        <v>12</v>
      </c>
      <c r="G41" s="696">
        <f>14.5*DADOS!$D$54</f>
        <v>14.5</v>
      </c>
      <c r="H41" s="697">
        <f>G41*F41</f>
        <v>174</v>
      </c>
      <c r="I41" s="697">
        <f t="shared" si="0"/>
        <v>174</v>
      </c>
    </row>
    <row r="42" spans="1:9" x14ac:dyDescent="0.2">
      <c r="A42" s="692">
        <v>4</v>
      </c>
      <c r="B42" s="1153" t="s">
        <v>267</v>
      </c>
      <c r="C42" s="1153"/>
      <c r="D42" s="693" t="s">
        <v>91</v>
      </c>
      <c r="E42" s="694">
        <v>15</v>
      </c>
      <c r="F42" s="695">
        <f>E42*DADOS!$C$13</f>
        <v>180</v>
      </c>
      <c r="G42" s="696">
        <f>6*DADOS!$D$54</f>
        <v>6</v>
      </c>
      <c r="H42" s="697">
        <f>G42*F42</f>
        <v>1080</v>
      </c>
      <c r="I42" s="697">
        <f t="shared" si="0"/>
        <v>1080</v>
      </c>
    </row>
    <row r="43" spans="1:9" x14ac:dyDescent="0.2">
      <c r="A43" s="1147" t="s">
        <v>261</v>
      </c>
      <c r="B43" s="1148"/>
      <c r="C43" s="1148"/>
      <c r="D43" s="1148"/>
      <c r="E43" s="1148"/>
      <c r="F43" s="1148"/>
      <c r="G43" s="1149"/>
      <c r="H43" s="698">
        <f>SUM(H39:H42)</f>
        <v>1534.8</v>
      </c>
      <c r="I43" s="698">
        <f>SUM(I39:I42)</f>
        <v>1534.8</v>
      </c>
    </row>
    <row r="44" spans="1:9" x14ac:dyDescent="0.2">
      <c r="A44" s="1147" t="s">
        <v>262</v>
      </c>
      <c r="B44" s="1148"/>
      <c r="C44" s="1148"/>
      <c r="D44" s="1148"/>
      <c r="E44" s="1148"/>
      <c r="F44" s="1148"/>
      <c r="G44" s="1149"/>
      <c r="H44" s="699">
        <f>H43/DADOS!$C$13</f>
        <v>127.9</v>
      </c>
      <c r="I44" s="699">
        <f>I43/DADOS!$C$13</f>
        <v>127.9</v>
      </c>
    </row>
    <row r="45" spans="1:9" x14ac:dyDescent="0.2">
      <c r="A45" s="1147" t="s">
        <v>263</v>
      </c>
      <c r="B45" s="1148"/>
      <c r="C45" s="1148"/>
      <c r="D45" s="1148"/>
      <c r="E45" s="1148"/>
      <c r="F45" s="1148"/>
      <c r="G45" s="1149"/>
      <c r="H45" s="699">
        <f>H44/16</f>
        <v>7.99</v>
      </c>
      <c r="I45" s="699">
        <f>I44/18</f>
        <v>7.11</v>
      </c>
    </row>
    <row r="46" spans="1:9" ht="8.25" customHeight="1" x14ac:dyDescent="0.2">
      <c r="A46" s="690"/>
      <c r="B46" s="700"/>
      <c r="C46" s="700"/>
      <c r="D46" s="701"/>
      <c r="E46" s="701"/>
      <c r="F46" s="701"/>
      <c r="G46" s="700"/>
      <c r="H46" s="700"/>
    </row>
    <row r="47" spans="1:9" x14ac:dyDescent="0.2">
      <c r="A47" s="1143" t="s">
        <v>268</v>
      </c>
      <c r="B47" s="1143"/>
      <c r="C47" s="1143"/>
      <c r="D47" s="1143"/>
      <c r="E47" s="1143"/>
      <c r="F47" s="1143"/>
      <c r="G47" s="1143"/>
      <c r="H47" s="1143"/>
      <c r="I47" s="1143"/>
    </row>
    <row r="48" spans="1:9" x14ac:dyDescent="0.2">
      <c r="A48" s="1144" t="s">
        <v>89</v>
      </c>
      <c r="B48" s="1144" t="s">
        <v>110</v>
      </c>
      <c r="C48" s="1144"/>
      <c r="D48" s="1144" t="s">
        <v>91</v>
      </c>
      <c r="E48" s="1144" t="s">
        <v>255</v>
      </c>
      <c r="F48" s="1144"/>
      <c r="G48" s="1144" t="s">
        <v>256</v>
      </c>
      <c r="H48" s="1144"/>
      <c r="I48" s="1144"/>
    </row>
    <row r="49" spans="1:9" x14ac:dyDescent="0.2">
      <c r="A49" s="1144"/>
      <c r="B49" s="1144"/>
      <c r="C49" s="1144"/>
      <c r="D49" s="1144"/>
      <c r="E49" s="1144" t="s">
        <v>259</v>
      </c>
      <c r="F49" s="1144" t="s">
        <v>260</v>
      </c>
      <c r="G49" s="1144" t="s">
        <v>257</v>
      </c>
      <c r="H49" s="1144" t="s">
        <v>258</v>
      </c>
      <c r="I49" s="1144" t="s">
        <v>258</v>
      </c>
    </row>
    <row r="50" spans="1:9" x14ac:dyDescent="0.2">
      <c r="A50" s="1144"/>
      <c r="B50" s="1144"/>
      <c r="C50" s="1144"/>
      <c r="D50" s="1144"/>
      <c r="E50" s="1144"/>
      <c r="F50" s="1144"/>
      <c r="G50" s="1144"/>
      <c r="H50" s="1144"/>
      <c r="I50" s="1144"/>
    </row>
    <row r="51" spans="1:9" ht="21" customHeight="1" x14ac:dyDescent="0.2">
      <c r="A51" s="692">
        <v>1</v>
      </c>
      <c r="B51" s="1150" t="s">
        <v>534</v>
      </c>
      <c r="C51" s="1150"/>
      <c r="D51" s="693" t="s">
        <v>91</v>
      </c>
      <c r="E51" s="694">
        <v>6</v>
      </c>
      <c r="F51" s="695">
        <f>E51*DADOS!$C$13</f>
        <v>72</v>
      </c>
      <c r="G51" s="696">
        <f>33.15*DADOS!$D$55</f>
        <v>33.15</v>
      </c>
      <c r="H51" s="697">
        <f>G51*F51</f>
        <v>2386.8000000000002</v>
      </c>
      <c r="I51" s="697">
        <f>G51*F51</f>
        <v>2386.8000000000002</v>
      </c>
    </row>
    <row r="52" spans="1:9" ht="26.25" customHeight="1" x14ac:dyDescent="0.2">
      <c r="A52" s="692">
        <v>2</v>
      </c>
      <c r="B52" s="1150" t="s">
        <v>269</v>
      </c>
      <c r="C52" s="1150"/>
      <c r="D52" s="693" t="s">
        <v>91</v>
      </c>
      <c r="E52" s="694">
        <v>5</v>
      </c>
      <c r="F52" s="695">
        <f>E52</f>
        <v>5</v>
      </c>
      <c r="G52" s="696">
        <f>65*DADOS!$D$55</f>
        <v>65</v>
      </c>
      <c r="H52" s="697">
        <f>G52*F52</f>
        <v>325</v>
      </c>
      <c r="I52" s="697">
        <f t="shared" ref="I52:I53" si="1">G52*F52</f>
        <v>325</v>
      </c>
    </row>
    <row r="53" spans="1:9" ht="24" customHeight="1" x14ac:dyDescent="0.2">
      <c r="A53" s="692">
        <v>3</v>
      </c>
      <c r="B53" s="1150" t="s">
        <v>270</v>
      </c>
      <c r="C53" s="1150"/>
      <c r="D53" s="693" t="s">
        <v>91</v>
      </c>
      <c r="E53" s="694">
        <v>20</v>
      </c>
      <c r="F53" s="695">
        <f>E53</f>
        <v>20</v>
      </c>
      <c r="G53" s="696">
        <f>108.58*DADOS!$D$55</f>
        <v>108.58</v>
      </c>
      <c r="H53" s="697">
        <f>G53*F53</f>
        <v>2171.6</v>
      </c>
      <c r="I53" s="697">
        <f t="shared" si="1"/>
        <v>2171.6</v>
      </c>
    </row>
    <row r="54" spans="1:9" x14ac:dyDescent="0.2">
      <c r="A54" s="1147" t="s">
        <v>261</v>
      </c>
      <c r="B54" s="1148"/>
      <c r="C54" s="1148"/>
      <c r="D54" s="1148"/>
      <c r="E54" s="1148"/>
      <c r="F54" s="1148"/>
      <c r="G54" s="1149"/>
      <c r="H54" s="698">
        <f>SUM(H51:H53)</f>
        <v>4883.3999999999996</v>
      </c>
      <c r="I54" s="698">
        <f>SUM(I51:I53)</f>
        <v>4883.3999999999996</v>
      </c>
    </row>
    <row r="55" spans="1:9" x14ac:dyDescent="0.2">
      <c r="A55" s="1147" t="s">
        <v>262</v>
      </c>
      <c r="B55" s="1148"/>
      <c r="C55" s="1148"/>
      <c r="D55" s="1148"/>
      <c r="E55" s="1148"/>
      <c r="F55" s="1148"/>
      <c r="G55" s="1149"/>
      <c r="H55" s="699">
        <f>H54/DADOS!$C$13</f>
        <v>406.95</v>
      </c>
      <c r="I55" s="699">
        <f>I54/DADOS!$C$13</f>
        <v>406.95</v>
      </c>
    </row>
    <row r="56" spans="1:9" x14ac:dyDescent="0.2">
      <c r="A56" s="1147" t="s">
        <v>263</v>
      </c>
      <c r="B56" s="1148"/>
      <c r="C56" s="1148"/>
      <c r="D56" s="1148"/>
      <c r="E56" s="1148"/>
      <c r="F56" s="1148"/>
      <c r="G56" s="1149"/>
      <c r="H56" s="699">
        <f>H55/16</f>
        <v>25.43</v>
      </c>
      <c r="I56" s="699">
        <f>I55/18</f>
        <v>22.61</v>
      </c>
    </row>
  </sheetData>
  <mergeCells count="75">
    <mergeCell ref="I37:I38"/>
    <mergeCell ref="G36:I36"/>
    <mergeCell ref="A34:I34"/>
    <mergeCell ref="A35:I35"/>
    <mergeCell ref="A32:H32"/>
    <mergeCell ref="H37:H38"/>
    <mergeCell ref="A36:A38"/>
    <mergeCell ref="B36:C38"/>
    <mergeCell ref="D36:D38"/>
    <mergeCell ref="E36:F36"/>
    <mergeCell ref="E37:E38"/>
    <mergeCell ref="F37:F38"/>
    <mergeCell ref="G37:G38"/>
    <mergeCell ref="A55:G55"/>
    <mergeCell ref="A56:G56"/>
    <mergeCell ref="G49:G50"/>
    <mergeCell ref="H49:H50"/>
    <mergeCell ref="B51:C51"/>
    <mergeCell ref="B52:C52"/>
    <mergeCell ref="B53:C53"/>
    <mergeCell ref="A54:G54"/>
    <mergeCell ref="A44:G44"/>
    <mergeCell ref="A45:G45"/>
    <mergeCell ref="A48:A50"/>
    <mergeCell ref="B48:C50"/>
    <mergeCell ref="D48:D50"/>
    <mergeCell ref="E48:F48"/>
    <mergeCell ref="E49:E50"/>
    <mergeCell ref="F49:F50"/>
    <mergeCell ref="A47:I47"/>
    <mergeCell ref="G48:I48"/>
    <mergeCell ref="I49:I50"/>
    <mergeCell ref="B39:C39"/>
    <mergeCell ref="B40:C40"/>
    <mergeCell ref="B41:C41"/>
    <mergeCell ref="B42:C42"/>
    <mergeCell ref="A43:G43"/>
    <mergeCell ref="A30:G30"/>
    <mergeCell ref="E22:F22"/>
    <mergeCell ref="B25:C25"/>
    <mergeCell ref="B26:C26"/>
    <mergeCell ref="B27:C27"/>
    <mergeCell ref="A28:G28"/>
    <mergeCell ref="A29:G29"/>
    <mergeCell ref="A22:A24"/>
    <mergeCell ref="B22:C24"/>
    <mergeCell ref="D22:D24"/>
    <mergeCell ref="G22:H22"/>
    <mergeCell ref="E23:E24"/>
    <mergeCell ref="F23:F24"/>
    <mergeCell ref="G23:G24"/>
    <mergeCell ref="H23:H24"/>
    <mergeCell ref="A21:H21"/>
    <mergeCell ref="E10:F10"/>
    <mergeCell ref="E11:E12"/>
    <mergeCell ref="F11:F12"/>
    <mergeCell ref="G11:G12"/>
    <mergeCell ref="A10:A12"/>
    <mergeCell ref="B10:C12"/>
    <mergeCell ref="D10:D12"/>
    <mergeCell ref="A17:G17"/>
    <mergeCell ref="A18:G18"/>
    <mergeCell ref="A19:G19"/>
    <mergeCell ref="B13:C13"/>
    <mergeCell ref="B14:C14"/>
    <mergeCell ref="B15:C15"/>
    <mergeCell ref="B16:C16"/>
    <mergeCell ref="A9:H9"/>
    <mergeCell ref="H11:H12"/>
    <mergeCell ref="A2:H2"/>
    <mergeCell ref="A3:H3"/>
    <mergeCell ref="A5:H5"/>
    <mergeCell ref="A6:H6"/>
    <mergeCell ref="A8:H8"/>
    <mergeCell ref="G10:H10"/>
  </mergeCells>
  <printOptions horizontalCentered="1"/>
  <pageMargins left="0.51181102362204722" right="0.39370078740157483" top="1.6929133858267718" bottom="0.35433070866141736" header="0.19685039370078741" footer="0.27559055118110237"/>
  <pageSetup paperSize="9" scale="67" fitToHeight="0" orientation="portrait" r:id="rId1"/>
  <headerFooter>
    <oddHeader>&amp;L&amp;"Cambria,Negrito"&amp;8PROPOSTA N° 011/2017 - MME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5" tint="0.79998168889431442"/>
    <pageSetUpPr fitToPage="1"/>
  </sheetPr>
  <dimension ref="A1:O193"/>
  <sheetViews>
    <sheetView tabSelected="1" view="pageBreakPreview" topLeftCell="A169" zoomScaleNormal="100" zoomScaleSheetLayoutView="100" workbookViewId="0">
      <selection activeCell="I189" sqref="I189"/>
    </sheetView>
  </sheetViews>
  <sheetFormatPr defaultRowHeight="12.75" x14ac:dyDescent="0.2"/>
  <cols>
    <col min="1" max="1" width="6.5703125" style="58" customWidth="1"/>
    <col min="2" max="2" width="17.140625" style="58" customWidth="1"/>
    <col min="3" max="3" width="22.42578125" style="58" customWidth="1"/>
    <col min="4" max="4" width="14.7109375" style="58" bestFit="1" customWidth="1"/>
    <col min="5" max="5" width="16.28515625" style="58" bestFit="1" customWidth="1"/>
    <col min="6" max="6" width="11.7109375" style="58" bestFit="1" customWidth="1"/>
    <col min="7" max="7" width="11.85546875" style="58" bestFit="1" customWidth="1"/>
    <col min="8" max="8" width="15.85546875" style="58" bestFit="1" customWidth="1"/>
    <col min="9" max="9" width="15.7109375" style="1" customWidth="1"/>
    <col min="10" max="10" width="10.5703125" style="1" customWidth="1"/>
    <col min="11" max="11" width="14.28515625" style="1" bestFit="1" customWidth="1"/>
    <col min="12" max="12" width="15.7109375" style="1" bestFit="1" customWidth="1"/>
    <col min="13" max="16384" width="9.140625" style="1"/>
  </cols>
  <sheetData>
    <row r="1" spans="1:11" x14ac:dyDescent="0.2">
      <c r="A1" s="1237" t="str">
        <f>DADOS!A16</f>
        <v>MINISTÉRIO DE MINAS E ENERGIA - MME</v>
      </c>
      <c r="B1" s="1237"/>
      <c r="C1" s="1237"/>
      <c r="D1" s="1237"/>
      <c r="E1" s="1237"/>
      <c r="F1" s="1237"/>
      <c r="G1" s="1237"/>
      <c r="H1" s="1237"/>
      <c r="I1" s="445"/>
      <c r="J1" s="445"/>
      <c r="K1" s="445"/>
    </row>
    <row r="2" spans="1:11" x14ac:dyDescent="0.2">
      <c r="A2" s="1237" t="str">
        <f>DADOS!A18</f>
        <v>PREGÃO ELETRÔNICO Nº 001/2017 - MME</v>
      </c>
      <c r="B2" s="1237"/>
      <c r="C2" s="1237"/>
      <c r="D2" s="1237"/>
      <c r="E2" s="1237"/>
      <c r="F2" s="1237"/>
      <c r="G2" s="1237"/>
      <c r="H2" s="1237"/>
      <c r="I2" s="445"/>
      <c r="J2" s="445"/>
      <c r="K2" s="445"/>
    </row>
    <row r="3" spans="1:11" x14ac:dyDescent="0.2">
      <c r="A3" s="445"/>
      <c r="B3" s="446"/>
      <c r="C3" s="446"/>
      <c r="D3" s="446"/>
      <c r="E3" s="446"/>
      <c r="F3" s="446"/>
      <c r="G3" s="446"/>
      <c r="H3" s="446"/>
      <c r="I3" s="445"/>
      <c r="J3" s="445"/>
      <c r="K3" s="445"/>
    </row>
    <row r="4" spans="1:11" ht="27" customHeight="1" x14ac:dyDescent="0.2">
      <c r="A4" s="1238" t="s">
        <v>411</v>
      </c>
      <c r="B4" s="1238"/>
      <c r="C4" s="1238"/>
      <c r="D4" s="1238"/>
      <c r="E4" s="1238"/>
      <c r="F4" s="1238"/>
      <c r="G4" s="1238"/>
      <c r="H4" s="1238"/>
      <c r="I4" s="445"/>
      <c r="J4" s="445"/>
      <c r="K4" s="445"/>
    </row>
    <row r="5" spans="1:11" s="12" customFormat="1" ht="14.25" customHeight="1" x14ac:dyDescent="0.2">
      <c r="A5" s="1227" t="s">
        <v>420</v>
      </c>
      <c r="B5" s="1227"/>
      <c r="C5" s="1227"/>
      <c r="D5" s="1227"/>
      <c r="E5" s="1227"/>
      <c r="F5" s="1227"/>
      <c r="G5" s="1227"/>
      <c r="H5" s="1227"/>
      <c r="I5" s="445"/>
      <c r="J5" s="445"/>
      <c r="K5" s="445"/>
    </row>
    <row r="6" spans="1:11" s="13" customFormat="1" ht="24" customHeight="1" x14ac:dyDescent="0.2">
      <c r="A6" s="1184" t="s">
        <v>163</v>
      </c>
      <c r="B6" s="1184"/>
      <c r="C6" s="1184"/>
      <c r="D6" s="447" t="s">
        <v>184</v>
      </c>
      <c r="E6" s="447" t="s">
        <v>185</v>
      </c>
      <c r="F6" s="447" t="s">
        <v>186</v>
      </c>
      <c r="G6" s="447" t="s">
        <v>90</v>
      </c>
      <c r="H6" s="447" t="s">
        <v>335</v>
      </c>
      <c r="I6" s="448"/>
      <c r="J6" s="448"/>
      <c r="K6" s="448"/>
    </row>
    <row r="7" spans="1:11" s="13" customFormat="1" x14ac:dyDescent="0.2">
      <c r="A7" s="1196" t="s">
        <v>160</v>
      </c>
      <c r="B7" s="1197"/>
      <c r="C7" s="1198"/>
      <c r="D7" s="449" t="s">
        <v>161</v>
      </c>
      <c r="E7" s="450" t="s">
        <v>177</v>
      </c>
      <c r="F7" s="449" t="s">
        <v>162</v>
      </c>
      <c r="G7" s="450" t="s">
        <v>182</v>
      </c>
      <c r="H7" s="449" t="s">
        <v>183</v>
      </c>
      <c r="I7" s="448"/>
      <c r="J7" s="448"/>
      <c r="K7" s="448"/>
    </row>
    <row r="8" spans="1:11" s="35" customFormat="1" x14ac:dyDescent="0.2">
      <c r="A8" s="451" t="s">
        <v>139</v>
      </c>
      <c r="B8" s="1226" t="str">
        <f>'SUPERVISOR-DIURNO - 44h'!$B$19</f>
        <v>Supervisor Diurno Desarmado - 44 h./semana</v>
      </c>
      <c r="C8" s="1226"/>
      <c r="D8" s="452">
        <f>'SUPERVISOR-DIURNO - 44h'!K140</f>
        <v>7922.18</v>
      </c>
      <c r="E8" s="453">
        <f>DADOS!K73</f>
        <v>1</v>
      </c>
      <c r="F8" s="454">
        <f>D8*E8</f>
        <v>7922.18</v>
      </c>
      <c r="G8" s="453">
        <f>DADOS!J73</f>
        <v>1</v>
      </c>
      <c r="H8" s="454">
        <f>F8*G8</f>
        <v>7922.18</v>
      </c>
      <c r="I8" s="455"/>
      <c r="J8" s="455"/>
      <c r="K8" s="455"/>
    </row>
    <row r="9" spans="1:11" s="35" customFormat="1" x14ac:dyDescent="0.2">
      <c r="A9" s="451" t="s">
        <v>333</v>
      </c>
      <c r="B9" s="1226" t="str">
        <f>'VIGILANTE-DIURNO 12x36 DD'!B12</f>
        <v>Vigilante Diurno Desarmado - 12x36hs</v>
      </c>
      <c r="C9" s="1226">
        <f>'VIGILANTE-DIURNO 12x36 DD'!F133</f>
        <v>0</v>
      </c>
      <c r="D9" s="452">
        <f>'VIGILANTE-DIURNO 12x36 DD'!K133</f>
        <v>7163.76</v>
      </c>
      <c r="E9" s="453">
        <f>DADOS!K74</f>
        <v>2</v>
      </c>
      <c r="F9" s="454">
        <f>D9*E9</f>
        <v>14327.52</v>
      </c>
      <c r="G9" s="453">
        <f>DADOS!J74</f>
        <v>6</v>
      </c>
      <c r="H9" s="454">
        <f>F9*G9</f>
        <v>85965.119999999995</v>
      </c>
      <c r="I9" s="455"/>
      <c r="J9" s="455"/>
      <c r="K9" s="455"/>
    </row>
    <row r="10" spans="1:11" s="35" customFormat="1" x14ac:dyDescent="0.2">
      <c r="A10" s="451" t="s">
        <v>334</v>
      </c>
      <c r="B10" s="1226" t="str">
        <f>'VIGILANTE-NOTURNO 12x36 ND'!B12:D12</f>
        <v>Vigilante Noturno Desarmado - 12x36hs</v>
      </c>
      <c r="C10" s="1226"/>
      <c r="D10" s="452">
        <f>'VIGILANTE-NOTURNO 12x36 ND'!K133</f>
        <v>8047.51</v>
      </c>
      <c r="E10" s="453">
        <f>DADOS!K75</f>
        <v>2</v>
      </c>
      <c r="F10" s="454">
        <f>D10*E10</f>
        <v>16095.02</v>
      </c>
      <c r="G10" s="453">
        <f>DADOS!J75</f>
        <v>1</v>
      </c>
      <c r="H10" s="454">
        <f>F10*G10</f>
        <v>16095.02</v>
      </c>
      <c r="I10" s="455"/>
      <c r="J10" s="455"/>
      <c r="K10" s="455"/>
    </row>
    <row r="11" spans="1:11" x14ac:dyDescent="0.2">
      <c r="A11" s="445"/>
      <c r="B11" s="1176" t="s">
        <v>336</v>
      </c>
      <c r="C11" s="1177"/>
      <c r="D11" s="1177"/>
      <c r="E11" s="1177"/>
      <c r="F11" s="1177"/>
      <c r="G11" s="456"/>
      <c r="H11" s="457">
        <f>SUM(H8:H10)</f>
        <v>109982.32</v>
      </c>
      <c r="I11" s="445"/>
      <c r="J11" s="445"/>
      <c r="K11" s="445"/>
    </row>
    <row r="12" spans="1:11" x14ac:dyDescent="0.2">
      <c r="A12" s="458"/>
      <c r="B12" s="1176" t="s">
        <v>341</v>
      </c>
      <c r="C12" s="1177"/>
      <c r="D12" s="1177"/>
      <c r="E12" s="1177"/>
      <c r="F12" s="1177"/>
      <c r="G12" s="458"/>
      <c r="H12" s="459">
        <f>12*H11</f>
        <v>1319787.8400000001</v>
      </c>
      <c r="I12" s="445"/>
      <c r="J12" s="445"/>
      <c r="K12" s="445"/>
    </row>
    <row r="13" spans="1:11" s="50" customFormat="1" ht="16.5" customHeight="1" x14ac:dyDescent="0.2">
      <c r="A13" s="1178"/>
      <c r="B13" s="1178"/>
      <c r="C13" s="1178"/>
      <c r="D13" s="1178"/>
      <c r="E13" s="1178"/>
      <c r="F13" s="1178"/>
      <c r="G13" s="1178"/>
      <c r="H13" s="1178"/>
      <c r="I13" s="460"/>
      <c r="J13" s="460"/>
      <c r="K13" s="460"/>
    </row>
    <row r="14" spans="1:11" s="50" customFormat="1" x14ac:dyDescent="0.2">
      <c r="A14" s="1179" t="s">
        <v>342</v>
      </c>
      <c r="B14" s="1179"/>
      <c r="C14" s="1179"/>
      <c r="D14" s="1179"/>
      <c r="E14" s="1179"/>
      <c r="F14" s="1179"/>
      <c r="G14" s="1179"/>
      <c r="H14" s="1179"/>
      <c r="I14" s="460"/>
      <c r="J14" s="460"/>
      <c r="K14" s="460"/>
    </row>
    <row r="15" spans="1:11" s="50" customFormat="1" x14ac:dyDescent="0.2">
      <c r="A15" s="1185" t="s">
        <v>164</v>
      </c>
      <c r="B15" s="1185"/>
      <c r="C15" s="1185"/>
      <c r="D15" s="1185"/>
      <c r="E15" s="1185"/>
      <c r="F15" s="1185"/>
      <c r="G15" s="1185"/>
      <c r="H15" s="1185"/>
      <c r="I15" s="460"/>
      <c r="J15" s="460"/>
      <c r="K15" s="460"/>
    </row>
    <row r="16" spans="1:11" s="50" customFormat="1" ht="21" x14ac:dyDescent="0.2">
      <c r="A16" s="447" t="s">
        <v>343</v>
      </c>
      <c r="B16" s="1228" t="s">
        <v>344</v>
      </c>
      <c r="C16" s="1229"/>
      <c r="D16" s="1230"/>
      <c r="E16" s="447" t="s">
        <v>345</v>
      </c>
      <c r="F16" s="447" t="s">
        <v>346</v>
      </c>
      <c r="G16" s="1185" t="s">
        <v>347</v>
      </c>
      <c r="H16" s="1185"/>
      <c r="I16" s="460"/>
      <c r="J16" s="460"/>
      <c r="K16" s="460"/>
    </row>
    <row r="17" spans="1:11" s="50" customFormat="1" x14ac:dyDescent="0.2">
      <c r="A17" s="451" t="s">
        <v>139</v>
      </c>
      <c r="B17" s="1186" t="s">
        <v>402</v>
      </c>
      <c r="C17" s="1187"/>
      <c r="D17" s="1188"/>
      <c r="E17" s="461">
        <f t="shared" ref="E17:F19" si="0">F8</f>
        <v>7922.18</v>
      </c>
      <c r="F17" s="462">
        <f t="shared" si="0"/>
        <v>1</v>
      </c>
      <c r="G17" s="1235">
        <f>E17*F17</f>
        <v>7922.18</v>
      </c>
      <c r="H17" s="1236"/>
      <c r="I17" s="460"/>
      <c r="J17" s="460"/>
      <c r="K17" s="460"/>
    </row>
    <row r="18" spans="1:11" s="50" customFormat="1" ht="21" customHeight="1" x14ac:dyDescent="0.2">
      <c r="A18" s="451" t="s">
        <v>333</v>
      </c>
      <c r="B18" s="1186" t="s">
        <v>228</v>
      </c>
      <c r="C18" s="1187"/>
      <c r="D18" s="1188"/>
      <c r="E18" s="461">
        <f t="shared" si="0"/>
        <v>14327.52</v>
      </c>
      <c r="F18" s="462">
        <f t="shared" si="0"/>
        <v>6</v>
      </c>
      <c r="G18" s="1235">
        <f>E18*F18</f>
        <v>85965.119999999995</v>
      </c>
      <c r="H18" s="1236"/>
      <c r="I18" s="460"/>
      <c r="J18" s="460"/>
      <c r="K18" s="460"/>
    </row>
    <row r="19" spans="1:11" s="50" customFormat="1" ht="24" customHeight="1" x14ac:dyDescent="0.2">
      <c r="A19" s="451" t="s">
        <v>334</v>
      </c>
      <c r="B19" s="1186" t="s">
        <v>229</v>
      </c>
      <c r="C19" s="1187"/>
      <c r="D19" s="1188"/>
      <c r="E19" s="461">
        <f t="shared" si="0"/>
        <v>16095.02</v>
      </c>
      <c r="F19" s="462">
        <f t="shared" si="0"/>
        <v>1</v>
      </c>
      <c r="G19" s="1235">
        <f>E19*F19</f>
        <v>16095.02</v>
      </c>
      <c r="H19" s="1236"/>
      <c r="I19" s="460"/>
      <c r="J19" s="460"/>
      <c r="K19" s="460"/>
    </row>
    <row r="20" spans="1:11" s="50" customFormat="1" x14ac:dyDescent="0.2">
      <c r="A20" s="1231" t="s">
        <v>57</v>
      </c>
      <c r="B20" s="1232"/>
      <c r="C20" s="1232"/>
      <c r="D20" s="1232"/>
      <c r="E20" s="1233"/>
      <c r="F20" s="451">
        <f>SUM(F17:F19)</f>
        <v>8</v>
      </c>
      <c r="G20" s="1234">
        <f>SUM(G17:H19)</f>
        <v>109982.32</v>
      </c>
      <c r="H20" s="1234"/>
      <c r="I20" s="460"/>
      <c r="J20" s="460"/>
      <c r="K20" s="460"/>
    </row>
    <row r="21" spans="1:11" s="50" customFormat="1" ht="6.75" customHeight="1" x14ac:dyDescent="0.2">
      <c r="A21" s="1178"/>
      <c r="B21" s="1178"/>
      <c r="C21" s="1178"/>
      <c r="D21" s="1178"/>
      <c r="E21" s="1178"/>
      <c r="F21" s="1178"/>
      <c r="G21" s="1178"/>
      <c r="H21" s="1178"/>
      <c r="I21" s="460"/>
      <c r="J21" s="460"/>
      <c r="K21" s="460"/>
    </row>
    <row r="22" spans="1:11" s="50" customFormat="1" x14ac:dyDescent="0.2">
      <c r="A22" s="1179" t="s">
        <v>337</v>
      </c>
      <c r="B22" s="1179"/>
      <c r="C22" s="1179"/>
      <c r="D22" s="1179"/>
      <c r="E22" s="1179"/>
      <c r="F22" s="1179"/>
      <c r="G22" s="1179"/>
      <c r="H22" s="1179"/>
      <c r="I22" s="460"/>
      <c r="J22" s="460"/>
      <c r="K22" s="460"/>
    </row>
    <row r="23" spans="1:11" s="50" customFormat="1" x14ac:dyDescent="0.2">
      <c r="A23" s="1184" t="s">
        <v>140</v>
      </c>
      <c r="B23" s="1184"/>
      <c r="C23" s="1184"/>
      <c r="D23" s="1184"/>
      <c r="E23" s="1184"/>
      <c r="F23" s="1184"/>
      <c r="G23" s="1184"/>
      <c r="H23" s="1184"/>
      <c r="I23" s="460"/>
      <c r="J23" s="460"/>
      <c r="K23" s="460"/>
    </row>
    <row r="24" spans="1:11" s="50" customFormat="1" x14ac:dyDescent="0.2">
      <c r="A24" s="463" t="s">
        <v>1</v>
      </c>
      <c r="B24" s="1184" t="s">
        <v>110</v>
      </c>
      <c r="C24" s="1184"/>
      <c r="D24" s="1184"/>
      <c r="E24" s="1184"/>
      <c r="F24" s="1184"/>
      <c r="G24" s="1185" t="s">
        <v>135</v>
      </c>
      <c r="H24" s="1185"/>
      <c r="I24" s="460"/>
      <c r="J24" s="460"/>
      <c r="K24" s="460"/>
    </row>
    <row r="25" spans="1:11" s="50" customFormat="1" x14ac:dyDescent="0.2">
      <c r="A25" s="453" t="s">
        <v>338</v>
      </c>
      <c r="B25" s="1186" t="str">
        <f>B8</f>
        <v>Supervisor Diurno Desarmado - 44 h./semana</v>
      </c>
      <c r="C25" s="1187"/>
      <c r="D25" s="1187"/>
      <c r="E25" s="1187"/>
      <c r="F25" s="1188"/>
      <c r="G25" s="1189">
        <f>G17</f>
        <v>7922.18</v>
      </c>
      <c r="H25" s="1190"/>
      <c r="I25" s="460"/>
      <c r="J25" s="460"/>
      <c r="K25" s="460"/>
    </row>
    <row r="26" spans="1:11" s="50" customFormat="1" x14ac:dyDescent="0.2">
      <c r="A26" s="453" t="s">
        <v>339</v>
      </c>
      <c r="B26" s="1186" t="str">
        <f>B9</f>
        <v>Vigilante Diurno Desarmado - 12x36hs</v>
      </c>
      <c r="C26" s="1187"/>
      <c r="D26" s="1187"/>
      <c r="E26" s="1187"/>
      <c r="F26" s="1188"/>
      <c r="G26" s="1189">
        <f>G18</f>
        <v>85965.119999999995</v>
      </c>
      <c r="H26" s="1190"/>
      <c r="I26" s="460"/>
      <c r="J26" s="460"/>
      <c r="K26" s="460"/>
    </row>
    <row r="27" spans="1:11" s="50" customFormat="1" x14ac:dyDescent="0.2">
      <c r="A27" s="453" t="s">
        <v>340</v>
      </c>
      <c r="B27" s="1186" t="str">
        <f>B10</f>
        <v>Vigilante Noturno Desarmado - 12x36hs</v>
      </c>
      <c r="C27" s="1187"/>
      <c r="D27" s="1187"/>
      <c r="E27" s="1187"/>
      <c r="F27" s="1188"/>
      <c r="G27" s="1189">
        <f>G19</f>
        <v>16095.02</v>
      </c>
      <c r="H27" s="1190"/>
      <c r="I27" s="460"/>
      <c r="J27" s="460"/>
      <c r="K27" s="460"/>
    </row>
    <row r="28" spans="1:11" s="50" customFormat="1" x14ac:dyDescent="0.2">
      <c r="A28" s="463" t="s">
        <v>2</v>
      </c>
      <c r="B28" s="1176" t="s">
        <v>141</v>
      </c>
      <c r="C28" s="1177"/>
      <c r="D28" s="1177"/>
      <c r="E28" s="1177"/>
      <c r="F28" s="1195"/>
      <c r="G28" s="1183">
        <f>SUM(G25:H27)</f>
        <v>109982.32</v>
      </c>
      <c r="H28" s="1183"/>
      <c r="I28" s="460"/>
      <c r="J28" s="460"/>
      <c r="K28" s="460"/>
    </row>
    <row r="29" spans="1:11" s="50" customFormat="1" x14ac:dyDescent="0.2">
      <c r="A29" s="463" t="s">
        <v>4</v>
      </c>
      <c r="B29" s="1176" t="s">
        <v>341</v>
      </c>
      <c r="C29" s="1177"/>
      <c r="D29" s="1177"/>
      <c r="E29" s="1177"/>
      <c r="F29" s="1177"/>
      <c r="G29" s="1183">
        <f>G28*12</f>
        <v>1319787.8400000001</v>
      </c>
      <c r="H29" s="1183"/>
      <c r="I29" s="460"/>
      <c r="J29" s="460"/>
      <c r="K29" s="460"/>
    </row>
    <row r="30" spans="1:11" s="50" customFormat="1" ht="6.75" customHeight="1" x14ac:dyDescent="0.2">
      <c r="A30" s="1178"/>
      <c r="B30" s="1178"/>
      <c r="C30" s="1178"/>
      <c r="D30" s="1178"/>
      <c r="E30" s="1178"/>
      <c r="F30" s="1178"/>
      <c r="G30" s="1178"/>
      <c r="H30" s="1178"/>
      <c r="I30" s="460"/>
      <c r="J30" s="460"/>
      <c r="K30" s="460"/>
    </row>
    <row r="31" spans="1:11" x14ac:dyDescent="0.2">
      <c r="A31" s="1227" t="s">
        <v>419</v>
      </c>
      <c r="B31" s="1227"/>
      <c r="C31" s="1227"/>
      <c r="D31" s="1227"/>
      <c r="E31" s="1227"/>
      <c r="F31" s="1227"/>
      <c r="G31" s="1227"/>
      <c r="H31" s="1227"/>
      <c r="I31" s="445"/>
      <c r="J31" s="445"/>
      <c r="K31" s="445"/>
    </row>
    <row r="32" spans="1:11" ht="21" x14ac:dyDescent="0.2">
      <c r="A32" s="1184" t="s">
        <v>163</v>
      </c>
      <c r="B32" s="1184"/>
      <c r="C32" s="1184"/>
      <c r="D32" s="447" t="s">
        <v>184</v>
      </c>
      <c r="E32" s="447" t="s">
        <v>185</v>
      </c>
      <c r="F32" s="447" t="s">
        <v>186</v>
      </c>
      <c r="G32" s="447" t="s">
        <v>90</v>
      </c>
      <c r="H32" s="447" t="s">
        <v>335</v>
      </c>
      <c r="I32" s="445"/>
      <c r="J32" s="445"/>
      <c r="K32" s="445"/>
    </row>
    <row r="33" spans="1:11" x14ac:dyDescent="0.2">
      <c r="A33" s="1196" t="s">
        <v>160</v>
      </c>
      <c r="B33" s="1197"/>
      <c r="C33" s="1198"/>
      <c r="D33" s="449" t="s">
        <v>161</v>
      </c>
      <c r="E33" s="450" t="s">
        <v>177</v>
      </c>
      <c r="F33" s="449" t="s">
        <v>162</v>
      </c>
      <c r="G33" s="450" t="s">
        <v>182</v>
      </c>
      <c r="H33" s="449" t="s">
        <v>183</v>
      </c>
      <c r="I33" s="445"/>
      <c r="J33" s="445"/>
      <c r="K33" s="445"/>
    </row>
    <row r="34" spans="1:11" ht="30.75" customHeight="1" x14ac:dyDescent="0.2">
      <c r="A34" s="451" t="s">
        <v>139</v>
      </c>
      <c r="B34" s="1226" t="str">
        <f>B17</f>
        <v>Supervisor Diurno Desarmado - 44hs semanais envolvendo 1 (um) funcionário</v>
      </c>
      <c r="C34" s="1226"/>
      <c r="D34" s="452">
        <f>'SUPERVISOR-DIURNO - 44h'!M140</f>
        <v>7713.4</v>
      </c>
      <c r="E34" s="453">
        <f>DADOS!K73</f>
        <v>1</v>
      </c>
      <c r="F34" s="454">
        <f>D34*E34</f>
        <v>7713.4</v>
      </c>
      <c r="G34" s="464">
        <v>2</v>
      </c>
      <c r="H34" s="454">
        <f>F34*G34</f>
        <v>15426.8</v>
      </c>
      <c r="I34" s="445"/>
      <c r="J34" s="445"/>
      <c r="K34" s="445"/>
    </row>
    <row r="35" spans="1:11" ht="30.75" customHeight="1" x14ac:dyDescent="0.2">
      <c r="A35" s="451" t="s">
        <v>333</v>
      </c>
      <c r="B35" s="1226" t="str">
        <f t="shared" ref="B35:B36" si="1">B18</f>
        <v>Vigilante Diurno Desarmado - 12 horas de segunda-feira a domingo, envolvendo 2 (dois) vigilantes em turnos de 12x36hs</v>
      </c>
      <c r="C35" s="1226"/>
      <c r="D35" s="452">
        <f>'VIGILANTE-DIURNO 12x36 DD'!M133</f>
        <v>6974.57</v>
      </c>
      <c r="E35" s="453">
        <f>DADOS!K74</f>
        <v>2</v>
      </c>
      <c r="F35" s="454">
        <f>D35*E35</f>
        <v>13949.14</v>
      </c>
      <c r="G35" s="453">
        <v>6</v>
      </c>
      <c r="H35" s="454">
        <f>F35*G35</f>
        <v>83694.84</v>
      </c>
      <c r="I35" s="445"/>
      <c r="J35" s="445"/>
      <c r="K35" s="445"/>
    </row>
    <row r="36" spans="1:11" ht="30.75" customHeight="1" x14ac:dyDescent="0.2">
      <c r="A36" s="451" t="s">
        <v>334</v>
      </c>
      <c r="B36" s="1226" t="str">
        <f t="shared" si="1"/>
        <v>Vigilante Noturno Desarmado - 12 horas de segunda-feira a domingo, envolvendo 2 (dois) vigilantes em turnos de 12x36hs</v>
      </c>
      <c r="C36" s="1226"/>
      <c r="D36" s="452">
        <f>'VIGILANTE-NOTURNO 12x36 ND'!M133</f>
        <v>7835.89</v>
      </c>
      <c r="E36" s="453">
        <f>DADOS!K75</f>
        <v>2</v>
      </c>
      <c r="F36" s="454">
        <f>D36*E36</f>
        <v>15671.78</v>
      </c>
      <c r="G36" s="453">
        <v>1</v>
      </c>
      <c r="H36" s="454">
        <f>F36*G36</f>
        <v>15671.78</v>
      </c>
      <c r="I36" s="445"/>
      <c r="J36" s="445"/>
      <c r="K36" s="445"/>
    </row>
    <row r="37" spans="1:11" ht="12" customHeight="1" x14ac:dyDescent="0.2">
      <c r="A37" s="445"/>
      <c r="B37" s="1176" t="s">
        <v>336</v>
      </c>
      <c r="C37" s="1177"/>
      <c r="D37" s="1177"/>
      <c r="E37" s="1177"/>
      <c r="F37" s="1177"/>
      <c r="G37" s="456"/>
      <c r="H37" s="457">
        <f>SUM(H34:H36)</f>
        <v>114793.42</v>
      </c>
      <c r="I37" s="445"/>
      <c r="J37" s="445"/>
      <c r="K37" s="445"/>
    </row>
    <row r="38" spans="1:11" ht="15" customHeight="1" x14ac:dyDescent="0.2">
      <c r="A38" s="458"/>
      <c r="B38" s="1176" t="s">
        <v>341</v>
      </c>
      <c r="C38" s="1177"/>
      <c r="D38" s="1177"/>
      <c r="E38" s="1177"/>
      <c r="F38" s="1177"/>
      <c r="G38" s="458"/>
      <c r="H38" s="459">
        <f>12*H37</f>
        <v>1377521.04</v>
      </c>
      <c r="I38" s="445"/>
      <c r="J38" s="445"/>
      <c r="K38" s="445"/>
    </row>
    <row r="39" spans="1:11" ht="15" customHeight="1" x14ac:dyDescent="0.2">
      <c r="A39" s="458"/>
      <c r="B39" s="465"/>
      <c r="C39" s="466"/>
      <c r="D39" s="466"/>
      <c r="E39" s="466"/>
      <c r="F39" s="466"/>
      <c r="G39" s="458"/>
      <c r="H39" s="459"/>
      <c r="I39" s="445"/>
      <c r="J39" s="445"/>
      <c r="K39" s="445"/>
    </row>
    <row r="40" spans="1:11" ht="12" customHeight="1" x14ac:dyDescent="0.2">
      <c r="A40" s="1179" t="s">
        <v>342</v>
      </c>
      <c r="B40" s="1179"/>
      <c r="C40" s="1179"/>
      <c r="D40" s="1179"/>
      <c r="E40" s="1179"/>
      <c r="F40" s="1179"/>
      <c r="G40" s="1179"/>
      <c r="H40" s="1179"/>
      <c r="I40" s="445"/>
      <c r="J40" s="445"/>
      <c r="K40" s="445"/>
    </row>
    <row r="41" spans="1:11" ht="12" customHeight="1" x14ac:dyDescent="0.2">
      <c r="A41" s="1185" t="s">
        <v>164</v>
      </c>
      <c r="B41" s="1185"/>
      <c r="C41" s="1185"/>
      <c r="D41" s="1185"/>
      <c r="E41" s="1185"/>
      <c r="F41" s="1185"/>
      <c r="G41" s="1185"/>
      <c r="H41" s="1185"/>
      <c r="I41" s="445"/>
      <c r="J41" s="445"/>
      <c r="K41" s="445"/>
    </row>
    <row r="42" spans="1:11" ht="21.75" customHeight="1" x14ac:dyDescent="0.2">
      <c r="A42" s="447" t="s">
        <v>343</v>
      </c>
      <c r="B42" s="1228" t="s">
        <v>344</v>
      </c>
      <c r="C42" s="1229"/>
      <c r="D42" s="1230"/>
      <c r="E42" s="447" t="s">
        <v>345</v>
      </c>
      <c r="F42" s="447" t="s">
        <v>346</v>
      </c>
      <c r="G42" s="1185" t="s">
        <v>347</v>
      </c>
      <c r="H42" s="1185"/>
      <c r="I42" s="445"/>
      <c r="J42" s="445"/>
      <c r="K42" s="445"/>
    </row>
    <row r="43" spans="1:11" ht="12" customHeight="1" x14ac:dyDescent="0.2">
      <c r="A43" s="451" t="s">
        <v>139</v>
      </c>
      <c r="B43" s="1186" t="str">
        <f>DADOS!H99</f>
        <v>PERÍODO à partir de 06 de abril/2018</v>
      </c>
      <c r="C43" s="1187"/>
      <c r="D43" s="1188"/>
      <c r="E43" s="461">
        <f t="shared" ref="E43:F45" si="2">F34</f>
        <v>7713.4</v>
      </c>
      <c r="F43" s="462">
        <f t="shared" si="2"/>
        <v>2</v>
      </c>
      <c r="G43" s="1235">
        <f>E43*F43</f>
        <v>15426.8</v>
      </c>
      <c r="H43" s="1236"/>
      <c r="I43" s="445"/>
      <c r="J43" s="445"/>
      <c r="K43" s="445"/>
    </row>
    <row r="44" spans="1:11" ht="12" customHeight="1" x14ac:dyDescent="0.2">
      <c r="A44" s="451" t="s">
        <v>333</v>
      </c>
      <c r="B44" s="1186" t="str">
        <f>DADOS!H100</f>
        <v>CATEGORIA</v>
      </c>
      <c r="C44" s="1187"/>
      <c r="D44" s="1188"/>
      <c r="E44" s="461">
        <f t="shared" si="2"/>
        <v>13949.14</v>
      </c>
      <c r="F44" s="462">
        <f t="shared" si="2"/>
        <v>6</v>
      </c>
      <c r="G44" s="1235">
        <f>E44*F44</f>
        <v>83694.84</v>
      </c>
      <c r="H44" s="1236"/>
      <c r="I44" s="445"/>
      <c r="J44" s="445"/>
      <c r="K44" s="445"/>
    </row>
    <row r="45" spans="1:11" ht="12" customHeight="1" x14ac:dyDescent="0.2">
      <c r="A45" s="451" t="s">
        <v>334</v>
      </c>
      <c r="B45" s="1186" t="str">
        <f>DADOS!H101</f>
        <v>Supervisor Diurno Desarmado - 44hs semanais envolvendo 1 (um) funcionário</v>
      </c>
      <c r="C45" s="1187"/>
      <c r="D45" s="1188"/>
      <c r="E45" s="461">
        <f t="shared" si="2"/>
        <v>15671.78</v>
      </c>
      <c r="F45" s="462">
        <f t="shared" si="2"/>
        <v>1</v>
      </c>
      <c r="G45" s="1235">
        <f>E45*F45</f>
        <v>15671.78</v>
      </c>
      <c r="H45" s="1236"/>
      <c r="I45" s="445"/>
      <c r="J45" s="445"/>
      <c r="K45" s="445"/>
    </row>
    <row r="46" spans="1:11" ht="12" customHeight="1" x14ac:dyDescent="0.2">
      <c r="A46" s="1231" t="s">
        <v>57</v>
      </c>
      <c r="B46" s="1232"/>
      <c r="C46" s="1232"/>
      <c r="D46" s="1232"/>
      <c r="E46" s="1233"/>
      <c r="F46" s="451">
        <f>SUM(F43:F45)</f>
        <v>9</v>
      </c>
      <c r="G46" s="1234">
        <f>SUM(G43:H45)</f>
        <v>114793.42</v>
      </c>
      <c r="H46" s="1234"/>
      <c r="I46" s="445"/>
      <c r="J46" s="445"/>
      <c r="K46" s="445"/>
    </row>
    <row r="47" spans="1:11" ht="12" customHeight="1" x14ac:dyDescent="0.2">
      <c r="A47" s="1178"/>
      <c r="B47" s="1178"/>
      <c r="C47" s="1178"/>
      <c r="D47" s="1178"/>
      <c r="E47" s="1178"/>
      <c r="F47" s="1178"/>
      <c r="G47" s="1178"/>
      <c r="H47" s="1178"/>
      <c r="I47" s="445"/>
      <c r="J47" s="445"/>
      <c r="K47" s="445"/>
    </row>
    <row r="48" spans="1:11" ht="12" customHeight="1" x14ac:dyDescent="0.2">
      <c r="A48" s="1179" t="s">
        <v>337</v>
      </c>
      <c r="B48" s="1179"/>
      <c r="C48" s="1179"/>
      <c r="D48" s="1179"/>
      <c r="E48" s="1179"/>
      <c r="F48" s="1179"/>
      <c r="G48" s="1179"/>
      <c r="H48" s="1179"/>
      <c r="I48" s="445"/>
      <c r="J48" s="445"/>
      <c r="K48" s="445"/>
    </row>
    <row r="49" spans="1:11" ht="12" customHeight="1" x14ac:dyDescent="0.2">
      <c r="A49" s="1184" t="s">
        <v>140</v>
      </c>
      <c r="B49" s="1184"/>
      <c r="C49" s="1184"/>
      <c r="D49" s="1184"/>
      <c r="E49" s="1184"/>
      <c r="F49" s="1184"/>
      <c r="G49" s="1184"/>
      <c r="H49" s="1184"/>
      <c r="I49" s="445"/>
      <c r="J49" s="445"/>
      <c r="K49" s="445"/>
    </row>
    <row r="50" spans="1:11" ht="12" customHeight="1" x14ac:dyDescent="0.2">
      <c r="A50" s="463" t="s">
        <v>1</v>
      </c>
      <c r="B50" s="1184" t="s">
        <v>110</v>
      </c>
      <c r="C50" s="1184"/>
      <c r="D50" s="1184"/>
      <c r="E50" s="1184"/>
      <c r="F50" s="1184"/>
      <c r="G50" s="1185" t="s">
        <v>135</v>
      </c>
      <c r="H50" s="1185"/>
      <c r="I50" s="445"/>
      <c r="J50" s="445"/>
      <c r="K50" s="445"/>
    </row>
    <row r="51" spans="1:11" ht="12" customHeight="1" x14ac:dyDescent="0.2">
      <c r="A51" s="453" t="s">
        <v>338</v>
      </c>
      <c r="B51" s="1186" t="str">
        <f>B34</f>
        <v>Supervisor Diurno Desarmado - 44hs semanais envolvendo 1 (um) funcionário</v>
      </c>
      <c r="C51" s="1187"/>
      <c r="D51" s="1187"/>
      <c r="E51" s="1187"/>
      <c r="F51" s="1188"/>
      <c r="G51" s="1189">
        <f>G43</f>
        <v>15426.8</v>
      </c>
      <c r="H51" s="1190"/>
      <c r="I51" s="445"/>
      <c r="J51" s="445"/>
      <c r="K51" s="445"/>
    </row>
    <row r="52" spans="1:11" ht="12" customHeight="1" x14ac:dyDescent="0.2">
      <c r="A52" s="453" t="s">
        <v>339</v>
      </c>
      <c r="B52" s="1186" t="str">
        <f>B35</f>
        <v>Vigilante Diurno Desarmado - 12 horas de segunda-feira a domingo, envolvendo 2 (dois) vigilantes em turnos de 12x36hs</v>
      </c>
      <c r="C52" s="1187"/>
      <c r="D52" s="1187"/>
      <c r="E52" s="1187"/>
      <c r="F52" s="1188"/>
      <c r="G52" s="1189">
        <f>G44</f>
        <v>83694.84</v>
      </c>
      <c r="H52" s="1190"/>
      <c r="I52" s="445"/>
      <c r="J52" s="445"/>
      <c r="K52" s="445"/>
    </row>
    <row r="53" spans="1:11" ht="12" customHeight="1" x14ac:dyDescent="0.2">
      <c r="A53" s="453" t="s">
        <v>340</v>
      </c>
      <c r="B53" s="1186" t="str">
        <f>B36</f>
        <v>Vigilante Noturno Desarmado - 12 horas de segunda-feira a domingo, envolvendo 2 (dois) vigilantes em turnos de 12x36hs</v>
      </c>
      <c r="C53" s="1187"/>
      <c r="D53" s="1187"/>
      <c r="E53" s="1187"/>
      <c r="F53" s="1188"/>
      <c r="G53" s="1189">
        <f>G45</f>
        <v>15671.78</v>
      </c>
      <c r="H53" s="1190"/>
      <c r="I53" s="445"/>
      <c r="J53" s="445"/>
      <c r="K53" s="445"/>
    </row>
    <row r="54" spans="1:11" ht="12" customHeight="1" x14ac:dyDescent="0.2">
      <c r="A54" s="463" t="s">
        <v>2</v>
      </c>
      <c r="B54" s="1176" t="s">
        <v>141</v>
      </c>
      <c r="C54" s="1177"/>
      <c r="D54" s="1177"/>
      <c r="E54" s="1177"/>
      <c r="F54" s="1195"/>
      <c r="G54" s="1183">
        <f>SUM(G51:H53)</f>
        <v>114793.42</v>
      </c>
      <c r="H54" s="1183"/>
      <c r="I54" s="445"/>
      <c r="J54" s="445"/>
      <c r="K54" s="445"/>
    </row>
    <row r="55" spans="1:11" ht="12" customHeight="1" x14ac:dyDescent="0.2">
      <c r="A55" s="463" t="s">
        <v>4</v>
      </c>
      <c r="B55" s="1176" t="s">
        <v>341</v>
      </c>
      <c r="C55" s="1177"/>
      <c r="D55" s="1177"/>
      <c r="E55" s="1177"/>
      <c r="F55" s="1177"/>
      <c r="G55" s="1183">
        <f>G54*12</f>
        <v>1377521.04</v>
      </c>
      <c r="H55" s="1183"/>
      <c r="I55" s="445"/>
      <c r="J55" s="445"/>
      <c r="K55" s="445"/>
    </row>
    <row r="56" spans="1:11" ht="12" customHeight="1" x14ac:dyDescent="0.2">
      <c r="A56" s="467"/>
      <c r="B56" s="467"/>
      <c r="C56" s="467"/>
      <c r="D56" s="467"/>
      <c r="E56" s="467"/>
      <c r="F56" s="467"/>
      <c r="G56" s="467"/>
      <c r="H56" s="467"/>
      <c r="I56" s="445"/>
      <c r="J56" s="445"/>
      <c r="K56" s="445"/>
    </row>
    <row r="57" spans="1:11" ht="12" customHeight="1" x14ac:dyDescent="0.2">
      <c r="A57" s="467"/>
      <c r="B57" s="467"/>
      <c r="C57" s="467"/>
      <c r="D57" s="467"/>
      <c r="E57" s="467"/>
      <c r="F57" s="467"/>
      <c r="G57" s="467"/>
      <c r="H57" s="467"/>
      <c r="I57" s="467"/>
      <c r="J57" s="467"/>
      <c r="K57" s="445"/>
    </row>
    <row r="58" spans="1:11" x14ac:dyDescent="0.2">
      <c r="A58" s="1227" t="s">
        <v>417</v>
      </c>
      <c r="B58" s="1227"/>
      <c r="C58" s="1227"/>
      <c r="D58" s="1227"/>
      <c r="E58" s="1227"/>
      <c r="F58" s="1227"/>
      <c r="G58" s="1227"/>
      <c r="H58" s="1227"/>
      <c r="I58" s="467"/>
      <c r="J58" s="467"/>
      <c r="K58" s="445"/>
    </row>
    <row r="59" spans="1:11" ht="24.75" customHeight="1" x14ac:dyDescent="0.2">
      <c r="A59" s="1184" t="s">
        <v>163</v>
      </c>
      <c r="B59" s="1184"/>
      <c r="C59" s="1184"/>
      <c r="D59" s="447" t="s">
        <v>184</v>
      </c>
      <c r="E59" s="447" t="s">
        <v>185</v>
      </c>
      <c r="F59" s="447" t="s">
        <v>186</v>
      </c>
      <c r="G59" s="447" t="s">
        <v>90</v>
      </c>
      <c r="H59" s="447" t="s">
        <v>335</v>
      </c>
      <c r="I59" s="467"/>
      <c r="J59" s="467"/>
      <c r="K59" s="445"/>
    </row>
    <row r="60" spans="1:11" ht="12" customHeight="1" x14ac:dyDescent="0.2">
      <c r="A60" s="1196" t="s">
        <v>160</v>
      </c>
      <c r="B60" s="1197"/>
      <c r="C60" s="1198"/>
      <c r="D60" s="449" t="s">
        <v>161</v>
      </c>
      <c r="E60" s="450" t="s">
        <v>177</v>
      </c>
      <c r="F60" s="449" t="s">
        <v>162</v>
      </c>
      <c r="G60" s="450" t="s">
        <v>182</v>
      </c>
      <c r="H60" s="449" t="s">
        <v>183</v>
      </c>
      <c r="I60" s="467"/>
      <c r="J60" s="467"/>
      <c r="K60" s="445"/>
    </row>
    <row r="61" spans="1:11" ht="23.25" customHeight="1" x14ac:dyDescent="0.2">
      <c r="A61" s="451" t="s">
        <v>139</v>
      </c>
      <c r="B61" s="1226" t="str">
        <f>B34</f>
        <v>Supervisor Diurno Desarmado - 44hs semanais envolvendo 1 (um) funcionário</v>
      </c>
      <c r="C61" s="1226"/>
      <c r="D61" s="452">
        <f>'SUPERVISOR-DIURNO - 44h'!O140</f>
        <v>7874.54</v>
      </c>
      <c r="E61" s="453">
        <v>1</v>
      </c>
      <c r="F61" s="454">
        <f>D61*E61</f>
        <v>7874.54</v>
      </c>
      <c r="G61" s="464">
        <v>1</v>
      </c>
      <c r="H61" s="454">
        <f>F61*G61</f>
        <v>7874.54</v>
      </c>
      <c r="I61" s="467"/>
      <c r="J61" s="467"/>
      <c r="K61" s="445"/>
    </row>
    <row r="62" spans="1:11" ht="33.75" customHeight="1" x14ac:dyDescent="0.2">
      <c r="A62" s="451" t="s">
        <v>333</v>
      </c>
      <c r="B62" s="1226" t="str">
        <f t="shared" ref="B62:B63" si="3">B35</f>
        <v>Vigilante Diurno Desarmado - 12 horas de segunda-feira a domingo, envolvendo 2 (dois) vigilantes em turnos de 12x36hs</v>
      </c>
      <c r="C62" s="1226"/>
      <c r="D62" s="452">
        <f>'VIGILANTE-DIURNO 12x36 DD'!O133</f>
        <v>7120.57</v>
      </c>
      <c r="E62" s="453">
        <v>2</v>
      </c>
      <c r="F62" s="454">
        <f t="shared" ref="F62:F63" si="4">D62*E62</f>
        <v>14241.14</v>
      </c>
      <c r="G62" s="453">
        <v>6</v>
      </c>
      <c r="H62" s="454">
        <f t="shared" ref="H62:H63" si="5">F62*G62</f>
        <v>85446.84</v>
      </c>
      <c r="I62" s="467"/>
      <c r="J62" s="467"/>
      <c r="K62" s="445"/>
    </row>
    <row r="63" spans="1:11" ht="28.5" customHeight="1" x14ac:dyDescent="0.2">
      <c r="A63" s="451" t="s">
        <v>334</v>
      </c>
      <c r="B63" s="1226" t="str">
        <f t="shared" si="3"/>
        <v>Vigilante Noturno Desarmado - 12 horas de segunda-feira a domingo, envolvendo 2 (dois) vigilantes em turnos de 12x36hs</v>
      </c>
      <c r="C63" s="1226"/>
      <c r="D63" s="452">
        <f>'VIGILANTE-NOTURNO 12x36 ND'!O133</f>
        <v>7970.04</v>
      </c>
      <c r="E63" s="453">
        <v>2</v>
      </c>
      <c r="F63" s="454">
        <f t="shared" si="4"/>
        <v>15940.08</v>
      </c>
      <c r="G63" s="453">
        <v>1</v>
      </c>
      <c r="H63" s="454">
        <f t="shared" si="5"/>
        <v>15940.08</v>
      </c>
      <c r="I63" s="467"/>
      <c r="J63" s="467"/>
      <c r="K63" s="445"/>
    </row>
    <row r="64" spans="1:11" ht="12" customHeight="1" x14ac:dyDescent="0.2">
      <c r="A64" s="445"/>
      <c r="B64" s="1176" t="s">
        <v>336</v>
      </c>
      <c r="C64" s="1177"/>
      <c r="D64" s="1177"/>
      <c r="E64" s="1177"/>
      <c r="F64" s="1177"/>
      <c r="G64" s="456"/>
      <c r="H64" s="457">
        <f>SUM(H61:H63)</f>
        <v>109261.46</v>
      </c>
      <c r="I64" s="467"/>
      <c r="J64" s="467"/>
      <c r="K64" s="445"/>
    </row>
    <row r="65" spans="1:12" ht="12" customHeight="1" x14ac:dyDescent="0.2">
      <c r="A65" s="458"/>
      <c r="B65" s="1176" t="s">
        <v>341</v>
      </c>
      <c r="C65" s="1177"/>
      <c r="D65" s="1177"/>
      <c r="E65" s="1177"/>
      <c r="F65" s="1177"/>
      <c r="G65" s="458"/>
      <c r="H65" s="459">
        <f>12*H64</f>
        <v>1311137.52</v>
      </c>
      <c r="I65" s="467"/>
      <c r="J65" s="467"/>
      <c r="K65" s="445"/>
    </row>
    <row r="66" spans="1:12" ht="12" customHeight="1" x14ac:dyDescent="0.2">
      <c r="A66" s="458"/>
      <c r="B66" s="465"/>
      <c r="C66" s="466"/>
      <c r="D66" s="466"/>
      <c r="E66" s="466"/>
      <c r="F66" s="466"/>
      <c r="G66" s="458"/>
      <c r="H66" s="459"/>
      <c r="I66" s="467"/>
      <c r="J66" s="467"/>
      <c r="K66" s="445"/>
    </row>
    <row r="67" spans="1:12" ht="12" customHeight="1" x14ac:dyDescent="0.2">
      <c r="A67" s="1178"/>
      <c r="B67" s="1178"/>
      <c r="C67" s="1178"/>
      <c r="D67" s="1178"/>
      <c r="E67" s="1178"/>
      <c r="F67" s="1178"/>
      <c r="G67" s="1178"/>
      <c r="H67" s="1178"/>
      <c r="I67" s="467"/>
      <c r="J67" s="467"/>
      <c r="K67" s="445"/>
    </row>
    <row r="68" spans="1:12" ht="12" customHeight="1" x14ac:dyDescent="0.2">
      <c r="A68" s="1179" t="s">
        <v>337</v>
      </c>
      <c r="B68" s="1179"/>
      <c r="C68" s="1179"/>
      <c r="D68" s="1179"/>
      <c r="E68" s="1179"/>
      <c r="F68" s="1179"/>
      <c r="G68" s="1179"/>
      <c r="H68" s="1179"/>
      <c r="I68" s="467"/>
      <c r="J68" s="467"/>
      <c r="K68" s="445"/>
    </row>
    <row r="69" spans="1:12" ht="12" customHeight="1" x14ac:dyDescent="0.2">
      <c r="A69" s="1184" t="s">
        <v>140</v>
      </c>
      <c r="B69" s="1184"/>
      <c r="C69" s="1184"/>
      <c r="D69" s="1184"/>
      <c r="E69" s="1184"/>
      <c r="F69" s="1184"/>
      <c r="G69" s="1184"/>
      <c r="H69" s="1184"/>
      <c r="I69" s="467"/>
      <c r="J69" s="467"/>
      <c r="K69" s="445"/>
    </row>
    <row r="70" spans="1:12" ht="12" customHeight="1" x14ac:dyDescent="0.2">
      <c r="A70" s="463" t="s">
        <v>1</v>
      </c>
      <c r="B70" s="1184" t="s">
        <v>110</v>
      </c>
      <c r="C70" s="1184"/>
      <c r="D70" s="1184"/>
      <c r="E70" s="1184"/>
      <c r="F70" s="1184"/>
      <c r="G70" s="1185" t="s">
        <v>135</v>
      </c>
      <c r="H70" s="1185"/>
      <c r="I70" s="445"/>
      <c r="J70" s="445"/>
      <c r="K70" s="445"/>
    </row>
    <row r="71" spans="1:12" ht="12" customHeight="1" x14ac:dyDescent="0.2">
      <c r="A71" s="453" t="s">
        <v>338</v>
      </c>
      <c r="B71" s="1186" t="str">
        <f>B61</f>
        <v>Supervisor Diurno Desarmado - 44hs semanais envolvendo 1 (um) funcionário</v>
      </c>
      <c r="C71" s="1187"/>
      <c r="D71" s="1187"/>
      <c r="E71" s="1187"/>
      <c r="F71" s="1188"/>
      <c r="G71" s="1189">
        <f>H61</f>
        <v>7874.54</v>
      </c>
      <c r="H71" s="1190"/>
      <c r="I71" s="445"/>
      <c r="J71" s="445"/>
      <c r="K71" s="445"/>
    </row>
    <row r="72" spans="1:12" ht="12" customHeight="1" x14ac:dyDescent="0.2">
      <c r="A72" s="453" t="s">
        <v>339</v>
      </c>
      <c r="B72" s="1186" t="str">
        <f>B62</f>
        <v>Vigilante Diurno Desarmado - 12 horas de segunda-feira a domingo, envolvendo 2 (dois) vigilantes em turnos de 12x36hs</v>
      </c>
      <c r="C72" s="1187"/>
      <c r="D72" s="1187"/>
      <c r="E72" s="1187"/>
      <c r="F72" s="1188"/>
      <c r="G72" s="1189">
        <f t="shared" ref="G72:G73" si="6">H62</f>
        <v>85446.84</v>
      </c>
      <c r="H72" s="1190"/>
      <c r="I72" s="445"/>
      <c r="J72" s="445"/>
      <c r="K72" s="445"/>
    </row>
    <row r="73" spans="1:12" ht="12" customHeight="1" x14ac:dyDescent="0.2">
      <c r="A73" s="453" t="s">
        <v>340</v>
      </c>
      <c r="B73" s="1186" t="str">
        <f>B63</f>
        <v>Vigilante Noturno Desarmado - 12 horas de segunda-feira a domingo, envolvendo 2 (dois) vigilantes em turnos de 12x36hs</v>
      </c>
      <c r="C73" s="1187"/>
      <c r="D73" s="1187"/>
      <c r="E73" s="1187"/>
      <c r="F73" s="1188"/>
      <c r="G73" s="1189">
        <f t="shared" si="6"/>
        <v>15940.08</v>
      </c>
      <c r="H73" s="1190"/>
      <c r="I73" s="445"/>
      <c r="J73" s="445"/>
      <c r="K73" s="468"/>
      <c r="L73" s="392"/>
    </row>
    <row r="74" spans="1:12" ht="12" customHeight="1" x14ac:dyDescent="0.2">
      <c r="A74" s="463" t="s">
        <v>2</v>
      </c>
      <c r="B74" s="1176" t="s">
        <v>141</v>
      </c>
      <c r="C74" s="1177"/>
      <c r="D74" s="1177"/>
      <c r="E74" s="1177"/>
      <c r="F74" s="1195"/>
      <c r="G74" s="1183">
        <f>SUM(G71:H73)</f>
        <v>109261.46</v>
      </c>
      <c r="H74" s="1183"/>
      <c r="I74" s="445"/>
      <c r="J74" s="445"/>
      <c r="K74" s="468"/>
      <c r="L74" s="394"/>
    </row>
    <row r="75" spans="1:12" ht="12" customHeight="1" x14ac:dyDescent="0.2">
      <c r="A75" s="463" t="s">
        <v>4</v>
      </c>
      <c r="B75" s="1176" t="s">
        <v>341</v>
      </c>
      <c r="C75" s="1177"/>
      <c r="D75" s="1177"/>
      <c r="E75" s="1177"/>
      <c r="F75" s="1177"/>
      <c r="G75" s="1183">
        <f>G74*12</f>
        <v>1311137.52</v>
      </c>
      <c r="H75" s="1183"/>
      <c r="I75" s="445"/>
      <c r="J75" s="445"/>
      <c r="K75" s="445"/>
      <c r="L75" s="392"/>
    </row>
    <row r="76" spans="1:12" ht="12" customHeight="1" x14ac:dyDescent="0.2">
      <c r="A76" s="467"/>
      <c r="B76" s="467"/>
      <c r="C76" s="467"/>
      <c r="D76" s="467"/>
      <c r="E76" s="467"/>
      <c r="F76" s="467"/>
      <c r="G76" s="467"/>
      <c r="H76" s="467"/>
      <c r="I76" s="445"/>
      <c r="J76" s="445"/>
      <c r="K76" s="445"/>
    </row>
    <row r="77" spans="1:12" ht="12" customHeight="1" x14ac:dyDescent="0.2">
      <c r="A77" s="1227" t="s">
        <v>418</v>
      </c>
      <c r="B77" s="1227"/>
      <c r="C77" s="1227"/>
      <c r="D77" s="1227"/>
      <c r="E77" s="1227"/>
      <c r="F77" s="1227"/>
      <c r="G77" s="1227"/>
      <c r="H77" s="1227"/>
      <c r="I77" s="445"/>
      <c r="J77" s="445"/>
      <c r="K77" s="445"/>
    </row>
    <row r="78" spans="1:12" ht="24" customHeight="1" x14ac:dyDescent="0.2">
      <c r="A78" s="1184" t="s">
        <v>163</v>
      </c>
      <c r="B78" s="1184"/>
      <c r="C78" s="1184"/>
      <c r="D78" s="447" t="s">
        <v>184</v>
      </c>
      <c r="E78" s="447" t="s">
        <v>185</v>
      </c>
      <c r="F78" s="447" t="s">
        <v>186</v>
      </c>
      <c r="G78" s="447" t="s">
        <v>90</v>
      </c>
      <c r="H78" s="447" t="s">
        <v>335</v>
      </c>
      <c r="I78" s="445"/>
      <c r="J78" s="445"/>
      <c r="K78" s="445"/>
    </row>
    <row r="79" spans="1:12" ht="12" customHeight="1" x14ac:dyDescent="0.2">
      <c r="A79" s="1196" t="s">
        <v>160</v>
      </c>
      <c r="B79" s="1197"/>
      <c r="C79" s="1198"/>
      <c r="D79" s="449" t="s">
        <v>161</v>
      </c>
      <c r="E79" s="450" t="s">
        <v>177</v>
      </c>
      <c r="F79" s="449" t="s">
        <v>162</v>
      </c>
      <c r="G79" s="450" t="s">
        <v>182</v>
      </c>
      <c r="H79" s="449" t="s">
        <v>183</v>
      </c>
      <c r="I79" s="445"/>
      <c r="J79" s="445"/>
      <c r="K79" s="445"/>
    </row>
    <row r="80" spans="1:12" ht="21" customHeight="1" x14ac:dyDescent="0.2">
      <c r="A80" s="451" t="s">
        <v>139</v>
      </c>
      <c r="B80" s="1226" t="str">
        <f>B61</f>
        <v>Supervisor Diurno Desarmado - 44hs semanais envolvendo 1 (um) funcionário</v>
      </c>
      <c r="C80" s="1226"/>
      <c r="D80" s="452">
        <f>'SUPERVISOR-DIURNO - 44h'!O140</f>
        <v>7874.54</v>
      </c>
      <c r="E80" s="453">
        <v>1</v>
      </c>
      <c r="F80" s="454">
        <f>D80*E80</f>
        <v>7874.54</v>
      </c>
      <c r="G80" s="464">
        <v>2</v>
      </c>
      <c r="H80" s="454">
        <f>F80*G80</f>
        <v>15749.08</v>
      </c>
      <c r="I80" s="445"/>
      <c r="J80" s="445"/>
      <c r="K80" s="469"/>
      <c r="L80" s="394"/>
    </row>
    <row r="81" spans="1:12" ht="21" customHeight="1" x14ac:dyDescent="0.2">
      <c r="A81" s="451" t="s">
        <v>333</v>
      </c>
      <c r="B81" s="1226" t="str">
        <f t="shared" ref="B81:B82" si="7">B62</f>
        <v>Vigilante Diurno Desarmado - 12 horas de segunda-feira a domingo, envolvendo 2 (dois) vigilantes em turnos de 12x36hs</v>
      </c>
      <c r="C81" s="1226"/>
      <c r="D81" s="452">
        <f>'VIGILANTE-DIURNO 12x36 DD'!O133</f>
        <v>7120.57</v>
      </c>
      <c r="E81" s="453">
        <v>2</v>
      </c>
      <c r="F81" s="454">
        <f t="shared" ref="F81" si="8">D81*E81</f>
        <v>14241.14</v>
      </c>
      <c r="G81" s="453">
        <v>6</v>
      </c>
      <c r="H81" s="454">
        <f t="shared" ref="H81:H82" si="9">F81*G81</f>
        <v>85446.84</v>
      </c>
      <c r="I81" s="445"/>
      <c r="J81" s="445"/>
      <c r="K81" s="469"/>
      <c r="L81" s="394"/>
    </row>
    <row r="82" spans="1:12" ht="21" customHeight="1" x14ac:dyDescent="0.2">
      <c r="A82" s="451" t="s">
        <v>334</v>
      </c>
      <c r="B82" s="1226" t="str">
        <f t="shared" si="7"/>
        <v>Vigilante Noturno Desarmado - 12 horas de segunda-feira a domingo, envolvendo 2 (dois) vigilantes em turnos de 12x36hs</v>
      </c>
      <c r="C82" s="1226"/>
      <c r="D82" s="452">
        <f>'VIGILANTE-NOTURNO 12x36 ND'!O133</f>
        <v>7970.04</v>
      </c>
      <c r="E82" s="453">
        <v>2</v>
      </c>
      <c r="F82" s="454">
        <f>D82*E82</f>
        <v>15940.08</v>
      </c>
      <c r="G82" s="453">
        <v>1</v>
      </c>
      <c r="H82" s="454">
        <f t="shared" si="9"/>
        <v>15940.08</v>
      </c>
      <c r="I82" s="445"/>
      <c r="J82" s="445"/>
      <c r="K82" s="469"/>
      <c r="L82" s="394"/>
    </row>
    <row r="83" spans="1:12" ht="18" customHeight="1" x14ac:dyDescent="0.2">
      <c r="A83" s="445"/>
      <c r="B83" s="1176" t="s">
        <v>336</v>
      </c>
      <c r="C83" s="1177"/>
      <c r="D83" s="1177"/>
      <c r="E83" s="1177"/>
      <c r="F83" s="1177"/>
      <c r="G83" s="456"/>
      <c r="H83" s="457">
        <f>SUM(H80:H82)</f>
        <v>117136</v>
      </c>
      <c r="I83" s="445"/>
      <c r="J83" s="445"/>
      <c r="K83" s="445"/>
    </row>
    <row r="84" spans="1:12" x14ac:dyDescent="0.2">
      <c r="A84" s="458"/>
      <c r="B84" s="1176" t="s">
        <v>341</v>
      </c>
      <c r="C84" s="1177"/>
      <c r="D84" s="1177"/>
      <c r="E84" s="1177"/>
      <c r="F84" s="1177"/>
      <c r="G84" s="458"/>
      <c r="H84" s="459">
        <f>12*H83</f>
        <v>1405632</v>
      </c>
      <c r="I84" s="445"/>
      <c r="J84" s="445"/>
      <c r="K84" s="445"/>
      <c r="L84" s="395"/>
    </row>
    <row r="85" spans="1:12" x14ac:dyDescent="0.2">
      <c r="A85" s="458"/>
      <c r="B85" s="465"/>
      <c r="C85" s="466"/>
      <c r="D85" s="466"/>
      <c r="E85" s="466"/>
      <c r="F85" s="466"/>
      <c r="G85" s="458"/>
      <c r="H85" s="459"/>
      <c r="I85" s="445"/>
      <c r="J85" s="445"/>
      <c r="K85" s="445"/>
    </row>
    <row r="86" spans="1:12" x14ac:dyDescent="0.2">
      <c r="A86" s="1178"/>
      <c r="B86" s="1178"/>
      <c r="C86" s="1178"/>
      <c r="D86" s="1178"/>
      <c r="E86" s="1178"/>
      <c r="F86" s="1178"/>
      <c r="G86" s="1178"/>
      <c r="H86" s="1178"/>
      <c r="I86" s="445"/>
      <c r="J86" s="445"/>
      <c r="K86" s="445"/>
    </row>
    <row r="87" spans="1:12" x14ac:dyDescent="0.2">
      <c r="A87" s="1179" t="s">
        <v>337</v>
      </c>
      <c r="B87" s="1179"/>
      <c r="C87" s="1179"/>
      <c r="D87" s="1179"/>
      <c r="E87" s="1179"/>
      <c r="F87" s="1179"/>
      <c r="G87" s="1179"/>
      <c r="H87" s="1179"/>
      <c r="I87" s="445"/>
      <c r="J87" s="445"/>
      <c r="K87" s="445"/>
    </row>
    <row r="88" spans="1:12" x14ac:dyDescent="0.2">
      <c r="A88" s="1184" t="s">
        <v>140</v>
      </c>
      <c r="B88" s="1184"/>
      <c r="C88" s="1184"/>
      <c r="D88" s="1184"/>
      <c r="E88" s="1184"/>
      <c r="F88" s="1184"/>
      <c r="G88" s="1184"/>
      <c r="H88" s="1184"/>
      <c r="I88" s="445"/>
      <c r="J88" s="445"/>
      <c r="K88" s="445"/>
    </row>
    <row r="89" spans="1:12" x14ac:dyDescent="0.2">
      <c r="A89" s="463" t="s">
        <v>1</v>
      </c>
      <c r="B89" s="1184" t="s">
        <v>110</v>
      </c>
      <c r="C89" s="1184"/>
      <c r="D89" s="1184"/>
      <c r="E89" s="1184"/>
      <c r="F89" s="1184"/>
      <c r="G89" s="1185" t="s">
        <v>135</v>
      </c>
      <c r="H89" s="1185"/>
      <c r="I89" s="445"/>
      <c r="J89" s="445"/>
      <c r="K89" s="445"/>
    </row>
    <row r="90" spans="1:12" x14ac:dyDescent="0.2">
      <c r="A90" s="453" t="s">
        <v>338</v>
      </c>
      <c r="B90" s="1186" t="str">
        <f>B80</f>
        <v>Supervisor Diurno Desarmado - 44hs semanais envolvendo 1 (um) funcionário</v>
      </c>
      <c r="C90" s="1187"/>
      <c r="D90" s="1187"/>
      <c r="E90" s="1187"/>
      <c r="F90" s="1188"/>
      <c r="G90" s="1189">
        <f>H80</f>
        <v>15749.08</v>
      </c>
      <c r="H90" s="1190"/>
      <c r="I90" s="445"/>
      <c r="J90" s="445"/>
      <c r="K90" s="445"/>
    </row>
    <row r="91" spans="1:12" x14ac:dyDescent="0.2">
      <c r="A91" s="453" t="s">
        <v>339</v>
      </c>
      <c r="B91" s="1186" t="str">
        <f>B81</f>
        <v>Vigilante Diurno Desarmado - 12 horas de segunda-feira a domingo, envolvendo 2 (dois) vigilantes em turnos de 12x36hs</v>
      </c>
      <c r="C91" s="1187"/>
      <c r="D91" s="1187"/>
      <c r="E91" s="1187"/>
      <c r="F91" s="1188"/>
      <c r="G91" s="1189">
        <f t="shared" ref="G91:G92" si="10">H81</f>
        <v>85446.84</v>
      </c>
      <c r="H91" s="1190"/>
      <c r="I91" s="445"/>
      <c r="J91" s="445"/>
      <c r="K91" s="445"/>
    </row>
    <row r="92" spans="1:12" x14ac:dyDescent="0.2">
      <c r="A92" s="453" t="s">
        <v>340</v>
      </c>
      <c r="B92" s="1186" t="str">
        <f>B82</f>
        <v>Vigilante Noturno Desarmado - 12 horas de segunda-feira a domingo, envolvendo 2 (dois) vigilantes em turnos de 12x36hs</v>
      </c>
      <c r="C92" s="1187"/>
      <c r="D92" s="1187"/>
      <c r="E92" s="1187"/>
      <c r="F92" s="1188"/>
      <c r="G92" s="1189">
        <f t="shared" si="10"/>
        <v>15940.08</v>
      </c>
      <c r="H92" s="1190"/>
      <c r="I92" s="445"/>
      <c r="J92" s="445"/>
      <c r="K92" s="445"/>
    </row>
    <row r="93" spans="1:12" x14ac:dyDescent="0.2">
      <c r="A93" s="463" t="s">
        <v>2</v>
      </c>
      <c r="B93" s="1176" t="s">
        <v>141</v>
      </c>
      <c r="C93" s="1177"/>
      <c r="D93" s="1177"/>
      <c r="E93" s="1177"/>
      <c r="F93" s="1195"/>
      <c r="G93" s="1183">
        <f>SUM(G90:H92)</f>
        <v>117136</v>
      </c>
      <c r="H93" s="1183"/>
      <c r="I93" s="445"/>
      <c r="J93" s="445"/>
      <c r="K93" s="445"/>
    </row>
    <row r="94" spans="1:12" x14ac:dyDescent="0.2">
      <c r="A94" s="463" t="s">
        <v>4</v>
      </c>
      <c r="B94" s="1176" t="s">
        <v>447</v>
      </c>
      <c r="C94" s="1177"/>
      <c r="D94" s="1177"/>
      <c r="E94" s="1177"/>
      <c r="F94" s="1177"/>
      <c r="G94" s="1183">
        <f>G93*12</f>
        <v>1405632</v>
      </c>
      <c r="H94" s="1183"/>
      <c r="I94" s="445"/>
      <c r="J94" s="445"/>
      <c r="K94" s="445"/>
    </row>
    <row r="95" spans="1:12" x14ac:dyDescent="0.2">
      <c r="A95" s="467"/>
      <c r="B95" s="467"/>
      <c r="C95" s="467"/>
      <c r="D95" s="467"/>
      <c r="E95" s="467"/>
      <c r="F95" s="467"/>
      <c r="G95" s="467"/>
      <c r="H95" s="467"/>
      <c r="I95" s="445"/>
      <c r="J95" s="445"/>
      <c r="K95" s="445"/>
    </row>
    <row r="96" spans="1:12" x14ac:dyDescent="0.2">
      <c r="A96" s="467"/>
      <c r="B96" s="467"/>
      <c r="C96" s="467"/>
      <c r="D96" s="467"/>
      <c r="E96" s="467"/>
      <c r="F96" s="467"/>
      <c r="G96" s="467"/>
      <c r="H96" s="467"/>
      <c r="I96" s="445"/>
      <c r="J96" s="445"/>
      <c r="K96" s="445"/>
    </row>
    <row r="97" spans="1:15" x14ac:dyDescent="0.2">
      <c r="A97" s="467"/>
      <c r="B97" s="467"/>
      <c r="C97" s="467"/>
      <c r="D97" s="467"/>
      <c r="E97" s="467"/>
      <c r="F97" s="467"/>
      <c r="G97" s="467"/>
      <c r="H97" s="467"/>
      <c r="I97" s="445"/>
      <c r="J97" s="445"/>
      <c r="K97" s="445"/>
    </row>
    <row r="98" spans="1:15" x14ac:dyDescent="0.2">
      <c r="A98" s="467"/>
      <c r="B98" s="467"/>
      <c r="C98" s="467"/>
      <c r="D98" s="467"/>
      <c r="E98" s="467"/>
      <c r="F98" s="467"/>
      <c r="G98" s="467"/>
      <c r="H98" s="467"/>
      <c r="I98" s="445"/>
      <c r="J98" s="445"/>
      <c r="K98" s="445"/>
    </row>
    <row r="99" spans="1:15" x14ac:dyDescent="0.2">
      <c r="A99" s="467"/>
      <c r="B99" s="470" t="s">
        <v>428</v>
      </c>
      <c r="C99" s="471"/>
      <c r="D99" s="471"/>
      <c r="E99" s="471"/>
      <c r="F99" s="471"/>
      <c r="G99" s="467"/>
      <c r="H99" s="467"/>
      <c r="I99" s="445"/>
      <c r="J99" s="445"/>
      <c r="K99" s="445"/>
    </row>
    <row r="100" spans="1:15" x14ac:dyDescent="0.2">
      <c r="A100" s="467"/>
      <c r="B100" s="467"/>
      <c r="C100" s="467"/>
      <c r="D100" s="467"/>
      <c r="E100" s="467"/>
      <c r="F100" s="467"/>
      <c r="G100" s="467"/>
      <c r="H100" s="467"/>
      <c r="I100" s="445"/>
      <c r="J100" s="445"/>
      <c r="K100" s="445"/>
    </row>
    <row r="101" spans="1:15" x14ac:dyDescent="0.2">
      <c r="A101" s="1217" t="s">
        <v>163</v>
      </c>
      <c r="B101" s="1217"/>
      <c r="C101" s="1218"/>
      <c r="D101" s="1209" t="s">
        <v>426</v>
      </c>
      <c r="E101" s="1210"/>
      <c r="F101" s="1210"/>
      <c r="G101" s="1211"/>
      <c r="H101" s="1208" t="s">
        <v>427</v>
      </c>
      <c r="I101" s="1208"/>
      <c r="J101" s="1208"/>
      <c r="K101" s="1208"/>
    </row>
    <row r="102" spans="1:15" ht="22.5" x14ac:dyDescent="0.2">
      <c r="A102" s="1219"/>
      <c r="B102" s="1219"/>
      <c r="C102" s="1220"/>
      <c r="D102" s="472" t="s">
        <v>184</v>
      </c>
      <c r="E102" s="472" t="s">
        <v>186</v>
      </c>
      <c r="F102" s="472" t="s">
        <v>90</v>
      </c>
      <c r="G102" s="472" t="s">
        <v>335</v>
      </c>
      <c r="H102" s="472" t="s">
        <v>184</v>
      </c>
      <c r="I102" s="472" t="s">
        <v>186</v>
      </c>
      <c r="J102" s="472" t="s">
        <v>90</v>
      </c>
      <c r="K102" s="472" t="s">
        <v>335</v>
      </c>
    </row>
    <row r="103" spans="1:15" x14ac:dyDescent="0.2">
      <c r="A103" s="1212" t="s">
        <v>421</v>
      </c>
      <c r="B103" s="1213"/>
      <c r="C103" s="1213"/>
      <c r="D103" s="1213"/>
      <c r="E103" s="1213"/>
      <c r="F103" s="1213"/>
      <c r="G103" s="1213"/>
      <c r="H103" s="1213"/>
      <c r="I103" s="1213"/>
      <c r="J103" s="1213"/>
      <c r="K103" s="1214"/>
    </row>
    <row r="104" spans="1:15" ht="12" customHeight="1" x14ac:dyDescent="0.2">
      <c r="A104" s="473" t="s">
        <v>139</v>
      </c>
      <c r="B104" s="1221" t="s">
        <v>402</v>
      </c>
      <c r="C104" s="1222"/>
      <c r="D104" s="474">
        <f>D8</f>
        <v>7922.18</v>
      </c>
      <c r="E104" s="475">
        <f>F8</f>
        <v>7922.18</v>
      </c>
      <c r="F104" s="473">
        <f>G8</f>
        <v>1</v>
      </c>
      <c r="G104" s="475">
        <f>H8</f>
        <v>7922.18</v>
      </c>
      <c r="H104" s="476">
        <f>D61</f>
        <v>7874.54</v>
      </c>
      <c r="I104" s="477">
        <f>F61</f>
        <v>7874.54</v>
      </c>
      <c r="J104" s="478">
        <f>G61</f>
        <v>1</v>
      </c>
      <c r="K104" s="477">
        <f>H61</f>
        <v>7874.54</v>
      </c>
    </row>
    <row r="105" spans="1:15" ht="12" customHeight="1" x14ac:dyDescent="0.2">
      <c r="A105" s="473" t="s">
        <v>333</v>
      </c>
      <c r="B105" s="1221" t="s">
        <v>228</v>
      </c>
      <c r="C105" s="1222"/>
      <c r="D105" s="474">
        <f t="shared" ref="D105:D106" si="11">D9</f>
        <v>7163.76</v>
      </c>
      <c r="E105" s="475">
        <f t="shared" ref="E105:G105" si="12">F9</f>
        <v>14327.52</v>
      </c>
      <c r="F105" s="473">
        <f t="shared" si="12"/>
        <v>6</v>
      </c>
      <c r="G105" s="475">
        <f t="shared" si="12"/>
        <v>85965.119999999995</v>
      </c>
      <c r="H105" s="476">
        <f t="shared" ref="H105:H106" si="13">D62</f>
        <v>7120.57</v>
      </c>
      <c r="I105" s="477">
        <f t="shared" ref="I105:I106" si="14">F62</f>
        <v>14241.14</v>
      </c>
      <c r="J105" s="478">
        <f t="shared" ref="J105:J106" si="15">G62</f>
        <v>6</v>
      </c>
      <c r="K105" s="477">
        <f t="shared" ref="K105:K106" si="16">H62</f>
        <v>85446.84</v>
      </c>
    </row>
    <row r="106" spans="1:15" ht="12" customHeight="1" x14ac:dyDescent="0.2">
      <c r="A106" s="473" t="s">
        <v>334</v>
      </c>
      <c r="B106" s="1221" t="s">
        <v>229</v>
      </c>
      <c r="C106" s="1222"/>
      <c r="D106" s="474">
        <f t="shared" si="11"/>
        <v>8047.51</v>
      </c>
      <c r="E106" s="475">
        <f t="shared" ref="E106:G106" si="17">F10</f>
        <v>16095.02</v>
      </c>
      <c r="F106" s="473">
        <f t="shared" si="17"/>
        <v>1</v>
      </c>
      <c r="G106" s="475">
        <f t="shared" si="17"/>
        <v>16095.02</v>
      </c>
      <c r="H106" s="476">
        <f t="shared" si="13"/>
        <v>7970.04</v>
      </c>
      <c r="I106" s="477">
        <f t="shared" si="14"/>
        <v>15940.08</v>
      </c>
      <c r="J106" s="478">
        <f t="shared" si="15"/>
        <v>1</v>
      </c>
      <c r="K106" s="477">
        <f t="shared" si="16"/>
        <v>15940.08</v>
      </c>
    </row>
    <row r="107" spans="1:15" s="13" customFormat="1" x14ac:dyDescent="0.2">
      <c r="A107" s="1212" t="s">
        <v>425</v>
      </c>
      <c r="B107" s="1213"/>
      <c r="C107" s="1213"/>
      <c r="D107" s="1213"/>
      <c r="E107" s="1213"/>
      <c r="F107" s="1214"/>
      <c r="G107" s="479">
        <f>SUM(G104:G106)</f>
        <v>109982.32</v>
      </c>
      <c r="H107" s="1209"/>
      <c r="I107" s="1210"/>
      <c r="J107" s="1211"/>
      <c r="K107" s="479">
        <f>SUM(K104:K106)</f>
        <v>109261.46</v>
      </c>
    </row>
    <row r="108" spans="1:15" x14ac:dyDescent="0.2">
      <c r="A108" s="1215"/>
      <c r="B108" s="1215"/>
      <c r="C108" s="1215"/>
      <c r="D108" s="1215"/>
      <c r="E108" s="1215"/>
      <c r="F108" s="1215"/>
      <c r="G108" s="1215"/>
      <c r="H108" s="1180" t="s">
        <v>422</v>
      </c>
      <c r="I108" s="1180"/>
      <c r="J108" s="1180"/>
      <c r="K108" s="480">
        <f>K107-G107</f>
        <v>-720.86</v>
      </c>
    </row>
    <row r="109" spans="1:15" x14ac:dyDescent="0.2">
      <c r="A109" s="1216"/>
      <c r="B109" s="1216"/>
      <c r="C109" s="1216"/>
      <c r="D109" s="1216"/>
      <c r="E109" s="1216"/>
      <c r="F109" s="1216"/>
      <c r="G109" s="1216"/>
      <c r="H109" s="1180" t="s">
        <v>423</v>
      </c>
      <c r="I109" s="1180"/>
      <c r="J109" s="1180"/>
      <c r="K109" s="480">
        <f>K108*3+5/30*K108</f>
        <v>-2282.7199999999998</v>
      </c>
    </row>
    <row r="110" spans="1:15" x14ac:dyDescent="0.2">
      <c r="A110" s="1212" t="s">
        <v>429</v>
      </c>
      <c r="B110" s="1213"/>
      <c r="C110" s="1213"/>
      <c r="D110" s="1213"/>
      <c r="E110" s="1213"/>
      <c r="F110" s="1213"/>
      <c r="G110" s="1213"/>
      <c r="H110" s="1213"/>
      <c r="I110" s="1213"/>
      <c r="J110" s="1213"/>
      <c r="K110" s="1214"/>
    </row>
    <row r="111" spans="1:15" ht="35.25" customHeight="1" x14ac:dyDescent="0.2">
      <c r="A111" s="473" t="s">
        <v>139</v>
      </c>
      <c r="B111" s="1158" t="s">
        <v>402</v>
      </c>
      <c r="C111" s="1159"/>
      <c r="D111" s="474">
        <f>D34</f>
        <v>7713.4</v>
      </c>
      <c r="E111" s="475">
        <f>F34</f>
        <v>7713.4</v>
      </c>
      <c r="F111" s="473">
        <f>G34</f>
        <v>2</v>
      </c>
      <c r="G111" s="475">
        <f>H34</f>
        <v>15426.8</v>
      </c>
      <c r="H111" s="476">
        <f>D80</f>
        <v>7874.54</v>
      </c>
      <c r="I111" s="477">
        <f>F80</f>
        <v>7874.54</v>
      </c>
      <c r="J111" s="478">
        <f>G80</f>
        <v>2</v>
      </c>
      <c r="K111" s="477">
        <f>H80</f>
        <v>15749.08</v>
      </c>
      <c r="O111" s="393"/>
    </row>
    <row r="112" spans="1:15" ht="39" customHeight="1" x14ac:dyDescent="0.2">
      <c r="A112" s="473" t="s">
        <v>333</v>
      </c>
      <c r="B112" s="1158" t="s">
        <v>228</v>
      </c>
      <c r="C112" s="1159"/>
      <c r="D112" s="474">
        <f t="shared" ref="D112:D113" si="18">D35</f>
        <v>6974.57</v>
      </c>
      <c r="E112" s="475">
        <f t="shared" ref="E112:G112" si="19">F35</f>
        <v>13949.14</v>
      </c>
      <c r="F112" s="473">
        <f t="shared" si="19"/>
        <v>6</v>
      </c>
      <c r="G112" s="475">
        <f t="shared" si="19"/>
        <v>83694.84</v>
      </c>
      <c r="H112" s="476">
        <f t="shared" ref="H112:H113" si="20">D81</f>
        <v>7120.57</v>
      </c>
      <c r="I112" s="477">
        <f t="shared" ref="I112:K112" si="21">F81</f>
        <v>14241.14</v>
      </c>
      <c r="J112" s="478">
        <f t="shared" si="21"/>
        <v>6</v>
      </c>
      <c r="K112" s="477">
        <f t="shared" si="21"/>
        <v>85446.84</v>
      </c>
    </row>
    <row r="113" spans="1:11" ht="45" customHeight="1" x14ac:dyDescent="0.2">
      <c r="A113" s="473" t="s">
        <v>334</v>
      </c>
      <c r="B113" s="1158" t="s">
        <v>229</v>
      </c>
      <c r="C113" s="1159"/>
      <c r="D113" s="474">
        <f t="shared" si="18"/>
        <v>7835.89</v>
      </c>
      <c r="E113" s="475">
        <f t="shared" ref="E113:G113" si="22">F36</f>
        <v>15671.78</v>
      </c>
      <c r="F113" s="473">
        <f t="shared" si="22"/>
        <v>1</v>
      </c>
      <c r="G113" s="475">
        <f t="shared" si="22"/>
        <v>15671.78</v>
      </c>
      <c r="H113" s="476">
        <f t="shared" si="20"/>
        <v>7970.04</v>
      </c>
      <c r="I113" s="477">
        <f t="shared" ref="I113:K113" si="23">F82</f>
        <v>15940.08</v>
      </c>
      <c r="J113" s="478">
        <f t="shared" si="23"/>
        <v>1</v>
      </c>
      <c r="K113" s="477">
        <f t="shared" si="23"/>
        <v>15940.08</v>
      </c>
    </row>
    <row r="114" spans="1:11" s="13" customFormat="1" x14ac:dyDescent="0.2">
      <c r="A114" s="1212" t="s">
        <v>425</v>
      </c>
      <c r="B114" s="1213"/>
      <c r="C114" s="1213"/>
      <c r="D114" s="1213"/>
      <c r="E114" s="1213"/>
      <c r="F114" s="1214"/>
      <c r="G114" s="479">
        <f>SUM(G111:G113)</f>
        <v>114793.42</v>
      </c>
      <c r="H114" s="1209"/>
      <c r="I114" s="1210"/>
      <c r="J114" s="1211"/>
      <c r="K114" s="481">
        <f>SUM(K111:K113)</f>
        <v>117136</v>
      </c>
    </row>
    <row r="115" spans="1:11" x14ac:dyDescent="0.2">
      <c r="A115" s="1215"/>
      <c r="B115" s="1215"/>
      <c r="C115" s="1215"/>
      <c r="D115" s="1215"/>
      <c r="E115" s="1215"/>
      <c r="F115" s="1215"/>
      <c r="G115" s="1223"/>
      <c r="H115" s="1180" t="s">
        <v>422</v>
      </c>
      <c r="I115" s="1180"/>
      <c r="J115" s="1180"/>
      <c r="K115" s="480">
        <f>K114-G114</f>
        <v>2342.58</v>
      </c>
    </row>
    <row r="116" spans="1:11" x14ac:dyDescent="0.2">
      <c r="A116" s="1224"/>
      <c r="B116" s="1224"/>
      <c r="C116" s="1224"/>
      <c r="D116" s="1224"/>
      <c r="E116" s="1224"/>
      <c r="F116" s="1224"/>
      <c r="G116" s="1225"/>
      <c r="H116" s="1180" t="s">
        <v>424</v>
      </c>
      <c r="I116" s="1180"/>
      <c r="J116" s="1180"/>
      <c r="K116" s="480">
        <f>K115*12</f>
        <v>28110.959999999999</v>
      </c>
    </row>
    <row r="117" spans="1:11" x14ac:dyDescent="0.2">
      <c r="A117" s="1224"/>
      <c r="B117" s="1224"/>
      <c r="C117" s="1224"/>
      <c r="D117" s="1224"/>
      <c r="E117" s="1224"/>
      <c r="F117" s="1224"/>
      <c r="G117" s="1225"/>
      <c r="H117" s="1180" t="s">
        <v>430</v>
      </c>
      <c r="I117" s="1180"/>
      <c r="J117" s="1180"/>
      <c r="K117" s="482">
        <f>K116+K109</f>
        <v>25828.240000000002</v>
      </c>
    </row>
    <row r="118" spans="1:11" x14ac:dyDescent="0.2">
      <c r="A118" s="660"/>
      <c r="B118" s="660"/>
      <c r="C118" s="660"/>
      <c r="D118" s="660"/>
      <c r="E118" s="660"/>
      <c r="F118" s="660"/>
      <c r="G118" s="671"/>
      <c r="H118" s="672"/>
      <c r="I118" s="672"/>
      <c r="J118" s="672"/>
      <c r="K118" s="673"/>
    </row>
    <row r="119" spans="1:11" ht="13.5" thickBot="1" x14ac:dyDescent="0.25">
      <c r="A119" s="660"/>
      <c r="B119" s="660"/>
      <c r="C119" s="660"/>
      <c r="D119" s="660"/>
      <c r="E119" s="660"/>
      <c r="F119" s="660"/>
      <c r="G119" s="671"/>
      <c r="H119" s="672"/>
      <c r="I119" s="672"/>
      <c r="J119" s="672"/>
      <c r="K119" s="673"/>
    </row>
    <row r="120" spans="1:11" x14ac:dyDescent="0.2">
      <c r="A120" s="1199" t="s">
        <v>484</v>
      </c>
      <c r="B120" s="1200"/>
      <c r="C120" s="1200"/>
      <c r="D120" s="1200"/>
      <c r="E120" s="1200"/>
      <c r="F120" s="1200"/>
      <c r="G120" s="1200"/>
      <c r="H120" s="1200"/>
      <c r="I120" s="1201"/>
      <c r="J120" s="672"/>
      <c r="K120" s="673"/>
    </row>
    <row r="121" spans="1:11" x14ac:dyDescent="0.2">
      <c r="A121" s="1202" t="s">
        <v>506</v>
      </c>
      <c r="B121" s="1203"/>
      <c r="C121" s="1203"/>
      <c r="D121" s="1203"/>
      <c r="E121" s="1203"/>
      <c r="F121" s="1203"/>
      <c r="G121" s="1203"/>
      <c r="H121" s="1203"/>
      <c r="I121" s="1204"/>
      <c r="J121" s="672"/>
      <c r="K121" s="673"/>
    </row>
    <row r="122" spans="1:11" ht="12.75" customHeight="1" x14ac:dyDescent="0.2">
      <c r="A122" s="1205" t="s">
        <v>431</v>
      </c>
      <c r="B122" s="1206"/>
      <c r="C122" s="1206"/>
      <c r="D122" s="1206"/>
      <c r="E122" s="1206"/>
      <c r="F122" s="1206"/>
      <c r="G122" s="1206"/>
      <c r="H122" s="1206"/>
      <c r="I122" s="1207"/>
      <c r="J122" s="672"/>
      <c r="K122" s="673"/>
    </row>
    <row r="123" spans="1:11" ht="44.25" customHeight="1" x14ac:dyDescent="0.2">
      <c r="A123" s="1165" t="s">
        <v>485</v>
      </c>
      <c r="B123" s="1166"/>
      <c r="C123" s="1166"/>
      <c r="D123" s="1166"/>
      <c r="E123" s="1166"/>
      <c r="F123" s="1166"/>
      <c r="G123" s="1166"/>
      <c r="H123" s="1166"/>
      <c r="I123" s="1167"/>
      <c r="J123" s="672"/>
      <c r="K123" s="673"/>
    </row>
    <row r="124" spans="1:11" x14ac:dyDescent="0.2">
      <c r="A124" s="1168" t="s">
        <v>486</v>
      </c>
      <c r="B124" s="1169"/>
      <c r="C124" s="1169"/>
      <c r="D124" s="1169"/>
      <c r="E124" s="1169"/>
      <c r="F124" s="1169"/>
      <c r="G124" s="1169"/>
      <c r="H124" s="1169"/>
      <c r="I124" s="1170"/>
      <c r="J124" s="672"/>
      <c r="K124" s="673"/>
    </row>
    <row r="125" spans="1:11" ht="12.75" customHeight="1" x14ac:dyDescent="0.2">
      <c r="A125" s="1171" t="s">
        <v>164</v>
      </c>
      <c r="B125" s="1172"/>
      <c r="C125" s="1172"/>
      <c r="D125" s="1172"/>
      <c r="E125" s="1172"/>
      <c r="F125" s="1172"/>
      <c r="G125" s="1172"/>
      <c r="H125" s="1172"/>
      <c r="I125" s="1173"/>
      <c r="J125" s="672"/>
      <c r="K125" s="673"/>
    </row>
    <row r="126" spans="1:11" ht="38.25" x14ac:dyDescent="0.2">
      <c r="A126" s="1171" t="s">
        <v>163</v>
      </c>
      <c r="B126" s="1172"/>
      <c r="C126" s="1172"/>
      <c r="D126" s="661" t="s">
        <v>184</v>
      </c>
      <c r="E126" s="661" t="s">
        <v>185</v>
      </c>
      <c r="F126" s="661" t="s">
        <v>186</v>
      </c>
      <c r="G126" s="661" t="s">
        <v>90</v>
      </c>
      <c r="H126" s="661" t="s">
        <v>335</v>
      </c>
      <c r="I126" s="397" t="s">
        <v>434</v>
      </c>
      <c r="J126" s="672"/>
      <c r="K126" s="673"/>
    </row>
    <row r="127" spans="1:11" x14ac:dyDescent="0.2">
      <c r="A127" s="1174" t="s">
        <v>160</v>
      </c>
      <c r="B127" s="1175"/>
      <c r="C127" s="1175"/>
      <c r="D127" s="663" t="s">
        <v>161</v>
      </c>
      <c r="E127" s="663" t="s">
        <v>177</v>
      </c>
      <c r="F127" s="663" t="s">
        <v>162</v>
      </c>
      <c r="G127" s="663" t="s">
        <v>182</v>
      </c>
      <c r="H127" s="663" t="s">
        <v>183</v>
      </c>
      <c r="I127" s="399" t="s">
        <v>435</v>
      </c>
      <c r="J127" s="672"/>
      <c r="K127" s="673"/>
    </row>
    <row r="128" spans="1:11" ht="12.75" customHeight="1" x14ac:dyDescent="0.2">
      <c r="A128" s="662" t="s">
        <v>139</v>
      </c>
      <c r="B128" s="1166" t="s">
        <v>302</v>
      </c>
      <c r="C128" s="1166"/>
      <c r="D128" s="419" t="s">
        <v>481</v>
      </c>
      <c r="E128" s="663">
        <v>1</v>
      </c>
      <c r="F128" s="419" t="s">
        <v>481</v>
      </c>
      <c r="G128" s="663">
        <v>2</v>
      </c>
      <c r="H128" s="401" t="s">
        <v>487</v>
      </c>
      <c r="I128" s="432">
        <f>G128*E128</f>
        <v>2</v>
      </c>
      <c r="J128" s="672"/>
      <c r="K128" s="673"/>
    </row>
    <row r="129" spans="1:11" ht="12.75" customHeight="1" x14ac:dyDescent="0.2">
      <c r="A129" s="662" t="s">
        <v>333</v>
      </c>
      <c r="B129" s="1166" t="s">
        <v>350</v>
      </c>
      <c r="C129" s="1166"/>
      <c r="D129" s="419">
        <v>7120.57</v>
      </c>
      <c r="E129" s="663">
        <v>2</v>
      </c>
      <c r="F129" s="419">
        <v>14241.14</v>
      </c>
      <c r="G129" s="663">
        <v>7</v>
      </c>
      <c r="H129" s="401" t="s">
        <v>488</v>
      </c>
      <c r="I129" s="432">
        <f>G129*E129</f>
        <v>14</v>
      </c>
      <c r="J129" s="672"/>
      <c r="K129" s="673"/>
    </row>
    <row r="130" spans="1:11" ht="12.75" customHeight="1" x14ac:dyDescent="0.2">
      <c r="A130" s="662" t="s">
        <v>334</v>
      </c>
      <c r="B130" s="1166" t="s">
        <v>352</v>
      </c>
      <c r="C130" s="1166"/>
      <c r="D130" s="419">
        <v>7970.04</v>
      </c>
      <c r="E130" s="663">
        <v>2</v>
      </c>
      <c r="F130" s="419">
        <v>15940.08</v>
      </c>
      <c r="G130" s="663">
        <v>1</v>
      </c>
      <c r="H130" s="420">
        <v>15940.08</v>
      </c>
      <c r="I130" s="432">
        <f>G130*E130</f>
        <v>2</v>
      </c>
      <c r="J130" s="672"/>
      <c r="K130" s="673"/>
    </row>
    <row r="131" spans="1:11" ht="12.75" customHeight="1" x14ac:dyDescent="0.2">
      <c r="A131" s="1181" t="s">
        <v>336</v>
      </c>
      <c r="B131" s="1182"/>
      <c r="C131" s="1182"/>
      <c r="D131" s="1182"/>
      <c r="E131" s="1182"/>
      <c r="F131" s="1182"/>
      <c r="G131" s="1182"/>
      <c r="H131" s="444">
        <v>131377.14000000001</v>
      </c>
      <c r="I131" s="1191" t="s">
        <v>489</v>
      </c>
      <c r="J131" s="672"/>
      <c r="K131" s="673"/>
    </row>
    <row r="132" spans="1:11" ht="13.5" customHeight="1" thickBot="1" x14ac:dyDescent="0.25">
      <c r="A132" s="402"/>
      <c r="B132" s="1193" t="s">
        <v>447</v>
      </c>
      <c r="C132" s="1193"/>
      <c r="D132" s="1193"/>
      <c r="E132" s="1193"/>
      <c r="F132" s="1193"/>
      <c r="G132" s="1194">
        <v>1576525.68</v>
      </c>
      <c r="H132" s="1194"/>
      <c r="I132" s="1192"/>
      <c r="J132" s="672"/>
      <c r="K132" s="673"/>
    </row>
    <row r="133" spans="1:11" x14ac:dyDescent="0.2">
      <c r="A133" s="660"/>
      <c r="B133" s="660"/>
      <c r="C133" s="660"/>
      <c r="D133" s="660"/>
      <c r="E133" s="660"/>
      <c r="F133" s="660"/>
      <c r="G133" s="671"/>
      <c r="H133" s="672"/>
      <c r="I133" s="672"/>
      <c r="J133" s="672"/>
      <c r="K133" s="673"/>
    </row>
    <row r="135" spans="1:11" ht="22.5" customHeight="1" x14ac:dyDescent="0.2">
      <c r="A135" s="1162" t="s">
        <v>532</v>
      </c>
      <c r="B135" s="1162"/>
      <c r="C135" s="1162"/>
      <c r="D135" s="1162"/>
      <c r="E135" s="1162"/>
      <c r="F135" s="1162"/>
      <c r="G135" s="1162"/>
      <c r="H135" s="1162"/>
    </row>
    <row r="136" spans="1:11" ht="21" x14ac:dyDescent="0.2">
      <c r="A136" s="1184" t="s">
        <v>163</v>
      </c>
      <c r="B136" s="1184"/>
      <c r="C136" s="1184"/>
      <c r="D136" s="654" t="s">
        <v>184</v>
      </c>
      <c r="E136" s="654" t="s">
        <v>185</v>
      </c>
      <c r="F136" s="654" t="s">
        <v>186</v>
      </c>
      <c r="G136" s="654" t="s">
        <v>90</v>
      </c>
      <c r="H136" s="654" t="s">
        <v>335</v>
      </c>
    </row>
    <row r="137" spans="1:11" x14ac:dyDescent="0.2">
      <c r="A137" s="1196" t="s">
        <v>160</v>
      </c>
      <c r="B137" s="1197"/>
      <c r="C137" s="1198"/>
      <c r="D137" s="449" t="s">
        <v>161</v>
      </c>
      <c r="E137" s="450" t="s">
        <v>177</v>
      </c>
      <c r="F137" s="449" t="s">
        <v>162</v>
      </c>
      <c r="G137" s="450" t="s">
        <v>182</v>
      </c>
      <c r="H137" s="449" t="s">
        <v>183</v>
      </c>
    </row>
    <row r="138" spans="1:11" ht="24" customHeight="1" x14ac:dyDescent="0.2">
      <c r="A138" s="451" t="s">
        <v>139</v>
      </c>
      <c r="B138" s="1158" t="s">
        <v>527</v>
      </c>
      <c r="C138" s="1159"/>
      <c r="D138" s="452">
        <f>'SUPERVISOR-DIURNO - 44h'!Q140</f>
        <v>8121.24</v>
      </c>
      <c r="E138" s="451">
        <v>1</v>
      </c>
      <c r="F138" s="454">
        <f>D138*E138</f>
        <v>8121.24</v>
      </c>
      <c r="G138" s="451">
        <v>2</v>
      </c>
      <c r="H138" s="454">
        <f>F138*G138</f>
        <v>16242.48</v>
      </c>
    </row>
    <row r="139" spans="1:11" ht="36.75" customHeight="1" x14ac:dyDescent="0.2">
      <c r="A139" s="451" t="s">
        <v>333</v>
      </c>
      <c r="B139" s="1158" t="s">
        <v>228</v>
      </c>
      <c r="C139" s="1159"/>
      <c r="D139" s="452">
        <f>'VIGILANTE-DIURNO 12x36 DD'!Q133</f>
        <v>7344.67</v>
      </c>
      <c r="E139" s="451">
        <v>2</v>
      </c>
      <c r="F139" s="454">
        <f t="shared" ref="F139:F140" si="24">D139*E139</f>
        <v>14689.34</v>
      </c>
      <c r="G139" s="451">
        <v>6</v>
      </c>
      <c r="H139" s="454">
        <f t="shared" ref="H139:H140" si="25">F139*G139</f>
        <v>88136.04</v>
      </c>
    </row>
    <row r="140" spans="1:11" ht="37.5" customHeight="1" x14ac:dyDescent="0.2">
      <c r="A140" s="451" t="s">
        <v>334</v>
      </c>
      <c r="B140" s="1158" t="s">
        <v>229</v>
      </c>
      <c r="C140" s="1159"/>
      <c r="D140" s="452">
        <f>'VIGILANTE-NOTURNO 12x36 ND'!Q133</f>
        <v>8031</v>
      </c>
      <c r="E140" s="451">
        <v>2</v>
      </c>
      <c r="F140" s="454">
        <f t="shared" si="24"/>
        <v>16062</v>
      </c>
      <c r="G140" s="451">
        <v>1</v>
      </c>
      <c r="H140" s="454">
        <f t="shared" si="25"/>
        <v>16062</v>
      </c>
    </row>
    <row r="141" spans="1:11" ht="30" customHeight="1" x14ac:dyDescent="0.2">
      <c r="A141" s="445"/>
      <c r="B141" s="1176" t="s">
        <v>336</v>
      </c>
      <c r="C141" s="1177"/>
      <c r="D141" s="1177"/>
      <c r="E141" s="1177"/>
      <c r="F141" s="1177"/>
      <c r="G141" s="456"/>
      <c r="H141" s="457">
        <f>SUM(H138:H140)</f>
        <v>120440.52</v>
      </c>
    </row>
    <row r="142" spans="1:11" x14ac:dyDescent="0.2">
      <c r="A142" s="655"/>
      <c r="B142" s="1176" t="s">
        <v>447</v>
      </c>
      <c r="C142" s="1177"/>
      <c r="D142" s="1177"/>
      <c r="E142" s="1177"/>
      <c r="F142" s="1177"/>
      <c r="G142" s="655"/>
      <c r="H142" s="459">
        <f>12*H141</f>
        <v>1445286.24</v>
      </c>
    </row>
    <row r="143" spans="1:11" x14ac:dyDescent="0.2">
      <c r="A143" s="655"/>
      <c r="B143" s="651"/>
      <c r="C143" s="652"/>
      <c r="D143" s="652"/>
      <c r="E143" s="652"/>
      <c r="F143" s="652"/>
      <c r="G143" s="655"/>
      <c r="H143" s="459"/>
    </row>
    <row r="144" spans="1:11" x14ac:dyDescent="0.2">
      <c r="A144" s="1178"/>
      <c r="B144" s="1178"/>
      <c r="C144" s="1178"/>
      <c r="D144" s="1178"/>
      <c r="E144" s="1178"/>
      <c r="F144" s="1178"/>
      <c r="G144" s="1178"/>
      <c r="H144" s="1178"/>
    </row>
    <row r="145" spans="1:9" x14ac:dyDescent="0.2">
      <c r="A145" s="1179" t="s">
        <v>337</v>
      </c>
      <c r="B145" s="1179"/>
      <c r="C145" s="1179"/>
      <c r="D145" s="1179"/>
      <c r="E145" s="1179"/>
      <c r="F145" s="1179"/>
      <c r="G145" s="1179"/>
      <c r="H145" s="1179"/>
    </row>
    <row r="146" spans="1:9" x14ac:dyDescent="0.2">
      <c r="A146" s="1184" t="s">
        <v>140</v>
      </c>
      <c r="B146" s="1184"/>
      <c r="C146" s="1184"/>
      <c r="D146" s="1184"/>
      <c r="E146" s="1184"/>
      <c r="F146" s="1184"/>
      <c r="G146" s="1184"/>
      <c r="H146" s="1184"/>
    </row>
    <row r="147" spans="1:9" x14ac:dyDescent="0.2">
      <c r="A147" s="653" t="s">
        <v>1</v>
      </c>
      <c r="B147" s="1184" t="s">
        <v>110</v>
      </c>
      <c r="C147" s="1184"/>
      <c r="D147" s="1184"/>
      <c r="E147" s="1184"/>
      <c r="F147" s="1184"/>
      <c r="G147" s="1185" t="s">
        <v>135</v>
      </c>
      <c r="H147" s="1185"/>
    </row>
    <row r="148" spans="1:9" x14ac:dyDescent="0.2">
      <c r="A148" s="453" t="s">
        <v>338</v>
      </c>
      <c r="B148" s="1186" t="str">
        <f>B138</f>
        <v xml:space="preserve">Supervisor Diurno Desarmado - 44hs semanais </v>
      </c>
      <c r="C148" s="1187"/>
      <c r="D148" s="1187"/>
      <c r="E148" s="1187"/>
      <c r="F148" s="1188"/>
      <c r="G148" s="1189">
        <f>H138</f>
        <v>16242.48</v>
      </c>
      <c r="H148" s="1190"/>
    </row>
    <row r="149" spans="1:9" x14ac:dyDescent="0.2">
      <c r="A149" s="453" t="s">
        <v>339</v>
      </c>
      <c r="B149" s="1186" t="str">
        <f>B139</f>
        <v>Vigilante Diurno Desarmado - 12 horas de segunda-feira a domingo, envolvendo 2 (dois) vigilantes em turnos de 12x36hs</v>
      </c>
      <c r="C149" s="1187"/>
      <c r="D149" s="1187"/>
      <c r="E149" s="1187"/>
      <c r="F149" s="1188"/>
      <c r="G149" s="1189">
        <f t="shared" ref="G149:G150" si="26">H139</f>
        <v>88136.04</v>
      </c>
      <c r="H149" s="1190"/>
    </row>
    <row r="150" spans="1:9" x14ac:dyDescent="0.2">
      <c r="A150" s="453" t="s">
        <v>340</v>
      </c>
      <c r="B150" s="1186" t="str">
        <f>B140</f>
        <v>Vigilante Noturno Desarmado - 12 horas de segunda-feira a domingo, envolvendo 2 (dois) vigilantes em turnos de 12x36hs</v>
      </c>
      <c r="C150" s="1187"/>
      <c r="D150" s="1187"/>
      <c r="E150" s="1187"/>
      <c r="F150" s="1188"/>
      <c r="G150" s="1189">
        <f t="shared" si="26"/>
        <v>16062</v>
      </c>
      <c r="H150" s="1190"/>
    </row>
    <row r="151" spans="1:9" x14ac:dyDescent="0.2">
      <c r="A151" s="653" t="s">
        <v>2</v>
      </c>
      <c r="B151" s="1176" t="s">
        <v>141</v>
      </c>
      <c r="C151" s="1177"/>
      <c r="D151" s="1177"/>
      <c r="E151" s="1177"/>
      <c r="F151" s="1195"/>
      <c r="G151" s="1183">
        <f>SUM(G148:H150)</f>
        <v>120440.52</v>
      </c>
      <c r="H151" s="1183"/>
    </row>
    <row r="152" spans="1:9" x14ac:dyDescent="0.2">
      <c r="A152" s="653" t="s">
        <v>4</v>
      </c>
      <c r="B152" s="1176" t="s">
        <v>447</v>
      </c>
      <c r="C152" s="1177"/>
      <c r="D152" s="1177"/>
      <c r="E152" s="1177"/>
      <c r="F152" s="1177"/>
      <c r="G152" s="1183">
        <f>G151*12</f>
        <v>1445286.24</v>
      </c>
      <c r="H152" s="1183"/>
    </row>
    <row r="153" spans="1:9" x14ac:dyDescent="0.2">
      <c r="A153" s="725"/>
      <c r="B153" s="726"/>
      <c r="C153" s="726"/>
      <c r="D153" s="726"/>
      <c r="E153" s="726"/>
      <c r="F153" s="726"/>
      <c r="G153" s="727"/>
      <c r="H153" s="727"/>
    </row>
    <row r="154" spans="1:9" x14ac:dyDescent="0.2">
      <c r="A154" s="725"/>
      <c r="B154" s="1254" t="s">
        <v>539</v>
      </c>
      <c r="C154" s="1254"/>
      <c r="D154" s="1254"/>
      <c r="E154" s="1254"/>
      <c r="F154" s="1254"/>
      <c r="G154" s="1254"/>
      <c r="H154" s="1253">
        <f>G151-G93</f>
        <v>3304.52</v>
      </c>
    </row>
    <row r="155" spans="1:9" x14ac:dyDescent="0.2">
      <c r="A155" s="725"/>
      <c r="B155" s="1255" t="s">
        <v>549</v>
      </c>
      <c r="C155" s="1255"/>
      <c r="D155" s="1255"/>
      <c r="E155" s="1255"/>
      <c r="F155" s="1255"/>
      <c r="G155" s="1255"/>
      <c r="H155" s="1253"/>
    </row>
    <row r="156" spans="1:9" ht="10.5" customHeight="1" x14ac:dyDescent="0.2">
      <c r="A156" s="725"/>
      <c r="B156" s="1256"/>
      <c r="C156" s="1256"/>
      <c r="D156" s="1256"/>
      <c r="E156" s="1256"/>
      <c r="F156" s="1256"/>
      <c r="G156" s="1256"/>
      <c r="H156" s="1256"/>
      <c r="I156" s="728"/>
    </row>
    <row r="157" spans="1:9" x14ac:dyDescent="0.2">
      <c r="A157" s="725"/>
      <c r="B157" s="1257" t="s">
        <v>540</v>
      </c>
      <c r="C157" s="1257"/>
      <c r="D157" s="1257"/>
      <c r="E157" s="1257"/>
      <c r="F157" s="1257"/>
      <c r="G157" s="1257"/>
      <c r="H157" s="1257"/>
      <c r="I157" s="728"/>
    </row>
    <row r="158" spans="1:9" x14ac:dyDescent="0.2">
      <c r="A158" s="725"/>
      <c r="B158" s="1246" t="s">
        <v>545</v>
      </c>
      <c r="C158" s="1246"/>
      <c r="D158" s="1246"/>
      <c r="E158" s="1246"/>
      <c r="F158" s="1246"/>
      <c r="G158" s="1246"/>
      <c r="H158" s="729">
        <f>H154*3</f>
        <v>9913.56</v>
      </c>
      <c r="I158" s="728"/>
    </row>
    <row r="159" spans="1:9" x14ac:dyDescent="0.2">
      <c r="A159" s="725"/>
      <c r="B159" s="1246" t="s">
        <v>553</v>
      </c>
      <c r="C159" s="1246"/>
      <c r="D159" s="1246"/>
      <c r="E159" s="1246"/>
      <c r="F159" s="1246"/>
      <c r="G159" s="1246"/>
      <c r="H159" s="729">
        <f>9/30*H154</f>
        <v>991.36</v>
      </c>
      <c r="I159" s="728"/>
    </row>
    <row r="160" spans="1:9" ht="15.75" x14ac:dyDescent="0.2">
      <c r="A160" s="725"/>
      <c r="B160" s="1246" t="s">
        <v>542</v>
      </c>
      <c r="C160" s="1246"/>
      <c r="D160" s="1246"/>
      <c r="E160" s="1246"/>
      <c r="F160" s="1246"/>
      <c r="G160" s="1246"/>
      <c r="H160" s="730">
        <f>SUM(H158:H159)</f>
        <v>10904.92</v>
      </c>
      <c r="I160" s="728"/>
    </row>
    <row r="162" spans="1:10" ht="13.5" thickBot="1" x14ac:dyDescent="0.25"/>
    <row r="163" spans="1:10" ht="21.75" customHeight="1" x14ac:dyDescent="0.2">
      <c r="A163" s="1239" t="s">
        <v>550</v>
      </c>
      <c r="B163" s="1240"/>
      <c r="C163" s="1240"/>
      <c r="D163" s="1240"/>
      <c r="E163" s="1240"/>
      <c r="F163" s="1240"/>
      <c r="G163" s="1240"/>
      <c r="H163" s="1241"/>
      <c r="I163" s="1160"/>
      <c r="J163" s="1161"/>
    </row>
    <row r="164" spans="1:10" ht="21" x14ac:dyDescent="0.2">
      <c r="A164" s="1242" t="s">
        <v>163</v>
      </c>
      <c r="B164" s="1184"/>
      <c r="C164" s="1184"/>
      <c r="D164" s="683" t="s">
        <v>184</v>
      </c>
      <c r="E164" s="683" t="s">
        <v>185</v>
      </c>
      <c r="F164" s="683" t="s">
        <v>186</v>
      </c>
      <c r="G164" s="683" t="s">
        <v>90</v>
      </c>
      <c r="H164" s="715" t="s">
        <v>335</v>
      </c>
    </row>
    <row r="165" spans="1:10" x14ac:dyDescent="0.2">
      <c r="A165" s="1242" t="s">
        <v>160</v>
      </c>
      <c r="B165" s="1184"/>
      <c r="C165" s="1184"/>
      <c r="D165" s="710" t="s">
        <v>161</v>
      </c>
      <c r="E165" s="683" t="s">
        <v>177</v>
      </c>
      <c r="F165" s="710" t="s">
        <v>162</v>
      </c>
      <c r="G165" s="683" t="s">
        <v>182</v>
      </c>
      <c r="H165" s="716" t="s">
        <v>183</v>
      </c>
    </row>
    <row r="166" spans="1:10" ht="19.5" customHeight="1" x14ac:dyDescent="0.2">
      <c r="A166" s="717" t="s">
        <v>139</v>
      </c>
      <c r="B166" s="1243" t="s">
        <v>527</v>
      </c>
      <c r="C166" s="1243"/>
      <c r="D166" s="452">
        <f>'SUPERVISOR-DIURNO - 44h'!S140</f>
        <v>8116.79</v>
      </c>
      <c r="E166" s="451">
        <v>1</v>
      </c>
      <c r="F166" s="454">
        <f>D166*E166</f>
        <v>8116.79</v>
      </c>
      <c r="G166" s="733">
        <v>2</v>
      </c>
      <c r="H166" s="718">
        <f>F166*G166</f>
        <v>16233.58</v>
      </c>
      <c r="I166" s="1163" t="s">
        <v>551</v>
      </c>
      <c r="J166" s="1164"/>
    </row>
    <row r="167" spans="1:10" ht="36" customHeight="1" x14ac:dyDescent="0.2">
      <c r="A167" s="717" t="s">
        <v>333</v>
      </c>
      <c r="B167" s="1243" t="s">
        <v>228</v>
      </c>
      <c r="C167" s="1243"/>
      <c r="D167" s="452">
        <f>'VIGILANTE-DIURNO 12x36 DD'!S133</f>
        <v>7340.23</v>
      </c>
      <c r="E167" s="451">
        <v>2</v>
      </c>
      <c r="F167" s="454">
        <f t="shared" ref="F167:F168" si="27">D167*E167</f>
        <v>14680.46</v>
      </c>
      <c r="G167" s="674">
        <v>7</v>
      </c>
      <c r="H167" s="718">
        <f t="shared" ref="H167:H168" si="28">F167*G167</f>
        <v>102763.22</v>
      </c>
      <c r="I167" s="1163" t="s">
        <v>538</v>
      </c>
      <c r="J167" s="1164"/>
    </row>
    <row r="168" spans="1:10" ht="39" customHeight="1" x14ac:dyDescent="0.2">
      <c r="A168" s="717" t="s">
        <v>334</v>
      </c>
      <c r="B168" s="1243" t="s">
        <v>229</v>
      </c>
      <c r="C168" s="1243"/>
      <c r="D168" s="452">
        <f>'VIGILANTE-NOTURNO 12x36 ND'!S133</f>
        <v>8026.56</v>
      </c>
      <c r="E168" s="451">
        <v>2</v>
      </c>
      <c r="F168" s="454">
        <f t="shared" si="27"/>
        <v>16053.12</v>
      </c>
      <c r="G168" s="453">
        <v>1</v>
      </c>
      <c r="H168" s="718">
        <f t="shared" si="28"/>
        <v>16053.12</v>
      </c>
    </row>
    <row r="169" spans="1:10" x14ac:dyDescent="0.2">
      <c r="A169" s="719"/>
      <c r="B169" s="1244" t="s">
        <v>336</v>
      </c>
      <c r="C169" s="1244"/>
      <c r="D169" s="1244"/>
      <c r="E169" s="1244"/>
      <c r="F169" s="1244"/>
      <c r="G169" s="451">
        <f>SUM(G166:G168)</f>
        <v>10</v>
      </c>
      <c r="H169" s="720">
        <f>SUM(H166:H168)</f>
        <v>135049.92000000001</v>
      </c>
    </row>
    <row r="170" spans="1:10" ht="13.5" thickBot="1" x14ac:dyDescent="0.25">
      <c r="A170" s="721"/>
      <c r="B170" s="1245" t="s">
        <v>447</v>
      </c>
      <c r="C170" s="1245"/>
      <c r="D170" s="1245"/>
      <c r="E170" s="1245"/>
      <c r="F170" s="1245"/>
      <c r="G170" s="722"/>
      <c r="H170" s="723">
        <f>12*H169</f>
        <v>1620599.04</v>
      </c>
    </row>
    <row r="171" spans="1:10" x14ac:dyDescent="0.2">
      <c r="A171" s="711"/>
      <c r="B171" s="712"/>
      <c r="C171" s="713"/>
      <c r="D171" s="713"/>
      <c r="E171" s="713"/>
      <c r="F171" s="713"/>
      <c r="G171" s="711"/>
      <c r="H171" s="714"/>
    </row>
    <row r="172" spans="1:10" x14ac:dyDescent="0.2">
      <c r="A172" s="1179" t="s">
        <v>337</v>
      </c>
      <c r="B172" s="1179"/>
      <c r="C172" s="1179"/>
      <c r="D172" s="1179"/>
      <c r="E172" s="1179"/>
      <c r="F172" s="1179"/>
      <c r="G172" s="1179"/>
      <c r="H172" s="1179"/>
    </row>
    <row r="173" spans="1:10" x14ac:dyDescent="0.2">
      <c r="A173" s="1184" t="s">
        <v>140</v>
      </c>
      <c r="B173" s="1184"/>
      <c r="C173" s="1184"/>
      <c r="D173" s="1184"/>
      <c r="E173" s="1184"/>
      <c r="F173" s="1184"/>
      <c r="G173" s="1184"/>
      <c r="H173" s="1184"/>
    </row>
    <row r="174" spans="1:10" x14ac:dyDescent="0.2">
      <c r="A174" s="653" t="s">
        <v>1</v>
      </c>
      <c r="B174" s="1184" t="s">
        <v>110</v>
      </c>
      <c r="C174" s="1184"/>
      <c r="D174" s="1184"/>
      <c r="E174" s="1184"/>
      <c r="F174" s="1184"/>
      <c r="G174" s="1185" t="s">
        <v>135</v>
      </c>
      <c r="H174" s="1185"/>
      <c r="I174" s="724"/>
    </row>
    <row r="175" spans="1:10" x14ac:dyDescent="0.2">
      <c r="A175" s="453" t="s">
        <v>338</v>
      </c>
      <c r="B175" s="1186" t="str">
        <f>B166</f>
        <v xml:space="preserve">Supervisor Diurno Desarmado - 44hs semanais </v>
      </c>
      <c r="C175" s="1187"/>
      <c r="D175" s="1187"/>
      <c r="E175" s="1187"/>
      <c r="F175" s="1188"/>
      <c r="G175" s="1189">
        <f>H166</f>
        <v>16233.58</v>
      </c>
      <c r="H175" s="1190"/>
    </row>
    <row r="176" spans="1:10" x14ac:dyDescent="0.2">
      <c r="A176" s="453" t="s">
        <v>339</v>
      </c>
      <c r="B176" s="1186" t="str">
        <f>B167</f>
        <v>Vigilante Diurno Desarmado - 12 horas de segunda-feira a domingo, envolvendo 2 (dois) vigilantes em turnos de 12x36hs</v>
      </c>
      <c r="C176" s="1187"/>
      <c r="D176" s="1187"/>
      <c r="E176" s="1187"/>
      <c r="F176" s="1188"/>
      <c r="G176" s="1189">
        <f t="shared" ref="G176:G177" si="29">H167</f>
        <v>102763.22</v>
      </c>
      <c r="H176" s="1190"/>
      <c r="I176" s="392"/>
    </row>
    <row r="177" spans="1:8" x14ac:dyDescent="0.2">
      <c r="A177" s="453" t="s">
        <v>340</v>
      </c>
      <c r="B177" s="1186" t="str">
        <f>B168</f>
        <v>Vigilante Noturno Desarmado - 12 horas de segunda-feira a domingo, envolvendo 2 (dois) vigilantes em turnos de 12x36hs</v>
      </c>
      <c r="C177" s="1187"/>
      <c r="D177" s="1187"/>
      <c r="E177" s="1187"/>
      <c r="F177" s="1188"/>
      <c r="G177" s="1189">
        <f t="shared" si="29"/>
        <v>16053.12</v>
      </c>
      <c r="H177" s="1190"/>
    </row>
    <row r="178" spans="1:8" x14ac:dyDescent="0.2">
      <c r="A178" s="653" t="s">
        <v>2</v>
      </c>
      <c r="B178" s="1176" t="s">
        <v>141</v>
      </c>
      <c r="C178" s="1177"/>
      <c r="D178" s="1177"/>
      <c r="E178" s="1177"/>
      <c r="F178" s="1195"/>
      <c r="G178" s="1183">
        <f>SUM(G175:H177)</f>
        <v>135049.92000000001</v>
      </c>
      <c r="H178" s="1183"/>
    </row>
    <row r="179" spans="1:8" x14ac:dyDescent="0.2">
      <c r="A179" s="653" t="s">
        <v>4</v>
      </c>
      <c r="B179" s="1176" t="s">
        <v>447</v>
      </c>
      <c r="C179" s="1177"/>
      <c r="D179" s="1177"/>
      <c r="E179" s="1177"/>
      <c r="F179" s="1177"/>
      <c r="G179" s="1183">
        <f>G178*12</f>
        <v>1620599.04</v>
      </c>
      <c r="H179" s="1183"/>
    </row>
    <row r="180" spans="1:8" x14ac:dyDescent="0.2">
      <c r="A180" s="725"/>
      <c r="B180" s="726"/>
      <c r="C180" s="726"/>
      <c r="D180" s="726"/>
      <c r="E180" s="726"/>
      <c r="F180" s="726"/>
      <c r="G180" s="727"/>
      <c r="H180" s="727"/>
    </row>
    <row r="181" spans="1:8" x14ac:dyDescent="0.2">
      <c r="A181" s="725"/>
      <c r="B181" s="1254" t="s">
        <v>539</v>
      </c>
      <c r="C181" s="1254"/>
      <c r="D181" s="1254"/>
      <c r="E181" s="1254"/>
      <c r="F181" s="1254"/>
      <c r="G181" s="1254"/>
      <c r="H181" s="1253">
        <f>H169-H131</f>
        <v>3672.78</v>
      </c>
    </row>
    <row r="182" spans="1:8" ht="12.75" customHeight="1" x14ac:dyDescent="0.2">
      <c r="A182" s="725"/>
      <c r="B182" s="1255" t="s">
        <v>541</v>
      </c>
      <c r="C182" s="1255"/>
      <c r="D182" s="1255"/>
      <c r="E182" s="1255"/>
      <c r="F182" s="1255"/>
      <c r="G182" s="1255"/>
      <c r="H182" s="1253"/>
    </row>
    <row r="183" spans="1:8" ht="11.25" customHeight="1" x14ac:dyDescent="0.2">
      <c r="A183" s="725"/>
      <c r="B183" s="1256"/>
      <c r="C183" s="1256"/>
      <c r="D183" s="1256"/>
      <c r="E183" s="1256"/>
      <c r="F183" s="1256"/>
      <c r="G183" s="1256"/>
      <c r="H183" s="1256"/>
    </row>
    <row r="184" spans="1:8" x14ac:dyDescent="0.2">
      <c r="A184" s="725"/>
      <c r="B184" s="1257" t="s">
        <v>540</v>
      </c>
      <c r="C184" s="1257"/>
      <c r="D184" s="1257"/>
      <c r="E184" s="1257"/>
      <c r="F184" s="1257"/>
      <c r="G184" s="1257"/>
      <c r="H184" s="1257"/>
    </row>
    <row r="185" spans="1:8" x14ac:dyDescent="0.2">
      <c r="A185" s="725"/>
      <c r="B185" s="1246" t="s">
        <v>554</v>
      </c>
      <c r="C185" s="1246"/>
      <c r="D185" s="1246"/>
      <c r="E185" s="1246"/>
      <c r="F185" s="1246"/>
      <c r="G185" s="1246"/>
      <c r="H185" s="729">
        <f>21/30*H181</f>
        <v>2570.9499999999998</v>
      </c>
    </row>
    <row r="186" spans="1:8" x14ac:dyDescent="0.2">
      <c r="A186" s="725"/>
      <c r="B186" s="1246" t="s">
        <v>544</v>
      </c>
      <c r="C186" s="1246"/>
      <c r="D186" s="1246"/>
      <c r="E186" s="1246"/>
      <c r="F186" s="1246"/>
      <c r="G186" s="1246"/>
      <c r="H186" s="729">
        <f>H181*8</f>
        <v>29382.240000000002</v>
      </c>
    </row>
    <row r="187" spans="1:8" x14ac:dyDescent="0.2">
      <c r="A187" s="725"/>
      <c r="B187" s="1246" t="s">
        <v>546</v>
      </c>
      <c r="C187" s="1246"/>
      <c r="D187" s="1246"/>
      <c r="E187" s="1246"/>
      <c r="F187" s="1246"/>
      <c r="G187" s="1246"/>
      <c r="H187" s="729">
        <f>H181*3</f>
        <v>11018.34</v>
      </c>
    </row>
    <row r="188" spans="1:8" x14ac:dyDescent="0.2">
      <c r="A188" s="725"/>
      <c r="B188" s="1246" t="s">
        <v>555</v>
      </c>
      <c r="C188" s="1246"/>
      <c r="D188" s="1246"/>
      <c r="E188" s="1246"/>
      <c r="F188" s="1246"/>
      <c r="G188" s="1246"/>
      <c r="H188" s="729">
        <f>5/30*H181</f>
        <v>612.13</v>
      </c>
    </row>
    <row r="189" spans="1:8" ht="15.75" x14ac:dyDescent="0.2">
      <c r="A189" s="725"/>
      <c r="B189" s="1246" t="s">
        <v>543</v>
      </c>
      <c r="C189" s="1246"/>
      <c r="D189" s="1246"/>
      <c r="E189" s="1246"/>
      <c r="F189" s="1246"/>
      <c r="G189" s="1246"/>
      <c r="H189" s="730">
        <f>SUM(H185:H186)</f>
        <v>31953.19</v>
      </c>
    </row>
    <row r="190" spans="1:8" ht="13.5" thickBot="1" x14ac:dyDescent="0.25">
      <c r="A190" s="725"/>
      <c r="B190" s="726"/>
      <c r="C190" s="726"/>
      <c r="D190" s="726"/>
      <c r="E190" s="726"/>
      <c r="F190" s="726"/>
      <c r="G190" s="727"/>
      <c r="H190" s="727"/>
    </row>
    <row r="191" spans="1:8" ht="19.5" customHeight="1" x14ac:dyDescent="0.2">
      <c r="A191" s="725"/>
      <c r="B191" s="1247" t="s">
        <v>548</v>
      </c>
      <c r="C191" s="1248"/>
      <c r="D191" s="1248"/>
      <c r="E191" s="1248"/>
      <c r="F191" s="1248"/>
      <c r="G191" s="1249"/>
      <c r="H191" s="732" t="s">
        <v>547</v>
      </c>
    </row>
    <row r="192" spans="1:8" ht="20.25" customHeight="1" thickBot="1" x14ac:dyDescent="0.25">
      <c r="A192" s="725"/>
      <c r="B192" s="1250" t="s">
        <v>552</v>
      </c>
      <c r="C192" s="1251"/>
      <c r="D192" s="1251"/>
      <c r="E192" s="1251"/>
      <c r="F192" s="1251"/>
      <c r="G192" s="1252"/>
      <c r="H192" s="731">
        <f>H160+H189</f>
        <v>42858.11</v>
      </c>
    </row>
    <row r="193" spans="1:8" x14ac:dyDescent="0.2">
      <c r="A193" s="725"/>
      <c r="B193" s="726"/>
      <c r="C193" s="726"/>
      <c r="D193" s="726"/>
      <c r="E193" s="726"/>
      <c r="F193" s="726"/>
      <c r="G193" s="727"/>
      <c r="H193" s="727"/>
    </row>
  </sheetData>
  <mergeCells count="226">
    <mergeCell ref="B186:G186"/>
    <mergeCell ref="B189:G189"/>
    <mergeCell ref="B188:G188"/>
    <mergeCell ref="B187:G187"/>
    <mergeCell ref="B191:G191"/>
    <mergeCell ref="B192:G192"/>
    <mergeCell ref="H154:H155"/>
    <mergeCell ref="B154:G154"/>
    <mergeCell ref="B155:G155"/>
    <mergeCell ref="B156:H156"/>
    <mergeCell ref="B157:H157"/>
    <mergeCell ref="B158:G158"/>
    <mergeCell ref="B159:G159"/>
    <mergeCell ref="B160:G160"/>
    <mergeCell ref="B181:G181"/>
    <mergeCell ref="H181:H182"/>
    <mergeCell ref="B182:G182"/>
    <mergeCell ref="B183:H183"/>
    <mergeCell ref="B184:H184"/>
    <mergeCell ref="B185:G185"/>
    <mergeCell ref="G175:H175"/>
    <mergeCell ref="B176:F176"/>
    <mergeCell ref="G176:H176"/>
    <mergeCell ref="B177:F177"/>
    <mergeCell ref="B51:F51"/>
    <mergeCell ref="G51:H51"/>
    <mergeCell ref="G29:H29"/>
    <mergeCell ref="B29:F29"/>
    <mergeCell ref="G177:H177"/>
    <mergeCell ref="B178:F178"/>
    <mergeCell ref="G178:H178"/>
    <mergeCell ref="G179:H179"/>
    <mergeCell ref="B179:F179"/>
    <mergeCell ref="A163:H163"/>
    <mergeCell ref="A164:C164"/>
    <mergeCell ref="A165:C165"/>
    <mergeCell ref="B166:C166"/>
    <mergeCell ref="B167:C167"/>
    <mergeCell ref="B168:C168"/>
    <mergeCell ref="B169:F169"/>
    <mergeCell ref="B170:F170"/>
    <mergeCell ref="A172:H172"/>
    <mergeCell ref="A173:H173"/>
    <mergeCell ref="B174:F174"/>
    <mergeCell ref="G174:H174"/>
    <mergeCell ref="B175:F175"/>
    <mergeCell ref="B44:D44"/>
    <mergeCell ref="G44:H44"/>
    <mergeCell ref="B12:F12"/>
    <mergeCell ref="B11:F11"/>
    <mergeCell ref="G19:H19"/>
    <mergeCell ref="G20:H20"/>
    <mergeCell ref="A23:H23"/>
    <mergeCell ref="A22:H22"/>
    <mergeCell ref="G18:H18"/>
    <mergeCell ref="B24:F24"/>
    <mergeCell ref="A15:H15"/>
    <mergeCell ref="G16:H16"/>
    <mergeCell ref="G17:H17"/>
    <mergeCell ref="A13:H13"/>
    <mergeCell ref="A21:H21"/>
    <mergeCell ref="B16:D16"/>
    <mergeCell ref="B17:D17"/>
    <mergeCell ref="B18:D18"/>
    <mergeCell ref="B19:D19"/>
    <mergeCell ref="A14:H14"/>
    <mergeCell ref="G24:H24"/>
    <mergeCell ref="A20:E20"/>
    <mergeCell ref="A1:H1"/>
    <mergeCell ref="A2:H2"/>
    <mergeCell ref="B10:C10"/>
    <mergeCell ref="A6:C6"/>
    <mergeCell ref="A7:C7"/>
    <mergeCell ref="B8:C8"/>
    <mergeCell ref="B9:C9"/>
    <mergeCell ref="A5:H5"/>
    <mergeCell ref="A4:H4"/>
    <mergeCell ref="B45:D45"/>
    <mergeCell ref="G45:H45"/>
    <mergeCell ref="A31:H31"/>
    <mergeCell ref="B27:F27"/>
    <mergeCell ref="B25:F25"/>
    <mergeCell ref="B26:F26"/>
    <mergeCell ref="B50:F50"/>
    <mergeCell ref="G50:H50"/>
    <mergeCell ref="A30:H30"/>
    <mergeCell ref="G27:H27"/>
    <mergeCell ref="G28:H28"/>
    <mergeCell ref="B28:F28"/>
    <mergeCell ref="G25:H25"/>
    <mergeCell ref="G26:H26"/>
    <mergeCell ref="B43:D43"/>
    <mergeCell ref="G43:H43"/>
    <mergeCell ref="B55:F55"/>
    <mergeCell ref="G55:H55"/>
    <mergeCell ref="B54:F54"/>
    <mergeCell ref="G54:H54"/>
    <mergeCell ref="A40:H40"/>
    <mergeCell ref="A41:H41"/>
    <mergeCell ref="B42:D42"/>
    <mergeCell ref="G42:H42"/>
    <mergeCell ref="A32:C32"/>
    <mergeCell ref="A33:C33"/>
    <mergeCell ref="B34:C34"/>
    <mergeCell ref="B35:C35"/>
    <mergeCell ref="B36:C36"/>
    <mergeCell ref="B38:F38"/>
    <mergeCell ref="B37:F37"/>
    <mergeCell ref="G53:H53"/>
    <mergeCell ref="A46:E46"/>
    <mergeCell ref="G46:H46"/>
    <mergeCell ref="A47:H47"/>
    <mergeCell ref="A48:H48"/>
    <mergeCell ref="A49:H49"/>
    <mergeCell ref="B52:F52"/>
    <mergeCell ref="G52:H52"/>
    <mergeCell ref="B53:F53"/>
    <mergeCell ref="A67:H67"/>
    <mergeCell ref="A68:H68"/>
    <mergeCell ref="A69:H69"/>
    <mergeCell ref="B64:F64"/>
    <mergeCell ref="B65:F65"/>
    <mergeCell ref="A58:H58"/>
    <mergeCell ref="A59:C59"/>
    <mergeCell ref="A60:C60"/>
    <mergeCell ref="B61:C61"/>
    <mergeCell ref="B62:C62"/>
    <mergeCell ref="B63:C63"/>
    <mergeCell ref="B73:F73"/>
    <mergeCell ref="G73:H73"/>
    <mergeCell ref="B74:F74"/>
    <mergeCell ref="G74:H74"/>
    <mergeCell ref="B75:F75"/>
    <mergeCell ref="G75:H75"/>
    <mergeCell ref="B70:F70"/>
    <mergeCell ref="G70:H70"/>
    <mergeCell ref="B71:F71"/>
    <mergeCell ref="G71:H71"/>
    <mergeCell ref="B72:F72"/>
    <mergeCell ref="G72:H72"/>
    <mergeCell ref="B82:C82"/>
    <mergeCell ref="B83:F83"/>
    <mergeCell ref="B84:F84"/>
    <mergeCell ref="A86:H86"/>
    <mergeCell ref="A87:H87"/>
    <mergeCell ref="A77:H77"/>
    <mergeCell ref="A78:C78"/>
    <mergeCell ref="A79:C79"/>
    <mergeCell ref="B80:C80"/>
    <mergeCell ref="B81:C81"/>
    <mergeCell ref="B94:F94"/>
    <mergeCell ref="G94:H94"/>
    <mergeCell ref="B91:F91"/>
    <mergeCell ref="G91:H91"/>
    <mergeCell ref="B92:F92"/>
    <mergeCell ref="G92:H92"/>
    <mergeCell ref="B93:F93"/>
    <mergeCell ref="G93:H93"/>
    <mergeCell ref="A88:H88"/>
    <mergeCell ref="B89:F89"/>
    <mergeCell ref="G89:H89"/>
    <mergeCell ref="B90:F90"/>
    <mergeCell ref="G90:H90"/>
    <mergeCell ref="A120:I120"/>
    <mergeCell ref="A121:I121"/>
    <mergeCell ref="A122:I122"/>
    <mergeCell ref="H101:K101"/>
    <mergeCell ref="D101:G101"/>
    <mergeCell ref="A103:K103"/>
    <mergeCell ref="A110:K110"/>
    <mergeCell ref="H108:J108"/>
    <mergeCell ref="H109:J109"/>
    <mergeCell ref="A108:G109"/>
    <mergeCell ref="A101:C102"/>
    <mergeCell ref="H115:J115"/>
    <mergeCell ref="A107:F107"/>
    <mergeCell ref="A114:F114"/>
    <mergeCell ref="H107:J107"/>
    <mergeCell ref="H114:J114"/>
    <mergeCell ref="B104:C104"/>
    <mergeCell ref="B105:C105"/>
    <mergeCell ref="B106:C106"/>
    <mergeCell ref="B111:C111"/>
    <mergeCell ref="B112:C112"/>
    <mergeCell ref="B113:C113"/>
    <mergeCell ref="A115:G117"/>
    <mergeCell ref="H116:J116"/>
    <mergeCell ref="H117:J117"/>
    <mergeCell ref="I167:J167"/>
    <mergeCell ref="B129:C129"/>
    <mergeCell ref="B130:C130"/>
    <mergeCell ref="A131:G131"/>
    <mergeCell ref="G151:H151"/>
    <mergeCell ref="B152:F152"/>
    <mergeCell ref="G152:H152"/>
    <mergeCell ref="A146:H146"/>
    <mergeCell ref="B147:F147"/>
    <mergeCell ref="G147:H147"/>
    <mergeCell ref="B148:F148"/>
    <mergeCell ref="G148:H148"/>
    <mergeCell ref="B149:F149"/>
    <mergeCell ref="G149:H149"/>
    <mergeCell ref="B150:F150"/>
    <mergeCell ref="I131:I132"/>
    <mergeCell ref="B132:F132"/>
    <mergeCell ref="G132:H132"/>
    <mergeCell ref="B151:F151"/>
    <mergeCell ref="G150:H150"/>
    <mergeCell ref="A136:C136"/>
    <mergeCell ref="A137:C137"/>
    <mergeCell ref="B138:C138"/>
    <mergeCell ref="B139:C139"/>
    <mergeCell ref="I163:J163"/>
    <mergeCell ref="A135:H135"/>
    <mergeCell ref="I166:J166"/>
    <mergeCell ref="A123:I123"/>
    <mergeCell ref="A124:I124"/>
    <mergeCell ref="A125:I125"/>
    <mergeCell ref="A126:C126"/>
    <mergeCell ref="A127:C127"/>
    <mergeCell ref="B128:C128"/>
    <mergeCell ref="B140:C140"/>
    <mergeCell ref="B141:F141"/>
    <mergeCell ref="B142:F142"/>
    <mergeCell ref="A144:H144"/>
    <mergeCell ref="A145:H145"/>
  </mergeCells>
  <printOptions horizontalCentered="1"/>
  <pageMargins left="0.43307086614173229" right="0.39370078740157483" top="2.31" bottom="0.35433070866141736" header="0.23622047244094491" footer="0.27559055118110237"/>
  <pageSetup paperSize="9" scale="61" fitToHeight="0" orientation="portrait" r:id="rId1"/>
  <headerFooter>
    <oddHeader>&amp;L&amp;"Cambria,Negrito"&amp;8PROPOSTA N° 011/2017 - MME</oddHeader>
  </headerFooter>
  <ignoredErrors>
    <ignoredError sqref="G8: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B39:J122"/>
  <sheetViews>
    <sheetView topLeftCell="A100" workbookViewId="0">
      <selection activeCell="O110" sqref="O110"/>
    </sheetView>
  </sheetViews>
  <sheetFormatPr defaultRowHeight="12.75" x14ac:dyDescent="0.2"/>
  <cols>
    <col min="2" max="2" width="2.7109375" bestFit="1" customWidth="1"/>
    <col min="4" max="4" width="34" customWidth="1"/>
    <col min="5" max="5" width="16.85546875" bestFit="1" customWidth="1"/>
    <col min="6" max="6" width="13.42578125" bestFit="1" customWidth="1"/>
    <col min="7" max="7" width="15.5703125" bestFit="1" customWidth="1"/>
    <col min="8" max="8" width="10.28515625" bestFit="1" customWidth="1"/>
    <col min="9" max="9" width="16.5703125" bestFit="1" customWidth="1"/>
    <col min="10" max="10" width="14.42578125" bestFit="1" customWidth="1"/>
    <col min="14" max="14" width="11" customWidth="1"/>
  </cols>
  <sheetData>
    <row r="39" spans="2:10" ht="13.5" thickBot="1" x14ac:dyDescent="0.25"/>
    <row r="40" spans="2:10" x14ac:dyDescent="0.2">
      <c r="B40" s="1261" t="s">
        <v>501</v>
      </c>
      <c r="C40" s="1262"/>
      <c r="D40" s="1262"/>
      <c r="E40" s="1262"/>
      <c r="F40" s="1262"/>
      <c r="G40" s="1262"/>
      <c r="H40" s="1262"/>
      <c r="I40" s="1262"/>
      <c r="J40" s="1263"/>
    </row>
    <row r="41" spans="2:10" x14ac:dyDescent="0.2">
      <c r="B41" s="1264" t="s">
        <v>502</v>
      </c>
      <c r="C41" s="1265"/>
      <c r="D41" s="1265"/>
      <c r="E41" s="1265"/>
      <c r="F41" s="1265"/>
      <c r="G41" s="1265"/>
      <c r="H41" s="1265"/>
      <c r="I41" s="1265"/>
      <c r="J41" s="1266"/>
    </row>
    <row r="42" spans="2:10" x14ac:dyDescent="0.2">
      <c r="B42" s="1258" t="s">
        <v>431</v>
      </c>
      <c r="C42" s="1259"/>
      <c r="D42" s="1259"/>
      <c r="E42" s="1259"/>
      <c r="F42" s="1259"/>
      <c r="G42" s="1259"/>
      <c r="H42" s="1259"/>
      <c r="I42" s="1259"/>
      <c r="J42" s="1260"/>
    </row>
    <row r="43" spans="2:10" ht="56.25" customHeight="1" x14ac:dyDescent="0.2">
      <c r="B43" s="1267" t="s">
        <v>432</v>
      </c>
      <c r="C43" s="1268"/>
      <c r="D43" s="1268"/>
      <c r="E43" s="1268"/>
      <c r="F43" s="1268"/>
      <c r="G43" s="1268"/>
      <c r="H43" s="1268"/>
      <c r="I43" s="1268"/>
      <c r="J43" s="1269"/>
    </row>
    <row r="44" spans="2:10" x14ac:dyDescent="0.2">
      <c r="B44" s="1270" t="s">
        <v>433</v>
      </c>
      <c r="C44" s="1271"/>
      <c r="D44" s="1271"/>
      <c r="E44" s="1271"/>
      <c r="F44" s="1271"/>
      <c r="G44" s="1271"/>
      <c r="H44" s="1271"/>
      <c r="I44" s="1271"/>
      <c r="J44" s="1272"/>
    </row>
    <row r="45" spans="2:10" x14ac:dyDescent="0.2">
      <c r="B45" s="1258" t="s">
        <v>164</v>
      </c>
      <c r="C45" s="1259"/>
      <c r="D45" s="1259"/>
      <c r="E45" s="1259"/>
      <c r="F45" s="1259"/>
      <c r="G45" s="1259"/>
      <c r="H45" s="1259"/>
      <c r="I45" s="1259"/>
      <c r="J45" s="1260"/>
    </row>
    <row r="46" spans="2:10" ht="38.25" x14ac:dyDescent="0.2">
      <c r="B46" s="1171" t="s">
        <v>163</v>
      </c>
      <c r="C46" s="1172"/>
      <c r="D46" s="1172"/>
      <c r="E46" s="396" t="s">
        <v>184</v>
      </c>
      <c r="F46" s="396" t="s">
        <v>185</v>
      </c>
      <c r="G46" s="396" t="s">
        <v>186</v>
      </c>
      <c r="H46" s="396" t="s">
        <v>90</v>
      </c>
      <c r="I46" s="396" t="s">
        <v>335</v>
      </c>
      <c r="J46" s="397" t="s">
        <v>434</v>
      </c>
    </row>
    <row r="47" spans="2:10" x14ac:dyDescent="0.2">
      <c r="B47" s="1174" t="s">
        <v>160</v>
      </c>
      <c r="C47" s="1175"/>
      <c r="D47" s="1175"/>
      <c r="E47" s="398" t="s">
        <v>161</v>
      </c>
      <c r="F47" s="398" t="s">
        <v>177</v>
      </c>
      <c r="G47" s="398" t="s">
        <v>162</v>
      </c>
      <c r="H47" s="398" t="s">
        <v>182</v>
      </c>
      <c r="I47" s="398" t="s">
        <v>183</v>
      </c>
      <c r="J47" s="399" t="s">
        <v>435</v>
      </c>
    </row>
    <row r="48" spans="2:10" x14ac:dyDescent="0.2">
      <c r="B48" s="400" t="s">
        <v>139</v>
      </c>
      <c r="C48" s="1166" t="s">
        <v>302</v>
      </c>
      <c r="D48" s="1166"/>
      <c r="E48" s="401" t="s">
        <v>436</v>
      </c>
      <c r="F48" s="398">
        <v>1</v>
      </c>
      <c r="G48" s="401" t="s">
        <v>437</v>
      </c>
      <c r="H48" s="398">
        <v>2</v>
      </c>
      <c r="I48" s="401" t="s">
        <v>438</v>
      </c>
      <c r="J48" s="432">
        <f>F48*H48</f>
        <v>2</v>
      </c>
    </row>
    <row r="49" spans="2:10" x14ac:dyDescent="0.2">
      <c r="B49" s="400" t="s">
        <v>333</v>
      </c>
      <c r="C49" s="1166" t="s">
        <v>350</v>
      </c>
      <c r="D49" s="1166"/>
      <c r="E49" s="401" t="s">
        <v>439</v>
      </c>
      <c r="F49" s="398">
        <v>2</v>
      </c>
      <c r="G49" s="401" t="s">
        <v>440</v>
      </c>
      <c r="H49" s="398">
        <v>6</v>
      </c>
      <c r="I49" s="401" t="s">
        <v>441</v>
      </c>
      <c r="J49" s="432">
        <f t="shared" ref="J49:J50" si="0">F49*H49</f>
        <v>12</v>
      </c>
    </row>
    <row r="50" spans="2:10" x14ac:dyDescent="0.2">
      <c r="B50" s="400" t="s">
        <v>334</v>
      </c>
      <c r="C50" s="1166" t="s">
        <v>352</v>
      </c>
      <c r="D50" s="1166"/>
      <c r="E50" s="401" t="s">
        <v>442</v>
      </c>
      <c r="F50" s="398">
        <v>2</v>
      </c>
      <c r="G50" s="401" t="s">
        <v>443</v>
      </c>
      <c r="H50" s="398">
        <v>1</v>
      </c>
      <c r="I50" s="401" t="s">
        <v>444</v>
      </c>
      <c r="J50" s="432">
        <f t="shared" si="0"/>
        <v>2</v>
      </c>
    </row>
    <row r="51" spans="2:10" x14ac:dyDescent="0.2">
      <c r="B51" s="1181" t="s">
        <v>336</v>
      </c>
      <c r="C51" s="1182"/>
      <c r="D51" s="1182"/>
      <c r="E51" s="1182"/>
      <c r="F51" s="1182"/>
      <c r="G51" s="1182"/>
      <c r="H51" s="1182"/>
      <c r="I51" s="421" t="s">
        <v>445</v>
      </c>
      <c r="J51" s="1191" t="s">
        <v>446</v>
      </c>
    </row>
    <row r="52" spans="2:10" ht="13.5" thickBot="1" x14ac:dyDescent="0.25">
      <c r="B52" s="402"/>
      <c r="C52" s="1193" t="s">
        <v>447</v>
      </c>
      <c r="D52" s="1193"/>
      <c r="E52" s="1193"/>
      <c r="F52" s="1193"/>
      <c r="G52" s="1193"/>
      <c r="H52" s="1194">
        <v>1321374.72</v>
      </c>
      <c r="I52" s="1194"/>
      <c r="J52" s="1192"/>
    </row>
    <row r="53" spans="2:10" ht="13.5" thickBot="1" x14ac:dyDescent="0.25">
      <c r="B53" s="403"/>
      <c r="C53" s="404"/>
      <c r="D53" s="1273"/>
      <c r="E53" s="1273"/>
      <c r="F53" s="1273"/>
      <c r="G53" s="1273"/>
      <c r="H53" s="433"/>
      <c r="I53" s="433"/>
      <c r="J53" s="434"/>
    </row>
    <row r="54" spans="2:10" x14ac:dyDescent="0.2">
      <c r="B54" s="403"/>
      <c r="C54" s="404"/>
      <c r="D54" s="1274" t="s">
        <v>448</v>
      </c>
      <c r="E54" s="1275"/>
      <c r="F54" s="1275"/>
      <c r="G54" s="405" t="s">
        <v>449</v>
      </c>
      <c r="H54" s="1276" t="s">
        <v>450</v>
      </c>
      <c r="I54" s="1276"/>
      <c r="J54" s="1277"/>
    </row>
    <row r="55" spans="2:10" x14ac:dyDescent="0.2">
      <c r="B55" s="406"/>
      <c r="C55" s="406"/>
      <c r="D55" s="1287" t="s">
        <v>451</v>
      </c>
      <c r="E55" s="1288"/>
      <c r="F55" s="407">
        <v>1266954.56</v>
      </c>
      <c r="G55" s="1278">
        <f>F56-F55</f>
        <v>54420.160000000003</v>
      </c>
      <c r="H55" s="1280">
        <v>4.2900000000000001E-2</v>
      </c>
      <c r="I55" s="1280"/>
      <c r="J55" s="1281"/>
    </row>
    <row r="56" spans="2:10" ht="13.5" thickBot="1" x14ac:dyDescent="0.25">
      <c r="B56" s="403"/>
      <c r="C56" s="404"/>
      <c r="D56" s="1284" t="s">
        <v>452</v>
      </c>
      <c r="E56" s="1285"/>
      <c r="F56" s="408">
        <v>1321374.72</v>
      </c>
      <c r="G56" s="1279"/>
      <c r="H56" s="1282"/>
      <c r="I56" s="1282"/>
      <c r="J56" s="1283"/>
    </row>
    <row r="57" spans="2:10" ht="13.5" thickBot="1" x14ac:dyDescent="0.25">
      <c r="B57" s="403"/>
      <c r="C57" s="404"/>
      <c r="D57" s="409"/>
      <c r="E57" s="409"/>
      <c r="F57" s="410"/>
      <c r="G57" s="411"/>
      <c r="H57" s="435"/>
      <c r="I57" s="435"/>
      <c r="J57" s="434"/>
    </row>
    <row r="58" spans="2:10" x14ac:dyDescent="0.2">
      <c r="B58" s="1261" t="s">
        <v>453</v>
      </c>
      <c r="C58" s="1262"/>
      <c r="D58" s="1262"/>
      <c r="E58" s="1262"/>
      <c r="F58" s="1262"/>
      <c r="G58" s="1262"/>
      <c r="H58" s="1262"/>
      <c r="I58" s="1262"/>
      <c r="J58" s="1263"/>
    </row>
    <row r="59" spans="2:10" x14ac:dyDescent="0.2">
      <c r="B59" s="1264" t="s">
        <v>503</v>
      </c>
      <c r="C59" s="1265"/>
      <c r="D59" s="1265"/>
      <c r="E59" s="1265"/>
      <c r="F59" s="1265"/>
      <c r="G59" s="1265"/>
      <c r="H59" s="1265"/>
      <c r="I59" s="1265"/>
      <c r="J59" s="1266"/>
    </row>
    <row r="60" spans="2:10" x14ac:dyDescent="0.2">
      <c r="B60" s="1258" t="s">
        <v>431</v>
      </c>
      <c r="C60" s="1259"/>
      <c r="D60" s="1259"/>
      <c r="E60" s="1259"/>
      <c r="F60" s="1259"/>
      <c r="G60" s="1259"/>
      <c r="H60" s="1259"/>
      <c r="I60" s="1259"/>
      <c r="J60" s="1260"/>
    </row>
    <row r="61" spans="2:10" ht="42.75" customHeight="1" x14ac:dyDescent="0.2">
      <c r="B61" s="1267" t="s">
        <v>454</v>
      </c>
      <c r="C61" s="1268"/>
      <c r="D61" s="1268"/>
      <c r="E61" s="1268"/>
      <c r="F61" s="1268"/>
      <c r="G61" s="1268"/>
      <c r="H61" s="1268"/>
      <c r="I61" s="1268"/>
      <c r="J61" s="1269"/>
    </row>
    <row r="62" spans="2:10" x14ac:dyDescent="0.2">
      <c r="B62" s="1286" t="s">
        <v>455</v>
      </c>
      <c r="C62" s="1271"/>
      <c r="D62" s="1271"/>
      <c r="E62" s="1271"/>
      <c r="F62" s="1271"/>
      <c r="G62" s="1271"/>
      <c r="H62" s="1271"/>
      <c r="I62" s="1271"/>
      <c r="J62" s="1272"/>
    </row>
    <row r="63" spans="2:10" x14ac:dyDescent="0.2">
      <c r="B63" s="1289" t="s">
        <v>456</v>
      </c>
      <c r="C63" s="1290"/>
      <c r="D63" s="1290"/>
      <c r="E63" s="1290"/>
      <c r="F63" s="1290"/>
      <c r="G63" s="1290"/>
      <c r="H63" s="1290"/>
      <c r="I63" s="1290"/>
      <c r="J63" s="1291"/>
    </row>
    <row r="64" spans="2:10" ht="38.25" x14ac:dyDescent="0.2">
      <c r="B64" s="1292" t="s">
        <v>163</v>
      </c>
      <c r="C64" s="1293"/>
      <c r="D64" s="1294"/>
      <c r="E64" s="436" t="s">
        <v>184</v>
      </c>
      <c r="F64" s="436" t="s">
        <v>185</v>
      </c>
      <c r="G64" s="436" t="s">
        <v>186</v>
      </c>
      <c r="H64" s="436" t="s">
        <v>90</v>
      </c>
      <c r="I64" s="436" t="s">
        <v>335</v>
      </c>
      <c r="J64" s="397" t="s">
        <v>434</v>
      </c>
    </row>
    <row r="65" spans="2:10" x14ac:dyDescent="0.2">
      <c r="B65" s="1301" t="s">
        <v>160</v>
      </c>
      <c r="C65" s="1302"/>
      <c r="D65" s="1303"/>
      <c r="E65" s="437" t="s">
        <v>161</v>
      </c>
      <c r="F65" s="437" t="s">
        <v>177</v>
      </c>
      <c r="G65" s="437" t="s">
        <v>162</v>
      </c>
      <c r="H65" s="437" t="s">
        <v>182</v>
      </c>
      <c r="I65" s="437" t="s">
        <v>183</v>
      </c>
      <c r="J65" s="399" t="s">
        <v>435</v>
      </c>
    </row>
    <row r="66" spans="2:10" x14ac:dyDescent="0.2">
      <c r="B66" s="438" t="s">
        <v>139</v>
      </c>
      <c r="C66" s="1295" t="s">
        <v>302</v>
      </c>
      <c r="D66" s="1296"/>
      <c r="E66" s="437" t="s">
        <v>457</v>
      </c>
      <c r="F66" s="437">
        <v>1</v>
      </c>
      <c r="G66" s="437" t="s">
        <v>458</v>
      </c>
      <c r="H66" s="437">
        <v>1</v>
      </c>
      <c r="I66" s="437" t="s">
        <v>459</v>
      </c>
      <c r="J66" s="432">
        <f>F66*H66</f>
        <v>1</v>
      </c>
    </row>
    <row r="67" spans="2:10" x14ac:dyDescent="0.2">
      <c r="B67" s="438" t="s">
        <v>333</v>
      </c>
      <c r="C67" s="1295" t="s">
        <v>350</v>
      </c>
      <c r="D67" s="1296"/>
      <c r="E67" s="437" t="s">
        <v>460</v>
      </c>
      <c r="F67" s="437">
        <v>2</v>
      </c>
      <c r="G67" s="437" t="s">
        <v>461</v>
      </c>
      <c r="H67" s="437">
        <v>6</v>
      </c>
      <c r="I67" s="437" t="s">
        <v>462</v>
      </c>
      <c r="J67" s="432">
        <f t="shared" ref="J67:J68" si="1">F67*H67</f>
        <v>12</v>
      </c>
    </row>
    <row r="68" spans="2:10" x14ac:dyDescent="0.2">
      <c r="B68" s="438" t="s">
        <v>334</v>
      </c>
      <c r="C68" s="1295" t="s">
        <v>352</v>
      </c>
      <c r="D68" s="1296"/>
      <c r="E68" s="437" t="s">
        <v>463</v>
      </c>
      <c r="F68" s="437">
        <v>2</v>
      </c>
      <c r="G68" s="437" t="s">
        <v>464</v>
      </c>
      <c r="H68" s="437">
        <v>1</v>
      </c>
      <c r="I68" s="437" t="s">
        <v>465</v>
      </c>
      <c r="J68" s="432">
        <f t="shared" si="1"/>
        <v>2</v>
      </c>
    </row>
    <row r="69" spans="2:10" x14ac:dyDescent="0.2">
      <c r="B69" s="438"/>
      <c r="C69" s="1297" t="s">
        <v>336</v>
      </c>
      <c r="D69" s="1293"/>
      <c r="E69" s="1293"/>
      <c r="F69" s="1293"/>
      <c r="G69" s="1294"/>
      <c r="H69" s="437"/>
      <c r="I69" s="436" t="s">
        <v>466</v>
      </c>
      <c r="J69" s="1191" t="s">
        <v>446</v>
      </c>
    </row>
    <row r="70" spans="2:10" ht="13.5" thickBot="1" x14ac:dyDescent="0.25">
      <c r="B70" s="438"/>
      <c r="C70" s="1297" t="s">
        <v>447</v>
      </c>
      <c r="D70" s="1293"/>
      <c r="E70" s="1293"/>
      <c r="F70" s="1293"/>
      <c r="G70" s="1294"/>
      <c r="H70" s="437"/>
      <c r="I70" s="436" t="s">
        <v>467</v>
      </c>
      <c r="J70" s="1192"/>
    </row>
    <row r="71" spans="2:10" x14ac:dyDescent="0.2">
      <c r="B71" s="412"/>
      <c r="C71" s="404"/>
      <c r="D71" s="409"/>
      <c r="E71" s="409"/>
      <c r="F71" s="410"/>
      <c r="G71" s="411"/>
      <c r="H71" s="435"/>
      <c r="I71" s="435"/>
      <c r="J71" s="439"/>
    </row>
    <row r="72" spans="2:10" x14ac:dyDescent="0.2">
      <c r="B72" s="1286" t="s">
        <v>433</v>
      </c>
      <c r="C72" s="1271"/>
      <c r="D72" s="1271"/>
      <c r="E72" s="1271"/>
      <c r="F72" s="1271"/>
      <c r="G72" s="1271"/>
      <c r="H72" s="1271"/>
      <c r="I72" s="1271"/>
      <c r="J72" s="1272"/>
    </row>
    <row r="73" spans="2:10" x14ac:dyDescent="0.2">
      <c r="B73" s="1298" t="s">
        <v>468</v>
      </c>
      <c r="C73" s="1299"/>
      <c r="D73" s="1299"/>
      <c r="E73" s="1299"/>
      <c r="F73" s="1299"/>
      <c r="G73" s="1299"/>
      <c r="H73" s="1299"/>
      <c r="I73" s="1299"/>
      <c r="J73" s="1300"/>
    </row>
    <row r="74" spans="2:10" ht="38.25" x14ac:dyDescent="0.2">
      <c r="B74" s="1292" t="s">
        <v>163</v>
      </c>
      <c r="C74" s="1293"/>
      <c r="D74" s="1294"/>
      <c r="E74" s="436" t="s">
        <v>184</v>
      </c>
      <c r="F74" s="436" t="s">
        <v>185</v>
      </c>
      <c r="G74" s="436" t="s">
        <v>186</v>
      </c>
      <c r="H74" s="436" t="s">
        <v>90</v>
      </c>
      <c r="I74" s="436" t="s">
        <v>335</v>
      </c>
      <c r="J74" s="397" t="s">
        <v>434</v>
      </c>
    </row>
    <row r="75" spans="2:10" x14ac:dyDescent="0.2">
      <c r="B75" s="1301" t="s">
        <v>160</v>
      </c>
      <c r="C75" s="1302"/>
      <c r="D75" s="1303"/>
      <c r="E75" s="437" t="s">
        <v>161</v>
      </c>
      <c r="F75" s="437" t="s">
        <v>177</v>
      </c>
      <c r="G75" s="437" t="s">
        <v>162</v>
      </c>
      <c r="H75" s="437" t="s">
        <v>182</v>
      </c>
      <c r="I75" s="437" t="s">
        <v>183</v>
      </c>
      <c r="J75" s="399" t="s">
        <v>435</v>
      </c>
    </row>
    <row r="76" spans="2:10" x14ac:dyDescent="0.2">
      <c r="B76" s="438" t="s">
        <v>139</v>
      </c>
      <c r="C76" s="1295" t="s">
        <v>302</v>
      </c>
      <c r="D76" s="1296"/>
      <c r="E76" s="437" t="s">
        <v>469</v>
      </c>
      <c r="F76" s="437">
        <v>1</v>
      </c>
      <c r="G76" s="437" t="s">
        <v>469</v>
      </c>
      <c r="H76" s="437">
        <v>2</v>
      </c>
      <c r="I76" s="437" t="s">
        <v>470</v>
      </c>
      <c r="J76" s="432">
        <f>F76*H76</f>
        <v>2</v>
      </c>
    </row>
    <row r="77" spans="2:10" x14ac:dyDescent="0.2">
      <c r="B77" s="438" t="s">
        <v>333</v>
      </c>
      <c r="C77" s="1295" t="s">
        <v>350</v>
      </c>
      <c r="D77" s="1296"/>
      <c r="E77" s="437" t="s">
        <v>471</v>
      </c>
      <c r="F77" s="437">
        <v>2</v>
      </c>
      <c r="G77" s="437" t="s">
        <v>472</v>
      </c>
      <c r="H77" s="437">
        <v>6</v>
      </c>
      <c r="I77" s="437" t="s">
        <v>473</v>
      </c>
      <c r="J77" s="432">
        <f t="shared" ref="J77:J78" si="2">F77*H77</f>
        <v>12</v>
      </c>
    </row>
    <row r="78" spans="2:10" x14ac:dyDescent="0.2">
      <c r="B78" s="438" t="s">
        <v>334</v>
      </c>
      <c r="C78" s="1295" t="s">
        <v>352</v>
      </c>
      <c r="D78" s="1296"/>
      <c r="E78" s="437" t="s">
        <v>474</v>
      </c>
      <c r="F78" s="437">
        <v>2</v>
      </c>
      <c r="G78" s="437" t="s">
        <v>475</v>
      </c>
      <c r="H78" s="437">
        <v>1</v>
      </c>
      <c r="I78" s="437" t="s">
        <v>476</v>
      </c>
      <c r="J78" s="432">
        <f t="shared" si="2"/>
        <v>2</v>
      </c>
    </row>
    <row r="79" spans="2:10" x14ac:dyDescent="0.2">
      <c r="B79" s="438"/>
      <c r="C79" s="1297" t="s">
        <v>336</v>
      </c>
      <c r="D79" s="1293"/>
      <c r="E79" s="1293"/>
      <c r="F79" s="1293"/>
      <c r="G79" s="1294"/>
      <c r="H79" s="437"/>
      <c r="I79" s="436" t="s">
        <v>477</v>
      </c>
      <c r="J79" s="1191" t="s">
        <v>446</v>
      </c>
    </row>
    <row r="80" spans="2:10" ht="13.5" thickBot="1" x14ac:dyDescent="0.25">
      <c r="B80" s="440"/>
      <c r="C80" s="1306" t="s">
        <v>341</v>
      </c>
      <c r="D80" s="1307"/>
      <c r="E80" s="1307"/>
      <c r="F80" s="1307"/>
      <c r="G80" s="1308"/>
      <c r="H80" s="441"/>
      <c r="I80" s="442" t="s">
        <v>478</v>
      </c>
      <c r="J80" s="1192"/>
    </row>
    <row r="81" spans="2:10" ht="13.5" thickBot="1" x14ac:dyDescent="0.25">
      <c r="B81" s="403"/>
      <c r="C81" s="404"/>
      <c r="D81" s="409"/>
      <c r="E81" s="409"/>
      <c r="F81" s="410"/>
      <c r="G81" s="411"/>
      <c r="H81" s="435"/>
      <c r="I81" s="435"/>
      <c r="J81" s="434"/>
    </row>
    <row r="82" spans="2:10" x14ac:dyDescent="0.2">
      <c r="B82" s="1309" t="s">
        <v>479</v>
      </c>
      <c r="C82" s="1310"/>
      <c r="D82" s="1310"/>
      <c r="E82" s="1310"/>
      <c r="F82" s="1310"/>
      <c r="G82" s="1310"/>
      <c r="H82" s="1310"/>
      <c r="I82" s="1310"/>
      <c r="J82" s="1311"/>
    </row>
    <row r="83" spans="2:10" x14ac:dyDescent="0.2">
      <c r="B83" s="1312" t="s">
        <v>504</v>
      </c>
      <c r="C83" s="1313"/>
      <c r="D83" s="1313"/>
      <c r="E83" s="1313"/>
      <c r="F83" s="1313"/>
      <c r="G83" s="1313"/>
      <c r="H83" s="1313"/>
      <c r="I83" s="1313"/>
      <c r="J83" s="1314"/>
    </row>
    <row r="84" spans="2:10" x14ac:dyDescent="0.2">
      <c r="B84" s="1205" t="s">
        <v>431</v>
      </c>
      <c r="C84" s="1206"/>
      <c r="D84" s="1206"/>
      <c r="E84" s="1206"/>
      <c r="F84" s="1206"/>
      <c r="G84" s="1206"/>
      <c r="H84" s="1206"/>
      <c r="I84" s="1206"/>
      <c r="J84" s="1207"/>
    </row>
    <row r="85" spans="2:10" ht="18" customHeight="1" x14ac:dyDescent="0.2">
      <c r="B85" s="1165" t="s">
        <v>505</v>
      </c>
      <c r="C85" s="1166"/>
      <c r="D85" s="1166"/>
      <c r="E85" s="1166"/>
      <c r="F85" s="1166"/>
      <c r="G85" s="1166"/>
      <c r="H85" s="1166"/>
      <c r="I85" s="1166"/>
      <c r="J85" s="1167"/>
    </row>
    <row r="86" spans="2:10" x14ac:dyDescent="0.2">
      <c r="B86" s="1168" t="s">
        <v>480</v>
      </c>
      <c r="C86" s="1169"/>
      <c r="D86" s="1169"/>
      <c r="E86" s="1169"/>
      <c r="F86" s="1169"/>
      <c r="G86" s="1169"/>
      <c r="H86" s="1169"/>
      <c r="I86" s="1169"/>
      <c r="J86" s="1170"/>
    </row>
    <row r="87" spans="2:10" x14ac:dyDescent="0.2">
      <c r="B87" s="1315" t="s">
        <v>164</v>
      </c>
      <c r="C87" s="1316"/>
      <c r="D87" s="1316"/>
      <c r="E87" s="1316"/>
      <c r="F87" s="1316"/>
      <c r="G87" s="1316"/>
      <c r="H87" s="1316"/>
      <c r="I87" s="1316"/>
      <c r="J87" s="1317"/>
    </row>
    <row r="88" spans="2:10" ht="38.25" x14ac:dyDescent="0.2">
      <c r="B88" s="1315" t="s">
        <v>163</v>
      </c>
      <c r="C88" s="1316"/>
      <c r="D88" s="1316"/>
      <c r="E88" s="413" t="s">
        <v>184</v>
      </c>
      <c r="F88" s="413" t="s">
        <v>185</v>
      </c>
      <c r="G88" s="413" t="s">
        <v>186</v>
      </c>
      <c r="H88" s="413" t="s">
        <v>90</v>
      </c>
      <c r="I88" s="413" t="s">
        <v>335</v>
      </c>
      <c r="J88" s="397" t="s">
        <v>434</v>
      </c>
    </row>
    <row r="89" spans="2:10" x14ac:dyDescent="0.2">
      <c r="B89" s="1304" t="s">
        <v>160</v>
      </c>
      <c r="C89" s="1305"/>
      <c r="D89" s="1305"/>
      <c r="E89" s="414" t="s">
        <v>161</v>
      </c>
      <c r="F89" s="414" t="s">
        <v>177</v>
      </c>
      <c r="G89" s="414" t="s">
        <v>162</v>
      </c>
      <c r="H89" s="414" t="s">
        <v>182</v>
      </c>
      <c r="I89" s="414" t="s">
        <v>183</v>
      </c>
      <c r="J89" s="399" t="s">
        <v>435</v>
      </c>
    </row>
    <row r="90" spans="2:10" x14ac:dyDescent="0.2">
      <c r="B90" s="415" t="s">
        <v>139</v>
      </c>
      <c r="C90" s="1318" t="s">
        <v>302</v>
      </c>
      <c r="D90" s="1318"/>
      <c r="E90" s="416" t="s">
        <v>481</v>
      </c>
      <c r="F90" s="414">
        <v>1</v>
      </c>
      <c r="G90" s="416" t="s">
        <v>481</v>
      </c>
      <c r="H90" s="414">
        <v>2</v>
      </c>
      <c r="I90" s="416" t="s">
        <v>482</v>
      </c>
      <c r="J90" s="432">
        <f>H90*F90</f>
        <v>2</v>
      </c>
    </row>
    <row r="91" spans="2:10" x14ac:dyDescent="0.2">
      <c r="B91" s="415" t="s">
        <v>333</v>
      </c>
      <c r="C91" s="1318" t="s">
        <v>350</v>
      </c>
      <c r="D91" s="1318"/>
      <c r="E91" s="416">
        <v>7120.57</v>
      </c>
      <c r="F91" s="414">
        <v>2</v>
      </c>
      <c r="G91" s="416">
        <v>14241.14</v>
      </c>
      <c r="H91" s="414">
        <v>6</v>
      </c>
      <c r="I91" s="416" t="s">
        <v>483</v>
      </c>
      <c r="J91" s="432">
        <f t="shared" ref="J91:J92" si="3">H91*F91</f>
        <v>12</v>
      </c>
    </row>
    <row r="92" spans="2:10" x14ac:dyDescent="0.2">
      <c r="B92" s="415" t="s">
        <v>334</v>
      </c>
      <c r="C92" s="1318" t="s">
        <v>352</v>
      </c>
      <c r="D92" s="1318"/>
      <c r="E92" s="416">
        <v>7970.04</v>
      </c>
      <c r="F92" s="414">
        <v>2</v>
      </c>
      <c r="G92" s="416">
        <v>15940.08</v>
      </c>
      <c r="H92" s="414">
        <v>1</v>
      </c>
      <c r="I92" s="417">
        <v>15940.08</v>
      </c>
      <c r="J92" s="432">
        <f t="shared" si="3"/>
        <v>2</v>
      </c>
    </row>
    <row r="93" spans="2:10" x14ac:dyDescent="0.2">
      <c r="B93" s="1319" t="s">
        <v>336</v>
      </c>
      <c r="C93" s="1320"/>
      <c r="D93" s="1320"/>
      <c r="E93" s="1320"/>
      <c r="F93" s="1320"/>
      <c r="G93" s="1320"/>
      <c r="H93" s="1320"/>
      <c r="I93" s="443">
        <v>117136</v>
      </c>
      <c r="J93" s="1191" t="s">
        <v>446</v>
      </c>
    </row>
    <row r="94" spans="2:10" ht="13.5" thickBot="1" x14ac:dyDescent="0.25">
      <c r="B94" s="418"/>
      <c r="C94" s="1321" t="s">
        <v>447</v>
      </c>
      <c r="D94" s="1321"/>
      <c r="E94" s="1321"/>
      <c r="F94" s="1321"/>
      <c r="G94" s="1321"/>
      <c r="H94" s="1322">
        <f>I93*12</f>
        <v>1405632</v>
      </c>
      <c r="I94" s="1322"/>
      <c r="J94" s="1192"/>
    </row>
    <row r="95" spans="2:10" ht="13.5" thickBot="1" x14ac:dyDescent="0.25">
      <c r="B95" s="403"/>
      <c r="C95" s="404"/>
      <c r="D95" s="409"/>
      <c r="E95" s="409"/>
      <c r="F95" s="410"/>
      <c r="G95" s="411"/>
      <c r="H95" s="435"/>
      <c r="I95" s="435"/>
      <c r="J95" s="434"/>
    </row>
    <row r="96" spans="2:10" x14ac:dyDescent="0.2">
      <c r="B96" s="1309" t="s">
        <v>484</v>
      </c>
      <c r="C96" s="1310"/>
      <c r="D96" s="1310"/>
      <c r="E96" s="1310"/>
      <c r="F96" s="1310"/>
      <c r="G96" s="1310"/>
      <c r="H96" s="1310"/>
      <c r="I96" s="1310"/>
      <c r="J96" s="1311"/>
    </row>
    <row r="97" spans="2:10" x14ac:dyDescent="0.2">
      <c r="B97" s="1312" t="s">
        <v>506</v>
      </c>
      <c r="C97" s="1313"/>
      <c r="D97" s="1313"/>
      <c r="E97" s="1313"/>
      <c r="F97" s="1313"/>
      <c r="G97" s="1313"/>
      <c r="H97" s="1313"/>
      <c r="I97" s="1313"/>
      <c r="J97" s="1314"/>
    </row>
    <row r="98" spans="2:10" x14ac:dyDescent="0.2">
      <c r="B98" s="1205" t="s">
        <v>431</v>
      </c>
      <c r="C98" s="1206"/>
      <c r="D98" s="1206"/>
      <c r="E98" s="1206"/>
      <c r="F98" s="1206"/>
      <c r="G98" s="1206"/>
      <c r="H98" s="1206"/>
      <c r="I98" s="1206"/>
      <c r="J98" s="1207"/>
    </row>
    <row r="99" spans="2:10" ht="43.5" customHeight="1" x14ac:dyDescent="0.2">
      <c r="B99" s="1165" t="s">
        <v>485</v>
      </c>
      <c r="C99" s="1166"/>
      <c r="D99" s="1166"/>
      <c r="E99" s="1166"/>
      <c r="F99" s="1166"/>
      <c r="G99" s="1166"/>
      <c r="H99" s="1166"/>
      <c r="I99" s="1166"/>
      <c r="J99" s="1167"/>
    </row>
    <row r="100" spans="2:10" x14ac:dyDescent="0.2">
      <c r="B100" s="1168" t="s">
        <v>486</v>
      </c>
      <c r="C100" s="1169"/>
      <c r="D100" s="1169"/>
      <c r="E100" s="1169"/>
      <c r="F100" s="1169"/>
      <c r="G100" s="1169"/>
      <c r="H100" s="1169"/>
      <c r="I100" s="1169"/>
      <c r="J100" s="1170"/>
    </row>
    <row r="101" spans="2:10" x14ac:dyDescent="0.2">
      <c r="B101" s="1171" t="s">
        <v>164</v>
      </c>
      <c r="C101" s="1172"/>
      <c r="D101" s="1172"/>
      <c r="E101" s="1172"/>
      <c r="F101" s="1172"/>
      <c r="G101" s="1172"/>
      <c r="H101" s="1172"/>
      <c r="I101" s="1172"/>
      <c r="J101" s="1173"/>
    </row>
    <row r="102" spans="2:10" ht="38.25" x14ac:dyDescent="0.2">
      <c r="B102" s="1171" t="s">
        <v>163</v>
      </c>
      <c r="C102" s="1172"/>
      <c r="D102" s="1172"/>
      <c r="E102" s="396" t="s">
        <v>184</v>
      </c>
      <c r="F102" s="396" t="s">
        <v>185</v>
      </c>
      <c r="G102" s="396" t="s">
        <v>186</v>
      </c>
      <c r="H102" s="396" t="s">
        <v>90</v>
      </c>
      <c r="I102" s="396" t="s">
        <v>335</v>
      </c>
      <c r="J102" s="397" t="s">
        <v>434</v>
      </c>
    </row>
    <row r="103" spans="2:10" x14ac:dyDescent="0.2">
      <c r="B103" s="1174" t="s">
        <v>160</v>
      </c>
      <c r="C103" s="1175"/>
      <c r="D103" s="1175"/>
      <c r="E103" s="398" t="s">
        <v>161</v>
      </c>
      <c r="F103" s="398" t="s">
        <v>177</v>
      </c>
      <c r="G103" s="398" t="s">
        <v>162</v>
      </c>
      <c r="H103" s="398" t="s">
        <v>182</v>
      </c>
      <c r="I103" s="398" t="s">
        <v>183</v>
      </c>
      <c r="J103" s="399" t="s">
        <v>435</v>
      </c>
    </row>
    <row r="104" spans="2:10" x14ac:dyDescent="0.2">
      <c r="B104" s="400" t="s">
        <v>139</v>
      </c>
      <c r="C104" s="1166" t="s">
        <v>302</v>
      </c>
      <c r="D104" s="1166"/>
      <c r="E104" s="419" t="s">
        <v>481</v>
      </c>
      <c r="F104" s="398">
        <v>1</v>
      </c>
      <c r="G104" s="419" t="s">
        <v>481</v>
      </c>
      <c r="H104" s="398">
        <v>2</v>
      </c>
      <c r="I104" s="401" t="s">
        <v>487</v>
      </c>
      <c r="J104" s="432">
        <f>H104*F104</f>
        <v>2</v>
      </c>
    </row>
    <row r="105" spans="2:10" x14ac:dyDescent="0.2">
      <c r="B105" s="400" t="s">
        <v>333</v>
      </c>
      <c r="C105" s="1166" t="s">
        <v>350</v>
      </c>
      <c r="D105" s="1166"/>
      <c r="E105" s="419">
        <v>7120.57</v>
      </c>
      <c r="F105" s="398">
        <v>2</v>
      </c>
      <c r="G105" s="419">
        <v>14241.14</v>
      </c>
      <c r="H105" s="398">
        <v>7</v>
      </c>
      <c r="I105" s="401" t="s">
        <v>488</v>
      </c>
      <c r="J105" s="432">
        <f>H105*F105</f>
        <v>14</v>
      </c>
    </row>
    <row r="106" spans="2:10" x14ac:dyDescent="0.2">
      <c r="B106" s="400" t="s">
        <v>334</v>
      </c>
      <c r="C106" s="1166" t="s">
        <v>352</v>
      </c>
      <c r="D106" s="1166"/>
      <c r="E106" s="419">
        <v>7970.04</v>
      </c>
      <c r="F106" s="398">
        <v>2</v>
      </c>
      <c r="G106" s="419">
        <v>15940.08</v>
      </c>
      <c r="H106" s="398">
        <v>1</v>
      </c>
      <c r="I106" s="420">
        <v>15940.08</v>
      </c>
      <c r="J106" s="432">
        <f>H106*F106</f>
        <v>2</v>
      </c>
    </row>
    <row r="107" spans="2:10" x14ac:dyDescent="0.2">
      <c r="B107" s="1181" t="s">
        <v>336</v>
      </c>
      <c r="C107" s="1182"/>
      <c r="D107" s="1182"/>
      <c r="E107" s="1182"/>
      <c r="F107" s="1182"/>
      <c r="G107" s="1182"/>
      <c r="H107" s="1182"/>
      <c r="I107" s="444">
        <v>131377.14000000001</v>
      </c>
      <c r="J107" s="1191" t="s">
        <v>489</v>
      </c>
    </row>
    <row r="108" spans="2:10" ht="13.5" thickBot="1" x14ac:dyDescent="0.25">
      <c r="B108" s="402"/>
      <c r="C108" s="1193" t="s">
        <v>447</v>
      </c>
      <c r="D108" s="1193"/>
      <c r="E108" s="1193"/>
      <c r="F108" s="1193"/>
      <c r="G108" s="1193"/>
      <c r="H108" s="1194">
        <v>1576525.68</v>
      </c>
      <c r="I108" s="1194"/>
      <c r="J108" s="1192"/>
    </row>
    <row r="109" spans="2:10" ht="13.5" thickBot="1" x14ac:dyDescent="0.25">
      <c r="B109" s="434"/>
      <c r="C109" s="434"/>
      <c r="D109" s="434"/>
      <c r="E109" s="434"/>
      <c r="F109" s="434"/>
      <c r="G109" s="434"/>
      <c r="H109" s="434"/>
      <c r="I109" s="434"/>
      <c r="J109" s="434"/>
    </row>
    <row r="110" spans="2:10" x14ac:dyDescent="0.2">
      <c r="B110" s="1336" t="s">
        <v>448</v>
      </c>
      <c r="C110" s="1337"/>
      <c r="D110" s="1337"/>
      <c r="E110" s="1337"/>
      <c r="F110" s="1337"/>
      <c r="G110" s="422" t="s">
        <v>490</v>
      </c>
      <c r="H110" s="424" t="s">
        <v>491</v>
      </c>
      <c r="I110" s="1276" t="s">
        <v>492</v>
      </c>
      <c r="J110" s="1277"/>
    </row>
    <row r="111" spans="2:10" x14ac:dyDescent="0.2">
      <c r="B111" s="1323" t="s">
        <v>451</v>
      </c>
      <c r="C111" s="1324"/>
      <c r="D111" s="1324"/>
      <c r="E111" s="1324"/>
      <c r="F111" s="423">
        <v>1266954.56</v>
      </c>
      <c r="G111" s="423">
        <v>316738.64</v>
      </c>
      <c r="H111" s="425">
        <v>0.25</v>
      </c>
      <c r="I111" s="1325">
        <f>H112+H120</f>
        <v>0.17780000000000001</v>
      </c>
      <c r="J111" s="1326"/>
    </row>
    <row r="112" spans="2:10" x14ac:dyDescent="0.2">
      <c r="B112" s="1323" t="s">
        <v>499</v>
      </c>
      <c r="C112" s="1324"/>
      <c r="D112" s="1324"/>
      <c r="E112" s="1324"/>
      <c r="F112" s="423">
        <v>54420.160000000003</v>
      </c>
      <c r="G112" s="423">
        <f>F112</f>
        <v>54420.160000000003</v>
      </c>
      <c r="H112" s="426">
        <v>4.2900000000000001E-2</v>
      </c>
      <c r="I112" s="1327"/>
      <c r="J112" s="1328"/>
    </row>
    <row r="113" spans="2:10" x14ac:dyDescent="0.2">
      <c r="B113" s="1323" t="s">
        <v>493</v>
      </c>
      <c r="C113" s="1324"/>
      <c r="D113" s="1324"/>
      <c r="E113" s="1324"/>
      <c r="F113" s="423">
        <f>SUM(F111:F112)</f>
        <v>1321374.72</v>
      </c>
      <c r="G113" s="423"/>
      <c r="H113" s="426"/>
      <c r="I113" s="1327"/>
      <c r="J113" s="1328"/>
    </row>
    <row r="114" spans="2:10" x14ac:dyDescent="0.2">
      <c r="B114" s="1323" t="s">
        <v>494</v>
      </c>
      <c r="C114" s="1324"/>
      <c r="D114" s="1324"/>
      <c r="E114" s="1324"/>
      <c r="F114" s="427">
        <v>-1586.88</v>
      </c>
      <c r="G114" s="423"/>
      <c r="H114" s="426"/>
      <c r="I114" s="1327"/>
      <c r="J114" s="1328"/>
    </row>
    <row r="115" spans="2:10" x14ac:dyDescent="0.2">
      <c r="B115" s="1323" t="s">
        <v>493</v>
      </c>
      <c r="C115" s="1324"/>
      <c r="D115" s="1324"/>
      <c r="E115" s="1324"/>
      <c r="F115" s="423">
        <f>F113+F114</f>
        <v>1319787.8400000001</v>
      </c>
      <c r="G115" s="423"/>
      <c r="H115" s="426"/>
      <c r="I115" s="1327"/>
      <c r="J115" s="1328"/>
    </row>
    <row r="116" spans="2:10" x14ac:dyDescent="0.2">
      <c r="B116" s="1323" t="s">
        <v>495</v>
      </c>
      <c r="C116" s="1324"/>
      <c r="D116" s="1324"/>
      <c r="E116" s="1324"/>
      <c r="F116" s="423">
        <v>57733.32</v>
      </c>
      <c r="G116" s="423"/>
      <c r="H116" s="426"/>
      <c r="I116" s="1327"/>
      <c r="J116" s="1328"/>
    </row>
    <row r="117" spans="2:10" x14ac:dyDescent="0.2">
      <c r="B117" s="1323" t="s">
        <v>493</v>
      </c>
      <c r="C117" s="1324"/>
      <c r="D117" s="1324"/>
      <c r="E117" s="1324"/>
      <c r="F117" s="423">
        <f>SUM(F115:F116)</f>
        <v>1377521.16</v>
      </c>
      <c r="G117" s="423"/>
      <c r="H117" s="426"/>
      <c r="I117" s="1327"/>
      <c r="J117" s="1328"/>
    </row>
    <row r="118" spans="2:10" x14ac:dyDescent="0.2">
      <c r="B118" s="1323" t="s">
        <v>496</v>
      </c>
      <c r="C118" s="1324"/>
      <c r="D118" s="1324"/>
      <c r="E118" s="1324"/>
      <c r="F118" s="423">
        <f>F119-F113</f>
        <v>84257.279999999999</v>
      </c>
      <c r="G118" s="423"/>
      <c r="H118" s="426"/>
      <c r="I118" s="1327"/>
      <c r="J118" s="1328"/>
    </row>
    <row r="119" spans="2:10" x14ac:dyDescent="0.2">
      <c r="B119" s="1323" t="s">
        <v>497</v>
      </c>
      <c r="C119" s="1324"/>
      <c r="D119" s="1324"/>
      <c r="E119" s="1324"/>
      <c r="F119" s="423">
        <v>1405632</v>
      </c>
      <c r="G119" s="423"/>
      <c r="H119" s="426"/>
      <c r="I119" s="1327"/>
      <c r="J119" s="1328"/>
    </row>
    <row r="120" spans="2:10" x14ac:dyDescent="0.2">
      <c r="B120" s="1334" t="s">
        <v>500</v>
      </c>
      <c r="C120" s="1335"/>
      <c r="D120" s="1335"/>
      <c r="E120" s="1335"/>
      <c r="F120" s="423">
        <f>F121-F119</f>
        <v>170893.68</v>
      </c>
      <c r="G120" s="423">
        <f>F120</f>
        <v>170893.68</v>
      </c>
      <c r="H120" s="426">
        <v>0.13489999999999999</v>
      </c>
      <c r="I120" s="1327"/>
      <c r="J120" s="1328"/>
    </row>
    <row r="121" spans="2:10" x14ac:dyDescent="0.2">
      <c r="B121" s="1323" t="s">
        <v>497</v>
      </c>
      <c r="C121" s="1324"/>
      <c r="D121" s="1324"/>
      <c r="E121" s="1324"/>
      <c r="F121" s="428">
        <v>1576525.68</v>
      </c>
      <c r="G121" s="428"/>
      <c r="H121" s="429"/>
      <c r="I121" s="1327"/>
      <c r="J121" s="1328"/>
    </row>
    <row r="122" spans="2:10" ht="13.5" thickBot="1" x14ac:dyDescent="0.25">
      <c r="B122" s="1331" t="s">
        <v>498</v>
      </c>
      <c r="C122" s="1332"/>
      <c r="D122" s="1332"/>
      <c r="E122" s="1332"/>
      <c r="F122" s="1333"/>
      <c r="G122" s="430">
        <f>SUM(G112:G121)</f>
        <v>225313.84</v>
      </c>
      <c r="H122" s="431"/>
      <c r="I122" s="1329"/>
      <c r="J122" s="1330"/>
    </row>
  </sheetData>
  <mergeCells count="91">
    <mergeCell ref="J107:J108"/>
    <mergeCell ref="C108:G108"/>
    <mergeCell ref="H108:I108"/>
    <mergeCell ref="B110:F110"/>
    <mergeCell ref="I110:J110"/>
    <mergeCell ref="B107:H107"/>
    <mergeCell ref="B111:E111"/>
    <mergeCell ref="I111:J122"/>
    <mergeCell ref="B112:E112"/>
    <mergeCell ref="B113:E113"/>
    <mergeCell ref="B114:E114"/>
    <mergeCell ref="B121:E121"/>
    <mergeCell ref="B122:F122"/>
    <mergeCell ref="B115:E115"/>
    <mergeCell ref="B116:E116"/>
    <mergeCell ref="B117:E117"/>
    <mergeCell ref="B118:E118"/>
    <mergeCell ref="B119:E119"/>
    <mergeCell ref="B120:E120"/>
    <mergeCell ref="B102:D102"/>
    <mergeCell ref="B103:D103"/>
    <mergeCell ref="C104:D104"/>
    <mergeCell ref="C105:D105"/>
    <mergeCell ref="C106:D106"/>
    <mergeCell ref="B101:J101"/>
    <mergeCell ref="C90:D90"/>
    <mergeCell ref="C91:D91"/>
    <mergeCell ref="C92:D92"/>
    <mergeCell ref="B93:H93"/>
    <mergeCell ref="J93:J94"/>
    <mergeCell ref="C94:G94"/>
    <mergeCell ref="H94:I94"/>
    <mergeCell ref="B96:J96"/>
    <mergeCell ref="B97:J97"/>
    <mergeCell ref="B98:J98"/>
    <mergeCell ref="B99:J99"/>
    <mergeCell ref="B100:J100"/>
    <mergeCell ref="B89:D89"/>
    <mergeCell ref="C78:D78"/>
    <mergeCell ref="C79:G79"/>
    <mergeCell ref="J79:J80"/>
    <mergeCell ref="C80:G80"/>
    <mergeCell ref="B82:J82"/>
    <mergeCell ref="B83:J83"/>
    <mergeCell ref="B84:J84"/>
    <mergeCell ref="B85:J85"/>
    <mergeCell ref="B86:J86"/>
    <mergeCell ref="B87:J87"/>
    <mergeCell ref="B88:D88"/>
    <mergeCell ref="B63:J63"/>
    <mergeCell ref="B64:D64"/>
    <mergeCell ref="C77:D77"/>
    <mergeCell ref="C66:D66"/>
    <mergeCell ref="C67:D67"/>
    <mergeCell ref="C68:D68"/>
    <mergeCell ref="C69:G69"/>
    <mergeCell ref="B72:J72"/>
    <mergeCell ref="B73:J73"/>
    <mergeCell ref="B74:D74"/>
    <mergeCell ref="B75:D75"/>
    <mergeCell ref="C76:D76"/>
    <mergeCell ref="J69:J70"/>
    <mergeCell ref="C70:G70"/>
    <mergeCell ref="B65:D65"/>
    <mergeCell ref="G55:G56"/>
    <mergeCell ref="H55:J56"/>
    <mergeCell ref="D56:E56"/>
    <mergeCell ref="B58:J58"/>
    <mergeCell ref="B62:J62"/>
    <mergeCell ref="B60:J60"/>
    <mergeCell ref="B61:J61"/>
    <mergeCell ref="B59:J59"/>
    <mergeCell ref="D55:E55"/>
    <mergeCell ref="B46:D46"/>
    <mergeCell ref="B47:D47"/>
    <mergeCell ref="C48:D48"/>
    <mergeCell ref="C49:D49"/>
    <mergeCell ref="C50:D50"/>
    <mergeCell ref="J51:J52"/>
    <mergeCell ref="C52:G52"/>
    <mergeCell ref="H52:I52"/>
    <mergeCell ref="D53:G53"/>
    <mergeCell ref="D54:F54"/>
    <mergeCell ref="H54:J54"/>
    <mergeCell ref="B51:H51"/>
    <mergeCell ref="B45:J45"/>
    <mergeCell ref="B40:J40"/>
    <mergeCell ref="B41:J41"/>
    <mergeCell ref="B42:J42"/>
    <mergeCell ref="B43:J43"/>
    <mergeCell ref="B44:J4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DADOS</vt:lpstr>
      <vt:lpstr>PROPOSTA INICIAL</vt:lpstr>
      <vt:lpstr>SUPERVISOR-DIURNO - 44h</vt:lpstr>
      <vt:lpstr>VIGILANTE-DIURNO 12x36 DD</vt:lpstr>
      <vt:lpstr>VIGILANTE-NOTURNO 12x36 ND</vt:lpstr>
      <vt:lpstr>UNIFORMES</vt:lpstr>
      <vt:lpstr>MAT e EQUIPS</vt:lpstr>
      <vt:lpstr>RESUMO</vt:lpstr>
      <vt:lpstr>HISTORICO</vt:lpstr>
      <vt:lpstr>SÚMULA 444</vt:lpstr>
      <vt:lpstr>DADOS!Area_de_impressao</vt:lpstr>
      <vt:lpstr>'MAT e EQUIPS'!Area_de_impressao</vt:lpstr>
      <vt:lpstr>'PROPOSTA INICIAL'!Area_de_impressao</vt:lpstr>
      <vt:lpstr>RESUMO!Area_de_impressao</vt:lpstr>
      <vt:lpstr>'SÚMULA 444'!Area_de_impressao</vt:lpstr>
      <vt:lpstr>'SUPERVISOR-DIURNO - 44h'!Area_de_impressao</vt:lpstr>
      <vt:lpstr>UNIFORMES!Area_de_impressao</vt:lpstr>
      <vt:lpstr>'VIGILANTE-DIURNO 12x36 DD'!Area_de_impressao</vt:lpstr>
      <vt:lpstr>'VIGILANTE-NOTURNO 12x36 ND'!Area_de_impressao</vt:lpstr>
    </vt:vector>
  </TitlesOfParts>
  <Company>Dep Nac Prod Mineral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Ednaldo Rodrigues da Cunha</dc:creator>
  <cp:lastModifiedBy>Cleusa Costa de Jesus</cp:lastModifiedBy>
  <cp:lastPrinted>2017-03-15T19:43:48Z</cp:lastPrinted>
  <dcterms:created xsi:type="dcterms:W3CDTF">2003-01-09T15:21:37Z</dcterms:created>
  <dcterms:modified xsi:type="dcterms:W3CDTF">2020-03-26T13:11:55Z</dcterms:modified>
</cp:coreProperties>
</file>